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statik_hesaplar\"/>
    </mc:Choice>
  </mc:AlternateContent>
  <xr:revisionPtr revIDLastSave="0" documentId="13_ncr:1_{39FDE057-95BA-40D8-B7E4-3F096FE39A29}" xr6:coauthVersionLast="47" xr6:coauthVersionMax="47" xr10:uidLastSave="{00000000-0000-0000-0000-000000000000}"/>
  <bookViews>
    <workbookView xWindow="-120" yWindow="-120" windowWidth="29040" windowHeight="15840" xr2:uid="{83D09FFB-0D91-4CA4-84EA-067A3C7B8B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83" i="1" l="1"/>
  <c r="H783" i="1"/>
  <c r="E783" i="1"/>
  <c r="T189" i="1"/>
  <c r="K189" i="1"/>
  <c r="H189" i="1"/>
  <c r="AL188" i="1"/>
  <c r="AX1104" i="1"/>
  <c r="AX1096" i="1"/>
  <c r="AX1097" i="1"/>
  <c r="AX1098" i="1" s="1"/>
  <c r="AX1099" i="1" s="1"/>
  <c r="AX1100" i="1" s="1"/>
  <c r="AX1101" i="1" s="1"/>
  <c r="AX1102" i="1" s="1"/>
  <c r="AX1103" i="1" s="1"/>
  <c r="AX1095" i="1"/>
  <c r="AX1084" i="1"/>
  <c r="AX1085" i="1"/>
  <c r="AX1086" i="1" s="1"/>
  <c r="AX1087" i="1" s="1"/>
  <c r="AX1088" i="1" s="1"/>
  <c r="AX1089" i="1" s="1"/>
  <c r="AX1090" i="1" s="1"/>
  <c r="AX1091" i="1" s="1"/>
  <c r="AX1092" i="1" s="1"/>
  <c r="AX1093" i="1" s="1"/>
  <c r="AX1094" i="1" s="1"/>
  <c r="AX1083" i="1"/>
  <c r="AX1068" i="1"/>
  <c r="AX1060" i="1"/>
  <c r="AX1061" i="1" s="1"/>
  <c r="AX1062" i="1" s="1"/>
  <c r="AX1063" i="1" s="1"/>
  <c r="AX1064" i="1" s="1"/>
  <c r="AX1065" i="1" s="1"/>
  <c r="AX1066" i="1" s="1"/>
  <c r="AX1067" i="1" s="1"/>
  <c r="AX1059" i="1"/>
  <c r="AX1048" i="1"/>
  <c r="AX1049" i="1"/>
  <c r="AX1050" i="1" s="1"/>
  <c r="AX1051" i="1" s="1"/>
  <c r="AX1052" i="1" s="1"/>
  <c r="AX1053" i="1" s="1"/>
  <c r="AX1054" i="1" s="1"/>
  <c r="AX1055" i="1" s="1"/>
  <c r="AX1056" i="1" s="1"/>
  <c r="AX1057" i="1" s="1"/>
  <c r="AX1058" i="1" s="1"/>
  <c r="AX1047" i="1"/>
  <c r="AX1009" i="1"/>
  <c r="AX1010" i="1"/>
  <c r="AX1011" i="1"/>
  <c r="AX1012" i="1" s="1"/>
  <c r="AX1013" i="1" s="1"/>
  <c r="AX1014" i="1" s="1"/>
  <c r="AX1015" i="1" s="1"/>
  <c r="AX1016" i="1" s="1"/>
  <c r="AX1017" i="1" s="1"/>
  <c r="AX1018" i="1" s="1"/>
  <c r="AX1019" i="1" s="1"/>
  <c r="AX1020" i="1" s="1"/>
  <c r="AX1021" i="1" s="1"/>
  <c r="AX1022" i="1" s="1"/>
  <c r="AX1023" i="1" s="1"/>
  <c r="AX1024" i="1" s="1"/>
  <c r="AX1025" i="1" s="1"/>
  <c r="AX1026" i="1" s="1"/>
  <c r="AX1027" i="1" s="1"/>
  <c r="AX1028" i="1" s="1"/>
  <c r="AX955" i="1"/>
  <c r="AX947" i="1"/>
  <c r="AX948" i="1"/>
  <c r="AX949" i="1" s="1"/>
  <c r="AX950" i="1" s="1"/>
  <c r="AX951" i="1" s="1"/>
  <c r="AX952" i="1" s="1"/>
  <c r="AX953" i="1" s="1"/>
  <c r="AX954" i="1" s="1"/>
  <c r="AX946" i="1"/>
  <c r="AX935" i="1"/>
  <c r="AX936" i="1" s="1"/>
  <c r="AX937" i="1" s="1"/>
  <c r="AX938" i="1" s="1"/>
  <c r="AX939" i="1" s="1"/>
  <c r="AX940" i="1" s="1"/>
  <c r="AX941" i="1" s="1"/>
  <c r="AX942" i="1" s="1"/>
  <c r="AX943" i="1" s="1"/>
  <c r="AX944" i="1" s="1"/>
  <c r="AX945" i="1" s="1"/>
  <c r="AX934" i="1"/>
  <c r="AX919" i="1"/>
  <c r="AX911" i="1"/>
  <c r="AX912" i="1"/>
  <c r="AX913" i="1" s="1"/>
  <c r="AX914" i="1" s="1"/>
  <c r="AX915" i="1" s="1"/>
  <c r="AX916" i="1" s="1"/>
  <c r="AX917" i="1" s="1"/>
  <c r="AX918" i="1" s="1"/>
  <c r="AX910" i="1"/>
  <c r="AX899" i="1"/>
  <c r="AX900" i="1"/>
  <c r="AX901" i="1" s="1"/>
  <c r="AX902" i="1" s="1"/>
  <c r="AX903" i="1" s="1"/>
  <c r="AX904" i="1" s="1"/>
  <c r="AX905" i="1" s="1"/>
  <c r="AX906" i="1" s="1"/>
  <c r="AX907" i="1" s="1"/>
  <c r="AX908" i="1" s="1"/>
  <c r="AX909" i="1" s="1"/>
  <c r="AX898" i="1"/>
  <c r="AX883" i="1"/>
  <c r="AX875" i="1"/>
  <c r="AX876" i="1"/>
  <c r="AX877" i="1" s="1"/>
  <c r="AX878" i="1" s="1"/>
  <c r="AX879" i="1" s="1"/>
  <c r="AX880" i="1" s="1"/>
  <c r="AX881" i="1" s="1"/>
  <c r="AX882" i="1" s="1"/>
  <c r="AX874" i="1"/>
  <c r="AX863" i="1"/>
  <c r="AX864" i="1"/>
  <c r="AX865" i="1" s="1"/>
  <c r="AX866" i="1" s="1"/>
  <c r="AX867" i="1" s="1"/>
  <c r="AX868" i="1" s="1"/>
  <c r="AX869" i="1" s="1"/>
  <c r="AX870" i="1" s="1"/>
  <c r="AX871" i="1" s="1"/>
  <c r="AX872" i="1" s="1"/>
  <c r="AX873" i="1" s="1"/>
  <c r="AX862" i="1"/>
  <c r="AX826" i="1"/>
  <c r="AX827" i="1" s="1"/>
  <c r="AX828" i="1" s="1"/>
  <c r="AX829" i="1" s="1"/>
  <c r="AX830" i="1" s="1"/>
  <c r="AX831" i="1" s="1"/>
  <c r="AX832" i="1" s="1"/>
  <c r="AX833" i="1" s="1"/>
  <c r="AX834" i="1" s="1"/>
  <c r="AX835" i="1" s="1"/>
  <c r="AX836" i="1" s="1"/>
  <c r="AX837" i="1" s="1"/>
  <c r="AX838" i="1" s="1"/>
  <c r="AX839" i="1" s="1"/>
  <c r="AX840" i="1" s="1"/>
  <c r="AX841" i="1" s="1"/>
  <c r="AX842" i="1" s="1"/>
  <c r="AX843" i="1" s="1"/>
  <c r="AX844" i="1" s="1"/>
  <c r="AX845" i="1" s="1"/>
  <c r="AX811" i="1"/>
  <c r="AX803" i="1"/>
  <c r="AX804" i="1"/>
  <c r="AX805" i="1" s="1"/>
  <c r="AX806" i="1" s="1"/>
  <c r="AX807" i="1" s="1"/>
  <c r="AX808" i="1" s="1"/>
  <c r="AX809" i="1" s="1"/>
  <c r="AX810" i="1" s="1"/>
  <c r="AX802" i="1"/>
  <c r="AX791" i="1"/>
  <c r="AX792" i="1"/>
  <c r="AX793" i="1" s="1"/>
  <c r="AX794" i="1" s="1"/>
  <c r="AX795" i="1" s="1"/>
  <c r="AX796" i="1" s="1"/>
  <c r="AX797" i="1" s="1"/>
  <c r="AX798" i="1" s="1"/>
  <c r="AX799" i="1" s="1"/>
  <c r="AX800" i="1" s="1"/>
  <c r="AX801" i="1" s="1"/>
  <c r="AX790" i="1"/>
  <c r="AX754" i="1"/>
  <c r="AX755" i="1" s="1"/>
  <c r="AX756" i="1" s="1"/>
  <c r="AX757" i="1" s="1"/>
  <c r="AX758" i="1" s="1"/>
  <c r="AX759" i="1" s="1"/>
  <c r="AX760" i="1" s="1"/>
  <c r="AX761" i="1" s="1"/>
  <c r="AX762" i="1" s="1"/>
  <c r="AX763" i="1" s="1"/>
  <c r="AX764" i="1" s="1"/>
  <c r="AX765" i="1" s="1"/>
  <c r="AX766" i="1" s="1"/>
  <c r="AX767" i="1" s="1"/>
  <c r="AX768" i="1" s="1"/>
  <c r="AX769" i="1" s="1"/>
  <c r="AX770" i="1" s="1"/>
  <c r="AX771" i="1" s="1"/>
  <c r="AX772" i="1" s="1"/>
  <c r="AX773" i="1" s="1"/>
  <c r="W782" i="1"/>
  <c r="Q782" i="1"/>
  <c r="T782" i="1" s="1"/>
  <c r="N782" i="1"/>
  <c r="K782" i="1"/>
  <c r="T781" i="1"/>
  <c r="Q781" i="1"/>
  <c r="N781" i="1"/>
  <c r="K781" i="1"/>
  <c r="H781" i="1"/>
  <c r="AF779" i="1"/>
  <c r="AC779" i="1"/>
  <c r="Z779" i="1"/>
  <c r="T779" i="1"/>
  <c r="W779" i="1" s="1"/>
  <c r="Q779" i="1"/>
  <c r="N779" i="1"/>
  <c r="K779" i="1"/>
  <c r="H779" i="1"/>
  <c r="E779" i="1"/>
  <c r="Y774" i="1"/>
  <c r="Z782" i="1" s="1"/>
  <c r="Y762" i="1"/>
  <c r="AL761" i="1"/>
  <c r="AI779" i="1" s="1"/>
  <c r="AL779" i="1" s="1"/>
  <c r="Z188" i="1"/>
  <c r="T188" i="1"/>
  <c r="W188" i="1" s="1"/>
  <c r="Q188" i="1"/>
  <c r="N188" i="1"/>
  <c r="W187" i="1"/>
  <c r="T187" i="1"/>
  <c r="Q187" i="1"/>
  <c r="N187" i="1"/>
  <c r="K187" i="1"/>
  <c r="AI186" i="1"/>
  <c r="AF186" i="1"/>
  <c r="AC186" i="1"/>
  <c r="Z186" i="1"/>
  <c r="W186" i="1"/>
  <c r="T186" i="1"/>
  <c r="Q186" i="1"/>
  <c r="N186" i="1"/>
  <c r="K186" i="1"/>
  <c r="H186" i="1"/>
  <c r="AI197" i="1"/>
  <c r="AI198" i="1" s="1"/>
  <c r="AA197" i="1"/>
  <c r="AA198" i="1" s="1"/>
  <c r="X197" i="1"/>
  <c r="X198" i="1" s="1"/>
  <c r="W196" i="1"/>
  <c r="Z196" i="1" s="1"/>
  <c r="T196" i="1"/>
  <c r="K196" i="1"/>
  <c r="AA194" i="1"/>
  <c r="AA195" i="1" s="1"/>
  <c r="X194" i="1"/>
  <c r="X195" i="1" s="1"/>
  <c r="AC193" i="1"/>
  <c r="W193" i="1"/>
  <c r="Z193" i="1" s="1"/>
  <c r="T193" i="1"/>
  <c r="K193" i="1"/>
  <c r="AI192" i="1"/>
  <c r="AI191" i="1"/>
  <c r="AA191" i="1"/>
  <c r="AA192" i="1" s="1"/>
  <c r="X191" i="1"/>
  <c r="X192" i="1" s="1"/>
  <c r="Z181" i="1"/>
  <c r="AC188" i="1" s="1"/>
  <c r="S181" i="1"/>
  <c r="Z169" i="1"/>
  <c r="AP168" i="1"/>
  <c r="W554" i="1"/>
  <c r="Z554" i="1" s="1"/>
  <c r="Q1077" i="1"/>
  <c r="N1075" i="1"/>
  <c r="T1075" i="1"/>
  <c r="Q1075" i="1"/>
  <c r="Q1074" i="1"/>
  <c r="N1074" i="1"/>
  <c r="W1074" i="1"/>
  <c r="Z1074" i="1" s="1"/>
  <c r="T1074" i="1"/>
  <c r="X565" i="1"/>
  <c r="T564" i="1"/>
  <c r="X562" i="1"/>
  <c r="Q557" i="1"/>
  <c r="N555" i="1"/>
  <c r="T555" i="1"/>
  <c r="Q555" i="1"/>
  <c r="Q554" i="1"/>
  <c r="N554" i="1"/>
  <c r="T554" i="1"/>
  <c r="X515" i="1"/>
  <c r="X516" i="1" s="1"/>
  <c r="T514" i="1"/>
  <c r="X512" i="1"/>
  <c r="X513" i="1" s="1"/>
  <c r="N1040" i="1"/>
  <c r="K1038" i="1"/>
  <c r="Q1038" i="1"/>
  <c r="N1038" i="1"/>
  <c r="N1036" i="1"/>
  <c r="K1036" i="1"/>
  <c r="T1036" i="1"/>
  <c r="W1036" i="1" s="1"/>
  <c r="Q1036" i="1"/>
  <c r="Q507" i="1"/>
  <c r="N505" i="1"/>
  <c r="T505" i="1"/>
  <c r="Q505" i="1"/>
  <c r="W504" i="1"/>
  <c r="Z504" i="1" s="1"/>
  <c r="T504" i="1"/>
  <c r="Q504" i="1"/>
  <c r="N504" i="1"/>
  <c r="Q924" i="1"/>
  <c r="T922" i="1"/>
  <c r="Q922" i="1"/>
  <c r="N922" i="1"/>
  <c r="W921" i="1"/>
  <c r="Z921" i="1" s="1"/>
  <c r="T921" i="1"/>
  <c r="Q921" i="1"/>
  <c r="N921" i="1"/>
  <c r="X372" i="1"/>
  <c r="T371" i="1"/>
  <c r="X369" i="1"/>
  <c r="Q364" i="1"/>
  <c r="N362" i="1"/>
  <c r="T362" i="1"/>
  <c r="Q362" i="1"/>
  <c r="W361" i="1"/>
  <c r="Z361" i="1" s="1"/>
  <c r="T361" i="1"/>
  <c r="Q361" i="1"/>
  <c r="N361" i="1"/>
  <c r="N854" i="1"/>
  <c r="Q852" i="1"/>
  <c r="K852" i="1"/>
  <c r="N852" i="1"/>
  <c r="T851" i="1"/>
  <c r="W851" i="1" s="1"/>
  <c r="Q851" i="1"/>
  <c r="N851" i="1"/>
  <c r="K851" i="1"/>
  <c r="X285" i="1"/>
  <c r="T284" i="1"/>
  <c r="X282" i="1"/>
  <c r="Q277" i="1"/>
  <c r="T275" i="1"/>
  <c r="Q275" i="1"/>
  <c r="N275" i="1"/>
  <c r="W274" i="1"/>
  <c r="Z274" i="1" s="1"/>
  <c r="T274" i="1"/>
  <c r="Q274" i="1"/>
  <c r="N274" i="1"/>
  <c r="N819" i="1"/>
  <c r="Q817" i="1"/>
  <c r="N817" i="1"/>
  <c r="K817" i="1"/>
  <c r="T815" i="1"/>
  <c r="W815" i="1" s="1"/>
  <c r="Q815" i="1"/>
  <c r="N815" i="1"/>
  <c r="K815" i="1"/>
  <c r="X241" i="1"/>
  <c r="T240" i="1"/>
  <c r="X238" i="1"/>
  <c r="X239" i="1" s="1"/>
  <c r="Q233" i="1"/>
  <c r="T231" i="1"/>
  <c r="Q231" i="1"/>
  <c r="N231" i="1"/>
  <c r="Z230" i="1"/>
  <c r="W230" i="1"/>
  <c r="T230" i="1"/>
  <c r="Q230" i="1"/>
  <c r="N230" i="1"/>
  <c r="AB990" i="1"/>
  <c r="N995" i="1"/>
  <c r="T995" i="1" s="1"/>
  <c r="H995" i="1"/>
  <c r="AZ970" i="1"/>
  <c r="R1002" i="1"/>
  <c r="U1002" i="1" s="1"/>
  <c r="O1002" i="1"/>
  <c r="L1002" i="1"/>
  <c r="I1001" i="1"/>
  <c r="F1001" i="1"/>
  <c r="R1000" i="1"/>
  <c r="O1000" i="1"/>
  <c r="L1000" i="1"/>
  <c r="I1000" i="1"/>
  <c r="AD999" i="1"/>
  <c r="AG999" i="1" s="1"/>
  <c r="AA999" i="1"/>
  <c r="U999" i="1"/>
  <c r="X999" i="1" s="1"/>
  <c r="R999" i="1"/>
  <c r="O999" i="1"/>
  <c r="L999" i="1"/>
  <c r="I999" i="1"/>
  <c r="F999" i="1"/>
  <c r="S996" i="1"/>
  <c r="AF996" i="1" s="1"/>
  <c r="K997" i="1" s="1"/>
  <c r="N996" i="1"/>
  <c r="K995" i="1"/>
  <c r="Q995" i="1" s="1"/>
  <c r="AG988" i="1"/>
  <c r="AA988" i="1" s="1"/>
  <c r="R988" i="1"/>
  <c r="R467" i="1"/>
  <c r="V465" i="1"/>
  <c r="V466" i="1" s="1"/>
  <c r="O460" i="1"/>
  <c r="I459" i="1"/>
  <c r="F459" i="1"/>
  <c r="R458" i="1"/>
  <c r="O458" i="1"/>
  <c r="L458" i="1"/>
  <c r="U457" i="1"/>
  <c r="X457" i="1" s="1"/>
  <c r="R457" i="1"/>
  <c r="O457" i="1"/>
  <c r="L457" i="1"/>
  <c r="K451" i="1"/>
  <c r="Q451" i="1" s="1"/>
  <c r="R442" i="1"/>
  <c r="AG442" i="1"/>
  <c r="AA442" i="1" s="1"/>
  <c r="U467" i="1"/>
  <c r="X467" i="1" s="1"/>
  <c r="I467" i="1"/>
  <c r="Y465" i="1"/>
  <c r="Y466" i="1" s="1"/>
  <c r="AA464" i="1"/>
  <c r="U464" i="1"/>
  <c r="X464" i="1" s="1"/>
  <c r="R464" i="1"/>
  <c r="I464" i="1"/>
  <c r="AG462" i="1"/>
  <c r="AG463" i="1" s="1"/>
  <c r="Y462" i="1"/>
  <c r="Y463" i="1" s="1"/>
  <c r="V462" i="1"/>
  <c r="V463" i="1" s="1"/>
  <c r="R460" i="1"/>
  <c r="U460" i="1" s="1"/>
  <c r="L460" i="1"/>
  <c r="I458" i="1"/>
  <c r="AD457" i="1"/>
  <c r="AG457" i="1" s="1"/>
  <c r="AA457" i="1"/>
  <c r="I457" i="1"/>
  <c r="F457" i="1"/>
  <c r="O454" i="1"/>
  <c r="S452" i="1"/>
  <c r="X452" i="1" s="1"/>
  <c r="N452" i="1"/>
  <c r="N449" i="1"/>
  <c r="T449" i="1" s="1"/>
  <c r="K449" i="1"/>
  <c r="Q449" i="1" s="1"/>
  <c r="H449" i="1"/>
  <c r="H450" i="1" s="1"/>
  <c r="H451" i="1" s="1"/>
  <c r="Z444" i="1"/>
  <c r="T444" i="1"/>
  <c r="T109" i="1"/>
  <c r="W109" i="1" s="1"/>
  <c r="BB653" i="1"/>
  <c r="BB654" i="1" s="1"/>
  <c r="BB655" i="1" s="1"/>
  <c r="AX618" i="1"/>
  <c r="AX619" i="1" s="1"/>
  <c r="AX620" i="1" s="1"/>
  <c r="AX621" i="1" s="1"/>
  <c r="AX622" i="1" s="1"/>
  <c r="AX623" i="1" s="1"/>
  <c r="AX624" i="1" s="1"/>
  <c r="AX625" i="1" s="1"/>
  <c r="AX626" i="1" s="1"/>
  <c r="AX627" i="1" s="1"/>
  <c r="AX628" i="1" s="1"/>
  <c r="AX629" i="1" s="1"/>
  <c r="AX630" i="1" s="1"/>
  <c r="AX631" i="1" s="1"/>
  <c r="AX632" i="1" s="1"/>
  <c r="AX633" i="1" s="1"/>
  <c r="AX634" i="1" s="1"/>
  <c r="AX635" i="1" s="1"/>
  <c r="AX636" i="1" s="1"/>
  <c r="AX637" i="1" s="1"/>
  <c r="AX638" i="1" s="1"/>
  <c r="AX639" i="1" s="1"/>
  <c r="AX640" i="1" s="1"/>
  <c r="AX641" i="1" s="1"/>
  <c r="AX642" i="1" s="1"/>
  <c r="AX643" i="1" s="1"/>
  <c r="AX644" i="1" s="1"/>
  <c r="AX645" i="1" s="1"/>
  <c r="AX646" i="1" s="1"/>
  <c r="AR663" i="1"/>
  <c r="AM663" i="1"/>
  <c r="AJ663" i="1"/>
  <c r="AG663" i="1"/>
  <c r="AA663" i="1"/>
  <c r="AD663" i="1" s="1"/>
  <c r="X663" i="1"/>
  <c r="R663" i="1"/>
  <c r="U663" i="1" s="1"/>
  <c r="O663" i="1"/>
  <c r="L663" i="1"/>
  <c r="F663" i="1"/>
  <c r="N662" i="1"/>
  <c r="K662" i="1"/>
  <c r="H662" i="1"/>
  <c r="E662" i="1"/>
  <c r="Q661" i="1"/>
  <c r="N661" i="1"/>
  <c r="K661" i="1"/>
  <c r="H661" i="1"/>
  <c r="AL660" i="1"/>
  <c r="AO660" i="1" s="1"/>
  <c r="AI660" i="1"/>
  <c r="AF660" i="1"/>
  <c r="AC660" i="1"/>
  <c r="Z660" i="1"/>
  <c r="T660" i="1"/>
  <c r="W660" i="1" s="1"/>
  <c r="Q660" i="1"/>
  <c r="N660" i="1"/>
  <c r="K660" i="1"/>
  <c r="H660" i="1"/>
  <c r="E660" i="1"/>
  <c r="BB656" i="1"/>
  <c r="AC655" i="1"/>
  <c r="Y629" i="1"/>
  <c r="AR47" i="1"/>
  <c r="N46" i="1"/>
  <c r="K46" i="1"/>
  <c r="H46" i="1"/>
  <c r="E46" i="1"/>
  <c r="AK58" i="1"/>
  <c r="AN58" i="1" s="1"/>
  <c r="AH58" i="1"/>
  <c r="AE58" i="1"/>
  <c r="Q58" i="1"/>
  <c r="N58" i="1"/>
  <c r="T56" i="1"/>
  <c r="W56" i="1" s="1"/>
  <c r="Q56" i="1"/>
  <c r="H56" i="1"/>
  <c r="P54" i="1"/>
  <c r="P55" i="1" s="1"/>
  <c r="M54" i="1"/>
  <c r="M55" i="1" s="1"/>
  <c r="AL53" i="1"/>
  <c r="AI53" i="1"/>
  <c r="Z53" i="1"/>
  <c r="T53" i="1"/>
  <c r="W53" i="1" s="1"/>
  <c r="Q53" i="1"/>
  <c r="H53" i="1"/>
  <c r="AT49" i="1"/>
  <c r="AT51" i="1" s="1"/>
  <c r="AQ49" i="1"/>
  <c r="AQ51" i="1" s="1"/>
  <c r="AF49" i="1"/>
  <c r="AF51" i="1" s="1"/>
  <c r="X49" i="1"/>
  <c r="X51" i="1" s="1"/>
  <c r="U49" i="1"/>
  <c r="U51" i="1" s="1"/>
  <c r="AM47" i="1"/>
  <c r="AJ47" i="1"/>
  <c r="AG47" i="1"/>
  <c r="AA47" i="1"/>
  <c r="AD47" i="1" s="1"/>
  <c r="X47" i="1"/>
  <c r="R47" i="1"/>
  <c r="U47" i="1" s="1"/>
  <c r="O47" i="1"/>
  <c r="L47" i="1"/>
  <c r="F47" i="1"/>
  <c r="Q45" i="1"/>
  <c r="N45" i="1"/>
  <c r="K45" i="1"/>
  <c r="H45" i="1"/>
  <c r="AL44" i="1"/>
  <c r="AO44" i="1" s="1"/>
  <c r="AI44" i="1"/>
  <c r="AF44" i="1"/>
  <c r="AC44" i="1"/>
  <c r="Z44" i="1"/>
  <c r="T44" i="1"/>
  <c r="W44" i="1" s="1"/>
  <c r="Q44" i="1"/>
  <c r="N44" i="1"/>
  <c r="K44" i="1"/>
  <c r="H44" i="1"/>
  <c r="E44" i="1"/>
  <c r="Z39" i="1"/>
  <c r="S39" i="1"/>
  <c r="Y13" i="1"/>
  <c r="AC705" i="1"/>
  <c r="Q818" i="1"/>
  <c r="T818" i="1" s="1"/>
  <c r="AX668" i="1"/>
  <c r="AX669" i="1" s="1"/>
  <c r="AX670" i="1" s="1"/>
  <c r="AX671" i="1" s="1"/>
  <c r="AX672" i="1" s="1"/>
  <c r="AX673" i="1" s="1"/>
  <c r="AX674" i="1" s="1"/>
  <c r="AX675" i="1" s="1"/>
  <c r="AX676" i="1" s="1"/>
  <c r="AX677" i="1" s="1"/>
  <c r="AX678" i="1" s="1"/>
  <c r="AX679" i="1" s="1"/>
  <c r="AX680" i="1" s="1"/>
  <c r="AX681" i="1" s="1"/>
  <c r="AX682" i="1" s="1"/>
  <c r="AX683" i="1" s="1"/>
  <c r="AX684" i="1" s="1"/>
  <c r="AX685" i="1" s="1"/>
  <c r="AX686" i="1" s="1"/>
  <c r="AX687" i="1" s="1"/>
  <c r="AX688" i="1" s="1"/>
  <c r="AX689" i="1" s="1"/>
  <c r="AX690" i="1" s="1"/>
  <c r="AX691" i="1" s="1"/>
  <c r="AX692" i="1" s="1"/>
  <c r="AX693" i="1" s="1"/>
  <c r="AX694" i="1" s="1"/>
  <c r="AX695" i="1" s="1"/>
  <c r="AX696" i="1" s="1"/>
  <c r="AX697" i="1" s="1"/>
  <c r="AX698" i="1" s="1"/>
  <c r="AX699" i="1" s="1"/>
  <c r="BB706" i="1"/>
  <c r="BB703" i="1"/>
  <c r="BB704" i="1" s="1"/>
  <c r="BB705" i="1" s="1"/>
  <c r="BB709" i="1" s="1"/>
  <c r="Q713" i="1"/>
  <c r="T713" i="1" s="1"/>
  <c r="N713" i="1"/>
  <c r="K713" i="1"/>
  <c r="E713" i="1"/>
  <c r="AL712" i="1"/>
  <c r="AI712" i="1"/>
  <c r="AF712" i="1"/>
  <c r="Z712" i="1"/>
  <c r="AC712" i="1" s="1"/>
  <c r="W712" i="1"/>
  <c r="Q712" i="1"/>
  <c r="T712" i="1" s="1"/>
  <c r="N712" i="1"/>
  <c r="K712" i="1"/>
  <c r="E712" i="1"/>
  <c r="Q711" i="1"/>
  <c r="N711" i="1"/>
  <c r="K711" i="1"/>
  <c r="H711" i="1"/>
  <c r="AL710" i="1"/>
  <c r="AO710" i="1" s="1"/>
  <c r="AI710" i="1"/>
  <c r="AF710" i="1"/>
  <c r="AC710" i="1"/>
  <c r="Z710" i="1"/>
  <c r="T710" i="1"/>
  <c r="W710" i="1" s="1"/>
  <c r="Q710" i="1"/>
  <c r="N710" i="1"/>
  <c r="K710" i="1"/>
  <c r="H710" i="1"/>
  <c r="E710" i="1"/>
  <c r="Y679" i="1"/>
  <c r="AZ667" i="1" s="1"/>
  <c r="BB667" i="1" s="1"/>
  <c r="T115" i="1"/>
  <c r="AK114" i="1"/>
  <c r="AN114" i="1" s="1"/>
  <c r="AH114" i="1"/>
  <c r="AE114" i="1"/>
  <c r="Q114" i="1"/>
  <c r="N114" i="1"/>
  <c r="Q112" i="1"/>
  <c r="U110" i="1"/>
  <c r="U111" i="1" s="1"/>
  <c r="AL109" i="1"/>
  <c r="AI109" i="1"/>
  <c r="Z109" i="1"/>
  <c r="Q109" i="1"/>
  <c r="AT107" i="1"/>
  <c r="AT108" i="1" s="1"/>
  <c r="AQ107" i="1"/>
  <c r="AQ108" i="1" s="1"/>
  <c r="AF107" i="1"/>
  <c r="AF108" i="1" s="1"/>
  <c r="U107" i="1"/>
  <c r="U108" i="1" s="1"/>
  <c r="N105" i="1"/>
  <c r="E105" i="1"/>
  <c r="AL104" i="1"/>
  <c r="AI104" i="1"/>
  <c r="AF104" i="1"/>
  <c r="Z104" i="1"/>
  <c r="AC104" i="1" s="1"/>
  <c r="W104" i="1"/>
  <c r="N104" i="1"/>
  <c r="E104" i="1"/>
  <c r="Q103" i="1"/>
  <c r="N103" i="1"/>
  <c r="K103" i="1"/>
  <c r="H103" i="1"/>
  <c r="AL102" i="1"/>
  <c r="AO102" i="1" s="1"/>
  <c r="AI102" i="1"/>
  <c r="AF102" i="1"/>
  <c r="AC102" i="1"/>
  <c r="Z102" i="1"/>
  <c r="T102" i="1"/>
  <c r="W102" i="1" s="1"/>
  <c r="Q102" i="1"/>
  <c r="N102" i="1"/>
  <c r="K102" i="1"/>
  <c r="H102" i="1"/>
  <c r="T112" i="1"/>
  <c r="W112" i="1" s="1"/>
  <c r="H112" i="1"/>
  <c r="X110" i="1"/>
  <c r="X111" i="1" s="1"/>
  <c r="Q105" i="1"/>
  <c r="T105" i="1" s="1"/>
  <c r="K105" i="1"/>
  <c r="Q104" i="1"/>
  <c r="T104" i="1" s="1"/>
  <c r="K104" i="1"/>
  <c r="E102" i="1"/>
  <c r="Y71" i="1"/>
  <c r="Z97" i="1"/>
  <c r="AG138" i="1"/>
  <c r="AB138" i="1" s="1"/>
  <c r="Y738" i="1"/>
  <c r="Q745" i="1"/>
  <c r="T745" i="1" s="1"/>
  <c r="N745" i="1"/>
  <c r="K745" i="1"/>
  <c r="Q744" i="1"/>
  <c r="N744" i="1"/>
  <c r="K744" i="1"/>
  <c r="H744" i="1"/>
  <c r="T743" i="1"/>
  <c r="W743" i="1" s="1"/>
  <c r="Q743" i="1"/>
  <c r="N743" i="1"/>
  <c r="K743" i="1"/>
  <c r="H743" i="1"/>
  <c r="E743" i="1"/>
  <c r="AC736" i="1"/>
  <c r="N736" i="1"/>
  <c r="T727" i="1"/>
  <c r="AZ717" i="1" s="1"/>
  <c r="BB717" i="1" s="1"/>
  <c r="X155" i="1"/>
  <c r="AA155" i="1" s="1"/>
  <c r="U155" i="1"/>
  <c r="L155" i="1"/>
  <c r="AB153" i="1"/>
  <c r="AB154" i="1" s="1"/>
  <c r="Y153" i="1"/>
  <c r="Y154" i="1" s="1"/>
  <c r="X152" i="1"/>
  <c r="AA152" i="1" s="1"/>
  <c r="U152" i="1"/>
  <c r="L152" i="1"/>
  <c r="AB150" i="1"/>
  <c r="AB151" i="1" s="1"/>
  <c r="Y150" i="1"/>
  <c r="Y151" i="1" s="1"/>
  <c r="U147" i="1"/>
  <c r="X147" i="1" s="1"/>
  <c r="R147" i="1"/>
  <c r="O147" i="1"/>
  <c r="U146" i="1"/>
  <c r="R146" i="1"/>
  <c r="O146" i="1"/>
  <c r="L146" i="1"/>
  <c r="X145" i="1"/>
  <c r="AA145" i="1" s="1"/>
  <c r="U145" i="1"/>
  <c r="R145" i="1"/>
  <c r="O145" i="1"/>
  <c r="L145" i="1"/>
  <c r="I145" i="1"/>
  <c r="T140" i="1"/>
  <c r="Z140" i="1"/>
  <c r="X129" i="1"/>
  <c r="R138" i="1"/>
  <c r="Z1039" i="1"/>
  <c r="AC1039" i="1" s="1"/>
  <c r="W1039" i="1"/>
  <c r="AI1036" i="1"/>
  <c r="AL1036" i="1" s="1"/>
  <c r="AF1036" i="1"/>
  <c r="AZ1008" i="1"/>
  <c r="AZ1009" i="1"/>
  <c r="W1040" i="1"/>
  <c r="Q1040" i="1"/>
  <c r="T1040" i="1" s="1"/>
  <c r="K1040" i="1"/>
  <c r="E1040" i="1"/>
  <c r="Q1039" i="1"/>
  <c r="T1039" i="1" s="1"/>
  <c r="N1039" i="1"/>
  <c r="K1039" i="1"/>
  <c r="E1039" i="1"/>
  <c r="T1038" i="1"/>
  <c r="H1038" i="1"/>
  <c r="AC1036" i="1"/>
  <c r="Z1036" i="1"/>
  <c r="H1036" i="1"/>
  <c r="E1036" i="1"/>
  <c r="R1033" i="1"/>
  <c r="W1033" i="1" s="1"/>
  <c r="M1033" i="1"/>
  <c r="M1032" i="1"/>
  <c r="S1032" i="1" s="1"/>
  <c r="J1032" i="1"/>
  <c r="P1032" i="1" s="1"/>
  <c r="G1032" i="1"/>
  <c r="Y1027" i="1"/>
  <c r="Z1040" i="1" s="1"/>
  <c r="AC511" i="1"/>
  <c r="AI509" i="1"/>
  <c r="AI510" i="1" s="1"/>
  <c r="AC506" i="1"/>
  <c r="AF506" i="1" s="1"/>
  <c r="Z506" i="1"/>
  <c r="AL504" i="1"/>
  <c r="AO504" i="1" s="1"/>
  <c r="AI504" i="1"/>
  <c r="AI515" i="1"/>
  <c r="AI516" i="1" s="1"/>
  <c r="AA515" i="1"/>
  <c r="AA516" i="1" s="1"/>
  <c r="W514" i="1"/>
  <c r="Z514" i="1" s="1"/>
  <c r="K514" i="1"/>
  <c r="AA512" i="1"/>
  <c r="AA513" i="1" s="1"/>
  <c r="W511" i="1"/>
  <c r="Z511" i="1" s="1"/>
  <c r="T511" i="1"/>
  <c r="K511" i="1"/>
  <c r="AA509" i="1"/>
  <c r="AA510" i="1" s="1"/>
  <c r="X509" i="1"/>
  <c r="X510" i="1" s="1"/>
  <c r="Z507" i="1"/>
  <c r="T507" i="1"/>
  <c r="W507" i="1" s="1"/>
  <c r="N507" i="1"/>
  <c r="H507" i="1"/>
  <c r="T506" i="1"/>
  <c r="W506" i="1" s="1"/>
  <c r="Q506" i="1"/>
  <c r="N506" i="1"/>
  <c r="H506" i="1"/>
  <c r="W505" i="1"/>
  <c r="K505" i="1"/>
  <c r="AF504" i="1"/>
  <c r="AC504" i="1"/>
  <c r="K504" i="1"/>
  <c r="H504" i="1"/>
  <c r="Q501" i="1"/>
  <c r="U499" i="1"/>
  <c r="AH499" i="1" s="1"/>
  <c r="M500" i="1" s="1"/>
  <c r="L501" i="1" s="1"/>
  <c r="L502" i="1" s="1"/>
  <c r="P499" i="1"/>
  <c r="P497" i="1"/>
  <c r="P498" i="1" s="1"/>
  <c r="V498" i="1" s="1"/>
  <c r="M497" i="1"/>
  <c r="S497" i="1" s="1"/>
  <c r="J497" i="1"/>
  <c r="J498" i="1" s="1"/>
  <c r="Z492" i="1"/>
  <c r="AC507" i="1" s="1"/>
  <c r="T492" i="1"/>
  <c r="W818" i="1"/>
  <c r="AF815" i="1"/>
  <c r="W854" i="1"/>
  <c r="Q854" i="1"/>
  <c r="T854" i="1" s="1"/>
  <c r="K854" i="1"/>
  <c r="Q853" i="1"/>
  <c r="T853" i="1" s="1"/>
  <c r="N853" i="1"/>
  <c r="K853" i="1"/>
  <c r="T852" i="1"/>
  <c r="H852" i="1"/>
  <c r="AC851" i="1"/>
  <c r="Z851" i="1"/>
  <c r="H851" i="1"/>
  <c r="E851" i="1"/>
  <c r="W846" i="1"/>
  <c r="Z854" i="1" s="1"/>
  <c r="W834" i="1"/>
  <c r="BB825" i="1" s="1"/>
  <c r="AM833" i="1"/>
  <c r="E854" i="1" s="1"/>
  <c r="AC237" i="1"/>
  <c r="AI236" i="1"/>
  <c r="AI235" i="1"/>
  <c r="Z232" i="1"/>
  <c r="AI230" i="1"/>
  <c r="AI241" i="1"/>
  <c r="AI242" i="1" s="1"/>
  <c r="AA241" i="1"/>
  <c r="AA242" i="1" s="1"/>
  <c r="X242" i="1"/>
  <c r="W240" i="1"/>
  <c r="Z240" i="1" s="1"/>
  <c r="K240" i="1"/>
  <c r="AA238" i="1"/>
  <c r="AA239" i="1" s="1"/>
  <c r="W237" i="1"/>
  <c r="Z237" i="1" s="1"/>
  <c r="T237" i="1"/>
  <c r="K237" i="1"/>
  <c r="AA235" i="1"/>
  <c r="AA236" i="1" s="1"/>
  <c r="X235" i="1"/>
  <c r="X236" i="1" s="1"/>
  <c r="Z233" i="1"/>
  <c r="T233" i="1"/>
  <c r="W233" i="1" s="1"/>
  <c r="N233" i="1"/>
  <c r="T232" i="1"/>
  <c r="W232" i="1" s="1"/>
  <c r="Q232" i="1"/>
  <c r="N232" i="1"/>
  <c r="W231" i="1"/>
  <c r="K231" i="1"/>
  <c r="AF230" i="1"/>
  <c r="AC230" i="1"/>
  <c r="K230" i="1"/>
  <c r="H230" i="1"/>
  <c r="Z225" i="1"/>
  <c r="AC233" i="1" s="1"/>
  <c r="S225" i="1"/>
  <c r="Z213" i="1"/>
  <c r="AP212" i="1"/>
  <c r="H232" i="1" s="1"/>
  <c r="P1107" i="1"/>
  <c r="M1107" i="1"/>
  <c r="J1107" i="1"/>
  <c r="AZ1082" i="1"/>
  <c r="Q1114" i="1"/>
  <c r="N1114" i="1"/>
  <c r="H1114" i="1"/>
  <c r="T1113" i="1"/>
  <c r="W1113" i="1" s="1"/>
  <c r="Q1113" i="1"/>
  <c r="N1113" i="1"/>
  <c r="H1113" i="1"/>
  <c r="Q1112" i="1"/>
  <c r="N1112" i="1"/>
  <c r="K1112" i="1"/>
  <c r="W1111" i="1"/>
  <c r="T1111" i="1"/>
  <c r="Q1111" i="1"/>
  <c r="N1111" i="1"/>
  <c r="K1111" i="1"/>
  <c r="H1111" i="1"/>
  <c r="U1108" i="1"/>
  <c r="AH1108" i="1" s="1"/>
  <c r="M1109" i="1" s="1"/>
  <c r="P1108" i="1"/>
  <c r="W1102" i="1"/>
  <c r="T1114" i="1" s="1"/>
  <c r="M1070" i="1"/>
  <c r="S1070" i="1" s="1"/>
  <c r="J1070" i="1"/>
  <c r="P1070" i="1"/>
  <c r="AZ1046" i="1"/>
  <c r="Z1077" i="1"/>
  <c r="T1077" i="1"/>
  <c r="W1077" i="1" s="1"/>
  <c r="N1077" i="1"/>
  <c r="H1077" i="1"/>
  <c r="T1076" i="1"/>
  <c r="W1076" i="1" s="1"/>
  <c r="Q1076" i="1"/>
  <c r="N1076" i="1"/>
  <c r="H1076" i="1"/>
  <c r="W1075" i="1"/>
  <c r="K1075" i="1"/>
  <c r="AF1074" i="1"/>
  <c r="AC1074" i="1"/>
  <c r="K1074" i="1"/>
  <c r="H1074" i="1"/>
  <c r="U1071" i="1"/>
  <c r="AH1071" i="1" s="1"/>
  <c r="M1072" i="1" s="1"/>
  <c r="P1071" i="1"/>
  <c r="W1065" i="1"/>
  <c r="AC1077" i="1" s="1"/>
  <c r="Q960" i="1"/>
  <c r="N960" i="1"/>
  <c r="H960" i="1"/>
  <c r="T959" i="1"/>
  <c r="W959" i="1" s="1"/>
  <c r="Q959" i="1"/>
  <c r="N959" i="1"/>
  <c r="H959" i="1"/>
  <c r="Q958" i="1"/>
  <c r="N958" i="1"/>
  <c r="K958" i="1"/>
  <c r="W957" i="1"/>
  <c r="T957" i="1"/>
  <c r="Q957" i="1"/>
  <c r="N957" i="1"/>
  <c r="K957" i="1"/>
  <c r="H957" i="1"/>
  <c r="W952" i="1"/>
  <c r="U941" i="1"/>
  <c r="Z924" i="1"/>
  <c r="T924" i="1"/>
  <c r="W924" i="1" s="1"/>
  <c r="N924" i="1"/>
  <c r="H924" i="1"/>
  <c r="T923" i="1"/>
  <c r="W923" i="1" s="1"/>
  <c r="Q923" i="1"/>
  <c r="N923" i="1"/>
  <c r="H923" i="1"/>
  <c r="W922" i="1"/>
  <c r="K922" i="1"/>
  <c r="AF921" i="1"/>
  <c r="AC921" i="1"/>
  <c r="K921" i="1"/>
  <c r="H921" i="1"/>
  <c r="W916" i="1"/>
  <c r="U905" i="1"/>
  <c r="Q889" i="1"/>
  <c r="N889" i="1"/>
  <c r="T888" i="1"/>
  <c r="W888" i="1" s="1"/>
  <c r="Q888" i="1"/>
  <c r="N888" i="1"/>
  <c r="Q887" i="1"/>
  <c r="N887" i="1"/>
  <c r="K887" i="1"/>
  <c r="W886" i="1"/>
  <c r="T886" i="1"/>
  <c r="Q886" i="1"/>
  <c r="N886" i="1"/>
  <c r="K886" i="1"/>
  <c r="H886" i="1"/>
  <c r="W881" i="1"/>
  <c r="T889" i="1" s="1"/>
  <c r="W869" i="1"/>
  <c r="BB861" i="1" s="1"/>
  <c r="AM868" i="1"/>
  <c r="H889" i="1" s="1"/>
  <c r="W819" i="1"/>
  <c r="Q819" i="1"/>
  <c r="T819" i="1" s="1"/>
  <c r="K819" i="1"/>
  <c r="K818" i="1"/>
  <c r="T817" i="1"/>
  <c r="AC815" i="1"/>
  <c r="Z815" i="1"/>
  <c r="E815" i="1"/>
  <c r="Y810" i="1"/>
  <c r="Z819" i="1" s="1"/>
  <c r="Y798" i="1"/>
  <c r="BB789" i="1" s="1"/>
  <c r="AO797" i="1"/>
  <c r="E818" i="1" s="1"/>
  <c r="N405" i="1"/>
  <c r="Q404" i="1"/>
  <c r="N404" i="1"/>
  <c r="X415" i="1"/>
  <c r="X416" i="1" s="1"/>
  <c r="K414" i="1"/>
  <c r="W411" i="1"/>
  <c r="Z411" i="1" s="1"/>
  <c r="T411" i="1"/>
  <c r="K411" i="1"/>
  <c r="AA409" i="1"/>
  <c r="AA410" i="1" s="1"/>
  <c r="X409" i="1"/>
  <c r="X410" i="1" s="1"/>
  <c r="Q407" i="1"/>
  <c r="N407" i="1"/>
  <c r="H407" i="1"/>
  <c r="T406" i="1"/>
  <c r="W406" i="1" s="1"/>
  <c r="Q406" i="1"/>
  <c r="N406" i="1"/>
  <c r="H406" i="1"/>
  <c r="Q405" i="1"/>
  <c r="K405" i="1"/>
  <c r="W404" i="1"/>
  <c r="T404" i="1"/>
  <c r="K404" i="1"/>
  <c r="H404" i="1"/>
  <c r="W399" i="1"/>
  <c r="T407" i="1" s="1"/>
  <c r="P399" i="1"/>
  <c r="U388" i="1"/>
  <c r="AX1029" i="1" l="1"/>
  <c r="AX1030" i="1"/>
  <c r="AX846" i="1"/>
  <c r="AX847" i="1"/>
  <c r="AX812" i="1"/>
  <c r="AX813" i="1" s="1"/>
  <c r="AX814" i="1" s="1"/>
  <c r="AX815" i="1" s="1"/>
  <c r="AX816" i="1" s="1"/>
  <c r="AX817" i="1" s="1"/>
  <c r="AX818" i="1" s="1"/>
  <c r="AX819" i="1" s="1"/>
  <c r="AX820" i="1" s="1"/>
  <c r="BB820" i="1" s="1"/>
  <c r="AZ820" i="1" s="1"/>
  <c r="AX774" i="1"/>
  <c r="AX775" i="1"/>
  <c r="E782" i="1"/>
  <c r="BB754" i="1"/>
  <c r="AZ754" i="1" s="1"/>
  <c r="BB755" i="1"/>
  <c r="AZ755" i="1" s="1"/>
  <c r="Y768" i="1"/>
  <c r="AJ763" i="1" s="1"/>
  <c r="AJ756" i="1" s="1"/>
  <c r="BB753" i="1"/>
  <c r="E780" i="1"/>
  <c r="J773" i="1" s="1"/>
  <c r="T175" i="1"/>
  <c r="M191" i="1" s="1"/>
  <c r="H188" i="1"/>
  <c r="AO1074" i="1"/>
  <c r="AL186" i="1"/>
  <c r="AO186" i="1" s="1"/>
  <c r="Z175" i="1"/>
  <c r="AO921" i="1"/>
  <c r="H910" i="1" s="1"/>
  <c r="AX504" i="1"/>
  <c r="K491" i="1" s="1"/>
  <c r="H505" i="1" s="1"/>
  <c r="AF505" i="1" s="1"/>
  <c r="AL851" i="1"/>
  <c r="H845" i="1" s="1"/>
  <c r="E1037" i="1"/>
  <c r="J1026" i="1" s="1"/>
  <c r="AX971" i="1"/>
  <c r="AZ971" i="1" s="1"/>
  <c r="R1001" i="1"/>
  <c r="I982" i="1" s="1"/>
  <c r="X996" i="1"/>
  <c r="AA996" i="1" s="1"/>
  <c r="H997" i="1" s="1"/>
  <c r="BB970" i="1" s="1"/>
  <c r="W995" i="1"/>
  <c r="AK979" i="1" s="1"/>
  <c r="AK973" i="1" s="1"/>
  <c r="F1002" i="1" s="1"/>
  <c r="AP999" i="1"/>
  <c r="K987" i="1" s="1"/>
  <c r="R459" i="1"/>
  <c r="AP457" i="1"/>
  <c r="K441" i="1" s="1"/>
  <c r="F463" i="1" s="1"/>
  <c r="AZ618" i="1"/>
  <c r="BB618" i="1" s="1"/>
  <c r="AA452" i="1"/>
  <c r="H453" i="1" s="1"/>
  <c r="G454" i="1" s="1"/>
  <c r="G455" i="1" s="1"/>
  <c r="O455" i="1"/>
  <c r="AX44" i="1"/>
  <c r="E45" i="1" s="1"/>
  <c r="Z45" i="1" s="1"/>
  <c r="AH37" i="1" s="1"/>
  <c r="W449" i="1"/>
  <c r="H431" i="1" s="1"/>
  <c r="K450" i="1"/>
  <c r="Q450" i="1" s="1"/>
  <c r="N450" i="1"/>
  <c r="AF452" i="1"/>
  <c r="K453" i="1" s="1"/>
  <c r="J454" i="1" s="1"/>
  <c r="J455" i="1" s="1"/>
  <c r="AZ632" i="1"/>
  <c r="BB632" i="1" s="1"/>
  <c r="AZ617" i="1"/>
  <c r="BB617" i="1" s="1"/>
  <c r="AZ639" i="1"/>
  <c r="BB639" i="1" s="1"/>
  <c r="AZ631" i="1"/>
  <c r="BB631" i="1" s="1"/>
  <c r="AZ623" i="1"/>
  <c r="BB623" i="1" s="1"/>
  <c r="AZ640" i="1"/>
  <c r="BB640" i="1" s="1"/>
  <c r="AZ624" i="1"/>
  <c r="BB624" i="1" s="1"/>
  <c r="Y22" i="1"/>
  <c r="J54" i="1" s="1"/>
  <c r="AZ646" i="1"/>
  <c r="BB646" i="1" s="1"/>
  <c r="AZ638" i="1"/>
  <c r="BB638" i="1" s="1"/>
  <c r="AZ630" i="1"/>
  <c r="BB630" i="1" s="1"/>
  <c r="AZ622" i="1"/>
  <c r="BB622" i="1" s="1"/>
  <c r="AZ645" i="1"/>
  <c r="BB645" i="1" s="1"/>
  <c r="AZ637" i="1"/>
  <c r="BB637" i="1" s="1"/>
  <c r="AZ629" i="1"/>
  <c r="BB629" i="1" s="1"/>
  <c r="AZ621" i="1"/>
  <c r="BB621" i="1" s="1"/>
  <c r="AZ644" i="1"/>
  <c r="BB644" i="1" s="1"/>
  <c r="AZ636" i="1"/>
  <c r="BB636" i="1" s="1"/>
  <c r="AZ628" i="1"/>
  <c r="BB628" i="1" s="1"/>
  <c r="AZ620" i="1"/>
  <c r="BB620" i="1" s="1"/>
  <c r="AZ643" i="1"/>
  <c r="BB643" i="1" s="1"/>
  <c r="AZ635" i="1"/>
  <c r="BB635" i="1" s="1"/>
  <c r="AZ627" i="1"/>
  <c r="BB627" i="1" s="1"/>
  <c r="AZ619" i="1"/>
  <c r="BB619" i="1" s="1"/>
  <c r="AZ642" i="1"/>
  <c r="BB642" i="1" s="1"/>
  <c r="AZ634" i="1"/>
  <c r="BB634" i="1" s="1"/>
  <c r="AZ626" i="1"/>
  <c r="BB626" i="1" s="1"/>
  <c r="AZ641" i="1"/>
  <c r="BB641" i="1" s="1"/>
  <c r="AZ633" i="1"/>
  <c r="BB633" i="1" s="1"/>
  <c r="AZ625" i="1"/>
  <c r="BB625" i="1" s="1"/>
  <c r="S97" i="1"/>
  <c r="J67" i="1" s="1"/>
  <c r="J72" i="1" s="1"/>
  <c r="AC109" i="1" s="1"/>
  <c r="AF109" i="1" s="1"/>
  <c r="H109" i="1"/>
  <c r="X107" i="1"/>
  <c r="X108" i="1" s="1"/>
  <c r="AX647" i="1"/>
  <c r="AX648" i="1" s="1"/>
  <c r="AX649" i="1" s="1"/>
  <c r="AZ649" i="1" s="1"/>
  <c r="W662" i="1"/>
  <c r="I648" i="1" s="1"/>
  <c r="BH654" i="1" s="1"/>
  <c r="AX660" i="1"/>
  <c r="BB658" i="1"/>
  <c r="BB657" i="1"/>
  <c r="W46" i="1"/>
  <c r="I32" i="1" s="1"/>
  <c r="C47" i="1" s="1"/>
  <c r="U22" i="1"/>
  <c r="J49" i="1" s="1"/>
  <c r="J51" i="1" s="1"/>
  <c r="R51" i="1" s="1"/>
  <c r="AC51" i="1" s="1"/>
  <c r="AN51" i="1" s="1"/>
  <c r="AY51" i="1" s="1"/>
  <c r="BG51" i="1" s="1"/>
  <c r="J9" i="1"/>
  <c r="J14" i="1" s="1"/>
  <c r="AU53" i="1" s="1"/>
  <c r="AK9" i="1"/>
  <c r="AK14" i="1" s="1"/>
  <c r="N56" i="1" s="1"/>
  <c r="AZ825" i="1"/>
  <c r="AZ861" i="1"/>
  <c r="AZ789" i="1"/>
  <c r="AZ699" i="1"/>
  <c r="BB707" i="1"/>
  <c r="BB708" i="1"/>
  <c r="AZ668" i="1"/>
  <c r="BB668" i="1" s="1"/>
  <c r="AX710" i="1"/>
  <c r="E711" i="1" s="1"/>
  <c r="Z711" i="1" s="1"/>
  <c r="AH703" i="1" s="1"/>
  <c r="AX102" i="1"/>
  <c r="E103" i="1" s="1"/>
  <c r="Z103" i="1" s="1"/>
  <c r="AH95" i="1" s="1"/>
  <c r="E115" i="1" s="1"/>
  <c r="AK67" i="1"/>
  <c r="AK72" i="1" s="1"/>
  <c r="N112" i="1" s="1"/>
  <c r="Y80" i="1"/>
  <c r="J110" i="1" s="1"/>
  <c r="R110" i="1" s="1"/>
  <c r="AC110" i="1" s="1"/>
  <c r="O734" i="1"/>
  <c r="W734" i="1" s="1"/>
  <c r="AF743" i="1"/>
  <c r="E744" i="1" s="1"/>
  <c r="Z744" i="1" s="1"/>
  <c r="AD734" i="1" s="1"/>
  <c r="X736" i="1"/>
  <c r="H817" i="1"/>
  <c r="N818" i="1"/>
  <c r="H815" i="1"/>
  <c r="AI123" i="1"/>
  <c r="AJ127" i="1" s="1"/>
  <c r="AJ145" i="1"/>
  <c r="K136" i="1" s="1"/>
  <c r="U135" i="1"/>
  <c r="N150" i="1" s="1"/>
  <c r="N151" i="1" s="1"/>
  <c r="G123" i="1"/>
  <c r="H127" i="1" s="1"/>
  <c r="Z135" i="1"/>
  <c r="N153" i="1" s="1"/>
  <c r="V153" i="1" s="1"/>
  <c r="S136" i="1"/>
  <c r="AA136" i="1" s="1"/>
  <c r="AL124" i="1" s="1"/>
  <c r="Z1033" i="1"/>
  <c r="G1034" i="1" s="1"/>
  <c r="AE1033" i="1"/>
  <c r="J1034" i="1" s="1"/>
  <c r="V1032" i="1"/>
  <c r="AN1016" i="1" s="1"/>
  <c r="AN1010" i="1" s="1"/>
  <c r="Q502" i="1"/>
  <c r="V497" i="1"/>
  <c r="Y497" i="1" s="1"/>
  <c r="H481" i="1" s="1"/>
  <c r="AL509" i="1" s="1"/>
  <c r="Z499" i="1"/>
  <c r="AC499" i="1" s="1"/>
  <c r="J500" i="1" s="1"/>
  <c r="I501" i="1" s="1"/>
  <c r="I502" i="1" s="1"/>
  <c r="Z818" i="1"/>
  <c r="AC818" i="1" s="1"/>
  <c r="M498" i="1"/>
  <c r="S498" i="1" s="1"/>
  <c r="BB793" i="1"/>
  <c r="AZ793" i="1" s="1"/>
  <c r="BB791" i="1"/>
  <c r="AZ791" i="1" s="1"/>
  <c r="BB862" i="1"/>
  <c r="AZ862" i="1" s="1"/>
  <c r="AI815" i="1"/>
  <c r="AL815" i="1" s="1"/>
  <c r="BB794" i="1"/>
  <c r="AZ794" i="1" s="1"/>
  <c r="BB792" i="1"/>
  <c r="AZ792" i="1" s="1"/>
  <c r="BB790" i="1"/>
  <c r="AZ790" i="1" s="1"/>
  <c r="BB826" i="1"/>
  <c r="AZ826" i="1" s="1"/>
  <c r="AZ898" i="1"/>
  <c r="BB898" i="1" s="1"/>
  <c r="W840" i="1"/>
  <c r="AK835" i="1" s="1"/>
  <c r="AK828" i="1" s="1"/>
  <c r="E853" i="1"/>
  <c r="AL230" i="1"/>
  <c r="AO230" i="1" s="1"/>
  <c r="AC232" i="1"/>
  <c r="AF232" i="1" s="1"/>
  <c r="AK935" i="1"/>
  <c r="AK939" i="1" s="1"/>
  <c r="Z1108" i="1"/>
  <c r="AC1108" i="1" s="1"/>
  <c r="J1109" i="1" s="1"/>
  <c r="Z219" i="1"/>
  <c r="AN214" i="1" s="1"/>
  <c r="Q240" i="1" s="1"/>
  <c r="T219" i="1"/>
  <c r="H214" i="1" s="1"/>
  <c r="H233" i="1"/>
  <c r="AK899" i="1"/>
  <c r="AK903" i="1" s="1"/>
  <c r="AF957" i="1"/>
  <c r="H946" i="1" s="1"/>
  <c r="K959" i="1" s="1"/>
  <c r="AF959" i="1" s="1"/>
  <c r="F941" i="1" s="1"/>
  <c r="W949" i="1"/>
  <c r="Z1071" i="1"/>
  <c r="AC1071" i="1" s="1"/>
  <c r="J1072" i="1" s="1"/>
  <c r="AC924" i="1"/>
  <c r="AZ897" i="1"/>
  <c r="BB897" i="1" s="1"/>
  <c r="AZ934" i="1"/>
  <c r="BB934" i="1" s="1"/>
  <c r="AZ933" i="1"/>
  <c r="BB933" i="1" s="1"/>
  <c r="H1064" i="1"/>
  <c r="V1107" i="1"/>
  <c r="AZ1083" i="1"/>
  <c r="S1107" i="1"/>
  <c r="AF1111" i="1"/>
  <c r="H1101" i="1" s="1"/>
  <c r="V1070" i="1"/>
  <c r="AZ1047" i="1"/>
  <c r="T960" i="1"/>
  <c r="AZ901" i="1"/>
  <c r="BB901" i="1" s="1"/>
  <c r="AZ900" i="1"/>
  <c r="BB900" i="1" s="1"/>
  <c r="AZ899" i="1"/>
  <c r="BB899" i="1" s="1"/>
  <c r="W913" i="1"/>
  <c r="AF886" i="1"/>
  <c r="H880" i="1" s="1"/>
  <c r="W875" i="1"/>
  <c r="H888" i="1"/>
  <c r="AK382" i="1"/>
  <c r="AK386" i="1" s="1"/>
  <c r="Q414" i="1" s="1"/>
  <c r="E819" i="1"/>
  <c r="C382" i="1"/>
  <c r="C386" i="1" s="1"/>
  <c r="Q411" i="1" s="1"/>
  <c r="Y804" i="1"/>
  <c r="Q396" i="1"/>
  <c r="M409" i="1" s="1"/>
  <c r="M410" i="1" s="1"/>
  <c r="U410" i="1" s="1"/>
  <c r="AF410" i="1" s="1"/>
  <c r="W396" i="1"/>
  <c r="M415" i="1" s="1"/>
  <c r="AF404" i="1"/>
  <c r="H393" i="1" s="1"/>
  <c r="H409" i="1" s="1"/>
  <c r="H170" i="1" l="1"/>
  <c r="AO193" i="1" s="1"/>
  <c r="AZ753" i="1"/>
  <c r="BB756" i="1"/>
  <c r="AZ756" i="1" s="1"/>
  <c r="E781" i="1"/>
  <c r="AC781" i="1" s="1"/>
  <c r="AG773" i="1" s="1"/>
  <c r="AX186" i="1"/>
  <c r="K180" i="1" s="1"/>
  <c r="M197" i="1"/>
  <c r="M194" i="1"/>
  <c r="AN170" i="1"/>
  <c r="M192" i="1"/>
  <c r="U192" i="1" s="1"/>
  <c r="AF192" i="1" s="1"/>
  <c r="AQ192" i="1" s="1"/>
  <c r="AY192" i="1" s="1"/>
  <c r="U191" i="1"/>
  <c r="AF191" i="1" s="1"/>
  <c r="AQ191" i="1" s="1"/>
  <c r="AY191" i="1" s="1"/>
  <c r="H853" i="1"/>
  <c r="AC853" i="1" s="1"/>
  <c r="F840" i="1" s="1"/>
  <c r="BD826" i="1" s="1"/>
  <c r="AX230" i="1"/>
  <c r="K224" i="1" s="1"/>
  <c r="H235" i="1" s="1"/>
  <c r="E816" i="1"/>
  <c r="J809" i="1" s="1"/>
  <c r="AH491" i="1"/>
  <c r="H516" i="1" s="1"/>
  <c r="AX972" i="1"/>
  <c r="AZ972" i="1" s="1"/>
  <c r="AX718" i="1"/>
  <c r="AZ718" i="1" s="1"/>
  <c r="BB718" i="1" s="1"/>
  <c r="BB971" i="1"/>
  <c r="BD971" i="1" s="1"/>
  <c r="BH970" i="1"/>
  <c r="BH971" i="1"/>
  <c r="BF970" i="1"/>
  <c r="BD970" i="1"/>
  <c r="F1000" i="1"/>
  <c r="AA1000" i="1" s="1"/>
  <c r="AH987" i="1" s="1"/>
  <c r="T450" i="1"/>
  <c r="W450" i="1" s="1"/>
  <c r="AM431" i="1" s="1"/>
  <c r="N451" i="1"/>
  <c r="R455" i="1"/>
  <c r="Y455" i="1" s="1"/>
  <c r="F458" i="1"/>
  <c r="AA458" i="1" s="1"/>
  <c r="F462" i="1"/>
  <c r="F464" i="1"/>
  <c r="I436" i="1"/>
  <c r="N463" i="1" s="1"/>
  <c r="H425" i="1"/>
  <c r="AD464" i="1"/>
  <c r="AG464" i="1" s="1"/>
  <c r="O464" i="1"/>
  <c r="AJ462" i="1"/>
  <c r="AJ463" i="1" s="1"/>
  <c r="R454" i="1"/>
  <c r="Y454" i="1" s="1"/>
  <c r="K462" i="1" s="1"/>
  <c r="U54" i="1"/>
  <c r="AC54" i="1" s="1"/>
  <c r="U80" i="1"/>
  <c r="J107" i="1" s="1"/>
  <c r="R107" i="1" s="1"/>
  <c r="AC107" i="1" s="1"/>
  <c r="AN107" i="1" s="1"/>
  <c r="AY107" i="1" s="1"/>
  <c r="J55" i="1"/>
  <c r="U55" i="1" s="1"/>
  <c r="AC55" i="1" s="1"/>
  <c r="BD706" i="1"/>
  <c r="BD707" i="1" s="1"/>
  <c r="BD708" i="1" s="1"/>
  <c r="BD709" i="1" s="1"/>
  <c r="AZ647" i="1"/>
  <c r="BB647" i="1" s="1"/>
  <c r="BB649" i="1"/>
  <c r="AZ648" i="1"/>
  <c r="BB648" i="1" s="1"/>
  <c r="C663" i="1"/>
  <c r="BH652" i="1"/>
  <c r="BF653" i="1"/>
  <c r="BF652" i="1"/>
  <c r="BH653" i="1"/>
  <c r="BF654" i="1"/>
  <c r="BH655" i="1"/>
  <c r="BF655" i="1"/>
  <c r="K653" i="1"/>
  <c r="E661" i="1"/>
  <c r="Z661" i="1" s="1"/>
  <c r="AH653" i="1" s="1"/>
  <c r="BB659" i="1"/>
  <c r="K37" i="1"/>
  <c r="E49" i="1" s="1"/>
  <c r="AB58" i="1"/>
  <c r="K58" i="1"/>
  <c r="R49" i="1"/>
  <c r="AC49" i="1" s="1"/>
  <c r="AN49" i="1" s="1"/>
  <c r="AY49" i="1" s="1"/>
  <c r="BF49" i="1" s="1"/>
  <c r="AO53" i="1"/>
  <c r="AI49" i="1"/>
  <c r="AI51" i="1" s="1"/>
  <c r="N53" i="1"/>
  <c r="AC53" i="1"/>
  <c r="AF53" i="1" s="1"/>
  <c r="E55" i="1"/>
  <c r="E56" i="1"/>
  <c r="E59" i="1"/>
  <c r="E54" i="1"/>
  <c r="BB699" i="1"/>
  <c r="K95" i="1"/>
  <c r="E114" i="1" s="1"/>
  <c r="AZ669" i="1"/>
  <c r="BB669" i="1" s="1"/>
  <c r="K703" i="1"/>
  <c r="H713" i="1"/>
  <c r="AC713" i="1" s="1"/>
  <c r="AL698" i="1" s="1"/>
  <c r="J111" i="1"/>
  <c r="R111" i="1" s="1"/>
  <c r="AC111" i="1" s="1"/>
  <c r="H105" i="1"/>
  <c r="AC105" i="1" s="1"/>
  <c r="AL90" i="1" s="1"/>
  <c r="E110" i="1"/>
  <c r="E112" i="1"/>
  <c r="E111" i="1"/>
  <c r="AI107" i="1"/>
  <c r="AI108" i="1" s="1"/>
  <c r="N109" i="1"/>
  <c r="AO109" i="1"/>
  <c r="I146" i="1"/>
  <c r="AD146" i="1" s="1"/>
  <c r="AH136" i="1" s="1"/>
  <c r="L147" i="1" s="1"/>
  <c r="G734" i="1"/>
  <c r="AH722" i="1"/>
  <c r="AH726" i="1" s="1"/>
  <c r="H745" i="1"/>
  <c r="V150" i="1"/>
  <c r="AG150" i="1" s="1"/>
  <c r="N154" i="1"/>
  <c r="V154" i="1" s="1"/>
  <c r="AG154" i="1" s="1"/>
  <c r="I150" i="1"/>
  <c r="I152" i="1"/>
  <c r="I151" i="1"/>
  <c r="AG153" i="1"/>
  <c r="V151" i="1"/>
  <c r="AG151" i="1" s="1"/>
  <c r="AL128" i="1"/>
  <c r="R155" i="1" s="1"/>
  <c r="I147" i="1"/>
  <c r="BB1008" i="1"/>
  <c r="H1039" i="1"/>
  <c r="BB1009" i="1"/>
  <c r="BB1010" i="1"/>
  <c r="AZ1010" i="1"/>
  <c r="E1038" i="1"/>
  <c r="BB1046" i="1"/>
  <c r="T502" i="1"/>
  <c r="AA502" i="1" s="1"/>
  <c r="M515" i="1" s="1"/>
  <c r="AF511" i="1"/>
  <c r="AI511" i="1" s="1"/>
  <c r="AL510" i="1"/>
  <c r="H475" i="1"/>
  <c r="Q511" i="1"/>
  <c r="H509" i="1"/>
  <c r="H511" i="1"/>
  <c r="H510" i="1"/>
  <c r="K506" i="1"/>
  <c r="T501" i="1"/>
  <c r="AA501" i="1" s="1"/>
  <c r="M509" i="1" s="1"/>
  <c r="U509" i="1" s="1"/>
  <c r="AF509" i="1" s="1"/>
  <c r="AQ509" i="1" s="1"/>
  <c r="Y498" i="1"/>
  <c r="AO481" i="1" s="1"/>
  <c r="BB863" i="1"/>
  <c r="AZ863" i="1" s="1"/>
  <c r="BB827" i="1"/>
  <c r="AZ827" i="1" s="1"/>
  <c r="E852" i="1"/>
  <c r="AN207" i="1"/>
  <c r="H958" i="1"/>
  <c r="Z958" i="1" s="1"/>
  <c r="AE946" i="1" s="1"/>
  <c r="K960" i="1" s="1"/>
  <c r="AC960" i="1" s="1"/>
  <c r="AI941" i="1" s="1"/>
  <c r="Q237" i="1"/>
  <c r="AL236" i="1"/>
  <c r="AF237" i="1"/>
  <c r="AI237" i="1" s="1"/>
  <c r="AL235" i="1"/>
  <c r="M241" i="1"/>
  <c r="M242" i="1" s="1"/>
  <c r="U242" i="1" s="1"/>
  <c r="AF242" i="1" s="1"/>
  <c r="AN242" i="1" s="1"/>
  <c r="M238" i="1"/>
  <c r="U238" i="1" s="1"/>
  <c r="AF238" i="1" s="1"/>
  <c r="H207" i="1"/>
  <c r="M235" i="1"/>
  <c r="M236" i="1" s="1"/>
  <c r="U236" i="1" s="1"/>
  <c r="AF236" i="1" s="1"/>
  <c r="AQ236" i="1" s="1"/>
  <c r="BH933" i="1"/>
  <c r="BF933" i="1"/>
  <c r="BD933" i="1"/>
  <c r="BD934" i="1"/>
  <c r="BF934" i="1"/>
  <c r="BB864" i="1"/>
  <c r="AZ864" i="1" s="1"/>
  <c r="BH934" i="1"/>
  <c r="K923" i="1"/>
  <c r="AF923" i="1" s="1"/>
  <c r="F905" i="1" s="1"/>
  <c r="BF898" i="1" s="1"/>
  <c r="K1076" i="1"/>
  <c r="AF1076" i="1" s="1"/>
  <c r="F1059" i="1" s="1"/>
  <c r="BH1046" i="1" s="1"/>
  <c r="H1075" i="1"/>
  <c r="K1113" i="1"/>
  <c r="AF1113" i="1" s="1"/>
  <c r="F1096" i="1" s="1"/>
  <c r="BH1082" i="1" s="1"/>
  <c r="BB1047" i="1"/>
  <c r="AZ902" i="1"/>
  <c r="BB902" i="1" s="1"/>
  <c r="BB1082" i="1"/>
  <c r="BB1083" i="1"/>
  <c r="H1112" i="1"/>
  <c r="Z1112" i="1" s="1"/>
  <c r="AE1101" i="1" s="1"/>
  <c r="Y1107" i="1"/>
  <c r="AL1091" i="1" s="1"/>
  <c r="AL1085" i="1" s="1"/>
  <c r="BB1084" i="1"/>
  <c r="AZ1084" i="1"/>
  <c r="Y1070" i="1"/>
  <c r="AL1054" i="1" s="1"/>
  <c r="BB1048" i="1"/>
  <c r="AZ1048" i="1"/>
  <c r="AZ935" i="1"/>
  <c r="BB935" i="1" s="1"/>
  <c r="BD935" i="1" s="1"/>
  <c r="H922" i="1"/>
  <c r="AK870" i="1"/>
  <c r="AK863" i="1" s="1"/>
  <c r="K888" i="1"/>
  <c r="AF888" i="1" s="1"/>
  <c r="F875" i="1" s="1"/>
  <c r="BH862" i="1" s="1"/>
  <c r="H887" i="1"/>
  <c r="Z887" i="1" s="1"/>
  <c r="AE880" i="1" s="1"/>
  <c r="M412" i="1"/>
  <c r="U412" i="1" s="1"/>
  <c r="AM799" i="1"/>
  <c r="H411" i="1"/>
  <c r="K406" i="1"/>
  <c r="AF406" i="1" s="1"/>
  <c r="F388" i="1" s="1"/>
  <c r="N411" i="1" s="1"/>
  <c r="U409" i="1"/>
  <c r="AF409" i="1" s="1"/>
  <c r="H405" i="1"/>
  <c r="Z405" i="1" s="1"/>
  <c r="AE393" i="1" s="1"/>
  <c r="H416" i="1" s="1"/>
  <c r="H410" i="1"/>
  <c r="M416" i="1"/>
  <c r="U416" i="1" s="1"/>
  <c r="AC416" i="1" s="1"/>
  <c r="U415" i="1"/>
  <c r="AC415" i="1" s="1"/>
  <c r="H782" i="1" l="1"/>
  <c r="AL192" i="1"/>
  <c r="AL191" i="1"/>
  <c r="Q193" i="1"/>
  <c r="AF193" i="1"/>
  <c r="AI193" i="1" s="1"/>
  <c r="H163" i="1"/>
  <c r="BB757" i="1"/>
  <c r="AZ757" i="1" s="1"/>
  <c r="BD1083" i="1"/>
  <c r="AX719" i="1"/>
  <c r="AZ719" i="1" s="1"/>
  <c r="BB719" i="1" s="1"/>
  <c r="BF719" i="1" s="1"/>
  <c r="BH827" i="1"/>
  <c r="BD902" i="1"/>
  <c r="BD1047" i="1"/>
  <c r="BF1046" i="1"/>
  <c r="BF826" i="1"/>
  <c r="BF1084" i="1"/>
  <c r="BH826" i="1"/>
  <c r="H187" i="1"/>
  <c r="AF187" i="1" s="1"/>
  <c r="AH180" i="1" s="1"/>
  <c r="U194" i="1"/>
  <c r="AF194" i="1" s="1"/>
  <c r="M195" i="1"/>
  <c r="U195" i="1" s="1"/>
  <c r="AF195" i="1" s="1"/>
  <c r="M198" i="1"/>
  <c r="U198" i="1" s="1"/>
  <c r="AF198" i="1" s="1"/>
  <c r="AN198" i="1" s="1"/>
  <c r="U197" i="1"/>
  <c r="AF197" i="1" s="1"/>
  <c r="AN197" i="1" s="1"/>
  <c r="Q196" i="1"/>
  <c r="AN163" i="1"/>
  <c r="H191" i="1"/>
  <c r="H192" i="1"/>
  <c r="H193" i="1"/>
  <c r="BD1048" i="1"/>
  <c r="AF1075" i="1"/>
  <c r="AE1064" i="1" s="1"/>
  <c r="K1077" i="1" s="1"/>
  <c r="AL1077" i="1" s="1"/>
  <c r="AI1059" i="1" s="1"/>
  <c r="BF1047" i="1"/>
  <c r="BH1084" i="1"/>
  <c r="BD1084" i="1"/>
  <c r="BF1083" i="1"/>
  <c r="BH1047" i="1"/>
  <c r="BD1046" i="1"/>
  <c r="BH899" i="1"/>
  <c r="BH1048" i="1"/>
  <c r="BF827" i="1"/>
  <c r="BF1048" i="1"/>
  <c r="BD827" i="1"/>
  <c r="BH1083" i="1"/>
  <c r="BD897" i="1"/>
  <c r="BD899" i="1"/>
  <c r="BH900" i="1"/>
  <c r="K507" i="1"/>
  <c r="AL507" i="1" s="1"/>
  <c r="AL486" i="1" s="1"/>
  <c r="P512" i="1" s="1"/>
  <c r="BD825" i="1"/>
  <c r="BH825" i="1"/>
  <c r="BF825" i="1"/>
  <c r="AZ903" i="1"/>
  <c r="BB903" i="1" s="1"/>
  <c r="BF903" i="1" s="1"/>
  <c r="BH898" i="1"/>
  <c r="AC852" i="1"/>
  <c r="AE845" i="1" s="1"/>
  <c r="H854" i="1" s="1"/>
  <c r="AI854" i="1" s="1"/>
  <c r="AI840" i="1" s="1"/>
  <c r="BH902" i="1"/>
  <c r="BB829" i="1"/>
  <c r="H514" i="1"/>
  <c r="BD898" i="1"/>
  <c r="BF902" i="1"/>
  <c r="AC1038" i="1"/>
  <c r="AG1026" i="1" s="1"/>
  <c r="H1040" i="1" s="1"/>
  <c r="AI1040" i="1" s="1"/>
  <c r="AK1021" i="1" s="1"/>
  <c r="AF922" i="1"/>
  <c r="AE910" i="1" s="1"/>
  <c r="K924" i="1" s="1"/>
  <c r="AL924" i="1" s="1"/>
  <c r="AI905" i="1" s="1"/>
  <c r="BB828" i="1"/>
  <c r="AZ828" i="1" s="1"/>
  <c r="BH828" i="1" s="1"/>
  <c r="H515" i="1"/>
  <c r="BF897" i="1"/>
  <c r="BH901" i="1"/>
  <c r="H512" i="1"/>
  <c r="H513" i="1"/>
  <c r="BF899" i="1"/>
  <c r="BD901" i="1"/>
  <c r="BD900" i="1"/>
  <c r="BH897" i="1"/>
  <c r="BF901" i="1"/>
  <c r="BF900" i="1"/>
  <c r="BH718" i="1"/>
  <c r="BH972" i="1"/>
  <c r="AX973" i="1"/>
  <c r="AX974" i="1" s="1"/>
  <c r="BB972" i="1"/>
  <c r="BD972" i="1" s="1"/>
  <c r="BF971" i="1"/>
  <c r="I1002" i="1"/>
  <c r="AD1002" i="1" s="1"/>
  <c r="T451" i="1"/>
  <c r="W451" i="1" s="1"/>
  <c r="AK433" i="1" s="1"/>
  <c r="O467" i="1" s="1"/>
  <c r="N462" i="1"/>
  <c r="K465" i="1"/>
  <c r="S465" i="1" s="1"/>
  <c r="AD465" i="1" s="1"/>
  <c r="AM425" i="1"/>
  <c r="AH441" i="1"/>
  <c r="L464" i="1"/>
  <c r="K463" i="1"/>
  <c r="S462" i="1"/>
  <c r="AD462" i="1" s="1"/>
  <c r="AO462" i="1" s="1"/>
  <c r="AW462" i="1" s="1"/>
  <c r="J108" i="1"/>
  <c r="R108" i="1" s="1"/>
  <c r="AC108" i="1" s="1"/>
  <c r="AN108" i="1" s="1"/>
  <c r="AY108" i="1" s="1"/>
  <c r="I663" i="1"/>
  <c r="BA663" i="1" s="1"/>
  <c r="BD649" i="1" s="1"/>
  <c r="BD656" i="1"/>
  <c r="BD657" i="1" s="1"/>
  <c r="BD658" i="1" s="1"/>
  <c r="BD659" i="1" s="1"/>
  <c r="BH699" i="1"/>
  <c r="H712" i="1"/>
  <c r="AU712" i="1" s="1"/>
  <c r="I698" i="1" s="1"/>
  <c r="BF703" i="1" s="1"/>
  <c r="BD652" i="1"/>
  <c r="BD653" i="1" s="1"/>
  <c r="BD654" i="1" s="1"/>
  <c r="BD655" i="1" s="1"/>
  <c r="E53" i="1"/>
  <c r="E58" i="1"/>
  <c r="E51" i="1"/>
  <c r="I47" i="1"/>
  <c r="BA47" i="1" s="1"/>
  <c r="X55" i="1" s="1"/>
  <c r="AF55" i="1" s="1"/>
  <c r="E108" i="1"/>
  <c r="M51" i="1"/>
  <c r="AQ58" i="1"/>
  <c r="K53" i="1"/>
  <c r="M49" i="1"/>
  <c r="T58" i="1"/>
  <c r="BF699" i="1"/>
  <c r="BD699" i="1"/>
  <c r="E109" i="1"/>
  <c r="E107" i="1"/>
  <c r="H104" i="1"/>
  <c r="AU104" i="1" s="1"/>
  <c r="I90" i="1" s="1"/>
  <c r="AB114" i="1" s="1"/>
  <c r="AQ114" i="1" s="1"/>
  <c r="BF706" i="1"/>
  <c r="BF707" i="1" s="1"/>
  <c r="BF708" i="1" s="1"/>
  <c r="BF709" i="1" s="1"/>
  <c r="BH707" i="1"/>
  <c r="BH708" i="1"/>
  <c r="BH706" i="1"/>
  <c r="BH709" i="1"/>
  <c r="BD702" i="1"/>
  <c r="BD703" i="1" s="1"/>
  <c r="BD704" i="1" s="1"/>
  <c r="BD705" i="1" s="1"/>
  <c r="AZ670" i="1"/>
  <c r="BB670" i="1" s="1"/>
  <c r="Q115" i="1"/>
  <c r="W115" i="1" s="1"/>
  <c r="K115" i="1"/>
  <c r="E745" i="1"/>
  <c r="AC745" i="1" s="1"/>
  <c r="K112" i="1"/>
  <c r="Z112" i="1" s="1"/>
  <c r="M111" i="1"/>
  <c r="AF111" i="1" s="1"/>
  <c r="M110" i="1"/>
  <c r="AF110" i="1" s="1"/>
  <c r="I155" i="1"/>
  <c r="I154" i="1"/>
  <c r="I153" i="1"/>
  <c r="BF718" i="1"/>
  <c r="BF717" i="1"/>
  <c r="BD717" i="1"/>
  <c r="BH717" i="1"/>
  <c r="BD718" i="1"/>
  <c r="E817" i="1"/>
  <c r="AC817" i="1" s="1"/>
  <c r="AG147" i="1"/>
  <c r="Q150" i="1" s="1"/>
  <c r="R152" i="1"/>
  <c r="H818" i="1"/>
  <c r="AL1039" i="1"/>
  <c r="H1021" i="1" s="1"/>
  <c r="BB1011" i="1"/>
  <c r="AZ1011" i="1"/>
  <c r="M510" i="1"/>
  <c r="U510" i="1" s="1"/>
  <c r="AF510" i="1" s="1"/>
  <c r="AQ510" i="1" s="1"/>
  <c r="U235" i="1"/>
  <c r="AF235" i="1" s="1"/>
  <c r="AQ235" i="1" s="1"/>
  <c r="M512" i="1"/>
  <c r="U512" i="1" s="1"/>
  <c r="AF512" i="1" s="1"/>
  <c r="AO506" i="1"/>
  <c r="I486" i="1" s="1"/>
  <c r="M516" i="1"/>
  <c r="U516" i="1" s="1"/>
  <c r="AF516" i="1" s="1"/>
  <c r="AN516" i="1" s="1"/>
  <c r="U515" i="1"/>
  <c r="AF515" i="1" s="1"/>
  <c r="AN515" i="1" s="1"/>
  <c r="Q514" i="1"/>
  <c r="AO475" i="1"/>
  <c r="K232" i="1"/>
  <c r="AO232" i="1" s="1"/>
  <c r="I219" i="1" s="1"/>
  <c r="N237" i="1" s="1"/>
  <c r="H231" i="1"/>
  <c r="H237" i="1"/>
  <c r="H236" i="1"/>
  <c r="U241" i="1"/>
  <c r="AF241" i="1" s="1"/>
  <c r="AN241" i="1" s="1"/>
  <c r="AC411" i="1"/>
  <c r="BH935" i="1"/>
  <c r="M239" i="1"/>
  <c r="U239" i="1" s="1"/>
  <c r="AF239" i="1" s="1"/>
  <c r="BF935" i="1"/>
  <c r="BD863" i="1"/>
  <c r="BF863" i="1"/>
  <c r="BH861" i="1"/>
  <c r="BH863" i="1"/>
  <c r="BD861" i="1"/>
  <c r="BD1082" i="1"/>
  <c r="BF861" i="1"/>
  <c r="BD862" i="1"/>
  <c r="BF862" i="1"/>
  <c r="BB865" i="1"/>
  <c r="AZ865" i="1" s="1"/>
  <c r="BF864" i="1"/>
  <c r="BD864" i="1"/>
  <c r="BF1082" i="1"/>
  <c r="K1114" i="1"/>
  <c r="AC1114" i="1" s="1"/>
  <c r="AI1096" i="1" s="1"/>
  <c r="BB1085" i="1"/>
  <c r="AZ1085" i="1"/>
  <c r="BH1085" i="1" s="1"/>
  <c r="AZ1049" i="1"/>
  <c r="BH1049" i="1" s="1"/>
  <c r="BB1049" i="1"/>
  <c r="BF1049" i="1" s="1"/>
  <c r="AL1048" i="1"/>
  <c r="AZ936" i="1"/>
  <c r="BB936" i="1" s="1"/>
  <c r="BD936" i="1" s="1"/>
  <c r="BH864" i="1"/>
  <c r="K889" i="1"/>
  <c r="AC889" i="1" s="1"/>
  <c r="AI875" i="1" s="1"/>
  <c r="M413" i="1"/>
  <c r="U413" i="1" s="1"/>
  <c r="P409" i="1"/>
  <c r="AI409" i="1" s="1"/>
  <c r="AM792" i="1"/>
  <c r="P410" i="1"/>
  <c r="AI410" i="1" s="1"/>
  <c r="H412" i="1"/>
  <c r="H413" i="1"/>
  <c r="H415" i="1"/>
  <c r="K407" i="1"/>
  <c r="H414" i="1"/>
  <c r="AI782" i="1" l="1"/>
  <c r="BH719" i="1"/>
  <c r="BD828" i="1"/>
  <c r="AX720" i="1"/>
  <c r="AZ720" i="1" s="1"/>
  <c r="BB720" i="1" s="1"/>
  <c r="BF720" i="1" s="1"/>
  <c r="BB758" i="1"/>
  <c r="BD1011" i="1"/>
  <c r="BB830" i="1"/>
  <c r="BD830" i="1" s="1"/>
  <c r="BD1049" i="1"/>
  <c r="BD1009" i="1"/>
  <c r="N514" i="1"/>
  <c r="AC514" i="1" s="1"/>
  <c r="J517" i="1" s="1"/>
  <c r="BF1011" i="1"/>
  <c r="BD1010" i="1"/>
  <c r="K188" i="1"/>
  <c r="P513" i="1"/>
  <c r="BH1011" i="1"/>
  <c r="P515" i="1"/>
  <c r="AQ515" i="1" s="1"/>
  <c r="P516" i="1"/>
  <c r="AQ516" i="1" s="1"/>
  <c r="BF828" i="1"/>
  <c r="BF1085" i="1"/>
  <c r="BD1085" i="1"/>
  <c r="BF1008" i="1"/>
  <c r="BH1010" i="1"/>
  <c r="BH1008" i="1"/>
  <c r="BH1009" i="1"/>
  <c r="BF1010" i="1"/>
  <c r="BD829" i="1"/>
  <c r="BF829" i="1"/>
  <c r="BD1008" i="1"/>
  <c r="BF1009" i="1"/>
  <c r="BH903" i="1"/>
  <c r="BD903" i="1"/>
  <c r="AF231" i="1"/>
  <c r="AH224" i="1" s="1"/>
  <c r="BD648" i="1"/>
  <c r="BF972" i="1"/>
  <c r="BB973" i="1"/>
  <c r="AZ973" i="1"/>
  <c r="BH973" i="1" s="1"/>
  <c r="BB974" i="1"/>
  <c r="AX975" i="1"/>
  <c r="AZ974" i="1"/>
  <c r="BH974" i="1" s="1"/>
  <c r="AK427" i="1"/>
  <c r="F460" i="1" s="1"/>
  <c r="AM464" i="1"/>
  <c r="BF669" i="1"/>
  <c r="BH702" i="1"/>
  <c r="K466" i="1"/>
  <c r="S466" i="1" s="1"/>
  <c r="AD466" i="1" s="1"/>
  <c r="I460" i="1"/>
  <c r="F466" i="1"/>
  <c r="F467" i="1"/>
  <c r="F465" i="1"/>
  <c r="S463" i="1"/>
  <c r="AD463" i="1" s="1"/>
  <c r="AO463" i="1" s="1"/>
  <c r="AW463" i="1" s="1"/>
  <c r="K56" i="1"/>
  <c r="Z56" i="1" s="1"/>
  <c r="X54" i="1"/>
  <c r="AF54" i="1" s="1"/>
  <c r="BH641" i="1"/>
  <c r="BD668" i="1"/>
  <c r="BH703" i="1"/>
  <c r="BH668" i="1"/>
  <c r="BD629" i="1"/>
  <c r="BH649" i="1"/>
  <c r="BF643" i="1"/>
  <c r="BH618" i="1"/>
  <c r="BD645" i="1"/>
  <c r="BH645" i="1"/>
  <c r="BF617" i="1"/>
  <c r="BF636" i="1"/>
  <c r="BD644" i="1"/>
  <c r="BD635" i="1"/>
  <c r="BD639" i="1"/>
  <c r="BH632" i="1"/>
  <c r="BH646" i="1"/>
  <c r="BH634" i="1"/>
  <c r="BF639" i="1"/>
  <c r="BD636" i="1"/>
  <c r="BD626" i="1"/>
  <c r="BF622" i="1"/>
  <c r="BD642" i="1"/>
  <c r="BD638" i="1"/>
  <c r="BH623" i="1"/>
  <c r="BD625" i="1"/>
  <c r="BH620" i="1"/>
  <c r="BH647" i="1"/>
  <c r="BF645" i="1"/>
  <c r="BF642" i="1"/>
  <c r="BH643" i="1"/>
  <c r="BD627" i="1"/>
  <c r="BH617" i="1"/>
  <c r="BH629" i="1"/>
  <c r="BF633" i="1"/>
  <c r="BD647" i="1"/>
  <c r="BH642" i="1"/>
  <c r="BF637" i="1"/>
  <c r="BH638" i="1"/>
  <c r="BF634" i="1"/>
  <c r="BH635" i="1"/>
  <c r="BH626" i="1"/>
  <c r="BD619" i="1"/>
  <c r="BH631" i="1"/>
  <c r="BH630" i="1"/>
  <c r="BH621" i="1"/>
  <c r="BF625" i="1"/>
  <c r="BF626" i="1"/>
  <c r="BD646" i="1"/>
  <c r="BD634" i="1"/>
  <c r="BH644" i="1"/>
  <c r="BF631" i="1"/>
  <c r="BD630" i="1"/>
  <c r="BH622" i="1"/>
  <c r="BD617" i="1"/>
  <c r="BF638" i="1"/>
  <c r="BF635" i="1"/>
  <c r="BF647" i="1"/>
  <c r="BH625" i="1"/>
  <c r="BH624" i="1"/>
  <c r="BD628" i="1"/>
  <c r="BF618" i="1"/>
  <c r="BF646" i="1"/>
  <c r="BD643" i="1"/>
  <c r="BH639" i="1"/>
  <c r="BD640" i="1"/>
  <c r="BH636" i="1"/>
  <c r="BF623" i="1"/>
  <c r="BH633" i="1"/>
  <c r="BD620" i="1"/>
  <c r="BF628" i="1"/>
  <c r="BF627" i="1"/>
  <c r="BD631" i="1"/>
  <c r="BD622" i="1"/>
  <c r="BF632" i="1"/>
  <c r="BF629" i="1"/>
  <c r="BF620" i="1"/>
  <c r="BF619" i="1"/>
  <c r="BD623" i="1"/>
  <c r="BH627" i="1"/>
  <c r="BF648" i="1"/>
  <c r="BF640" i="1"/>
  <c r="BH640" i="1"/>
  <c r="BF644" i="1"/>
  <c r="BH637" i="1"/>
  <c r="BF641" i="1"/>
  <c r="BF624" i="1"/>
  <c r="BF630" i="1"/>
  <c r="BF621" i="1"/>
  <c r="BD633" i="1"/>
  <c r="BD632" i="1"/>
  <c r="BH628" i="1"/>
  <c r="BH619" i="1"/>
  <c r="BD624" i="1"/>
  <c r="BD637" i="1"/>
  <c r="BD641" i="1"/>
  <c r="BD621" i="1"/>
  <c r="BD618" i="1"/>
  <c r="BF649" i="1"/>
  <c r="BH648" i="1"/>
  <c r="BD670" i="1"/>
  <c r="BF705" i="1"/>
  <c r="BD669" i="1"/>
  <c r="BF704" i="1"/>
  <c r="BF667" i="1"/>
  <c r="BF702" i="1"/>
  <c r="BD667" i="1"/>
  <c r="BH669" i="1"/>
  <c r="BH705" i="1"/>
  <c r="BH667" i="1"/>
  <c r="BF668" i="1"/>
  <c r="BH704" i="1"/>
  <c r="AR53" i="1"/>
  <c r="AX53" i="1" s="1"/>
  <c r="BB49" i="1"/>
  <c r="M108" i="1"/>
  <c r="BB108" i="1" s="1"/>
  <c r="K109" i="1"/>
  <c r="AR109" i="1" s="1"/>
  <c r="M107" i="1"/>
  <c r="BB107" i="1" s="1"/>
  <c r="AZ829" i="1"/>
  <c r="BH829" i="1" s="1"/>
  <c r="AG809" i="1"/>
  <c r="AL818" i="1"/>
  <c r="H804" i="1" s="1"/>
  <c r="K114" i="1"/>
  <c r="T114" i="1" s="1"/>
  <c r="BH670" i="1"/>
  <c r="BF670" i="1"/>
  <c r="AZ671" i="1"/>
  <c r="BB671" i="1" s="1"/>
  <c r="BF671" i="1" s="1"/>
  <c r="BH720" i="1"/>
  <c r="BD719" i="1"/>
  <c r="BB1012" i="1"/>
  <c r="AZ1012" i="1"/>
  <c r="BH1012" i="1" s="1"/>
  <c r="M513" i="1"/>
  <c r="U513" i="1" s="1"/>
  <c r="AF513" i="1" s="1"/>
  <c r="AI512" i="1"/>
  <c r="N511" i="1"/>
  <c r="AL511" i="1" s="1"/>
  <c r="P509" i="1"/>
  <c r="AT509" i="1" s="1"/>
  <c r="P510" i="1"/>
  <c r="AT510" i="1" s="1"/>
  <c r="AL237" i="1"/>
  <c r="P235" i="1"/>
  <c r="AT235" i="1" s="1"/>
  <c r="P236" i="1"/>
  <c r="AT236" i="1" s="1"/>
  <c r="BF936" i="1"/>
  <c r="BH936" i="1"/>
  <c r="BB866" i="1"/>
  <c r="AZ866" i="1" s="1"/>
  <c r="BF865" i="1"/>
  <c r="BD865" i="1"/>
  <c r="AZ904" i="1"/>
  <c r="BB904" i="1" s="1"/>
  <c r="BD904" i="1" s="1"/>
  <c r="BB1086" i="1"/>
  <c r="AZ1086" i="1"/>
  <c r="BH1086" i="1" s="1"/>
  <c r="BB1050" i="1"/>
  <c r="BD1050" i="1" s="1"/>
  <c r="AZ1050" i="1"/>
  <c r="BH1050" i="1" s="1"/>
  <c r="AZ937" i="1"/>
  <c r="BB937" i="1" s="1"/>
  <c r="BD937" i="1" s="1"/>
  <c r="BH865" i="1"/>
  <c r="AC407" i="1"/>
  <c r="AI388" i="1" s="1"/>
  <c r="AX721" i="1" l="1"/>
  <c r="AZ721" i="1" s="1"/>
  <c r="BB721" i="1" s="1"/>
  <c r="H768" i="1"/>
  <c r="AZ758" i="1"/>
  <c r="BB759" i="1"/>
  <c r="AZ759" i="1" s="1"/>
  <c r="BD1012" i="1"/>
  <c r="BF830" i="1"/>
  <c r="H194" i="1"/>
  <c r="H198" i="1"/>
  <c r="H195" i="1"/>
  <c r="H196" i="1"/>
  <c r="H197" i="1"/>
  <c r="BD1086" i="1"/>
  <c r="BF1086" i="1"/>
  <c r="BF791" i="1"/>
  <c r="BD792" i="1"/>
  <c r="BH793" i="1"/>
  <c r="BF792" i="1"/>
  <c r="BF790" i="1"/>
  <c r="BF793" i="1"/>
  <c r="BF794" i="1"/>
  <c r="BD794" i="1"/>
  <c r="BH794" i="1"/>
  <c r="BD790" i="1"/>
  <c r="BD791" i="1"/>
  <c r="BD793" i="1"/>
  <c r="BH790" i="1"/>
  <c r="BH791" i="1"/>
  <c r="BH792" i="1"/>
  <c r="BF1012" i="1"/>
  <c r="BF1050" i="1"/>
  <c r="H241" i="1"/>
  <c r="K233" i="1"/>
  <c r="AL233" i="1" s="1"/>
  <c r="AL219" i="1" s="1"/>
  <c r="P242" i="1" s="1"/>
  <c r="H239" i="1"/>
  <c r="H242" i="1"/>
  <c r="H240" i="1"/>
  <c r="H238" i="1"/>
  <c r="BH789" i="1"/>
  <c r="BF789" i="1"/>
  <c r="BD789" i="1"/>
  <c r="BH904" i="1"/>
  <c r="BF904" i="1"/>
  <c r="BD974" i="1"/>
  <c r="BF974" i="1"/>
  <c r="BF973" i="1"/>
  <c r="BD973" i="1"/>
  <c r="AX976" i="1"/>
  <c r="AZ975" i="1"/>
  <c r="BH975" i="1" s="1"/>
  <c r="BB975" i="1"/>
  <c r="AD460" i="1"/>
  <c r="BB51" i="1"/>
  <c r="E52" i="1" s="1"/>
  <c r="E50" i="1"/>
  <c r="AZ830" i="1"/>
  <c r="BH830" i="1" s="1"/>
  <c r="H819" i="1"/>
  <c r="BH671" i="1"/>
  <c r="BD671" i="1"/>
  <c r="AZ672" i="1"/>
  <c r="AJ150" i="1"/>
  <c r="Q151" i="1"/>
  <c r="BD720" i="1"/>
  <c r="BB1013" i="1"/>
  <c r="AZ1013" i="1"/>
  <c r="BH1013" i="1" s="1"/>
  <c r="AI513" i="1"/>
  <c r="BH937" i="1"/>
  <c r="BF937" i="1"/>
  <c r="BF866" i="1"/>
  <c r="BD866" i="1"/>
  <c r="AZ905" i="1"/>
  <c r="BB905" i="1" s="1"/>
  <c r="BD905" i="1" s="1"/>
  <c r="BB1087" i="1"/>
  <c r="AZ1087" i="1"/>
  <c r="BH1087" i="1" s="1"/>
  <c r="BB1051" i="1"/>
  <c r="BF1051" i="1" s="1"/>
  <c r="AZ1051" i="1"/>
  <c r="BH1051" i="1" s="1"/>
  <c r="AZ938" i="1"/>
  <c r="BB938" i="1" s="1"/>
  <c r="BD938" i="1" s="1"/>
  <c r="BH866" i="1"/>
  <c r="P413" i="1"/>
  <c r="X413" i="1" s="1"/>
  <c r="P415" i="1"/>
  <c r="AF415" i="1" s="1"/>
  <c r="N414" i="1"/>
  <c r="P416" i="1"/>
  <c r="AF416" i="1" s="1"/>
  <c r="P412" i="1"/>
  <c r="X412" i="1" s="1"/>
  <c r="BF721" i="1" l="1"/>
  <c r="AX722" i="1"/>
  <c r="AZ722" i="1" s="1"/>
  <c r="BB722" i="1" s="1"/>
  <c r="BD722" i="1" s="1"/>
  <c r="BD721" i="1"/>
  <c r="BH721" i="1"/>
  <c r="BB831" i="1"/>
  <c r="BD831" i="1" s="1"/>
  <c r="BH759" i="1"/>
  <c r="BD759" i="1"/>
  <c r="BF759" i="1"/>
  <c r="BF753" i="1"/>
  <c r="BD753" i="1"/>
  <c r="BF754" i="1"/>
  <c r="BH755" i="1"/>
  <c r="BD754" i="1"/>
  <c r="BH753" i="1"/>
  <c r="BF755" i="1"/>
  <c r="BD755" i="1"/>
  <c r="BH754" i="1"/>
  <c r="BH756" i="1"/>
  <c r="BD756" i="1"/>
  <c r="BF756" i="1"/>
  <c r="BH757" i="1"/>
  <c r="BH758" i="1"/>
  <c r="BF757" i="1"/>
  <c r="BD758" i="1"/>
  <c r="BD757" i="1"/>
  <c r="BF758" i="1"/>
  <c r="BB760" i="1"/>
  <c r="AZ760" i="1" s="1"/>
  <c r="BH760" i="1" s="1"/>
  <c r="BD975" i="1"/>
  <c r="AT191" i="1"/>
  <c r="AL193" i="1"/>
  <c r="I175" i="1"/>
  <c r="AT192" i="1"/>
  <c r="P194" i="1"/>
  <c r="BD1013" i="1"/>
  <c r="BD1051" i="1"/>
  <c r="BF1013" i="1"/>
  <c r="BD1087" i="1"/>
  <c r="BF1087" i="1"/>
  <c r="AQ242" i="1"/>
  <c r="P241" i="1"/>
  <c r="AQ241" i="1" s="1"/>
  <c r="P238" i="1"/>
  <c r="AI238" i="1" s="1"/>
  <c r="N240" i="1"/>
  <c r="AC240" i="1" s="1"/>
  <c r="J243" i="1" s="1"/>
  <c r="P239" i="1"/>
  <c r="AI239" i="1" s="1"/>
  <c r="BF905" i="1"/>
  <c r="BH905" i="1"/>
  <c r="BF975" i="1"/>
  <c r="BB976" i="1"/>
  <c r="AX977" i="1"/>
  <c r="AZ976" i="1"/>
  <c r="AR462" i="1"/>
  <c r="AR463" i="1" s="1"/>
  <c r="AJ464" i="1" s="1"/>
  <c r="AP464" i="1" s="1"/>
  <c r="N465" i="1"/>
  <c r="N466" i="1" s="1"/>
  <c r="L467" i="1" s="1"/>
  <c r="AA467" i="1" s="1"/>
  <c r="AI819" i="1"/>
  <c r="AK804" i="1" s="1"/>
  <c r="BH722" i="1"/>
  <c r="BB672" i="1"/>
  <c r="BF672" i="1" s="1"/>
  <c r="BH672" i="1"/>
  <c r="AZ673" i="1"/>
  <c r="BB673" i="1" s="1"/>
  <c r="BD673" i="1" s="1"/>
  <c r="AX723" i="1"/>
  <c r="BH723" i="1" s="1"/>
  <c r="O152" i="1"/>
  <c r="Q153" i="1" s="1"/>
  <c r="AJ151" i="1"/>
  <c r="BF722" i="1"/>
  <c r="BB1014" i="1"/>
  <c r="AZ1014" i="1"/>
  <c r="BH1014" i="1" s="1"/>
  <c r="BB867" i="1"/>
  <c r="BB832" i="1"/>
  <c r="BF832" i="1" s="1"/>
  <c r="BH938" i="1"/>
  <c r="BF938" i="1"/>
  <c r="BB868" i="1"/>
  <c r="AZ868" i="1" s="1"/>
  <c r="AZ906" i="1"/>
  <c r="BB906" i="1" s="1"/>
  <c r="BF906" i="1" s="1"/>
  <c r="BB1088" i="1"/>
  <c r="AZ1088" i="1"/>
  <c r="BH1088" i="1" s="1"/>
  <c r="BB1052" i="1"/>
  <c r="BF1052" i="1" s="1"/>
  <c r="AZ1052" i="1"/>
  <c r="BH1052" i="1" s="1"/>
  <c r="AZ939" i="1"/>
  <c r="BB939" i="1" s="1"/>
  <c r="BF939" i="1" s="1"/>
  <c r="BB795" i="1"/>
  <c r="T414" i="1"/>
  <c r="J417" i="1" s="1"/>
  <c r="AZ831" i="1" l="1"/>
  <c r="BH831" i="1" s="1"/>
  <c r="BF831" i="1"/>
  <c r="BF760" i="1"/>
  <c r="BD760" i="1"/>
  <c r="BB761" i="1"/>
  <c r="AZ761" i="1" s="1"/>
  <c r="BH761" i="1" s="1"/>
  <c r="AG465" i="1"/>
  <c r="BD1014" i="1"/>
  <c r="BD1052" i="1"/>
  <c r="P191" i="1"/>
  <c r="BB191" i="1" s="1"/>
  <c r="P192" i="1"/>
  <c r="BB192" i="1" s="1"/>
  <c r="N193" i="1"/>
  <c r="AR193" i="1" s="1"/>
  <c r="P195" i="1"/>
  <c r="P197" i="1"/>
  <c r="AI194" i="1"/>
  <c r="BD906" i="1"/>
  <c r="BD1088" i="1"/>
  <c r="BF1088" i="1"/>
  <c r="BD832" i="1"/>
  <c r="BF1014" i="1"/>
  <c r="BF820" i="1"/>
  <c r="BD820" i="1"/>
  <c r="BH820" i="1"/>
  <c r="BH906" i="1"/>
  <c r="BD976" i="1"/>
  <c r="AZ795" i="1"/>
  <c r="BH795" i="1" s="1"/>
  <c r="BF976" i="1"/>
  <c r="AZ462" i="1"/>
  <c r="AG466" i="1"/>
  <c r="BH976" i="1"/>
  <c r="AX978" i="1"/>
  <c r="AZ977" i="1"/>
  <c r="BH977" i="1" s="1"/>
  <c r="BB977" i="1"/>
  <c r="AZ463" i="1"/>
  <c r="AZ832" i="1"/>
  <c r="BH832" i="1" s="1"/>
  <c r="AZ867" i="1"/>
  <c r="BH867" i="1" s="1"/>
  <c r="BD672" i="1"/>
  <c r="BH673" i="1"/>
  <c r="BF673" i="1"/>
  <c r="AZ674" i="1"/>
  <c r="BB674" i="1" s="1"/>
  <c r="BD674" i="1" s="1"/>
  <c r="AZ723" i="1"/>
  <c r="BB723" i="1" s="1"/>
  <c r="BD723" i="1" s="1"/>
  <c r="AX724" i="1"/>
  <c r="BH724" i="1" s="1"/>
  <c r="AD152" i="1"/>
  <c r="BB1015" i="1"/>
  <c r="AZ1015" i="1"/>
  <c r="BF867" i="1"/>
  <c r="BD867" i="1"/>
  <c r="BB833" i="1"/>
  <c r="BF833" i="1" s="1"/>
  <c r="BB869" i="1"/>
  <c r="AZ869" i="1" s="1"/>
  <c r="BF868" i="1"/>
  <c r="BD868" i="1"/>
  <c r="BD939" i="1"/>
  <c r="BH939" i="1"/>
  <c r="AZ907" i="1"/>
  <c r="BB907" i="1" s="1"/>
  <c r="BF907" i="1" s="1"/>
  <c r="BB1089" i="1"/>
  <c r="AZ1089" i="1"/>
  <c r="BH1089" i="1" s="1"/>
  <c r="BB1053" i="1"/>
  <c r="BD1053" i="1" s="1"/>
  <c r="AZ1053" i="1"/>
  <c r="BH1053" i="1" s="1"/>
  <c r="AZ940" i="1"/>
  <c r="BB940" i="1" s="1"/>
  <c r="BF940" i="1" s="1"/>
  <c r="BH868" i="1"/>
  <c r="BB796" i="1"/>
  <c r="N605" i="1"/>
  <c r="Q604" i="1"/>
  <c r="N604" i="1"/>
  <c r="X615" i="1"/>
  <c r="X616" i="1" s="1"/>
  <c r="K614" i="1"/>
  <c r="W611" i="1"/>
  <c r="Z611" i="1" s="1"/>
  <c r="T611" i="1"/>
  <c r="K611" i="1"/>
  <c r="AA609" i="1"/>
  <c r="AA610" i="1" s="1"/>
  <c r="X609" i="1"/>
  <c r="X610" i="1" s="1"/>
  <c r="Q607" i="1"/>
  <c r="N607" i="1"/>
  <c r="H607" i="1"/>
  <c r="T606" i="1"/>
  <c r="W606" i="1" s="1"/>
  <c r="Q606" i="1"/>
  <c r="N606" i="1"/>
  <c r="H606" i="1"/>
  <c r="Q605" i="1"/>
  <c r="K605" i="1"/>
  <c r="W604" i="1"/>
  <c r="T604" i="1"/>
  <c r="K604" i="1"/>
  <c r="H604" i="1"/>
  <c r="Q601" i="1"/>
  <c r="U599" i="1"/>
  <c r="AH599" i="1" s="1"/>
  <c r="M600" i="1" s="1"/>
  <c r="L601" i="1" s="1"/>
  <c r="L602" i="1" s="1"/>
  <c r="P599" i="1"/>
  <c r="P597" i="1"/>
  <c r="V597" i="1" s="1"/>
  <c r="M597" i="1"/>
  <c r="S597" i="1" s="1"/>
  <c r="J597" i="1"/>
  <c r="J598" i="1" s="1"/>
  <c r="W592" i="1"/>
  <c r="T607" i="1" s="1"/>
  <c r="Q592" i="1"/>
  <c r="AI565" i="1"/>
  <c r="AI566" i="1" s="1"/>
  <c r="AA565" i="1"/>
  <c r="AA566" i="1" s="1"/>
  <c r="X566" i="1"/>
  <c r="W564" i="1"/>
  <c r="Z564" i="1" s="1"/>
  <c r="K564" i="1"/>
  <c r="AA562" i="1"/>
  <c r="AA563" i="1" s="1"/>
  <c r="X563" i="1"/>
  <c r="W561" i="1"/>
  <c r="Z561" i="1" s="1"/>
  <c r="T561" i="1"/>
  <c r="K561" i="1"/>
  <c r="AA559" i="1"/>
  <c r="AA560" i="1" s="1"/>
  <c r="X559" i="1"/>
  <c r="X560" i="1" s="1"/>
  <c r="Z557" i="1"/>
  <c r="T557" i="1"/>
  <c r="W557" i="1" s="1"/>
  <c r="N557" i="1"/>
  <c r="H557" i="1"/>
  <c r="T556" i="1"/>
  <c r="W556" i="1" s="1"/>
  <c r="Q556" i="1"/>
  <c r="N556" i="1"/>
  <c r="H556" i="1"/>
  <c r="W555" i="1"/>
  <c r="K555" i="1"/>
  <c r="AF554" i="1"/>
  <c r="AC554" i="1"/>
  <c r="K554" i="1"/>
  <c r="H554" i="1"/>
  <c r="Q551" i="1"/>
  <c r="U549" i="1"/>
  <c r="Z549" i="1" s="1"/>
  <c r="P549" i="1"/>
  <c r="P547" i="1"/>
  <c r="V547" i="1" s="1"/>
  <c r="M547" i="1"/>
  <c r="S547" i="1" s="1"/>
  <c r="W542" i="1"/>
  <c r="AC557" i="1" s="1"/>
  <c r="Q542" i="1"/>
  <c r="J547" i="1"/>
  <c r="J548" i="1" s="1"/>
  <c r="AI372" i="1"/>
  <c r="AI373" i="1" s="1"/>
  <c r="AA372" i="1"/>
  <c r="AA373" i="1" s="1"/>
  <c r="W371" i="1"/>
  <c r="Z371" i="1" s="1"/>
  <c r="K371" i="1"/>
  <c r="AA369" i="1"/>
  <c r="AA370" i="1" s="1"/>
  <c r="W368" i="1"/>
  <c r="Z368" i="1" s="1"/>
  <c r="K368" i="1"/>
  <c r="AA366" i="1"/>
  <c r="AA367" i="1" s="1"/>
  <c r="X373" i="1"/>
  <c r="X370" i="1"/>
  <c r="T368" i="1"/>
  <c r="X366" i="1"/>
  <c r="X367" i="1" s="1"/>
  <c r="Z364" i="1"/>
  <c r="T364" i="1"/>
  <c r="W364" i="1" s="1"/>
  <c r="N364" i="1"/>
  <c r="H364" i="1"/>
  <c r="T363" i="1"/>
  <c r="W363" i="1" s="1"/>
  <c r="N363" i="1"/>
  <c r="H363" i="1"/>
  <c r="W362" i="1"/>
  <c r="AF361" i="1"/>
  <c r="AC361" i="1"/>
  <c r="H361" i="1"/>
  <c r="Q363" i="1"/>
  <c r="K362" i="1"/>
  <c r="K361" i="1"/>
  <c r="U345" i="1"/>
  <c r="P356" i="1"/>
  <c r="W356" i="1"/>
  <c r="BF761" i="1" l="1"/>
  <c r="BD761" i="1"/>
  <c r="BB762" i="1"/>
  <c r="AZ762" i="1" s="1"/>
  <c r="BH762" i="1" s="1"/>
  <c r="BF1015" i="1"/>
  <c r="P198" i="1"/>
  <c r="AQ198" i="1" s="1"/>
  <c r="AQ197" i="1"/>
  <c r="BD833" i="1"/>
  <c r="BD795" i="1"/>
  <c r="N196" i="1"/>
  <c r="AC196" i="1" s="1"/>
  <c r="J199" i="1" s="1"/>
  <c r="AI195" i="1"/>
  <c r="BD1015" i="1"/>
  <c r="BF795" i="1"/>
  <c r="BH1015" i="1"/>
  <c r="BF1053" i="1"/>
  <c r="AO554" i="1"/>
  <c r="H541" i="1" s="1"/>
  <c r="BD1089" i="1"/>
  <c r="BF1089" i="1"/>
  <c r="BH907" i="1"/>
  <c r="BD907" i="1"/>
  <c r="BF977" i="1"/>
  <c r="AO361" i="1"/>
  <c r="AZ796" i="1"/>
  <c r="BH796" i="1" s="1"/>
  <c r="BD977" i="1"/>
  <c r="BB978" i="1"/>
  <c r="AZ978" i="1"/>
  <c r="BH978" i="1" s="1"/>
  <c r="AX979" i="1"/>
  <c r="AZ833" i="1"/>
  <c r="BH833" i="1" s="1"/>
  <c r="BH674" i="1"/>
  <c r="BF674" i="1"/>
  <c r="AZ675" i="1"/>
  <c r="BB675" i="1" s="1"/>
  <c r="BF675" i="1" s="1"/>
  <c r="AZ724" i="1"/>
  <c r="BB724" i="1" s="1"/>
  <c r="BF724" i="1" s="1"/>
  <c r="AX725" i="1"/>
  <c r="AZ725" i="1" s="1"/>
  <c r="BB725" i="1" s="1"/>
  <c r="BF725" i="1" s="1"/>
  <c r="BF723" i="1"/>
  <c r="Q154" i="1"/>
  <c r="AJ153" i="1"/>
  <c r="BB1016" i="1"/>
  <c r="AZ1016" i="1"/>
  <c r="BH1016" i="1" s="1"/>
  <c r="BB834" i="1"/>
  <c r="BD834" i="1" s="1"/>
  <c r="BD940" i="1"/>
  <c r="BH940" i="1"/>
  <c r="BB870" i="1"/>
  <c r="AZ870" i="1" s="1"/>
  <c r="BD869" i="1"/>
  <c r="BF869" i="1"/>
  <c r="AZ908" i="1"/>
  <c r="BB908" i="1" s="1"/>
  <c r="BD908" i="1" s="1"/>
  <c r="BB1090" i="1"/>
  <c r="AZ1090" i="1"/>
  <c r="BH1090" i="1" s="1"/>
  <c r="BB1054" i="1"/>
  <c r="BD1054" i="1" s="1"/>
  <c r="AZ1054" i="1"/>
  <c r="BH1054" i="1" s="1"/>
  <c r="AZ941" i="1"/>
  <c r="BB941" i="1" s="1"/>
  <c r="BD941" i="1" s="1"/>
  <c r="BH869" i="1"/>
  <c r="BB797" i="1"/>
  <c r="Q552" i="1"/>
  <c r="P598" i="1"/>
  <c r="V598" i="1" s="1"/>
  <c r="Q602" i="1"/>
  <c r="Z599" i="1"/>
  <c r="AC599" i="1" s="1"/>
  <c r="J600" i="1" s="1"/>
  <c r="I601" i="1" s="1"/>
  <c r="AF604" i="1"/>
  <c r="H591" i="1" s="1"/>
  <c r="K606" i="1" s="1"/>
  <c r="AF606" i="1" s="1"/>
  <c r="F586" i="1" s="1"/>
  <c r="Y597" i="1"/>
  <c r="D581" i="1" s="1"/>
  <c r="M598" i="1"/>
  <c r="S598" i="1" s="1"/>
  <c r="AH549" i="1"/>
  <c r="M550" i="1" s="1"/>
  <c r="L551" i="1" s="1"/>
  <c r="L552" i="1" s="1"/>
  <c r="P548" i="1"/>
  <c r="V548" i="1" s="1"/>
  <c r="AC549" i="1"/>
  <c r="J550" i="1" s="1"/>
  <c r="I551" i="1" s="1"/>
  <c r="I552" i="1" s="1"/>
  <c r="M548" i="1"/>
  <c r="S548" i="1" s="1"/>
  <c r="Y547" i="1"/>
  <c r="D531" i="1" s="1"/>
  <c r="W353" i="1"/>
  <c r="M372" i="1" s="1"/>
  <c r="Q353" i="1"/>
  <c r="M366" i="1" s="1"/>
  <c r="M367" i="1" s="1"/>
  <c r="U367" i="1" s="1"/>
  <c r="AF367" i="1" s="1"/>
  <c r="AC364" i="1"/>
  <c r="AK339" i="1"/>
  <c r="AK343" i="1" s="1"/>
  <c r="Q371" i="1" s="1"/>
  <c r="C339" i="1"/>
  <c r="C343" i="1" s="1"/>
  <c r="Q368" i="1" s="1"/>
  <c r="BD762" i="1" l="1"/>
  <c r="BF762" i="1"/>
  <c r="BB763" i="1"/>
  <c r="AZ763" i="1" s="1"/>
  <c r="BH763" i="1" s="1"/>
  <c r="BF1016" i="1"/>
  <c r="BD796" i="1"/>
  <c r="BF1054" i="1"/>
  <c r="BD1016" i="1"/>
  <c r="BD1090" i="1"/>
  <c r="BF1090" i="1"/>
  <c r="BF834" i="1"/>
  <c r="BF796" i="1"/>
  <c r="BF908" i="1"/>
  <c r="BF978" i="1"/>
  <c r="AZ797" i="1"/>
  <c r="BH797" i="1" s="1"/>
  <c r="BH908" i="1"/>
  <c r="BD978" i="1"/>
  <c r="BB979" i="1"/>
  <c r="AZ979" i="1"/>
  <c r="BH979" i="1" s="1"/>
  <c r="AX981" i="1"/>
  <c r="AX980" i="1"/>
  <c r="AZ834" i="1"/>
  <c r="BH834" i="1" s="1"/>
  <c r="BH675" i="1"/>
  <c r="BD675" i="1"/>
  <c r="AZ676" i="1"/>
  <c r="BB676" i="1" s="1"/>
  <c r="BF676" i="1" s="1"/>
  <c r="AX726" i="1"/>
  <c r="BH725" i="1"/>
  <c r="BD724" i="1"/>
  <c r="O155" i="1"/>
  <c r="AD155" i="1" s="1"/>
  <c r="AJ154" i="1"/>
  <c r="BD725" i="1"/>
  <c r="BB1017" i="1"/>
  <c r="AZ1017" i="1"/>
  <c r="BB835" i="1"/>
  <c r="BD835" i="1" s="1"/>
  <c r="BH941" i="1"/>
  <c r="BF941" i="1"/>
  <c r="BB871" i="1"/>
  <c r="AZ871" i="1" s="1"/>
  <c r="BF870" i="1"/>
  <c r="BD870" i="1"/>
  <c r="AZ909" i="1"/>
  <c r="BB909" i="1" s="1"/>
  <c r="BD909" i="1" s="1"/>
  <c r="BB1091" i="1"/>
  <c r="AZ1091" i="1"/>
  <c r="BH1091" i="1" s="1"/>
  <c r="BB1055" i="1"/>
  <c r="BF1055" i="1" s="1"/>
  <c r="AZ1055" i="1"/>
  <c r="BH1055" i="1" s="1"/>
  <c r="AZ942" i="1"/>
  <c r="BB942" i="1" s="1"/>
  <c r="BF942" i="1" s="1"/>
  <c r="BH870" i="1"/>
  <c r="BB798" i="1"/>
  <c r="H609" i="1"/>
  <c r="T601" i="1"/>
  <c r="AA601" i="1" s="1"/>
  <c r="M609" i="1" s="1"/>
  <c r="U609" i="1" s="1"/>
  <c r="AF609" i="1" s="1"/>
  <c r="I602" i="1"/>
  <c r="T602" i="1" s="1"/>
  <c r="H611" i="1"/>
  <c r="H610" i="1"/>
  <c r="H605" i="1"/>
  <c r="Z605" i="1" s="1"/>
  <c r="AE591" i="1" s="1"/>
  <c r="H616" i="1" s="1"/>
  <c r="D575" i="1"/>
  <c r="Q611" i="1"/>
  <c r="N611" i="1"/>
  <c r="P610" i="1"/>
  <c r="P609" i="1"/>
  <c r="Y598" i="1"/>
  <c r="AL581" i="1" s="1"/>
  <c r="T552" i="1"/>
  <c r="T551" i="1"/>
  <c r="AA551" i="1" s="1"/>
  <c r="M559" i="1" s="1"/>
  <c r="U559" i="1" s="1"/>
  <c r="AF559" i="1" s="1"/>
  <c r="D525" i="1"/>
  <c r="Q561" i="1"/>
  <c r="Y548" i="1"/>
  <c r="AL531" i="1" s="1"/>
  <c r="H559" i="1"/>
  <c r="H561" i="1"/>
  <c r="H560" i="1"/>
  <c r="H555" i="1"/>
  <c r="K556" i="1"/>
  <c r="AF556" i="1" s="1"/>
  <c r="F536" i="1" s="1"/>
  <c r="M369" i="1"/>
  <c r="U366" i="1"/>
  <c r="AF366" i="1" s="1"/>
  <c r="M373" i="1"/>
  <c r="U373" i="1" s="1"/>
  <c r="AF373" i="1" s="1"/>
  <c r="AN373" i="1" s="1"/>
  <c r="U372" i="1"/>
  <c r="AF372" i="1" s="1"/>
  <c r="AN372" i="1" s="1"/>
  <c r="H350" i="1"/>
  <c r="BD763" i="1" l="1"/>
  <c r="BF763" i="1"/>
  <c r="BB764" i="1"/>
  <c r="AZ764" i="1" s="1"/>
  <c r="BH764" i="1" s="1"/>
  <c r="BF1017" i="1"/>
  <c r="BD1017" i="1"/>
  <c r="BD1055" i="1"/>
  <c r="BF1091" i="1"/>
  <c r="BD1091" i="1"/>
  <c r="BH1017" i="1"/>
  <c r="BF835" i="1"/>
  <c r="BD797" i="1"/>
  <c r="BF797" i="1"/>
  <c r="AF555" i="1"/>
  <c r="AE541" i="1" s="1"/>
  <c r="H563" i="1" s="1"/>
  <c r="BH909" i="1"/>
  <c r="BF909" i="1"/>
  <c r="BF979" i="1"/>
  <c r="AZ798" i="1"/>
  <c r="BH798" i="1" s="1"/>
  <c r="BD979" i="1"/>
  <c r="AX727" i="1"/>
  <c r="BH727" i="1" s="1"/>
  <c r="AX728" i="1"/>
  <c r="AZ728" i="1" s="1"/>
  <c r="BB728" i="1" s="1"/>
  <c r="BF728" i="1" s="1"/>
  <c r="AZ980" i="1"/>
  <c r="BH980" i="1" s="1"/>
  <c r="BB980" i="1"/>
  <c r="AX982" i="1"/>
  <c r="AZ981" i="1"/>
  <c r="BH981" i="1" s="1"/>
  <c r="BB981" i="1"/>
  <c r="AZ835" i="1"/>
  <c r="BH835" i="1" s="1"/>
  <c r="BH676" i="1"/>
  <c r="BD676" i="1"/>
  <c r="AZ677" i="1"/>
  <c r="BB677" i="1" s="1"/>
  <c r="BD677" i="1" s="1"/>
  <c r="AZ726" i="1"/>
  <c r="BB726" i="1" s="1"/>
  <c r="BD726" i="1" s="1"/>
  <c r="BH726" i="1"/>
  <c r="BB1018" i="1"/>
  <c r="AZ1018" i="1"/>
  <c r="BH1018" i="1" s="1"/>
  <c r="BB836" i="1"/>
  <c r="BD836" i="1" s="1"/>
  <c r="BB872" i="1"/>
  <c r="AZ872" i="1" s="1"/>
  <c r="BD942" i="1"/>
  <c r="BH871" i="1"/>
  <c r="BH942" i="1"/>
  <c r="AZ910" i="1"/>
  <c r="BB910" i="1" s="1"/>
  <c r="BD910" i="1" s="1"/>
  <c r="AI609" i="1"/>
  <c r="BB1092" i="1"/>
  <c r="AZ1092" i="1"/>
  <c r="BH1092" i="1" s="1"/>
  <c r="BB1056" i="1"/>
  <c r="BF1056" i="1" s="1"/>
  <c r="AZ1056" i="1"/>
  <c r="BH1056" i="1" s="1"/>
  <c r="AZ943" i="1"/>
  <c r="BB943" i="1" s="1"/>
  <c r="BD943" i="1" s="1"/>
  <c r="M610" i="1"/>
  <c r="U610" i="1" s="1"/>
  <c r="AF610" i="1" s="1"/>
  <c r="BB799" i="1"/>
  <c r="AA552" i="1"/>
  <c r="M565" i="1" s="1"/>
  <c r="U565" i="1" s="1"/>
  <c r="AF565" i="1" s="1"/>
  <c r="AN565" i="1" s="1"/>
  <c r="AA602" i="1"/>
  <c r="M612" i="1" s="1"/>
  <c r="U612" i="1" s="1"/>
  <c r="K607" i="1"/>
  <c r="AC607" i="1" s="1"/>
  <c r="AI586" i="1" s="1"/>
  <c r="H612" i="1"/>
  <c r="H613" i="1"/>
  <c r="H614" i="1"/>
  <c r="H615" i="1"/>
  <c r="AC611" i="1"/>
  <c r="Q614" i="1"/>
  <c r="AL575" i="1"/>
  <c r="M560" i="1"/>
  <c r="U560" i="1" s="1"/>
  <c r="AF560" i="1" s="1"/>
  <c r="N561" i="1"/>
  <c r="AC561" i="1" s="1"/>
  <c r="P560" i="1"/>
  <c r="P559" i="1"/>
  <c r="AI559" i="1" s="1"/>
  <c r="AL525" i="1"/>
  <c r="Q564" i="1"/>
  <c r="U369" i="1"/>
  <c r="AF369" i="1" s="1"/>
  <c r="M370" i="1"/>
  <c r="U370" i="1" s="1"/>
  <c r="AF370" i="1" s="1"/>
  <c r="H362" i="1"/>
  <c r="H366" i="1"/>
  <c r="H368" i="1"/>
  <c r="K363" i="1"/>
  <c r="AF363" i="1" s="1"/>
  <c r="F345" i="1" s="1"/>
  <c r="H367" i="1"/>
  <c r="BF764" i="1" l="1"/>
  <c r="BD764" i="1"/>
  <c r="BF980" i="1"/>
  <c r="BB765" i="1"/>
  <c r="AZ765" i="1" s="1"/>
  <c r="BH765" i="1" s="1"/>
  <c r="BD798" i="1"/>
  <c r="BD1018" i="1"/>
  <c r="BF836" i="1"/>
  <c r="BD1056" i="1"/>
  <c r="BF1018" i="1"/>
  <c r="BF1092" i="1"/>
  <c r="BD1092" i="1"/>
  <c r="BF798" i="1"/>
  <c r="H562" i="1"/>
  <c r="H565" i="1"/>
  <c r="H564" i="1"/>
  <c r="H566" i="1"/>
  <c r="K557" i="1"/>
  <c r="AL557" i="1" s="1"/>
  <c r="AI536" i="1" s="1"/>
  <c r="N564" i="1" s="1"/>
  <c r="AZ799" i="1"/>
  <c r="BH799" i="1" s="1"/>
  <c r="BH910" i="1"/>
  <c r="BF910" i="1"/>
  <c r="AF362" i="1"/>
  <c r="AE350" i="1" s="1"/>
  <c r="BD980" i="1"/>
  <c r="AZ982" i="1"/>
  <c r="BH982" i="1" s="1"/>
  <c r="BB982" i="1"/>
  <c r="AX983" i="1"/>
  <c r="BF981" i="1"/>
  <c r="BD981" i="1"/>
  <c r="AZ836" i="1"/>
  <c r="BH836" i="1" s="1"/>
  <c r="AZ727" i="1"/>
  <c r="BB727" i="1" s="1"/>
  <c r="BF727" i="1" s="1"/>
  <c r="AX729" i="1"/>
  <c r="AZ729" i="1" s="1"/>
  <c r="BB729" i="1" s="1"/>
  <c r="BF729" i="1" s="1"/>
  <c r="BF726" i="1"/>
  <c r="BH677" i="1"/>
  <c r="BF677" i="1"/>
  <c r="AZ678" i="1"/>
  <c r="BB678" i="1" s="1"/>
  <c r="BF678" i="1" s="1"/>
  <c r="BD728" i="1"/>
  <c r="BH728" i="1"/>
  <c r="BB1019" i="1"/>
  <c r="AZ1019" i="1"/>
  <c r="BH1019" i="1" s="1"/>
  <c r="BB837" i="1"/>
  <c r="BD837" i="1" s="1"/>
  <c r="BH943" i="1"/>
  <c r="AI560" i="1"/>
  <c r="BF943" i="1"/>
  <c r="BD871" i="1"/>
  <c r="BB873" i="1"/>
  <c r="AZ873" i="1" s="1"/>
  <c r="BF872" i="1"/>
  <c r="BD872" i="1"/>
  <c r="BF871" i="1"/>
  <c r="AZ911" i="1"/>
  <c r="BB911" i="1" s="1"/>
  <c r="BD911" i="1" s="1"/>
  <c r="M613" i="1"/>
  <c r="U613" i="1" s="1"/>
  <c r="AI610" i="1"/>
  <c r="BB1093" i="1"/>
  <c r="AZ1093" i="1"/>
  <c r="BH1093" i="1" s="1"/>
  <c r="BB1057" i="1"/>
  <c r="BF1057" i="1" s="1"/>
  <c r="AZ1057" i="1"/>
  <c r="BH1057" i="1" s="1"/>
  <c r="AZ944" i="1"/>
  <c r="BB944" i="1" s="1"/>
  <c r="BD944" i="1" s="1"/>
  <c r="BH872" i="1"/>
  <c r="M562" i="1"/>
  <c r="U562" i="1" s="1"/>
  <c r="AF562" i="1" s="1"/>
  <c r="BB800" i="1"/>
  <c r="M615" i="1"/>
  <c r="P612" i="1"/>
  <c r="X612" i="1" s="1"/>
  <c r="P616" i="1"/>
  <c r="N614" i="1"/>
  <c r="T614" i="1" s="1"/>
  <c r="J617" i="1" s="1"/>
  <c r="P615" i="1"/>
  <c r="P613" i="1"/>
  <c r="M566" i="1"/>
  <c r="U566" i="1" s="1"/>
  <c r="AF566" i="1" s="1"/>
  <c r="AN566" i="1" s="1"/>
  <c r="P366" i="1"/>
  <c r="AI366" i="1" s="1"/>
  <c r="N368" i="1"/>
  <c r="AC368" i="1" s="1"/>
  <c r="P367" i="1"/>
  <c r="AI367" i="1" s="1"/>
  <c r="BF765" i="1" l="1"/>
  <c r="BD765" i="1"/>
  <c r="BB766" i="1"/>
  <c r="AZ766" i="1" s="1"/>
  <c r="BH766" i="1" s="1"/>
  <c r="BD799" i="1"/>
  <c r="AC564" i="1"/>
  <c r="J567" i="1" s="1"/>
  <c r="BD1019" i="1"/>
  <c r="BD1057" i="1"/>
  <c r="P566" i="1"/>
  <c r="AQ566" i="1" s="1"/>
  <c r="BD1093" i="1"/>
  <c r="BF1093" i="1"/>
  <c r="BF1019" i="1"/>
  <c r="BF837" i="1"/>
  <c r="BF799" i="1"/>
  <c r="P563" i="1"/>
  <c r="P565" i="1"/>
  <c r="AQ565" i="1" s="1"/>
  <c r="P562" i="1"/>
  <c r="AI562" i="1" s="1"/>
  <c r="BH911" i="1"/>
  <c r="BF911" i="1"/>
  <c r="AZ800" i="1"/>
  <c r="BH800" i="1" s="1"/>
  <c r="H373" i="1"/>
  <c r="H369" i="1"/>
  <c r="K364" i="1"/>
  <c r="AL364" i="1" s="1"/>
  <c r="AI345" i="1" s="1"/>
  <c r="P372" i="1" s="1"/>
  <c r="H371" i="1"/>
  <c r="H370" i="1"/>
  <c r="H372" i="1"/>
  <c r="BD982" i="1"/>
  <c r="AX984" i="1"/>
  <c r="AZ983" i="1"/>
  <c r="BH983" i="1" s="1"/>
  <c r="BB983" i="1"/>
  <c r="BF982" i="1"/>
  <c r="AX730" i="1"/>
  <c r="AX731" i="1" s="1"/>
  <c r="AZ837" i="1"/>
  <c r="BH837" i="1" s="1"/>
  <c r="BD727" i="1"/>
  <c r="BH678" i="1"/>
  <c r="BD678" i="1"/>
  <c r="AZ679" i="1"/>
  <c r="BB679" i="1" s="1"/>
  <c r="BD679" i="1" s="1"/>
  <c r="BH729" i="1"/>
  <c r="BD729" i="1"/>
  <c r="BB1020" i="1"/>
  <c r="AZ1020" i="1"/>
  <c r="BH1020" i="1" s="1"/>
  <c r="BB838" i="1"/>
  <c r="BD838" i="1" s="1"/>
  <c r="BF944" i="1"/>
  <c r="BH944" i="1"/>
  <c r="X613" i="1"/>
  <c r="BB874" i="1"/>
  <c r="AZ874" i="1" s="1"/>
  <c r="BF873" i="1"/>
  <c r="BD873" i="1"/>
  <c r="AZ912" i="1"/>
  <c r="BB912" i="1" s="1"/>
  <c r="BD912" i="1" s="1"/>
  <c r="BB1094" i="1"/>
  <c r="AZ1094" i="1"/>
  <c r="BH1094" i="1" s="1"/>
  <c r="BB1058" i="1"/>
  <c r="BD1058" i="1" s="1"/>
  <c r="AZ1058" i="1"/>
  <c r="BH1058" i="1" s="1"/>
  <c r="AZ945" i="1"/>
  <c r="BB945" i="1" s="1"/>
  <c r="BD945" i="1" s="1"/>
  <c r="BH873" i="1"/>
  <c r="M563" i="1"/>
  <c r="BB801" i="1"/>
  <c r="U615" i="1"/>
  <c r="M616" i="1"/>
  <c r="BD766" i="1" l="1"/>
  <c r="BF766" i="1"/>
  <c r="P373" i="1"/>
  <c r="AQ373" i="1" s="1"/>
  <c r="BB767" i="1"/>
  <c r="AZ767" i="1" s="1"/>
  <c r="BH767" i="1" s="1"/>
  <c r="BD1020" i="1"/>
  <c r="BD800" i="1"/>
  <c r="BF838" i="1"/>
  <c r="AQ372" i="1"/>
  <c r="BF1058" i="1"/>
  <c r="BD1094" i="1"/>
  <c r="BF1094" i="1"/>
  <c r="BF1020" i="1"/>
  <c r="BF800" i="1"/>
  <c r="P370" i="1"/>
  <c r="AI370" i="1" s="1"/>
  <c r="BF983" i="1"/>
  <c r="BH912" i="1"/>
  <c r="AZ801" i="1"/>
  <c r="BH801" i="1" s="1"/>
  <c r="BF912" i="1"/>
  <c r="N371" i="1"/>
  <c r="AC371" i="1" s="1"/>
  <c r="J374" i="1" s="1"/>
  <c r="P369" i="1"/>
  <c r="AI369" i="1" s="1"/>
  <c r="BD983" i="1"/>
  <c r="BB984" i="1"/>
  <c r="AX985" i="1"/>
  <c r="AZ984" i="1"/>
  <c r="BH984" i="1" s="1"/>
  <c r="AZ730" i="1"/>
  <c r="BB730" i="1" s="1"/>
  <c r="BF730" i="1" s="1"/>
  <c r="AZ838" i="1"/>
  <c r="BH838" i="1" s="1"/>
  <c r="BH679" i="1"/>
  <c r="BF679" i="1"/>
  <c r="AZ680" i="1"/>
  <c r="BB680" i="1" s="1"/>
  <c r="BF680" i="1" s="1"/>
  <c r="AX732" i="1"/>
  <c r="AZ731" i="1"/>
  <c r="BH731" i="1" s="1"/>
  <c r="BB1021" i="1"/>
  <c r="AZ1021" i="1"/>
  <c r="BH1021" i="1" s="1"/>
  <c r="BB839" i="1"/>
  <c r="BD839" i="1" s="1"/>
  <c r="BH945" i="1"/>
  <c r="BF945" i="1"/>
  <c r="U563" i="1"/>
  <c r="AF563" i="1" s="1"/>
  <c r="BB875" i="1"/>
  <c r="AZ875" i="1" s="1"/>
  <c r="BF874" i="1"/>
  <c r="BD874" i="1"/>
  <c r="AZ913" i="1"/>
  <c r="BB913" i="1" s="1"/>
  <c r="BD913" i="1" s="1"/>
  <c r="BB1095" i="1"/>
  <c r="AZ1095" i="1"/>
  <c r="BH1095" i="1" s="1"/>
  <c r="BB1059" i="1"/>
  <c r="BF1059" i="1" s="1"/>
  <c r="AZ1059" i="1"/>
  <c r="BH1059" i="1" s="1"/>
  <c r="AZ946" i="1"/>
  <c r="BB946" i="1" s="1"/>
  <c r="BD946" i="1" s="1"/>
  <c r="BH874" i="1"/>
  <c r="BB802" i="1"/>
  <c r="U616" i="1"/>
  <c r="AC616" i="1" s="1"/>
  <c r="AC615" i="1"/>
  <c r="AF615" i="1" s="1"/>
  <c r="T320" i="1"/>
  <c r="W320" i="1" s="1"/>
  <c r="N319" i="1"/>
  <c r="Q318" i="1"/>
  <c r="N318" i="1"/>
  <c r="AM300" i="1"/>
  <c r="H320" i="1" s="1"/>
  <c r="AM256" i="1"/>
  <c r="H276" i="1" s="1"/>
  <c r="X329" i="1"/>
  <c r="X330" i="1" s="1"/>
  <c r="K328" i="1"/>
  <c r="W325" i="1"/>
  <c r="Z325" i="1" s="1"/>
  <c r="T325" i="1"/>
  <c r="K325" i="1"/>
  <c r="AA323" i="1"/>
  <c r="AA324" i="1" s="1"/>
  <c r="X323" i="1"/>
  <c r="X324" i="1" s="1"/>
  <c r="Q321" i="1"/>
  <c r="N321" i="1"/>
  <c r="Q320" i="1"/>
  <c r="N320" i="1"/>
  <c r="Q319" i="1"/>
  <c r="K319" i="1"/>
  <c r="W318" i="1"/>
  <c r="T318" i="1"/>
  <c r="K318" i="1"/>
  <c r="H318" i="1"/>
  <c r="W313" i="1"/>
  <c r="P313" i="1"/>
  <c r="W301" i="1"/>
  <c r="W284" i="1"/>
  <c r="Z284" i="1" s="1"/>
  <c r="K284" i="1"/>
  <c r="AA282" i="1"/>
  <c r="AA283" i="1" s="1"/>
  <c r="X283" i="1"/>
  <c r="AI285" i="1"/>
  <c r="AI286" i="1" s="1"/>
  <c r="AA285" i="1"/>
  <c r="AA286" i="1" s="1"/>
  <c r="X286" i="1"/>
  <c r="W281" i="1"/>
  <c r="Z281" i="1" s="1"/>
  <c r="T281" i="1"/>
  <c r="K281" i="1"/>
  <c r="AA279" i="1"/>
  <c r="AA280" i="1" s="1"/>
  <c r="X279" i="1"/>
  <c r="X280" i="1" s="1"/>
  <c r="Z277" i="1"/>
  <c r="T277" i="1"/>
  <c r="W277" i="1" s="1"/>
  <c r="N277" i="1"/>
  <c r="T276" i="1"/>
  <c r="W276" i="1" s="1"/>
  <c r="Q276" i="1"/>
  <c r="N276" i="1"/>
  <c r="W275" i="1"/>
  <c r="K275" i="1"/>
  <c r="AF274" i="1"/>
  <c r="AC274" i="1"/>
  <c r="K274" i="1"/>
  <c r="H274" i="1"/>
  <c r="W269" i="1"/>
  <c r="P269" i="1"/>
  <c r="W257" i="1"/>
  <c r="BD767" i="1" l="1"/>
  <c r="BF767" i="1"/>
  <c r="BB768" i="1"/>
  <c r="AZ768" i="1" s="1"/>
  <c r="BH768" i="1" s="1"/>
  <c r="BD1021" i="1"/>
  <c r="BF839" i="1"/>
  <c r="BD1059" i="1"/>
  <c r="BF1021" i="1"/>
  <c r="BF802" i="1"/>
  <c r="BD802" i="1"/>
  <c r="BD1095" i="1"/>
  <c r="BF1095" i="1"/>
  <c r="BF801" i="1"/>
  <c r="BD801" i="1"/>
  <c r="BF913" i="1"/>
  <c r="BH913" i="1"/>
  <c r="AZ802" i="1"/>
  <c r="BH802" i="1" s="1"/>
  <c r="AO274" i="1"/>
  <c r="BF984" i="1"/>
  <c r="BD984" i="1"/>
  <c r="AZ985" i="1"/>
  <c r="BH985" i="1" s="1"/>
  <c r="AX986" i="1"/>
  <c r="BB985" i="1"/>
  <c r="BD730" i="1"/>
  <c r="BH730" i="1"/>
  <c r="Q263" i="1"/>
  <c r="M279" i="1" s="1"/>
  <c r="M280" i="1" s="1"/>
  <c r="U280" i="1" s="1"/>
  <c r="AF280" i="1" s="1"/>
  <c r="AZ839" i="1"/>
  <c r="BH839" i="1" s="1"/>
  <c r="BH680" i="1"/>
  <c r="BD680" i="1"/>
  <c r="AZ681" i="1"/>
  <c r="BB681" i="1" s="1"/>
  <c r="BF681" i="1" s="1"/>
  <c r="BB731" i="1"/>
  <c r="AX733" i="1"/>
  <c r="AZ732" i="1"/>
  <c r="BB732" i="1" s="1"/>
  <c r="BD732" i="1" s="1"/>
  <c r="BB1022" i="1"/>
  <c r="AZ1022" i="1"/>
  <c r="BH1022" i="1" s="1"/>
  <c r="BB840" i="1"/>
  <c r="BF840" i="1" s="1"/>
  <c r="AI563" i="1"/>
  <c r="BH946" i="1"/>
  <c r="BF946" i="1"/>
  <c r="BD875" i="1"/>
  <c r="BF875" i="1"/>
  <c r="AZ914" i="1"/>
  <c r="BB914" i="1" s="1"/>
  <c r="BF914" i="1" s="1"/>
  <c r="AF616" i="1"/>
  <c r="BB1096" i="1"/>
  <c r="AZ1096" i="1"/>
  <c r="BH1096" i="1" s="1"/>
  <c r="BB1060" i="1"/>
  <c r="BD1060" i="1" s="1"/>
  <c r="AZ1060" i="1"/>
  <c r="BH1060" i="1" s="1"/>
  <c r="AZ947" i="1"/>
  <c r="BB947" i="1" s="1"/>
  <c r="BF947" i="1" s="1"/>
  <c r="BH875" i="1"/>
  <c r="BB803" i="1"/>
  <c r="H321" i="1"/>
  <c r="H277" i="1"/>
  <c r="AF318" i="1"/>
  <c r="Q307" i="1"/>
  <c r="V307" i="1"/>
  <c r="T321" i="1"/>
  <c r="W263" i="1"/>
  <c r="AC277" i="1"/>
  <c r="BD768" i="1" l="1"/>
  <c r="BF768" i="1"/>
  <c r="BB769" i="1"/>
  <c r="AZ769" i="1" s="1"/>
  <c r="BH769" i="1" s="1"/>
  <c r="BD1022" i="1"/>
  <c r="BF1022" i="1"/>
  <c r="BD1096" i="1"/>
  <c r="BF1096" i="1"/>
  <c r="BF1060" i="1"/>
  <c r="BD840" i="1"/>
  <c r="BD803" i="1"/>
  <c r="BF803" i="1"/>
  <c r="BD914" i="1"/>
  <c r="BH914" i="1"/>
  <c r="AZ803" i="1"/>
  <c r="BH803" i="1" s="1"/>
  <c r="BD985" i="1"/>
  <c r="BF985" i="1"/>
  <c r="BB986" i="1"/>
  <c r="AX987" i="1"/>
  <c r="AZ986" i="1"/>
  <c r="BH986" i="1" s="1"/>
  <c r="AZ840" i="1"/>
  <c r="BH840" i="1" s="1"/>
  <c r="BH681" i="1"/>
  <c r="BD681" i="1"/>
  <c r="AZ682" i="1"/>
  <c r="BB682" i="1" s="1"/>
  <c r="BF682" i="1" s="1"/>
  <c r="BH732" i="1"/>
  <c r="BD731" i="1"/>
  <c r="BF731" i="1"/>
  <c r="BF732" i="1"/>
  <c r="AX734" i="1"/>
  <c r="AZ733" i="1"/>
  <c r="BB733" i="1" s="1"/>
  <c r="BF733" i="1" s="1"/>
  <c r="BB1023" i="1"/>
  <c r="BD1023" i="1" s="1"/>
  <c r="AZ1023" i="1"/>
  <c r="BH1023" i="1" s="1"/>
  <c r="BB876" i="1"/>
  <c r="BB841" i="1"/>
  <c r="BD841" i="1" s="1"/>
  <c r="BD947" i="1"/>
  <c r="BB877" i="1"/>
  <c r="AZ877" i="1" s="1"/>
  <c r="BH947" i="1"/>
  <c r="AZ915" i="1"/>
  <c r="BB915" i="1" s="1"/>
  <c r="BF915" i="1" s="1"/>
  <c r="BB1097" i="1"/>
  <c r="AZ1097" i="1"/>
  <c r="BH1097" i="1" s="1"/>
  <c r="BB1061" i="1"/>
  <c r="BD1061" i="1" s="1"/>
  <c r="AZ1061" i="1"/>
  <c r="BH1061" i="1" s="1"/>
  <c r="AZ948" i="1"/>
  <c r="BB948" i="1" s="1"/>
  <c r="BD948" i="1" s="1"/>
  <c r="BB804" i="1"/>
  <c r="U279" i="1"/>
  <c r="AF279" i="1" s="1"/>
  <c r="D258" i="1"/>
  <c r="D251" i="1" s="1"/>
  <c r="M329" i="1"/>
  <c r="M326" i="1"/>
  <c r="AK302" i="1"/>
  <c r="D302" i="1"/>
  <c r="M323" i="1"/>
  <c r="H312" i="1"/>
  <c r="H268" i="1"/>
  <c r="M285" i="1"/>
  <c r="U285" i="1" s="1"/>
  <c r="AF285" i="1" s="1"/>
  <c r="AN285" i="1" s="1"/>
  <c r="M282" i="1"/>
  <c r="AK258" i="1"/>
  <c r="BD769" i="1" l="1"/>
  <c r="BF769" i="1"/>
  <c r="BB770" i="1"/>
  <c r="AZ770" i="1" s="1"/>
  <c r="BH770" i="1" s="1"/>
  <c r="BF841" i="1"/>
  <c r="BD1097" i="1"/>
  <c r="BF1097" i="1"/>
  <c r="BF1061" i="1"/>
  <c r="BF1023" i="1"/>
  <c r="BF804" i="1"/>
  <c r="BD804" i="1"/>
  <c r="BH915" i="1"/>
  <c r="BD915" i="1"/>
  <c r="AZ804" i="1"/>
  <c r="BH804" i="1" s="1"/>
  <c r="BD986" i="1"/>
  <c r="BF986" i="1"/>
  <c r="AX988" i="1"/>
  <c r="AZ987" i="1"/>
  <c r="BH987" i="1" s="1"/>
  <c r="BB987" i="1"/>
  <c r="BD987" i="1" s="1"/>
  <c r="AZ876" i="1"/>
  <c r="BH876" i="1" s="1"/>
  <c r="AZ841" i="1"/>
  <c r="BH841" i="1" s="1"/>
  <c r="BH682" i="1"/>
  <c r="BD682" i="1"/>
  <c r="AZ683" i="1"/>
  <c r="BB683" i="1" s="1"/>
  <c r="BF683" i="1" s="1"/>
  <c r="BH733" i="1"/>
  <c r="BD733" i="1"/>
  <c r="AX735" i="1"/>
  <c r="AZ734" i="1"/>
  <c r="BB734" i="1" s="1"/>
  <c r="BF734" i="1" s="1"/>
  <c r="BB1024" i="1"/>
  <c r="BF1024" i="1" s="1"/>
  <c r="AZ1024" i="1"/>
  <c r="BH1024" i="1" s="1"/>
  <c r="BD876" i="1"/>
  <c r="BF876" i="1"/>
  <c r="BB842" i="1"/>
  <c r="BF842" i="1" s="1"/>
  <c r="BF948" i="1"/>
  <c r="BB878" i="1"/>
  <c r="AZ878" i="1" s="1"/>
  <c r="BH877" i="1"/>
  <c r="BH948" i="1"/>
  <c r="AZ916" i="1"/>
  <c r="BB916" i="1" s="1"/>
  <c r="BD916" i="1" s="1"/>
  <c r="BB1098" i="1"/>
  <c r="AZ1098" i="1"/>
  <c r="BH1098" i="1" s="1"/>
  <c r="BB1062" i="1"/>
  <c r="BD1062" i="1" s="1"/>
  <c r="AZ1062" i="1"/>
  <c r="BH1062" i="1" s="1"/>
  <c r="AZ949" i="1"/>
  <c r="BB949" i="1" s="1"/>
  <c r="BD949" i="1" s="1"/>
  <c r="BB805" i="1"/>
  <c r="Q281" i="1"/>
  <c r="H281" i="1"/>
  <c r="K276" i="1"/>
  <c r="AF276" i="1" s="1"/>
  <c r="F263" i="1" s="1"/>
  <c r="P280" i="1" s="1"/>
  <c r="H280" i="1"/>
  <c r="H275" i="1"/>
  <c r="AF275" i="1" s="1"/>
  <c r="K320" i="1"/>
  <c r="AF320" i="1" s="1"/>
  <c r="F307" i="1" s="1"/>
  <c r="P324" i="1" s="1"/>
  <c r="H319" i="1"/>
  <c r="Z319" i="1" s="1"/>
  <c r="AE312" i="1" s="1"/>
  <c r="K321" i="1" s="1"/>
  <c r="AC321" i="1" s="1"/>
  <c r="AI307" i="1" s="1"/>
  <c r="P330" i="1" s="1"/>
  <c r="M324" i="1"/>
  <c r="U324" i="1" s="1"/>
  <c r="AF324" i="1" s="1"/>
  <c r="U323" i="1"/>
  <c r="AF323" i="1" s="1"/>
  <c r="D295" i="1"/>
  <c r="Q325" i="1"/>
  <c r="M330" i="1"/>
  <c r="U330" i="1" s="1"/>
  <c r="AC330" i="1" s="1"/>
  <c r="U329" i="1"/>
  <c r="AC329" i="1" s="1"/>
  <c r="AK295" i="1"/>
  <c r="Q328" i="1"/>
  <c r="M327" i="1"/>
  <c r="U327" i="1" s="1"/>
  <c r="U326" i="1"/>
  <c r="H324" i="1"/>
  <c r="H325" i="1"/>
  <c r="H323" i="1"/>
  <c r="M286" i="1"/>
  <c r="U286" i="1" s="1"/>
  <c r="AF286" i="1" s="1"/>
  <c r="AN286" i="1" s="1"/>
  <c r="H279" i="1"/>
  <c r="AK251" i="1"/>
  <c r="Q284" i="1"/>
  <c r="U282" i="1"/>
  <c r="AF282" i="1" s="1"/>
  <c r="M283" i="1"/>
  <c r="U283" i="1" s="1"/>
  <c r="AF283" i="1" s="1"/>
  <c r="BF770" i="1" l="1"/>
  <c r="BD770" i="1"/>
  <c r="BB771" i="1"/>
  <c r="AZ771" i="1" s="1"/>
  <c r="BH771" i="1" s="1"/>
  <c r="BD842" i="1"/>
  <c r="BF1062" i="1"/>
  <c r="BD1024" i="1"/>
  <c r="BD1098" i="1"/>
  <c r="BF1098" i="1"/>
  <c r="BF805" i="1"/>
  <c r="BD805" i="1"/>
  <c r="BH916" i="1"/>
  <c r="BF916" i="1"/>
  <c r="AZ805" i="1"/>
  <c r="BH805" i="1" s="1"/>
  <c r="BF987" i="1"/>
  <c r="BB988" i="1"/>
  <c r="BD988" i="1" s="1"/>
  <c r="AX989" i="1"/>
  <c r="AZ988" i="1"/>
  <c r="BH988" i="1" s="1"/>
  <c r="AZ842" i="1"/>
  <c r="BH842" i="1" s="1"/>
  <c r="BH683" i="1"/>
  <c r="BD683" i="1"/>
  <c r="AZ684" i="1"/>
  <c r="BB684" i="1" s="1"/>
  <c r="BD684" i="1" s="1"/>
  <c r="BD734" i="1"/>
  <c r="BH734" i="1"/>
  <c r="AX736" i="1"/>
  <c r="AZ735" i="1"/>
  <c r="BB735" i="1" s="1"/>
  <c r="BF735" i="1" s="1"/>
  <c r="BB1025" i="1"/>
  <c r="BD1025" i="1" s="1"/>
  <c r="AZ1025" i="1"/>
  <c r="BH1025" i="1" s="1"/>
  <c r="BB843" i="1"/>
  <c r="BF843" i="1" s="1"/>
  <c r="BH949" i="1"/>
  <c r="BF949" i="1"/>
  <c r="BF877" i="1"/>
  <c r="BD878" i="1"/>
  <c r="BD877" i="1"/>
  <c r="AZ917" i="1"/>
  <c r="BB917" i="1" s="1"/>
  <c r="BF917" i="1" s="1"/>
  <c r="N281" i="1"/>
  <c r="AC281" i="1" s="1"/>
  <c r="BB1099" i="1"/>
  <c r="AZ1099" i="1"/>
  <c r="BH1099" i="1" s="1"/>
  <c r="BB1063" i="1"/>
  <c r="BF1063" i="1" s="1"/>
  <c r="AZ1063" i="1"/>
  <c r="BH1063" i="1" s="1"/>
  <c r="AZ950" i="1"/>
  <c r="BB950" i="1" s="1"/>
  <c r="BF950" i="1" s="1"/>
  <c r="BB806" i="1"/>
  <c r="AI280" i="1"/>
  <c r="P279" i="1"/>
  <c r="AI279" i="1" s="1"/>
  <c r="H326" i="1"/>
  <c r="H329" i="1"/>
  <c r="AE268" i="1"/>
  <c r="H330" i="1"/>
  <c r="AF330" i="1" s="1"/>
  <c r="N328" i="1"/>
  <c r="N325" i="1"/>
  <c r="AC325" i="1" s="1"/>
  <c r="H327" i="1"/>
  <c r="H328" i="1"/>
  <c r="P323" i="1"/>
  <c r="AI323" i="1" s="1"/>
  <c r="P327" i="1"/>
  <c r="P326" i="1"/>
  <c r="P329" i="1"/>
  <c r="AI324" i="1"/>
  <c r="BF771" i="1" l="1"/>
  <c r="BD771" i="1"/>
  <c r="BB772" i="1"/>
  <c r="AZ772" i="1" s="1"/>
  <c r="BH772" i="1" s="1"/>
  <c r="BD843" i="1"/>
  <c r="BF1025" i="1"/>
  <c r="BD1063" i="1"/>
  <c r="BD1099" i="1"/>
  <c r="BF1099" i="1"/>
  <c r="BF806" i="1"/>
  <c r="BD806" i="1"/>
  <c r="AZ806" i="1"/>
  <c r="BH806" i="1" s="1"/>
  <c r="BD917" i="1"/>
  <c r="BH917" i="1"/>
  <c r="BF988" i="1"/>
  <c r="AZ989" i="1"/>
  <c r="BH989" i="1" s="1"/>
  <c r="AX990" i="1"/>
  <c r="BB989" i="1"/>
  <c r="BF989" i="1" s="1"/>
  <c r="AZ843" i="1"/>
  <c r="BH843" i="1" s="1"/>
  <c r="BH684" i="1"/>
  <c r="BF684" i="1"/>
  <c r="AZ685" i="1"/>
  <c r="BB685" i="1" s="1"/>
  <c r="BF685" i="1" s="1"/>
  <c r="BD735" i="1"/>
  <c r="BH735" i="1"/>
  <c r="AX737" i="1"/>
  <c r="AZ736" i="1"/>
  <c r="BB736" i="1" s="1"/>
  <c r="BF736" i="1" s="1"/>
  <c r="BB1026" i="1"/>
  <c r="BF1026" i="1" s="1"/>
  <c r="AZ1026" i="1"/>
  <c r="BH1026" i="1" s="1"/>
  <c r="BB879" i="1"/>
  <c r="BB844" i="1"/>
  <c r="BD844" i="1" s="1"/>
  <c r="BH878" i="1"/>
  <c r="BF878" i="1"/>
  <c r="BD950" i="1"/>
  <c r="BB880" i="1"/>
  <c r="AZ880" i="1" s="1"/>
  <c r="BH950" i="1"/>
  <c r="AZ919" i="1"/>
  <c r="BB919" i="1" s="1"/>
  <c r="BF919" i="1" s="1"/>
  <c r="AX920" i="1"/>
  <c r="AZ918" i="1"/>
  <c r="BB918" i="1" s="1"/>
  <c r="BD918" i="1" s="1"/>
  <c r="BB1100" i="1"/>
  <c r="AZ1100" i="1"/>
  <c r="BH1100" i="1" s="1"/>
  <c r="BB1064" i="1"/>
  <c r="BF1064" i="1" s="1"/>
  <c r="AZ1064" i="1"/>
  <c r="BH1064" i="1" s="1"/>
  <c r="AZ951" i="1"/>
  <c r="BB951" i="1" s="1"/>
  <c r="BF951" i="1" s="1"/>
  <c r="BB807" i="1"/>
  <c r="H285" i="1"/>
  <c r="K277" i="1"/>
  <c r="AL277" i="1" s="1"/>
  <c r="AI263" i="1" s="1"/>
  <c r="X326" i="1"/>
  <c r="H283" i="1"/>
  <c r="H284" i="1"/>
  <c r="AF329" i="1"/>
  <c r="H282" i="1"/>
  <c r="T328" i="1"/>
  <c r="J331" i="1" s="1"/>
  <c r="H286" i="1"/>
  <c r="X327" i="1"/>
  <c r="BD772" i="1" l="1"/>
  <c r="BF772" i="1"/>
  <c r="BB773" i="1"/>
  <c r="AZ773" i="1" s="1"/>
  <c r="BH773" i="1" s="1"/>
  <c r="BD1026" i="1"/>
  <c r="BD1064" i="1"/>
  <c r="BD807" i="1"/>
  <c r="BF807" i="1"/>
  <c r="BF844" i="1"/>
  <c r="BF1100" i="1"/>
  <c r="BD1100" i="1"/>
  <c r="BH918" i="1"/>
  <c r="BF918" i="1"/>
  <c r="AZ807" i="1"/>
  <c r="BH807" i="1" s="1"/>
  <c r="BH919" i="1"/>
  <c r="BD919" i="1"/>
  <c r="BD989" i="1"/>
  <c r="AX992" i="1"/>
  <c r="AX991" i="1"/>
  <c r="AZ990" i="1"/>
  <c r="BH990" i="1" s="1"/>
  <c r="BB990" i="1"/>
  <c r="BF990" i="1" s="1"/>
  <c r="AZ879" i="1"/>
  <c r="BH879" i="1" s="1"/>
  <c r="AZ844" i="1"/>
  <c r="BH844" i="1" s="1"/>
  <c r="BH685" i="1"/>
  <c r="BD685" i="1"/>
  <c r="AZ686" i="1"/>
  <c r="BB686" i="1" s="1"/>
  <c r="BF686" i="1" s="1"/>
  <c r="BD736" i="1"/>
  <c r="BH736" i="1"/>
  <c r="AZ737" i="1"/>
  <c r="BB737" i="1" s="1"/>
  <c r="BF737" i="1" s="1"/>
  <c r="AX738" i="1"/>
  <c r="AX739" i="1"/>
  <c r="BB1027" i="1"/>
  <c r="BD1027" i="1" s="1"/>
  <c r="AZ1027" i="1"/>
  <c r="BH1027" i="1" s="1"/>
  <c r="BF879" i="1"/>
  <c r="BD879" i="1"/>
  <c r="BB845" i="1"/>
  <c r="BD845" i="1" s="1"/>
  <c r="BD951" i="1"/>
  <c r="BH951" i="1"/>
  <c r="BB881" i="1"/>
  <c r="AZ881" i="1" s="1"/>
  <c r="BD880" i="1"/>
  <c r="BF880" i="1"/>
  <c r="AX921" i="1"/>
  <c r="AZ920" i="1"/>
  <c r="BB920" i="1" s="1"/>
  <c r="BD920" i="1" s="1"/>
  <c r="AZ1101" i="1"/>
  <c r="BH1101" i="1" s="1"/>
  <c r="BB1101" i="1"/>
  <c r="BB1065" i="1"/>
  <c r="BD1065" i="1" s="1"/>
  <c r="AZ1065" i="1"/>
  <c r="BH1065" i="1" s="1"/>
  <c r="AZ952" i="1"/>
  <c r="BB952" i="1" s="1"/>
  <c r="BD952" i="1" s="1"/>
  <c r="BH880" i="1"/>
  <c r="BB808" i="1"/>
  <c r="N284" i="1"/>
  <c r="AC284" i="1" s="1"/>
  <c r="J287" i="1" s="1"/>
  <c r="P285" i="1"/>
  <c r="AQ285" i="1" s="1"/>
  <c r="P283" i="1"/>
  <c r="AI283" i="1" s="1"/>
  <c r="P282" i="1"/>
  <c r="AI282" i="1" s="1"/>
  <c r="P286" i="1"/>
  <c r="AQ286" i="1" s="1"/>
  <c r="BF773" i="1" l="1"/>
  <c r="BD773" i="1"/>
  <c r="BB775" i="1"/>
  <c r="AZ775" i="1" s="1"/>
  <c r="BH775" i="1" s="1"/>
  <c r="AX776" i="1"/>
  <c r="BB774" i="1"/>
  <c r="AZ774" i="1" s="1"/>
  <c r="BH774" i="1" s="1"/>
  <c r="BF1027" i="1"/>
  <c r="BD1101" i="1"/>
  <c r="BF1101" i="1"/>
  <c r="BF1065" i="1"/>
  <c r="BD808" i="1"/>
  <c r="BF808" i="1"/>
  <c r="BF845" i="1"/>
  <c r="BF920" i="1"/>
  <c r="BH920" i="1"/>
  <c r="AZ808" i="1"/>
  <c r="BH808" i="1" s="1"/>
  <c r="BD990" i="1"/>
  <c r="AX993" i="1"/>
  <c r="AZ991" i="1"/>
  <c r="BH991" i="1" s="1"/>
  <c r="BB991" i="1"/>
  <c r="BF991" i="1" s="1"/>
  <c r="AZ992" i="1"/>
  <c r="BH992" i="1" s="1"/>
  <c r="BB992" i="1"/>
  <c r="BD992" i="1" s="1"/>
  <c r="AZ845" i="1"/>
  <c r="BH845" i="1" s="1"/>
  <c r="BH686" i="1"/>
  <c r="BD686" i="1"/>
  <c r="AZ687" i="1"/>
  <c r="BB687" i="1" s="1"/>
  <c r="BD687" i="1" s="1"/>
  <c r="BD737" i="1"/>
  <c r="BH737" i="1"/>
  <c r="AZ739" i="1"/>
  <c r="BB739" i="1" s="1"/>
  <c r="BD739" i="1" s="1"/>
  <c r="AX740" i="1"/>
  <c r="AZ738" i="1"/>
  <c r="BB738" i="1" s="1"/>
  <c r="BF738" i="1" s="1"/>
  <c r="BB1028" i="1"/>
  <c r="BD1028" i="1" s="1"/>
  <c r="AZ1028" i="1"/>
  <c r="BH1028" i="1" s="1"/>
  <c r="BB846" i="1"/>
  <c r="BD846" i="1" s="1"/>
  <c r="AX848" i="1"/>
  <c r="BB847" i="1"/>
  <c r="BF847" i="1" s="1"/>
  <c r="BF952" i="1"/>
  <c r="BB883" i="1"/>
  <c r="AZ883" i="1" s="1"/>
  <c r="BF881" i="1"/>
  <c r="BD881" i="1"/>
  <c r="BH952" i="1"/>
  <c r="AX922" i="1"/>
  <c r="AZ921" i="1"/>
  <c r="BB921" i="1" s="1"/>
  <c r="BF921" i="1" s="1"/>
  <c r="BB1102" i="1"/>
  <c r="AZ1102" i="1"/>
  <c r="BH1102" i="1" s="1"/>
  <c r="AZ1066" i="1"/>
  <c r="BH1066" i="1" s="1"/>
  <c r="BB1066" i="1"/>
  <c r="BD1066" i="1" s="1"/>
  <c r="AZ953" i="1"/>
  <c r="BB953" i="1" s="1"/>
  <c r="BD953" i="1" s="1"/>
  <c r="BH881" i="1"/>
  <c r="BB809" i="1"/>
  <c r="BF774" i="1" l="1"/>
  <c r="BD774" i="1"/>
  <c r="BF775" i="1"/>
  <c r="BD775" i="1"/>
  <c r="AX777" i="1"/>
  <c r="BB776" i="1"/>
  <c r="AZ776" i="1" s="1"/>
  <c r="BH776" i="1" s="1"/>
  <c r="BD809" i="1"/>
  <c r="BF809" i="1"/>
  <c r="BD1102" i="1"/>
  <c r="BF1102" i="1"/>
  <c r="BD847" i="1"/>
  <c r="BF1028" i="1"/>
  <c r="BF846" i="1"/>
  <c r="BF1066" i="1"/>
  <c r="BD921" i="1"/>
  <c r="AZ809" i="1"/>
  <c r="BH809" i="1" s="1"/>
  <c r="BH921" i="1"/>
  <c r="BF992" i="1"/>
  <c r="BD991" i="1"/>
  <c r="BB993" i="1"/>
  <c r="BD993" i="1" s="1"/>
  <c r="AZ993" i="1"/>
  <c r="BH993" i="1" s="1"/>
  <c r="AX994" i="1"/>
  <c r="BH739" i="1"/>
  <c r="AZ847" i="1"/>
  <c r="BH847" i="1" s="1"/>
  <c r="AZ846" i="1"/>
  <c r="BH846" i="1" s="1"/>
  <c r="BH687" i="1"/>
  <c r="BF687" i="1"/>
  <c r="AZ688" i="1"/>
  <c r="BB688" i="1" s="1"/>
  <c r="BD688" i="1" s="1"/>
  <c r="BD738" i="1"/>
  <c r="BH738" i="1"/>
  <c r="BH740" i="1"/>
  <c r="BF739" i="1"/>
  <c r="AX741" i="1"/>
  <c r="AZ740" i="1"/>
  <c r="BB740" i="1" s="1"/>
  <c r="BD740" i="1" s="1"/>
  <c r="AX1031" i="1"/>
  <c r="BB1029" i="1"/>
  <c r="BF1029" i="1" s="1"/>
  <c r="AZ1029" i="1"/>
  <c r="BH1029" i="1" s="1"/>
  <c r="BB1030" i="1"/>
  <c r="BF1030" i="1" s="1"/>
  <c r="AZ1030" i="1"/>
  <c r="BH1030" i="1" s="1"/>
  <c r="BB882" i="1"/>
  <c r="AX849" i="1"/>
  <c r="BB848" i="1"/>
  <c r="BF848" i="1" s="1"/>
  <c r="BH953" i="1"/>
  <c r="AX884" i="1"/>
  <c r="BB884" i="1" s="1"/>
  <c r="AZ884" i="1" s="1"/>
  <c r="BF953" i="1"/>
  <c r="AX923" i="1"/>
  <c r="AZ922" i="1"/>
  <c r="BB922" i="1" s="1"/>
  <c r="BF922" i="1" s="1"/>
  <c r="BD883" i="1"/>
  <c r="BF883" i="1"/>
  <c r="BB1104" i="1"/>
  <c r="AZ1104" i="1"/>
  <c r="BH1104" i="1" s="1"/>
  <c r="AX1105" i="1"/>
  <c r="BB1103" i="1"/>
  <c r="BD1103" i="1" s="1"/>
  <c r="AZ1103" i="1"/>
  <c r="BH1103" i="1" s="1"/>
  <c r="AX1069" i="1"/>
  <c r="BB1067" i="1"/>
  <c r="BD1067" i="1" s="1"/>
  <c r="AZ1067" i="1"/>
  <c r="BH1067" i="1" s="1"/>
  <c r="BB1068" i="1"/>
  <c r="BD1068" i="1" s="1"/>
  <c r="AZ1068" i="1"/>
  <c r="BH1068" i="1" s="1"/>
  <c r="AZ955" i="1"/>
  <c r="BB955" i="1" s="1"/>
  <c r="BF955" i="1" s="1"/>
  <c r="AX956" i="1"/>
  <c r="AZ954" i="1"/>
  <c r="BB954" i="1" s="1"/>
  <c r="BD954" i="1" s="1"/>
  <c r="BB810" i="1"/>
  <c r="BB811" i="1"/>
  <c r="BD776" i="1" l="1"/>
  <c r="BF776" i="1"/>
  <c r="BB777" i="1"/>
  <c r="AZ777" i="1" s="1"/>
  <c r="BH777" i="1" s="1"/>
  <c r="AX778" i="1"/>
  <c r="BD1029" i="1"/>
  <c r="BD1030" i="1"/>
  <c r="BF1067" i="1"/>
  <c r="BF1068" i="1"/>
  <c r="BD848" i="1"/>
  <c r="BD811" i="1"/>
  <c r="BF811" i="1"/>
  <c r="BD1104" i="1"/>
  <c r="BF1104" i="1"/>
  <c r="BD810" i="1"/>
  <c r="BF810" i="1"/>
  <c r="BF1103" i="1"/>
  <c r="AZ811" i="1"/>
  <c r="BH811" i="1" s="1"/>
  <c r="AZ810" i="1"/>
  <c r="BH810" i="1" s="1"/>
  <c r="BD922" i="1"/>
  <c r="BH922" i="1"/>
  <c r="BF993" i="1"/>
  <c r="BB994" i="1"/>
  <c r="BD994" i="1" s="1"/>
  <c r="AX995" i="1"/>
  <c r="AZ994" i="1"/>
  <c r="BH994" i="1" s="1"/>
  <c r="AZ882" i="1"/>
  <c r="BH882" i="1" s="1"/>
  <c r="AZ848" i="1"/>
  <c r="BH848" i="1" s="1"/>
  <c r="BH688" i="1"/>
  <c r="AZ689" i="1"/>
  <c r="BB689" i="1" s="1"/>
  <c r="BF689" i="1" s="1"/>
  <c r="BF688" i="1"/>
  <c r="BH741" i="1"/>
  <c r="BF740" i="1"/>
  <c r="AX742" i="1"/>
  <c r="AZ741" i="1"/>
  <c r="BB741" i="1" s="1"/>
  <c r="BF741" i="1" s="1"/>
  <c r="AX1032" i="1"/>
  <c r="BB1031" i="1"/>
  <c r="BD1031" i="1" s="1"/>
  <c r="AZ1031" i="1"/>
  <c r="BH1031" i="1" s="1"/>
  <c r="BD882" i="1"/>
  <c r="BF882" i="1"/>
  <c r="AX850" i="1"/>
  <c r="BB849" i="1"/>
  <c r="BF849" i="1" s="1"/>
  <c r="BD955" i="1"/>
  <c r="BH955" i="1"/>
  <c r="BH954" i="1"/>
  <c r="BF954" i="1"/>
  <c r="AX885" i="1"/>
  <c r="BB885" i="1" s="1"/>
  <c r="AZ885" i="1" s="1"/>
  <c r="BD884" i="1"/>
  <c r="BF884" i="1"/>
  <c r="AX924" i="1"/>
  <c r="AZ923" i="1"/>
  <c r="BB923" i="1" s="1"/>
  <c r="BD923" i="1" s="1"/>
  <c r="BH883" i="1"/>
  <c r="BB1105" i="1"/>
  <c r="BD1105" i="1" s="1"/>
  <c r="AZ1105" i="1"/>
  <c r="BH1105" i="1" s="1"/>
  <c r="AX1106" i="1"/>
  <c r="BB1069" i="1"/>
  <c r="BD1069" i="1" s="1"/>
  <c r="AZ1069" i="1"/>
  <c r="BH1069" i="1" s="1"/>
  <c r="AX1070" i="1"/>
  <c r="AX957" i="1"/>
  <c r="AZ956" i="1"/>
  <c r="BB956" i="1" s="1"/>
  <c r="BD956" i="1" s="1"/>
  <c r="BH884" i="1"/>
  <c r="BB812" i="1"/>
  <c r="BD777" i="1" l="1"/>
  <c r="BF777" i="1"/>
  <c r="BB778" i="1"/>
  <c r="AZ778" i="1" s="1"/>
  <c r="BH778" i="1" s="1"/>
  <c r="AX779" i="1"/>
  <c r="BD849" i="1"/>
  <c r="BF1031" i="1"/>
  <c r="BF1069" i="1"/>
  <c r="BF1105" i="1"/>
  <c r="BD812" i="1"/>
  <c r="BF812" i="1"/>
  <c r="AZ812" i="1"/>
  <c r="BH812" i="1" s="1"/>
  <c r="BH923" i="1"/>
  <c r="BF923" i="1"/>
  <c r="BF994" i="1"/>
  <c r="BB995" i="1"/>
  <c r="BD995" i="1" s="1"/>
  <c r="AX996" i="1"/>
  <c r="AZ995" i="1"/>
  <c r="BH995" i="1" s="1"/>
  <c r="AZ849" i="1"/>
  <c r="BH849" i="1" s="1"/>
  <c r="BD689" i="1"/>
  <c r="BH689" i="1"/>
  <c r="AZ690" i="1"/>
  <c r="BB690" i="1" s="1"/>
  <c r="BD690" i="1" s="1"/>
  <c r="BH742" i="1"/>
  <c r="BD741" i="1"/>
  <c r="AX743" i="1"/>
  <c r="AZ742" i="1"/>
  <c r="BB742" i="1" s="1"/>
  <c r="BF742" i="1" s="1"/>
  <c r="AX1033" i="1"/>
  <c r="BB1032" i="1"/>
  <c r="BF1032" i="1" s="1"/>
  <c r="AZ1032" i="1"/>
  <c r="BH1032" i="1" s="1"/>
  <c r="AX851" i="1"/>
  <c r="BB850" i="1"/>
  <c r="BD850" i="1" s="1"/>
  <c r="BF956" i="1"/>
  <c r="BH956" i="1"/>
  <c r="AX886" i="1"/>
  <c r="BB886" i="1" s="1"/>
  <c r="AZ886" i="1" s="1"/>
  <c r="BF885" i="1"/>
  <c r="BD885" i="1"/>
  <c r="AX925" i="1"/>
  <c r="AZ924" i="1"/>
  <c r="BB924" i="1" s="1"/>
  <c r="BD924" i="1" s="1"/>
  <c r="BB1106" i="1"/>
  <c r="BD1106" i="1" s="1"/>
  <c r="AZ1106" i="1"/>
  <c r="BH1106" i="1" s="1"/>
  <c r="AX1107" i="1"/>
  <c r="BB1070" i="1"/>
  <c r="BD1070" i="1" s="1"/>
  <c r="AZ1070" i="1"/>
  <c r="BH1070" i="1" s="1"/>
  <c r="AX1071" i="1"/>
  <c r="AZ957" i="1"/>
  <c r="BB957" i="1" s="1"/>
  <c r="BD957" i="1" s="1"/>
  <c r="AX958" i="1"/>
  <c r="BH885" i="1"/>
  <c r="BB813" i="1"/>
  <c r="BD778" i="1" l="1"/>
  <c r="BF778" i="1"/>
  <c r="AX780" i="1"/>
  <c r="BB779" i="1"/>
  <c r="AZ779" i="1" s="1"/>
  <c r="BH779" i="1" s="1"/>
  <c r="BF1070" i="1"/>
  <c r="AX1108" i="1"/>
  <c r="BF1106" i="1"/>
  <c r="BD1032" i="1"/>
  <c r="BD813" i="1"/>
  <c r="BF813" i="1"/>
  <c r="BF850" i="1"/>
  <c r="AZ813" i="1"/>
  <c r="BH813" i="1" s="1"/>
  <c r="BH924" i="1"/>
  <c r="BF924" i="1"/>
  <c r="BF995" i="1"/>
  <c r="AX997" i="1"/>
  <c r="BB996" i="1"/>
  <c r="BF996" i="1" s="1"/>
  <c r="AZ996" i="1"/>
  <c r="BH996" i="1" s="1"/>
  <c r="AZ850" i="1"/>
  <c r="BH850" i="1" s="1"/>
  <c r="BH690" i="1"/>
  <c r="BF690" i="1"/>
  <c r="AZ691" i="1"/>
  <c r="BB691" i="1" s="1"/>
  <c r="BD691" i="1" s="1"/>
  <c r="BH743" i="1"/>
  <c r="BD742" i="1"/>
  <c r="AX744" i="1"/>
  <c r="AZ743" i="1"/>
  <c r="BB743" i="1" s="1"/>
  <c r="BF743" i="1" s="1"/>
  <c r="AX1034" i="1"/>
  <c r="BB1033" i="1"/>
  <c r="BF1033" i="1" s="1"/>
  <c r="AZ1033" i="1"/>
  <c r="BH1033" i="1" s="1"/>
  <c r="AX852" i="1"/>
  <c r="BB851" i="1"/>
  <c r="BD851" i="1" s="1"/>
  <c r="BH957" i="1"/>
  <c r="BF957" i="1"/>
  <c r="AX887" i="1"/>
  <c r="BB887" i="1" s="1"/>
  <c r="AZ887" i="1" s="1"/>
  <c r="BD886" i="1"/>
  <c r="BF886" i="1"/>
  <c r="AX926" i="1"/>
  <c r="AZ925" i="1"/>
  <c r="BB925" i="1" s="1"/>
  <c r="BF925" i="1" s="1"/>
  <c r="BB1107" i="1"/>
  <c r="BD1107" i="1" s="1"/>
  <c r="AZ1107" i="1"/>
  <c r="BH1107" i="1" s="1"/>
  <c r="AX1072" i="1"/>
  <c r="BB1071" i="1"/>
  <c r="BF1071" i="1" s="1"/>
  <c r="AZ1071" i="1"/>
  <c r="BH1071" i="1" s="1"/>
  <c r="AX959" i="1"/>
  <c r="AZ958" i="1"/>
  <c r="BB958" i="1" s="1"/>
  <c r="BF958" i="1" s="1"/>
  <c r="BH886" i="1"/>
  <c r="BB814" i="1"/>
  <c r="BD779" i="1" l="1"/>
  <c r="BF779" i="1"/>
  <c r="BD1033" i="1"/>
  <c r="AX781" i="1"/>
  <c r="BB780" i="1"/>
  <c r="AZ780" i="1" s="1"/>
  <c r="BH780" i="1" s="1"/>
  <c r="BF851" i="1"/>
  <c r="BD814" i="1"/>
  <c r="BF814" i="1"/>
  <c r="BD1071" i="1"/>
  <c r="BF1107" i="1"/>
  <c r="AX1109" i="1"/>
  <c r="BH925" i="1"/>
  <c r="BD925" i="1"/>
  <c r="AZ814" i="1"/>
  <c r="BH814" i="1" s="1"/>
  <c r="BD996" i="1"/>
  <c r="AX998" i="1"/>
  <c r="BB997" i="1"/>
  <c r="BF997" i="1" s="1"/>
  <c r="AZ997" i="1"/>
  <c r="BH997" i="1" s="1"/>
  <c r="AZ851" i="1"/>
  <c r="BH851" i="1" s="1"/>
  <c r="BH691" i="1"/>
  <c r="AZ692" i="1"/>
  <c r="BF691" i="1"/>
  <c r="BH744" i="1"/>
  <c r="BD743" i="1"/>
  <c r="AX745" i="1"/>
  <c r="AZ744" i="1"/>
  <c r="BB744" i="1" s="1"/>
  <c r="BF744" i="1" s="1"/>
  <c r="AX1035" i="1"/>
  <c r="BB1034" i="1"/>
  <c r="BD1034" i="1" s="1"/>
  <c r="AZ1034" i="1"/>
  <c r="BH1034" i="1" s="1"/>
  <c r="AX853" i="1"/>
  <c r="BB852" i="1"/>
  <c r="BF852" i="1" s="1"/>
  <c r="AX888" i="1"/>
  <c r="BB888" i="1" s="1"/>
  <c r="AZ888" i="1" s="1"/>
  <c r="BH958" i="1"/>
  <c r="BD958" i="1"/>
  <c r="BF887" i="1"/>
  <c r="AX927" i="1"/>
  <c r="AZ926" i="1"/>
  <c r="BB926" i="1" s="1"/>
  <c r="BD926" i="1" s="1"/>
  <c r="BB1108" i="1"/>
  <c r="BD1108" i="1" s="1"/>
  <c r="AZ1108" i="1"/>
  <c r="BH1108" i="1" s="1"/>
  <c r="AX1073" i="1"/>
  <c r="BB1072" i="1"/>
  <c r="BD1072" i="1" s="1"/>
  <c r="AZ1072" i="1"/>
  <c r="BH1072" i="1" s="1"/>
  <c r="AX960" i="1"/>
  <c r="AZ959" i="1"/>
  <c r="BB959" i="1" s="1"/>
  <c r="BD959" i="1" s="1"/>
  <c r="BB815" i="1"/>
  <c r="BD780" i="1" l="1"/>
  <c r="BF780" i="1"/>
  <c r="BF1108" i="1"/>
  <c r="AX782" i="1"/>
  <c r="BB781" i="1"/>
  <c r="AZ781" i="1" s="1"/>
  <c r="BH781" i="1" s="1"/>
  <c r="BD852" i="1"/>
  <c r="AX1110" i="1"/>
  <c r="BF1034" i="1"/>
  <c r="BD815" i="1"/>
  <c r="BF815" i="1"/>
  <c r="BF1072" i="1"/>
  <c r="BD997" i="1"/>
  <c r="BH926" i="1"/>
  <c r="AZ815" i="1"/>
  <c r="BH815" i="1" s="1"/>
  <c r="BF926" i="1"/>
  <c r="AX999" i="1"/>
  <c r="BB998" i="1"/>
  <c r="BD998" i="1" s="1"/>
  <c r="AZ998" i="1"/>
  <c r="BH998" i="1" s="1"/>
  <c r="AZ852" i="1"/>
  <c r="BH852" i="1" s="1"/>
  <c r="BB692" i="1"/>
  <c r="BD692" i="1" s="1"/>
  <c r="BH692" i="1"/>
  <c r="AZ693" i="1"/>
  <c r="BB693" i="1" s="1"/>
  <c r="BF693" i="1" s="1"/>
  <c r="BH745" i="1"/>
  <c r="BD744" i="1"/>
  <c r="AX746" i="1"/>
  <c r="AZ745" i="1"/>
  <c r="BB745" i="1" s="1"/>
  <c r="BF745" i="1" s="1"/>
  <c r="AX1036" i="1"/>
  <c r="BB1035" i="1"/>
  <c r="BF1035" i="1" s="1"/>
  <c r="AZ1035" i="1"/>
  <c r="BH1035" i="1" s="1"/>
  <c r="AX854" i="1"/>
  <c r="BB853" i="1"/>
  <c r="BD853" i="1" s="1"/>
  <c r="BF959" i="1"/>
  <c r="BH887" i="1"/>
  <c r="BD887" i="1"/>
  <c r="BH959" i="1"/>
  <c r="AX889" i="1"/>
  <c r="BB889" i="1" s="1"/>
  <c r="AZ889" i="1" s="1"/>
  <c r="BF888" i="1"/>
  <c r="BD888" i="1"/>
  <c r="AX928" i="1"/>
  <c r="AZ927" i="1"/>
  <c r="BB927" i="1" s="1"/>
  <c r="BD927" i="1" s="1"/>
  <c r="AZ1109" i="1"/>
  <c r="BH1109" i="1" s="1"/>
  <c r="BB1109" i="1"/>
  <c r="BD1109" i="1" s="1"/>
  <c r="AX1074" i="1"/>
  <c r="BB1073" i="1"/>
  <c r="BD1073" i="1" s="1"/>
  <c r="AZ1073" i="1"/>
  <c r="BH1073" i="1" s="1"/>
  <c r="AX961" i="1"/>
  <c r="AZ960" i="1"/>
  <c r="BB960" i="1" s="1"/>
  <c r="BD960" i="1" s="1"/>
  <c r="BH888" i="1"/>
  <c r="BB816" i="1"/>
  <c r="BD781" i="1" l="1"/>
  <c r="BF781" i="1"/>
  <c r="AX783" i="1"/>
  <c r="BB782" i="1"/>
  <c r="AZ782" i="1" s="1"/>
  <c r="BH782" i="1" s="1"/>
  <c r="BD1035" i="1"/>
  <c r="BF853" i="1"/>
  <c r="BF1109" i="1"/>
  <c r="BF1073" i="1"/>
  <c r="BF998" i="1"/>
  <c r="AX1111" i="1"/>
  <c r="BF816" i="1"/>
  <c r="BD816" i="1"/>
  <c r="AZ816" i="1"/>
  <c r="BH816" i="1" s="1"/>
  <c r="BF927" i="1"/>
  <c r="BH927" i="1"/>
  <c r="AX1000" i="1"/>
  <c r="AZ999" i="1"/>
  <c r="BH999" i="1"/>
  <c r="BB999" i="1"/>
  <c r="BF999" i="1" s="1"/>
  <c r="AZ853" i="1"/>
  <c r="BH853" i="1" s="1"/>
  <c r="BF692" i="1"/>
  <c r="BH693" i="1"/>
  <c r="BD693" i="1"/>
  <c r="AZ694" i="1"/>
  <c r="BB694" i="1" s="1"/>
  <c r="BD694" i="1" s="1"/>
  <c r="BH746" i="1"/>
  <c r="BD745" i="1"/>
  <c r="AX747" i="1"/>
  <c r="AZ746" i="1"/>
  <c r="BB746" i="1" s="1"/>
  <c r="BF746" i="1" s="1"/>
  <c r="AX1037" i="1"/>
  <c r="BB1036" i="1"/>
  <c r="BF1036" i="1" s="1"/>
  <c r="AZ1036" i="1"/>
  <c r="BH1036" i="1" s="1"/>
  <c r="AX855" i="1"/>
  <c r="BB854" i="1"/>
  <c r="BD854" i="1" s="1"/>
  <c r="BF960" i="1"/>
  <c r="AX890" i="1"/>
  <c r="BB890" i="1" s="1"/>
  <c r="AZ890" i="1" s="1"/>
  <c r="BD889" i="1"/>
  <c r="BF889" i="1"/>
  <c r="BH960" i="1"/>
  <c r="AZ928" i="1"/>
  <c r="BB928" i="1" s="1"/>
  <c r="BD928" i="1" s="1"/>
  <c r="BB1110" i="1"/>
  <c r="BF1110" i="1" s="1"/>
  <c r="AZ1110" i="1"/>
  <c r="BH1110" i="1" s="1"/>
  <c r="AX1075" i="1"/>
  <c r="AZ1074" i="1"/>
  <c r="BH1074" i="1" s="1"/>
  <c r="BB1074" i="1"/>
  <c r="BD1074" i="1" s="1"/>
  <c r="AX962" i="1"/>
  <c r="AZ961" i="1"/>
  <c r="BB961" i="1" s="1"/>
  <c r="BD961" i="1" s="1"/>
  <c r="BH889" i="1"/>
  <c r="BB817" i="1"/>
  <c r="BD782" i="1" l="1"/>
  <c r="BF782" i="1"/>
  <c r="AX784" i="1"/>
  <c r="BB784" i="1" s="1"/>
  <c r="AZ784" i="1" s="1"/>
  <c r="BB783" i="1"/>
  <c r="AZ783" i="1" s="1"/>
  <c r="BH783" i="1" s="1"/>
  <c r="BD1036" i="1"/>
  <c r="BF817" i="1"/>
  <c r="BD817" i="1"/>
  <c r="BD1110" i="1"/>
  <c r="BF1074" i="1"/>
  <c r="BF854" i="1"/>
  <c r="AX1112" i="1"/>
  <c r="BH928" i="1"/>
  <c r="BF928" i="1"/>
  <c r="AZ817" i="1"/>
  <c r="BH817" i="1" s="1"/>
  <c r="BD999" i="1"/>
  <c r="BB1000" i="1"/>
  <c r="BF1000" i="1" s="1"/>
  <c r="AX1001" i="1"/>
  <c r="AZ1000" i="1"/>
  <c r="BH1000" i="1" s="1"/>
  <c r="AZ854" i="1"/>
  <c r="BH854" i="1" s="1"/>
  <c r="BH694" i="1"/>
  <c r="BF694" i="1"/>
  <c r="AZ695" i="1"/>
  <c r="BB695" i="1" s="1"/>
  <c r="BF695" i="1" s="1"/>
  <c r="BH747" i="1"/>
  <c r="BD746" i="1"/>
  <c r="AX748" i="1"/>
  <c r="AZ747" i="1"/>
  <c r="BB747" i="1" s="1"/>
  <c r="BD747" i="1" s="1"/>
  <c r="AX1038" i="1"/>
  <c r="BB1037" i="1"/>
  <c r="BF1037" i="1" s="1"/>
  <c r="AZ1037" i="1"/>
  <c r="BH1037" i="1" s="1"/>
  <c r="AX856" i="1"/>
  <c r="BB855" i="1"/>
  <c r="BD855" i="1" s="1"/>
  <c r="BH961" i="1"/>
  <c r="AX891" i="1"/>
  <c r="BB891" i="1" s="1"/>
  <c r="AZ891" i="1" s="1"/>
  <c r="BF890" i="1"/>
  <c r="BD890" i="1"/>
  <c r="BF961" i="1"/>
  <c r="BB1111" i="1"/>
  <c r="BD1111" i="1" s="1"/>
  <c r="AZ1111" i="1"/>
  <c r="BH1111" i="1" s="1"/>
  <c r="AX1076" i="1"/>
  <c r="BB1075" i="1"/>
  <c r="BF1075" i="1" s="1"/>
  <c r="AZ1075" i="1"/>
  <c r="BH1075" i="1" s="1"/>
  <c r="AX963" i="1"/>
  <c r="AZ962" i="1"/>
  <c r="BB962" i="1" s="1"/>
  <c r="BD962" i="1" s="1"/>
  <c r="BH890" i="1"/>
  <c r="BB818" i="1"/>
  <c r="BF783" i="1" l="1"/>
  <c r="BD783" i="1"/>
  <c r="BH784" i="1"/>
  <c r="BF1111" i="1"/>
  <c r="BD1075" i="1"/>
  <c r="BD1037" i="1"/>
  <c r="BF818" i="1"/>
  <c r="BD818" i="1"/>
  <c r="AX1113" i="1"/>
  <c r="BF855" i="1"/>
  <c r="BB856" i="1"/>
  <c r="AZ856" i="1" s="1"/>
  <c r="BH856" i="1" s="1"/>
  <c r="AZ818" i="1"/>
  <c r="BH818" i="1" s="1"/>
  <c r="BD1000" i="1"/>
  <c r="BB1001" i="1"/>
  <c r="BD1001" i="1" s="1"/>
  <c r="AZ1001" i="1"/>
  <c r="BH1001" i="1" s="1"/>
  <c r="AZ855" i="1"/>
  <c r="BH855" i="1" s="1"/>
  <c r="BH695" i="1"/>
  <c r="BD695" i="1"/>
  <c r="AZ696" i="1"/>
  <c r="BB696" i="1" s="1"/>
  <c r="BD696" i="1" s="1"/>
  <c r="BH748" i="1"/>
  <c r="BF747" i="1"/>
  <c r="AZ748" i="1"/>
  <c r="BB748" i="1" s="1"/>
  <c r="BD748" i="1" s="1"/>
  <c r="AX1039" i="1"/>
  <c r="BB1038" i="1"/>
  <c r="BF1038" i="1" s="1"/>
  <c r="AZ1038" i="1"/>
  <c r="BH1038" i="1" s="1"/>
  <c r="BF962" i="1"/>
  <c r="BH962" i="1"/>
  <c r="AX892" i="1"/>
  <c r="BB892" i="1" s="1"/>
  <c r="AZ892" i="1" s="1"/>
  <c r="BF891" i="1"/>
  <c r="BD891" i="1"/>
  <c r="BB1112" i="1"/>
  <c r="BD1112" i="1" s="1"/>
  <c r="AZ1112" i="1"/>
  <c r="BH1112" i="1" s="1"/>
  <c r="AX1077" i="1"/>
  <c r="BB1076" i="1"/>
  <c r="BD1076" i="1" s="1"/>
  <c r="AZ1076" i="1"/>
  <c r="BH1076" i="1" s="1"/>
  <c r="AX964" i="1"/>
  <c r="AZ963" i="1"/>
  <c r="BB963" i="1" s="1"/>
  <c r="BF963" i="1" s="1"/>
  <c r="BH891" i="1"/>
  <c r="BB819" i="1"/>
  <c r="BD784" i="1" l="1"/>
  <c r="BF784" i="1"/>
  <c r="BD856" i="1"/>
  <c r="BF856" i="1"/>
  <c r="BD1038" i="1"/>
  <c r="BF1112" i="1"/>
  <c r="BF819" i="1"/>
  <c r="BD819" i="1"/>
  <c r="BF1076" i="1"/>
  <c r="AZ819" i="1"/>
  <c r="BH819" i="1" s="1"/>
  <c r="BF1001" i="1"/>
  <c r="BH696" i="1"/>
  <c r="AZ697" i="1"/>
  <c r="BB697" i="1" s="1"/>
  <c r="BD697" i="1" s="1"/>
  <c r="BF696" i="1"/>
  <c r="BF748" i="1"/>
  <c r="BB1039" i="1"/>
  <c r="BD1039" i="1" s="1"/>
  <c r="AZ1039" i="1"/>
  <c r="BH1039" i="1" s="1"/>
  <c r="BH963" i="1"/>
  <c r="BD892" i="1"/>
  <c r="BH892" i="1"/>
  <c r="BD963" i="1"/>
  <c r="BB1113" i="1"/>
  <c r="BD1113" i="1" s="1"/>
  <c r="AZ1113" i="1"/>
  <c r="BH1113" i="1" s="1"/>
  <c r="BB1077" i="1"/>
  <c r="BD1077" i="1" s="1"/>
  <c r="AZ1077" i="1"/>
  <c r="BH1077" i="1" s="1"/>
  <c r="AZ964" i="1"/>
  <c r="BB964" i="1" s="1"/>
  <c r="BD964" i="1" s="1"/>
  <c r="BF1039" i="1" l="1"/>
  <c r="BF1077" i="1"/>
  <c r="BF1113" i="1"/>
  <c r="BF697" i="1"/>
  <c r="BH697" i="1"/>
  <c r="AZ698" i="1"/>
  <c r="BB698" i="1" s="1"/>
  <c r="BD698" i="1" s="1"/>
  <c r="BF892" i="1"/>
  <c r="BH964" i="1"/>
  <c r="BF964" i="1"/>
  <c r="BH698" i="1" l="1"/>
  <c r="BF698" i="1"/>
</calcChain>
</file>

<file path=xl/sharedStrings.xml><?xml version="1.0" encoding="utf-8"?>
<sst xmlns="http://schemas.openxmlformats.org/spreadsheetml/2006/main" count="3667" uniqueCount="100">
  <si>
    <t>KN</t>
  </si>
  <si>
    <t>m</t>
  </si>
  <si>
    <t>R=</t>
  </si>
  <si>
    <t>KN/m</t>
  </si>
  <si>
    <t>Ay =</t>
  </si>
  <si>
    <t>Ax =</t>
  </si>
  <si>
    <t>Bx =</t>
  </si>
  <si>
    <t>By =</t>
  </si>
  <si>
    <t>°</t>
  </si>
  <si>
    <t>-</t>
  </si>
  <si>
    <t>*</t>
  </si>
  <si>
    <t>Ay  *</t>
  </si>
  <si>
    <t>=</t>
  </si>
  <si>
    <t>By  +</t>
  </si>
  <si>
    <t>Ax  *</t>
  </si>
  <si>
    <t>+</t>
  </si>
  <si>
    <t>Bx  *</t>
  </si>
  <si>
    <t>a</t>
  </si>
  <si>
    <t>b</t>
  </si>
  <si>
    <t>Na =</t>
  </si>
  <si>
    <t>sin (</t>
  </si>
  <si>
    <t>cos (</t>
  </si>
  <si>
    <t>)-</t>
  </si>
  <si>
    <t>)+</t>
  </si>
  <si>
    <t>)=</t>
  </si>
  <si>
    <t>Va =</t>
  </si>
  <si>
    <t>Ma =</t>
  </si>
  <si>
    <t>KNm</t>
  </si>
  <si>
    <t>mesnet tepkileri</t>
  </si>
  <si>
    <t>kesit tesirleri</t>
  </si>
  <si>
    <t>c</t>
  </si>
  <si>
    <t>Ncb =</t>
  </si>
  <si>
    <t>Vcb =</t>
  </si>
  <si>
    <t>d</t>
  </si>
  <si>
    <t>Ncd =</t>
  </si>
  <si>
    <t>Vcd =</t>
  </si>
  <si>
    <t>Mcd =</t>
  </si>
  <si>
    <t>Mcb = Mcd =</t>
  </si>
  <si>
    <t>YARIM DAİRE KEMER HESABI</t>
  </si>
  <si>
    <t>KESİK DAİRE KEMER HESABI</t>
  </si>
  <si>
    <t>y = 4 * f * x * ( L - x ) / L²      ikinci dereceden parabol denklemi</t>
  </si>
  <si>
    <t>y =</t>
  </si>
  <si>
    <t>f =</t>
  </si>
  <si>
    <t>L=</t>
  </si>
  <si>
    <t>*(</t>
  </si>
  <si>
    <t>)/</t>
  </si>
  <si>
    <t>²=</t>
  </si>
  <si>
    <t>y = 4 * f * x * ( L - x ) / L² =</t>
  </si>
  <si>
    <t>x</t>
  </si>
  <si>
    <t>)</t>
  </si>
  <si>
    <r>
      <t xml:space="preserve">tan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1 = </t>
    </r>
    <r>
      <rPr>
        <sz val="8"/>
        <color theme="1"/>
        <rFont val="Arial"/>
        <family val="2"/>
        <charset val="162"/>
      </rPr>
      <t>y' =</t>
    </r>
  </si>
  <si>
    <r>
      <t xml:space="preserve">tan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1 = 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</si>
  <si>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1 =</t>
    </r>
  </si>
  <si>
    <r>
      <t xml:space="preserve">tan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2 = 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</si>
  <si>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2 =</t>
    </r>
  </si>
  <si>
    <t>PARABOLİK KEMER HESABI</t>
  </si>
  <si>
    <r>
      <rPr>
        <b/>
        <sz val="12"/>
        <color theme="7" tint="-0.499984740745262"/>
        <rFont val="Arial"/>
        <family val="2"/>
        <charset val="162"/>
      </rPr>
      <t xml:space="preserve">ÜÇ MAFSALLI KEMER STATİK HESAPLARI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</si>
  <si>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Dikkat sadece sarı hücrelere data girilecek.</t>
  </si>
  <si>
    <t>y</t>
  </si>
  <si>
    <t>nokta</t>
  </si>
  <si>
    <t>(m)</t>
  </si>
  <si>
    <t>(KN)</t>
  </si>
  <si>
    <t>N</t>
  </si>
  <si>
    <t>M</t>
  </si>
  <si>
    <t>(KNm)</t>
  </si>
  <si>
    <t>V</t>
  </si>
  <si>
    <t>j</t>
  </si>
  <si>
    <r>
      <t>(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>)</t>
    </r>
  </si>
  <si>
    <t>R - y</t>
  </si>
  <si>
    <t>R - x</t>
  </si>
  <si>
    <t>j°</t>
  </si>
  <si>
    <t>f - y</t>
  </si>
  <si>
    <t>L / 2 - x</t>
  </si>
  <si>
    <t>H</t>
  </si>
  <si>
    <t>H =</t>
  </si>
  <si>
    <t>Ax = 0</t>
  </si>
  <si>
    <t>(gergi)</t>
  </si>
  <si>
    <t>Nc =</t>
  </si>
  <si>
    <t>Vc =</t>
  </si>
  <si>
    <t>Mc =</t>
  </si>
  <si>
    <t>KN (gergi eksenel çekme kuvveti)</t>
  </si>
  <si>
    <t>L - x</t>
  </si>
  <si>
    <t>KESİK DAİRE GERGİLİ KEMER HESABI</t>
  </si>
  <si>
    <t>KESİK DAİRE KEMERLİ ÇERÇEVE HESABI</t>
  </si>
  <si>
    <t>e</t>
  </si>
  <si>
    <t>Ne =</t>
  </si>
  <si>
    <t>Ve =</t>
  </si>
  <si>
    <t>Me =</t>
  </si>
  <si>
    <t>Nd =</t>
  </si>
  <si>
    <t>Vd =</t>
  </si>
  <si>
    <t>Md =</t>
  </si>
  <si>
    <t>kemer kısmı kesit tesirleri</t>
  </si>
  <si>
    <t>sol kolon</t>
  </si>
  <si>
    <t>sağ kolon</t>
  </si>
  <si>
    <t>Ax  -</t>
  </si>
  <si>
    <t>(H = gergi eksenel çekme kuvveti)</t>
  </si>
  <si>
    <t>kolon üst uç kesit tesirleri</t>
  </si>
  <si>
    <t>PARABOLİK GERGİLİ KEMER HESABI</t>
  </si>
  <si>
    <t>YARIM DAİRE GERGİLİ KEMER HESABI</t>
  </si>
  <si>
    <t>KESİK DAİRE KEMERLİ ÇERÇEVE HESABI (GERGİLİ)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</si>
</sst>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0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i/>
      <u/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name val="Arial"/>
      <family val="2"/>
      <charset val="162"/>
    </font>
    <font>
      <i/>
      <sz val="8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4" borderId="39" xfId="0" applyFill="1" applyBorder="1" applyAlignment="1" applyProtection="1">
      <alignment horizontal="center" vertical="center"/>
      <protection hidden="1"/>
    </xf>
    <xf numFmtId="0" fontId="0" fillId="4" borderId="19" xfId="0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0" fillId="4" borderId="21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 vertical="center"/>
      <protection hidden="1"/>
    </xf>
    <xf numFmtId="0" fontId="0" fillId="4" borderId="20" xfId="0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4" borderId="11" xfId="0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 textRotation="90"/>
      <protection hidden="1"/>
    </xf>
    <xf numFmtId="0" fontId="0" fillId="4" borderId="35" xfId="0" applyFill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4" borderId="37" xfId="0" applyFill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 textRotation="90"/>
      <protection hidden="1"/>
    </xf>
    <xf numFmtId="0" fontId="0" fillId="4" borderId="34" xfId="0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104775</xdr:colOff>
      <xdr:row>273</xdr:row>
      <xdr:rowOff>66675</xdr:rowOff>
    </xdr:from>
    <xdr:to>
      <xdr:col>37</xdr:col>
      <xdr:colOff>66675</xdr:colOff>
      <xdr:row>273</xdr:row>
      <xdr:rowOff>66675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D484F565-039E-3982-D1D8-48E3F763A816}"/>
            </a:ext>
          </a:extLst>
        </xdr:cNvPr>
        <xdr:cNvCxnSpPr/>
      </xdr:nvCxnSpPr>
      <xdr:spPr>
        <a:xfrm>
          <a:off x="8039100" y="33261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274</xdr:row>
      <xdr:rowOff>66675</xdr:rowOff>
    </xdr:from>
    <xdr:to>
      <xdr:col>28</xdr:col>
      <xdr:colOff>38100</xdr:colOff>
      <xdr:row>274</xdr:row>
      <xdr:rowOff>66675</xdr:rowOff>
    </xdr:to>
    <xdr:cxnSp macro="">
      <xdr:nvCxnSpPr>
        <xdr:cNvPr id="154" name="Straight Arrow Connector 153">
          <a:extLst>
            <a:ext uri="{FF2B5EF4-FFF2-40B4-BE49-F238E27FC236}">
              <a16:creationId xmlns:a16="http://schemas.microsoft.com/office/drawing/2014/main" id="{88EB9D69-5305-4DAD-84D8-7C72B48886D5}"/>
            </a:ext>
          </a:extLst>
        </xdr:cNvPr>
        <xdr:cNvCxnSpPr/>
      </xdr:nvCxnSpPr>
      <xdr:spPr>
        <a:xfrm>
          <a:off x="3314700" y="33404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275</xdr:row>
      <xdr:rowOff>66675</xdr:rowOff>
    </xdr:from>
    <xdr:to>
      <xdr:col>28</xdr:col>
      <xdr:colOff>66675</xdr:colOff>
      <xdr:row>275</xdr:row>
      <xdr:rowOff>66675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11E54C60-1B02-46DE-8796-1AC4A881785E}"/>
            </a:ext>
          </a:extLst>
        </xdr:cNvPr>
        <xdr:cNvCxnSpPr/>
      </xdr:nvCxnSpPr>
      <xdr:spPr>
        <a:xfrm>
          <a:off x="4314825" y="33547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276</xdr:row>
      <xdr:rowOff>66675</xdr:rowOff>
    </xdr:from>
    <xdr:to>
      <xdr:col>34</xdr:col>
      <xdr:colOff>66675</xdr:colOff>
      <xdr:row>276</xdr:row>
      <xdr:rowOff>66675</xdr:rowOff>
    </xdr:to>
    <xdr:cxnSp macro="">
      <xdr:nvCxnSpPr>
        <xdr:cNvPr id="156" name="Straight Arrow Connector 155">
          <a:extLst>
            <a:ext uri="{FF2B5EF4-FFF2-40B4-BE49-F238E27FC236}">
              <a16:creationId xmlns:a16="http://schemas.microsoft.com/office/drawing/2014/main" id="{937DDF9E-4A8E-4715-9666-970B9D133FD3}"/>
            </a:ext>
          </a:extLst>
        </xdr:cNvPr>
        <xdr:cNvCxnSpPr/>
      </xdr:nvCxnSpPr>
      <xdr:spPr>
        <a:xfrm>
          <a:off x="5286375" y="336899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90489</xdr:colOff>
      <xdr:row>291</xdr:row>
      <xdr:rowOff>95244</xdr:rowOff>
    </xdr:from>
    <xdr:to>
      <xdr:col>39</xdr:col>
      <xdr:colOff>66675</xdr:colOff>
      <xdr:row>320</xdr:row>
      <xdr:rowOff>66675</xdr:rowOff>
    </xdr:to>
    <xdr:grpSp>
      <xdr:nvGrpSpPr>
        <xdr:cNvPr id="469" name="Group 468">
          <a:extLst>
            <a:ext uri="{FF2B5EF4-FFF2-40B4-BE49-F238E27FC236}">
              <a16:creationId xmlns:a16="http://schemas.microsoft.com/office/drawing/2014/main" id="{80EE79C3-ECB6-AF38-EAE6-D391BE6F06D3}"/>
            </a:ext>
          </a:extLst>
        </xdr:cNvPr>
        <xdr:cNvGrpSpPr/>
      </xdr:nvGrpSpPr>
      <xdr:grpSpPr>
        <a:xfrm>
          <a:off x="576264" y="42148119"/>
          <a:ext cx="5805486" cy="4114806"/>
          <a:chOff x="1871664" y="7238994"/>
          <a:chExt cx="5805486" cy="4114806"/>
        </a:xfrm>
      </xdr:grpSpPr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6F9ED06B-6507-4BFE-A06B-AB3C52B41A13}"/>
              </a:ext>
            </a:extLst>
          </xdr:cNvPr>
          <xdr:cNvSpPr/>
        </xdr:nvSpPr>
        <xdr:spPr>
          <a:xfrm>
            <a:off x="2519362" y="9577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" name="Arc 157">
            <a:extLst>
              <a:ext uri="{FF2B5EF4-FFF2-40B4-BE49-F238E27FC236}">
                <a16:creationId xmlns:a16="http://schemas.microsoft.com/office/drawing/2014/main" id="{04A9E0C7-E0B9-443B-BEEF-839CDE532A21}"/>
              </a:ext>
            </a:extLst>
          </xdr:cNvPr>
          <xdr:cNvSpPr/>
        </xdr:nvSpPr>
        <xdr:spPr>
          <a:xfrm>
            <a:off x="2686049" y="7581900"/>
            <a:ext cx="3695700" cy="3695700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9" name="Isosceles Triangle 158">
            <a:extLst>
              <a:ext uri="{FF2B5EF4-FFF2-40B4-BE49-F238E27FC236}">
                <a16:creationId xmlns:a16="http://schemas.microsoft.com/office/drawing/2014/main" id="{82B050A9-3DAB-4349-A14C-9986B67959B6}"/>
              </a:ext>
            </a:extLst>
          </xdr:cNvPr>
          <xdr:cNvSpPr/>
        </xdr:nvSpPr>
        <xdr:spPr>
          <a:xfrm>
            <a:off x="2603944" y="9439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B9C00621-D25F-44D8-BBE9-65C2E174E6CF}"/>
              </a:ext>
            </a:extLst>
          </xdr:cNvPr>
          <xdr:cNvCxnSpPr/>
        </xdr:nvCxnSpPr>
        <xdr:spPr>
          <a:xfrm>
            <a:off x="2509836" y="9572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03E5F26E-732A-415A-AE82-16701FDA4D56}"/>
              </a:ext>
            </a:extLst>
          </xdr:cNvPr>
          <xdr:cNvSpPr/>
        </xdr:nvSpPr>
        <xdr:spPr>
          <a:xfrm>
            <a:off x="2638423" y="9382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8B54EA86-E1BE-4EA3-B290-E02D91BEC292}"/>
              </a:ext>
            </a:extLst>
          </xdr:cNvPr>
          <xdr:cNvSpPr/>
        </xdr:nvSpPr>
        <xdr:spPr>
          <a:xfrm>
            <a:off x="6215059" y="9577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3" name="Isosceles Triangle 162">
            <a:extLst>
              <a:ext uri="{FF2B5EF4-FFF2-40B4-BE49-F238E27FC236}">
                <a16:creationId xmlns:a16="http://schemas.microsoft.com/office/drawing/2014/main" id="{75B2DE92-A3D6-467C-A403-378D9A218B06}"/>
              </a:ext>
            </a:extLst>
          </xdr:cNvPr>
          <xdr:cNvSpPr/>
        </xdr:nvSpPr>
        <xdr:spPr>
          <a:xfrm>
            <a:off x="6299641" y="9439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D0FA3071-3530-4687-9004-1EF57553B9AE}"/>
              </a:ext>
            </a:extLst>
          </xdr:cNvPr>
          <xdr:cNvCxnSpPr/>
        </xdr:nvCxnSpPr>
        <xdr:spPr>
          <a:xfrm>
            <a:off x="6205533" y="9572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Oval 164">
            <a:extLst>
              <a:ext uri="{FF2B5EF4-FFF2-40B4-BE49-F238E27FC236}">
                <a16:creationId xmlns:a16="http://schemas.microsoft.com/office/drawing/2014/main" id="{29760A56-9DCE-4431-AEA1-9AF0681E4BEF}"/>
              </a:ext>
            </a:extLst>
          </xdr:cNvPr>
          <xdr:cNvSpPr/>
        </xdr:nvSpPr>
        <xdr:spPr>
          <a:xfrm>
            <a:off x="6334120" y="9382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B8B490E5-7AC9-4C48-8317-EBE378EE7A1A}"/>
              </a:ext>
            </a:extLst>
          </xdr:cNvPr>
          <xdr:cNvCxnSpPr/>
        </xdr:nvCxnSpPr>
        <xdr:spPr>
          <a:xfrm flipV="1">
            <a:off x="2671761" y="97155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3796D80C-2964-45F2-8E51-37CD10CE07E1}"/>
              </a:ext>
            </a:extLst>
          </xdr:cNvPr>
          <xdr:cNvCxnSpPr/>
        </xdr:nvCxnSpPr>
        <xdr:spPr>
          <a:xfrm flipV="1">
            <a:off x="6381748" y="9715499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8" name="Oval 167">
            <a:extLst>
              <a:ext uri="{FF2B5EF4-FFF2-40B4-BE49-F238E27FC236}">
                <a16:creationId xmlns:a16="http://schemas.microsoft.com/office/drawing/2014/main" id="{EA0A4735-B20E-49F2-A408-B317DCE64430}"/>
              </a:ext>
            </a:extLst>
          </xdr:cNvPr>
          <xdr:cNvSpPr/>
        </xdr:nvSpPr>
        <xdr:spPr>
          <a:xfrm>
            <a:off x="4491038" y="7539037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39CAA046-45A5-4559-A8AE-9B512C98814A}"/>
              </a:ext>
            </a:extLst>
          </xdr:cNvPr>
          <xdr:cNvCxnSpPr/>
        </xdr:nvCxnSpPr>
        <xdr:spPr>
          <a:xfrm>
            <a:off x="2605090" y="10287001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D54A2130-9259-4702-9EAC-1AEAB838D3DC}"/>
              </a:ext>
            </a:extLst>
          </xdr:cNvPr>
          <xdr:cNvCxnSpPr/>
        </xdr:nvCxnSpPr>
        <xdr:spPr>
          <a:xfrm>
            <a:off x="2671763" y="10153656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01A54856-C46E-4A34-8042-E4238FBCAE6E}"/>
              </a:ext>
            </a:extLst>
          </xdr:cNvPr>
          <xdr:cNvCxnSpPr/>
        </xdr:nvCxnSpPr>
        <xdr:spPr>
          <a:xfrm flipH="1">
            <a:off x="2633662" y="1025366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BE374B18-B189-44EB-A5F2-111BAD8E6EFD}"/>
              </a:ext>
            </a:extLst>
          </xdr:cNvPr>
          <xdr:cNvCxnSpPr/>
        </xdr:nvCxnSpPr>
        <xdr:spPr>
          <a:xfrm>
            <a:off x="2605088" y="10572757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0C872770-312D-4DDD-97AB-753CF8637C93}"/>
              </a:ext>
            </a:extLst>
          </xdr:cNvPr>
          <xdr:cNvCxnSpPr/>
        </xdr:nvCxnSpPr>
        <xdr:spPr>
          <a:xfrm flipH="1">
            <a:off x="2633660" y="1053942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19368557-EAED-4E23-9E2A-02187F9C24C7}"/>
              </a:ext>
            </a:extLst>
          </xdr:cNvPr>
          <xdr:cNvCxnSpPr/>
        </xdr:nvCxnSpPr>
        <xdr:spPr>
          <a:xfrm>
            <a:off x="6381757" y="10153651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8AC238BB-9CCA-443D-942D-BDBFF923698D}"/>
              </a:ext>
            </a:extLst>
          </xdr:cNvPr>
          <xdr:cNvCxnSpPr/>
        </xdr:nvCxnSpPr>
        <xdr:spPr>
          <a:xfrm flipH="1">
            <a:off x="6343656" y="1025365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E38EC439-89E7-4F03-ADA0-0A7117D35B09}"/>
              </a:ext>
            </a:extLst>
          </xdr:cNvPr>
          <xdr:cNvCxnSpPr/>
        </xdr:nvCxnSpPr>
        <xdr:spPr>
          <a:xfrm flipH="1">
            <a:off x="6343654" y="105394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C2895142-6BC3-46BB-AF25-49D936C8AB11}"/>
              </a:ext>
            </a:extLst>
          </xdr:cNvPr>
          <xdr:cNvCxnSpPr/>
        </xdr:nvCxnSpPr>
        <xdr:spPr>
          <a:xfrm>
            <a:off x="3238495" y="8186738"/>
            <a:ext cx="0" cy="2176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82E1E2D9-EDDC-4889-93CA-5F9209FA69EF}"/>
              </a:ext>
            </a:extLst>
          </xdr:cNvPr>
          <xdr:cNvCxnSpPr/>
        </xdr:nvCxnSpPr>
        <xdr:spPr>
          <a:xfrm flipH="1">
            <a:off x="3200397" y="10253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258921E6-A11E-49A7-B5E3-968D2D31ABCF}"/>
              </a:ext>
            </a:extLst>
          </xdr:cNvPr>
          <xdr:cNvCxnSpPr/>
        </xdr:nvCxnSpPr>
        <xdr:spPr>
          <a:xfrm>
            <a:off x="5829309" y="8205788"/>
            <a:ext cx="0" cy="21574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CA6E8160-F2CA-48C3-953D-C4F315DA446D}"/>
              </a:ext>
            </a:extLst>
          </xdr:cNvPr>
          <xdr:cNvCxnSpPr/>
        </xdr:nvCxnSpPr>
        <xdr:spPr>
          <a:xfrm flipH="1">
            <a:off x="5791211" y="102536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7B602941-2C43-4965-A2C0-69946EAD7000}"/>
              </a:ext>
            </a:extLst>
          </xdr:cNvPr>
          <xdr:cNvCxnSpPr/>
        </xdr:nvCxnSpPr>
        <xdr:spPr>
          <a:xfrm flipH="1" flipV="1">
            <a:off x="3200402" y="8067678"/>
            <a:ext cx="83925" cy="8572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2F0BA86B-F7AC-4712-9AC6-A00571642635}"/>
              </a:ext>
            </a:extLst>
          </xdr:cNvPr>
          <xdr:cNvCxnSpPr/>
        </xdr:nvCxnSpPr>
        <xdr:spPr>
          <a:xfrm flipV="1">
            <a:off x="5795963" y="8077200"/>
            <a:ext cx="71437" cy="7246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CE559333-574D-4B04-B06E-09AEC9E6AAE3}"/>
              </a:ext>
            </a:extLst>
          </xdr:cNvPr>
          <xdr:cNvCxnSpPr/>
        </xdr:nvCxnSpPr>
        <xdr:spPr>
          <a:xfrm>
            <a:off x="4533901" y="9563100"/>
            <a:ext cx="0" cy="7953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6B7130C2-64C3-49F0-A257-21C50182CBF4}"/>
              </a:ext>
            </a:extLst>
          </xdr:cNvPr>
          <xdr:cNvCxnSpPr/>
        </xdr:nvCxnSpPr>
        <xdr:spPr>
          <a:xfrm flipH="1">
            <a:off x="4495802" y="10253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33391C3B-9EC3-403C-A870-CF71918FCC47}"/>
              </a:ext>
            </a:extLst>
          </xdr:cNvPr>
          <xdr:cNvCxnSpPr/>
        </xdr:nvCxnSpPr>
        <xdr:spPr>
          <a:xfrm>
            <a:off x="2686047" y="7429500"/>
            <a:ext cx="1852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25D6D443-4E70-400A-A576-DDBD62BA390D}"/>
              </a:ext>
            </a:extLst>
          </xdr:cNvPr>
          <xdr:cNvCxnSpPr/>
        </xdr:nvCxnSpPr>
        <xdr:spPr>
          <a:xfrm>
            <a:off x="2686043" y="723900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Arrow Connector 186">
            <a:extLst>
              <a:ext uri="{FF2B5EF4-FFF2-40B4-BE49-F238E27FC236}">
                <a16:creationId xmlns:a16="http://schemas.microsoft.com/office/drawing/2014/main" id="{1A5EFE7D-67A0-4CAB-9C7F-43AF610A4208}"/>
              </a:ext>
            </a:extLst>
          </xdr:cNvPr>
          <xdr:cNvCxnSpPr/>
        </xdr:nvCxnSpPr>
        <xdr:spPr>
          <a:xfrm>
            <a:off x="2914642" y="723900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27B05B5F-E55F-46C9-AB16-EA9F2B884953}"/>
              </a:ext>
            </a:extLst>
          </xdr:cNvPr>
          <xdr:cNvCxnSpPr/>
        </xdr:nvCxnSpPr>
        <xdr:spPr>
          <a:xfrm>
            <a:off x="3076568" y="723900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ED6322CB-7A0B-477B-91B3-F3DF31F1E555}"/>
              </a:ext>
            </a:extLst>
          </xdr:cNvPr>
          <xdr:cNvCxnSpPr/>
        </xdr:nvCxnSpPr>
        <xdr:spPr>
          <a:xfrm>
            <a:off x="3238487" y="723900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Arrow Connector 189">
            <a:extLst>
              <a:ext uri="{FF2B5EF4-FFF2-40B4-BE49-F238E27FC236}">
                <a16:creationId xmlns:a16="http://schemas.microsoft.com/office/drawing/2014/main" id="{F6BC5214-17E9-44C4-B22B-CDE919FC739E}"/>
              </a:ext>
            </a:extLst>
          </xdr:cNvPr>
          <xdr:cNvCxnSpPr/>
        </xdr:nvCxnSpPr>
        <xdr:spPr>
          <a:xfrm>
            <a:off x="3400418" y="723899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7180A403-26BD-4EBA-8678-D1EACB7E56FA}"/>
              </a:ext>
            </a:extLst>
          </xdr:cNvPr>
          <xdr:cNvCxnSpPr/>
        </xdr:nvCxnSpPr>
        <xdr:spPr>
          <a:xfrm>
            <a:off x="3562344" y="723899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91C3E8CF-6CC2-4AA1-8FC8-034F250E0014}"/>
              </a:ext>
            </a:extLst>
          </xdr:cNvPr>
          <xdr:cNvCxnSpPr/>
        </xdr:nvCxnSpPr>
        <xdr:spPr>
          <a:xfrm>
            <a:off x="3724263" y="723899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>
            <a:extLst>
              <a:ext uri="{FF2B5EF4-FFF2-40B4-BE49-F238E27FC236}">
                <a16:creationId xmlns:a16="http://schemas.microsoft.com/office/drawing/2014/main" id="{523B2C2D-0D23-477B-AF76-9E35B17E4FAD}"/>
              </a:ext>
            </a:extLst>
          </xdr:cNvPr>
          <xdr:cNvCxnSpPr/>
        </xdr:nvCxnSpPr>
        <xdr:spPr>
          <a:xfrm>
            <a:off x="3886200" y="723900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Arrow Connector 193">
            <a:extLst>
              <a:ext uri="{FF2B5EF4-FFF2-40B4-BE49-F238E27FC236}">
                <a16:creationId xmlns:a16="http://schemas.microsoft.com/office/drawing/2014/main" id="{B618387E-BFEC-4934-8F0E-476F42F9508E}"/>
              </a:ext>
            </a:extLst>
          </xdr:cNvPr>
          <xdr:cNvCxnSpPr/>
        </xdr:nvCxnSpPr>
        <xdr:spPr>
          <a:xfrm>
            <a:off x="4048126" y="723900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Arrow Connector 194">
            <a:extLst>
              <a:ext uri="{FF2B5EF4-FFF2-40B4-BE49-F238E27FC236}">
                <a16:creationId xmlns:a16="http://schemas.microsoft.com/office/drawing/2014/main" id="{94CD7D00-6798-4161-8DE7-58A20F3325D4}"/>
              </a:ext>
            </a:extLst>
          </xdr:cNvPr>
          <xdr:cNvCxnSpPr/>
        </xdr:nvCxnSpPr>
        <xdr:spPr>
          <a:xfrm>
            <a:off x="4210045" y="723900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8598A341-3127-419C-A09B-F93CA266CC60}"/>
              </a:ext>
            </a:extLst>
          </xdr:cNvPr>
          <xdr:cNvCxnSpPr/>
        </xdr:nvCxnSpPr>
        <xdr:spPr>
          <a:xfrm>
            <a:off x="4371976" y="7239002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Arrow Connector 196">
            <a:extLst>
              <a:ext uri="{FF2B5EF4-FFF2-40B4-BE49-F238E27FC236}">
                <a16:creationId xmlns:a16="http://schemas.microsoft.com/office/drawing/2014/main" id="{1C935A37-1DC7-44F8-B253-9FF68E21CC6D}"/>
              </a:ext>
            </a:extLst>
          </xdr:cNvPr>
          <xdr:cNvCxnSpPr/>
        </xdr:nvCxnSpPr>
        <xdr:spPr>
          <a:xfrm>
            <a:off x="4533902" y="7239002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D8E98111-3B64-4799-A31E-305C18562BCD}"/>
              </a:ext>
            </a:extLst>
          </xdr:cNvPr>
          <xdr:cNvCxnSpPr/>
        </xdr:nvCxnSpPr>
        <xdr:spPr>
          <a:xfrm>
            <a:off x="2686045" y="7238994"/>
            <a:ext cx="18526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80294CA8-256F-469C-A0D3-ECEBD8F2D62B}"/>
              </a:ext>
            </a:extLst>
          </xdr:cNvPr>
          <xdr:cNvCxnSpPr/>
        </xdr:nvCxnSpPr>
        <xdr:spPr>
          <a:xfrm>
            <a:off x="4895850" y="7572375"/>
            <a:ext cx="2781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52F0A71B-3DCA-4143-A7C4-D7A072AC7AFF}"/>
              </a:ext>
            </a:extLst>
          </xdr:cNvPr>
          <xdr:cNvCxnSpPr/>
        </xdr:nvCxnSpPr>
        <xdr:spPr>
          <a:xfrm>
            <a:off x="5876925" y="8115306"/>
            <a:ext cx="1476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C76EBFD3-ABBD-43DE-8F75-7AC618F1B966}"/>
              </a:ext>
            </a:extLst>
          </xdr:cNvPr>
          <xdr:cNvCxnSpPr/>
        </xdr:nvCxnSpPr>
        <xdr:spPr>
          <a:xfrm>
            <a:off x="7286626" y="7505700"/>
            <a:ext cx="0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Arrow Connector 212">
            <a:extLst>
              <a:ext uri="{FF2B5EF4-FFF2-40B4-BE49-F238E27FC236}">
                <a16:creationId xmlns:a16="http://schemas.microsoft.com/office/drawing/2014/main" id="{144155E5-4F73-4F73-80E2-9056FEF674FF}"/>
              </a:ext>
            </a:extLst>
          </xdr:cNvPr>
          <xdr:cNvCxnSpPr/>
        </xdr:nvCxnSpPr>
        <xdr:spPr>
          <a:xfrm flipH="1">
            <a:off x="6453188" y="9434512"/>
            <a:ext cx="35718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74271EC5-28B3-4D88-9411-B0C8A6A51E56}"/>
              </a:ext>
            </a:extLst>
          </xdr:cNvPr>
          <xdr:cNvCxnSpPr/>
        </xdr:nvCxnSpPr>
        <xdr:spPr>
          <a:xfrm flipH="1">
            <a:off x="7248524" y="753904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8B5A982D-ABC5-45A4-B8F3-B2C7B47D1AF8}"/>
              </a:ext>
            </a:extLst>
          </xdr:cNvPr>
          <xdr:cNvCxnSpPr/>
        </xdr:nvCxnSpPr>
        <xdr:spPr>
          <a:xfrm flipH="1">
            <a:off x="7248520" y="808198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CB4337A7-BC08-4569-B7EA-34D770E2FEC0}"/>
              </a:ext>
            </a:extLst>
          </xdr:cNvPr>
          <xdr:cNvCxnSpPr/>
        </xdr:nvCxnSpPr>
        <xdr:spPr>
          <a:xfrm>
            <a:off x="6896100" y="9429762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00B548E8-58D1-4B01-8B61-3896E3E08985}"/>
              </a:ext>
            </a:extLst>
          </xdr:cNvPr>
          <xdr:cNvCxnSpPr/>
        </xdr:nvCxnSpPr>
        <xdr:spPr>
          <a:xfrm flipH="1">
            <a:off x="7248517" y="939643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737715E3-34B0-4632-A128-A785C3603571}"/>
              </a:ext>
            </a:extLst>
          </xdr:cNvPr>
          <xdr:cNvCxnSpPr/>
        </xdr:nvCxnSpPr>
        <xdr:spPr>
          <a:xfrm>
            <a:off x="7610476" y="7510463"/>
            <a:ext cx="0" cy="1985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B6842DE5-AACC-46D4-84C8-E24A93540D49}"/>
              </a:ext>
            </a:extLst>
          </xdr:cNvPr>
          <xdr:cNvCxnSpPr/>
        </xdr:nvCxnSpPr>
        <xdr:spPr>
          <a:xfrm flipH="1">
            <a:off x="7572374" y="753904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60F289B7-E7C8-42C5-9FBC-009330C5FBBC}"/>
              </a:ext>
            </a:extLst>
          </xdr:cNvPr>
          <xdr:cNvCxnSpPr/>
        </xdr:nvCxnSpPr>
        <xdr:spPr>
          <a:xfrm flipH="1">
            <a:off x="7572367" y="93964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Arrow Connector 220">
            <a:extLst>
              <a:ext uri="{FF2B5EF4-FFF2-40B4-BE49-F238E27FC236}">
                <a16:creationId xmlns:a16="http://schemas.microsoft.com/office/drawing/2014/main" id="{5F9A9563-F882-4539-BC98-E1B619197593}"/>
              </a:ext>
            </a:extLst>
          </xdr:cNvPr>
          <xdr:cNvCxnSpPr/>
        </xdr:nvCxnSpPr>
        <xdr:spPr>
          <a:xfrm flipV="1">
            <a:off x="4533901" y="7724775"/>
            <a:ext cx="685799" cy="170497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Arrow Connector 221">
            <a:extLst>
              <a:ext uri="{FF2B5EF4-FFF2-40B4-BE49-F238E27FC236}">
                <a16:creationId xmlns:a16="http://schemas.microsoft.com/office/drawing/2014/main" id="{4974C01C-C595-4B3D-A964-8777368EB045}"/>
              </a:ext>
            </a:extLst>
          </xdr:cNvPr>
          <xdr:cNvCxnSpPr/>
        </xdr:nvCxnSpPr>
        <xdr:spPr>
          <a:xfrm>
            <a:off x="2281238" y="9429750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Arrow Connector 222">
            <a:extLst>
              <a:ext uri="{FF2B5EF4-FFF2-40B4-BE49-F238E27FC236}">
                <a16:creationId xmlns:a16="http://schemas.microsoft.com/office/drawing/2014/main" id="{E6384597-5C51-47D4-810E-D35FA3EF2D28}"/>
              </a:ext>
            </a:extLst>
          </xdr:cNvPr>
          <xdr:cNvCxnSpPr/>
        </xdr:nvCxnSpPr>
        <xdr:spPr>
          <a:xfrm>
            <a:off x="5829300" y="7729538"/>
            <a:ext cx="0" cy="32385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F80A9961-31CB-4167-B8F9-0889415EC92D}"/>
              </a:ext>
            </a:extLst>
          </xdr:cNvPr>
          <xdr:cNvCxnSpPr/>
        </xdr:nvCxnSpPr>
        <xdr:spPr>
          <a:xfrm>
            <a:off x="1881188" y="7572377"/>
            <a:ext cx="24383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FBFE5439-CC8E-46B0-B518-DC352090357A}"/>
              </a:ext>
            </a:extLst>
          </xdr:cNvPr>
          <xdr:cNvCxnSpPr/>
        </xdr:nvCxnSpPr>
        <xdr:spPr>
          <a:xfrm>
            <a:off x="1943100" y="7500938"/>
            <a:ext cx="0" cy="2005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B3A5773D-00E4-43CA-892E-CFDD01FE71CC}"/>
              </a:ext>
            </a:extLst>
          </xdr:cNvPr>
          <xdr:cNvCxnSpPr/>
        </xdr:nvCxnSpPr>
        <xdr:spPr>
          <a:xfrm flipH="1">
            <a:off x="1881188" y="9429750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8D380FA1-6D2E-4605-8C9C-F56E1281E9D1}"/>
              </a:ext>
            </a:extLst>
          </xdr:cNvPr>
          <xdr:cNvCxnSpPr/>
        </xdr:nvCxnSpPr>
        <xdr:spPr>
          <a:xfrm flipH="1">
            <a:off x="1904998" y="753904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2697A64B-2F4B-4FAD-851F-C5493037BAE0}"/>
              </a:ext>
            </a:extLst>
          </xdr:cNvPr>
          <xdr:cNvCxnSpPr/>
        </xdr:nvCxnSpPr>
        <xdr:spPr>
          <a:xfrm flipH="1">
            <a:off x="1905004" y="93964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268F79D2-C133-4C72-A2FF-BAC5F09A1D0B}"/>
              </a:ext>
            </a:extLst>
          </xdr:cNvPr>
          <xdr:cNvCxnSpPr/>
        </xdr:nvCxnSpPr>
        <xdr:spPr>
          <a:xfrm>
            <a:off x="1871664" y="8115288"/>
            <a:ext cx="12858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7B61A475-2E5F-4E61-8B07-D0F232104073}"/>
              </a:ext>
            </a:extLst>
          </xdr:cNvPr>
          <xdr:cNvCxnSpPr/>
        </xdr:nvCxnSpPr>
        <xdr:spPr>
          <a:xfrm flipH="1">
            <a:off x="1904997" y="80819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Arrow Connector 230">
            <a:extLst>
              <a:ext uri="{FF2B5EF4-FFF2-40B4-BE49-F238E27FC236}">
                <a16:creationId xmlns:a16="http://schemas.microsoft.com/office/drawing/2014/main" id="{3AF0B0DE-762A-4801-B2A8-6B50E1AFD60F}"/>
              </a:ext>
            </a:extLst>
          </xdr:cNvPr>
          <xdr:cNvCxnSpPr/>
        </xdr:nvCxnSpPr>
        <xdr:spPr>
          <a:xfrm flipH="1" flipV="1">
            <a:off x="3248025" y="8110538"/>
            <a:ext cx="1290638" cy="1328737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Arrow Connector 231">
            <a:extLst>
              <a:ext uri="{FF2B5EF4-FFF2-40B4-BE49-F238E27FC236}">
                <a16:creationId xmlns:a16="http://schemas.microsoft.com/office/drawing/2014/main" id="{4FF6DB43-3FA3-4574-A8B4-993FF6A37671}"/>
              </a:ext>
            </a:extLst>
          </xdr:cNvPr>
          <xdr:cNvCxnSpPr/>
        </xdr:nvCxnSpPr>
        <xdr:spPr>
          <a:xfrm flipV="1">
            <a:off x="4529138" y="8120063"/>
            <a:ext cx="1290637" cy="13144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AA725EDC-8E9B-4F17-9F05-88028D51853E}"/>
              </a:ext>
            </a:extLst>
          </xdr:cNvPr>
          <xdr:cNvCxnSpPr/>
        </xdr:nvCxnSpPr>
        <xdr:spPr>
          <a:xfrm>
            <a:off x="4086225" y="9429751"/>
            <a:ext cx="9429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4" name="Arc 233">
            <a:extLst>
              <a:ext uri="{FF2B5EF4-FFF2-40B4-BE49-F238E27FC236}">
                <a16:creationId xmlns:a16="http://schemas.microsoft.com/office/drawing/2014/main" id="{A062FEF4-742A-4D7D-AAF7-1D12A823C18E}"/>
              </a:ext>
            </a:extLst>
          </xdr:cNvPr>
          <xdr:cNvSpPr/>
        </xdr:nvSpPr>
        <xdr:spPr>
          <a:xfrm rot="14662438">
            <a:off x="4276726" y="9234489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5" name="Arc 234">
            <a:extLst>
              <a:ext uri="{FF2B5EF4-FFF2-40B4-BE49-F238E27FC236}">
                <a16:creationId xmlns:a16="http://schemas.microsoft.com/office/drawing/2014/main" id="{CBA1209A-DF0E-460A-9DFF-14C20A2C550D}"/>
              </a:ext>
            </a:extLst>
          </xdr:cNvPr>
          <xdr:cNvSpPr/>
        </xdr:nvSpPr>
        <xdr:spPr>
          <a:xfrm rot="1806329">
            <a:off x="4510087" y="9229725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6" name="Straight Arrow Connector 235">
            <a:extLst>
              <a:ext uri="{FF2B5EF4-FFF2-40B4-BE49-F238E27FC236}">
                <a16:creationId xmlns:a16="http://schemas.microsoft.com/office/drawing/2014/main" id="{64E7BD2D-552D-4BBC-A698-135CC8C6C8AA}"/>
              </a:ext>
            </a:extLst>
          </xdr:cNvPr>
          <xdr:cNvCxnSpPr/>
        </xdr:nvCxnSpPr>
        <xdr:spPr>
          <a:xfrm>
            <a:off x="5610225" y="1092517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Arrow Connector 236">
            <a:extLst>
              <a:ext uri="{FF2B5EF4-FFF2-40B4-BE49-F238E27FC236}">
                <a16:creationId xmlns:a16="http://schemas.microsoft.com/office/drawing/2014/main" id="{6556B92D-5E66-4258-98E2-BFAB7FC0A649}"/>
              </a:ext>
            </a:extLst>
          </xdr:cNvPr>
          <xdr:cNvCxnSpPr/>
        </xdr:nvCxnSpPr>
        <xdr:spPr>
          <a:xfrm>
            <a:off x="4610100" y="1106805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Arrow Connector 237">
            <a:extLst>
              <a:ext uri="{FF2B5EF4-FFF2-40B4-BE49-F238E27FC236}">
                <a16:creationId xmlns:a16="http://schemas.microsoft.com/office/drawing/2014/main" id="{C1167EC6-DFDE-40F7-8323-A130F45C2ABE}"/>
              </a:ext>
            </a:extLst>
          </xdr:cNvPr>
          <xdr:cNvCxnSpPr/>
        </xdr:nvCxnSpPr>
        <xdr:spPr>
          <a:xfrm>
            <a:off x="5610225" y="1121092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Arrow Connector 238">
            <a:extLst>
              <a:ext uri="{FF2B5EF4-FFF2-40B4-BE49-F238E27FC236}">
                <a16:creationId xmlns:a16="http://schemas.microsoft.com/office/drawing/2014/main" id="{8A36B091-3070-44BC-BABC-B1DD30C7B208}"/>
              </a:ext>
            </a:extLst>
          </xdr:cNvPr>
          <xdr:cNvCxnSpPr/>
        </xdr:nvCxnSpPr>
        <xdr:spPr>
          <a:xfrm>
            <a:off x="5124450" y="1135380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100011</xdr:colOff>
      <xdr:row>250</xdr:row>
      <xdr:rowOff>0</xdr:rowOff>
    </xdr:from>
    <xdr:to>
      <xdr:col>64</xdr:col>
      <xdr:colOff>85725</xdr:colOff>
      <xdr:row>275</xdr:row>
      <xdr:rowOff>123825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163C4C04-70B0-75B0-FA81-78C25F6BE798}"/>
            </a:ext>
          </a:extLst>
        </xdr:cNvPr>
        <xdr:cNvGrpSpPr/>
      </xdr:nvGrpSpPr>
      <xdr:grpSpPr>
        <a:xfrm>
          <a:off x="6577011" y="36195000"/>
          <a:ext cx="3871914" cy="3695700"/>
          <a:chOff x="7872411" y="714375"/>
          <a:chExt cx="3871914" cy="3695700"/>
        </a:xfrm>
      </xdr:grpSpPr>
      <xdr:sp macro="" textlink="">
        <xdr:nvSpPr>
          <xdr:cNvPr id="5" name="Arc 4">
            <a:extLst>
              <a:ext uri="{FF2B5EF4-FFF2-40B4-BE49-F238E27FC236}">
                <a16:creationId xmlns:a16="http://schemas.microsoft.com/office/drawing/2014/main" id="{0121E21E-90E3-412B-9DC7-21E16D41259C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EA8F53B4-BC4F-4005-B3CB-5BB006B10300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" name="Isosceles Triangle 22">
            <a:extLst>
              <a:ext uri="{FF2B5EF4-FFF2-40B4-BE49-F238E27FC236}">
                <a16:creationId xmlns:a16="http://schemas.microsoft.com/office/drawing/2014/main" id="{5902F6B6-8F8D-4792-9A87-469385D664AF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DD9376E-ED30-4200-A029-3B20260151DC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Oval 30">
            <a:extLst>
              <a:ext uri="{FF2B5EF4-FFF2-40B4-BE49-F238E27FC236}">
                <a16:creationId xmlns:a16="http://schemas.microsoft.com/office/drawing/2014/main" id="{F054FD3B-3CF6-4AE8-8EE3-30D28AFC8EE6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A7E02B4D-D5D1-467C-F135-F5592C0F0FA8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82C86B2F-B4F2-4C3E-8989-611B084B215B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Arc 44">
            <a:extLst>
              <a:ext uri="{FF2B5EF4-FFF2-40B4-BE49-F238E27FC236}">
                <a16:creationId xmlns:a16="http://schemas.microsoft.com/office/drawing/2014/main" id="{D7174591-4B08-8157-5E2B-AC4B1B96B66E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54041B92-8C00-4839-3AB0-8952011A6E4B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0DC75186-8E26-4C86-9B8B-287A92DCF811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D81A001E-90C8-49F1-A6A0-ADC0260FE8AE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40</xdr:col>
      <xdr:colOff>142875</xdr:colOff>
      <xdr:row>294</xdr:row>
      <xdr:rowOff>0</xdr:rowOff>
    </xdr:from>
    <xdr:to>
      <xdr:col>64</xdr:col>
      <xdr:colOff>128589</xdr:colOff>
      <xdr:row>319</xdr:row>
      <xdr:rowOff>123825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870FECD3-0F41-49B4-AB88-FCE22A961556}"/>
            </a:ext>
          </a:extLst>
        </xdr:cNvPr>
        <xdr:cNvGrpSpPr/>
      </xdr:nvGrpSpPr>
      <xdr:grpSpPr>
        <a:xfrm>
          <a:off x="6619875" y="42481500"/>
          <a:ext cx="3871914" cy="3695700"/>
          <a:chOff x="7872411" y="714375"/>
          <a:chExt cx="3871914" cy="3695700"/>
        </a:xfrm>
      </xdr:grpSpPr>
      <xdr:sp macro="" textlink="">
        <xdr:nvSpPr>
          <xdr:cNvPr id="55" name="Arc 54">
            <a:extLst>
              <a:ext uri="{FF2B5EF4-FFF2-40B4-BE49-F238E27FC236}">
                <a16:creationId xmlns:a16="http://schemas.microsoft.com/office/drawing/2014/main" id="{782117F1-97F2-07CA-AAD6-B246C6F00B1E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E4090D3A-EBCA-C88B-E45B-4085372A5998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7" name="Isosceles Triangle 56">
            <a:extLst>
              <a:ext uri="{FF2B5EF4-FFF2-40B4-BE49-F238E27FC236}">
                <a16:creationId xmlns:a16="http://schemas.microsoft.com/office/drawing/2014/main" id="{F0DBA1F5-0DE8-3CD2-A6F7-015664D81383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427D208D-C429-CC06-01FD-6416B143C1D0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" name="Oval 80">
            <a:extLst>
              <a:ext uri="{FF2B5EF4-FFF2-40B4-BE49-F238E27FC236}">
                <a16:creationId xmlns:a16="http://schemas.microsoft.com/office/drawing/2014/main" id="{47CC022D-DC79-F685-3E47-4FD4DE0FB358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9597318D-8A03-4FFB-27A3-BA81AD48BE84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C3AA7BF5-CE61-284A-5D6C-BC22CAFA89A0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" name="Arc 85">
            <a:extLst>
              <a:ext uri="{FF2B5EF4-FFF2-40B4-BE49-F238E27FC236}">
                <a16:creationId xmlns:a16="http://schemas.microsoft.com/office/drawing/2014/main" id="{57E0769E-96E2-79D5-60EE-A91A732C28B6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E603EB03-0B8E-190F-EC5B-19849B7B50DF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01FB3FC7-7733-3EB3-7697-0B4EA1D13EAE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92" name="TextBox 91">
            <a:extLst>
              <a:ext uri="{FF2B5EF4-FFF2-40B4-BE49-F238E27FC236}">
                <a16:creationId xmlns:a16="http://schemas.microsoft.com/office/drawing/2014/main" id="{8A1B1615-5E4F-4362-83C8-AF0B2D2D31DB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35</xdr:col>
      <xdr:colOff>104775</xdr:colOff>
      <xdr:row>360</xdr:row>
      <xdr:rowOff>66675</xdr:rowOff>
    </xdr:from>
    <xdr:to>
      <xdr:col>37</xdr:col>
      <xdr:colOff>66675</xdr:colOff>
      <xdr:row>360</xdr:row>
      <xdr:rowOff>66675</xdr:rowOff>
    </xdr:to>
    <xdr:cxnSp macro="">
      <xdr:nvCxnSpPr>
        <xdr:cNvPr id="335" name="Straight Arrow Connector 334">
          <a:extLst>
            <a:ext uri="{FF2B5EF4-FFF2-40B4-BE49-F238E27FC236}">
              <a16:creationId xmlns:a16="http://schemas.microsoft.com/office/drawing/2014/main" id="{E0E0186B-9EFA-4D05-9E96-B45B0E08D6CD}"/>
            </a:ext>
          </a:extLst>
        </xdr:cNvPr>
        <xdr:cNvCxnSpPr/>
      </xdr:nvCxnSpPr>
      <xdr:spPr>
        <a:xfrm>
          <a:off x="4314825" y="45691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361</xdr:row>
      <xdr:rowOff>66675</xdr:rowOff>
    </xdr:from>
    <xdr:to>
      <xdr:col>28</xdr:col>
      <xdr:colOff>38100</xdr:colOff>
      <xdr:row>361</xdr:row>
      <xdr:rowOff>66675</xdr:rowOff>
    </xdr:to>
    <xdr:cxnSp macro="">
      <xdr:nvCxnSpPr>
        <xdr:cNvPr id="336" name="Straight Arrow Connector 335">
          <a:extLst>
            <a:ext uri="{FF2B5EF4-FFF2-40B4-BE49-F238E27FC236}">
              <a16:creationId xmlns:a16="http://schemas.microsoft.com/office/drawing/2014/main" id="{90FB9FD2-3A71-42DE-B3B4-0ECD5BD05B88}"/>
            </a:ext>
          </a:extLst>
        </xdr:cNvPr>
        <xdr:cNvCxnSpPr/>
      </xdr:nvCxnSpPr>
      <xdr:spPr>
        <a:xfrm>
          <a:off x="3314700" y="45834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362</xdr:row>
      <xdr:rowOff>66675</xdr:rowOff>
    </xdr:from>
    <xdr:to>
      <xdr:col>28</xdr:col>
      <xdr:colOff>66675</xdr:colOff>
      <xdr:row>362</xdr:row>
      <xdr:rowOff>66675</xdr:rowOff>
    </xdr:to>
    <xdr:cxnSp macro="">
      <xdr:nvCxnSpPr>
        <xdr:cNvPr id="337" name="Straight Arrow Connector 336">
          <a:extLst>
            <a:ext uri="{FF2B5EF4-FFF2-40B4-BE49-F238E27FC236}">
              <a16:creationId xmlns:a16="http://schemas.microsoft.com/office/drawing/2014/main" id="{EAA82A2C-64CD-4210-9610-0A947CAC0B6A}"/>
            </a:ext>
          </a:extLst>
        </xdr:cNvPr>
        <xdr:cNvCxnSpPr/>
      </xdr:nvCxnSpPr>
      <xdr:spPr>
        <a:xfrm>
          <a:off x="4314825" y="45977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363</xdr:row>
      <xdr:rowOff>66675</xdr:rowOff>
    </xdr:from>
    <xdr:to>
      <xdr:col>34</xdr:col>
      <xdr:colOff>66675</xdr:colOff>
      <xdr:row>363</xdr:row>
      <xdr:rowOff>66675</xdr:rowOff>
    </xdr:to>
    <xdr:cxnSp macro="">
      <xdr:nvCxnSpPr>
        <xdr:cNvPr id="338" name="Straight Arrow Connector 337">
          <a:extLst>
            <a:ext uri="{FF2B5EF4-FFF2-40B4-BE49-F238E27FC236}">
              <a16:creationId xmlns:a16="http://schemas.microsoft.com/office/drawing/2014/main" id="{B405E837-87A9-4FCA-87B1-7BEAACAD881C}"/>
            </a:ext>
          </a:extLst>
        </xdr:cNvPr>
        <xdr:cNvCxnSpPr/>
      </xdr:nvCxnSpPr>
      <xdr:spPr>
        <a:xfrm>
          <a:off x="5286375" y="46120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337</xdr:row>
      <xdr:rowOff>1</xdr:rowOff>
    </xdr:from>
    <xdr:to>
      <xdr:col>67</xdr:col>
      <xdr:colOff>142875</xdr:colOff>
      <xdr:row>370</xdr:row>
      <xdr:rowOff>76200</xdr:rowOff>
    </xdr:to>
    <xdr:grpSp>
      <xdr:nvGrpSpPr>
        <xdr:cNvPr id="467" name="Group 466">
          <a:extLst>
            <a:ext uri="{FF2B5EF4-FFF2-40B4-BE49-F238E27FC236}">
              <a16:creationId xmlns:a16="http://schemas.microsoft.com/office/drawing/2014/main" id="{EA0A90CD-8067-08D4-165D-E06F3FFF975F}"/>
            </a:ext>
          </a:extLst>
        </xdr:cNvPr>
        <xdr:cNvGrpSpPr/>
      </xdr:nvGrpSpPr>
      <xdr:grpSpPr>
        <a:xfrm>
          <a:off x="6381750" y="48625126"/>
          <a:ext cx="4610100" cy="4791074"/>
          <a:chOff x="8001000" y="13716001"/>
          <a:chExt cx="4610100" cy="4791074"/>
        </a:xfrm>
      </xdr:grpSpPr>
      <xdr:sp macro="" textlink="">
        <xdr:nvSpPr>
          <xdr:cNvPr id="353" name="Arc 352">
            <a:extLst>
              <a:ext uri="{FF2B5EF4-FFF2-40B4-BE49-F238E27FC236}">
                <a16:creationId xmlns:a16="http://schemas.microsoft.com/office/drawing/2014/main" id="{2B69FCCC-7FFC-4E00-B0F5-DA1193344FD5}"/>
              </a:ext>
            </a:extLst>
          </xdr:cNvPr>
          <xdr:cNvSpPr/>
        </xdr:nvSpPr>
        <xdr:spPr>
          <a:xfrm>
            <a:off x="8001000" y="13896975"/>
            <a:ext cx="4610100" cy="4610100"/>
          </a:xfrm>
          <a:prstGeom prst="arc">
            <a:avLst>
              <a:gd name="adj1" fmla="val 12953407"/>
              <a:gd name="adj2" fmla="val 14603002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123BE4C-BA94-E4AA-3645-CE2A7CDBB879}"/>
              </a:ext>
            </a:extLst>
          </xdr:cNvPr>
          <xdr:cNvSpPr/>
        </xdr:nvSpPr>
        <xdr:spPr>
          <a:xfrm>
            <a:off x="8267701" y="150066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4" name="Isosceles Triangle 343">
            <a:extLst>
              <a:ext uri="{FF2B5EF4-FFF2-40B4-BE49-F238E27FC236}">
                <a16:creationId xmlns:a16="http://schemas.microsoft.com/office/drawing/2014/main" id="{374F03A4-6A05-770B-42EA-BB2BC6370DC1}"/>
              </a:ext>
            </a:extLst>
          </xdr:cNvPr>
          <xdr:cNvSpPr/>
        </xdr:nvSpPr>
        <xdr:spPr>
          <a:xfrm>
            <a:off x="8352283" y="148685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056105D2-452C-F4EB-D4C4-8E18DF637934}"/>
              </a:ext>
            </a:extLst>
          </xdr:cNvPr>
          <xdr:cNvCxnSpPr/>
        </xdr:nvCxnSpPr>
        <xdr:spPr>
          <a:xfrm>
            <a:off x="8258175" y="150018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6" name="Oval 345">
            <a:extLst>
              <a:ext uri="{FF2B5EF4-FFF2-40B4-BE49-F238E27FC236}">
                <a16:creationId xmlns:a16="http://schemas.microsoft.com/office/drawing/2014/main" id="{FBA0FB99-9C68-D13C-6DBE-6ABCBF4B6142}"/>
              </a:ext>
            </a:extLst>
          </xdr:cNvPr>
          <xdr:cNvSpPr/>
        </xdr:nvSpPr>
        <xdr:spPr>
          <a:xfrm>
            <a:off x="8386762" y="148113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7" name="Straight Arrow Connector 346">
            <a:extLst>
              <a:ext uri="{FF2B5EF4-FFF2-40B4-BE49-F238E27FC236}">
                <a16:creationId xmlns:a16="http://schemas.microsoft.com/office/drawing/2014/main" id="{8C33CFE1-14B9-3F7D-BA46-64318DAA1E92}"/>
              </a:ext>
            </a:extLst>
          </xdr:cNvPr>
          <xdr:cNvCxnSpPr/>
        </xdr:nvCxnSpPr>
        <xdr:spPr>
          <a:xfrm flipV="1">
            <a:off x="9291639" y="13954125"/>
            <a:ext cx="300036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Arrow Connector 347">
            <a:extLst>
              <a:ext uri="{FF2B5EF4-FFF2-40B4-BE49-F238E27FC236}">
                <a16:creationId xmlns:a16="http://schemas.microsoft.com/office/drawing/2014/main" id="{17E52EB8-B7D5-F23B-8065-45811C2BECA9}"/>
              </a:ext>
            </a:extLst>
          </xdr:cNvPr>
          <xdr:cNvCxnSpPr/>
        </xdr:nvCxnSpPr>
        <xdr:spPr>
          <a:xfrm>
            <a:off x="9215439" y="14001750"/>
            <a:ext cx="147636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9" name="Arc 348">
            <a:extLst>
              <a:ext uri="{FF2B5EF4-FFF2-40B4-BE49-F238E27FC236}">
                <a16:creationId xmlns:a16="http://schemas.microsoft.com/office/drawing/2014/main" id="{C8959127-45DD-584E-0AE5-140A23238D67}"/>
              </a:ext>
            </a:extLst>
          </xdr:cNvPr>
          <xdr:cNvSpPr/>
        </xdr:nvSpPr>
        <xdr:spPr>
          <a:xfrm rot="787210">
            <a:off x="9005889" y="13954125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0" name="TextBox 349">
            <a:extLst>
              <a:ext uri="{FF2B5EF4-FFF2-40B4-BE49-F238E27FC236}">
                <a16:creationId xmlns:a16="http://schemas.microsoft.com/office/drawing/2014/main" id="{67979381-1E01-4618-70C2-EFFCFD78506F}"/>
              </a:ext>
            </a:extLst>
          </xdr:cNvPr>
          <xdr:cNvSpPr txBox="1"/>
        </xdr:nvSpPr>
        <xdr:spPr>
          <a:xfrm>
            <a:off x="9491665" y="1373505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351" name="TextBox 350">
            <a:extLst>
              <a:ext uri="{FF2B5EF4-FFF2-40B4-BE49-F238E27FC236}">
                <a16:creationId xmlns:a16="http://schemas.microsoft.com/office/drawing/2014/main" id="{15A3BF97-51CA-6F45-579E-D8D841F5663B}"/>
              </a:ext>
            </a:extLst>
          </xdr:cNvPr>
          <xdr:cNvSpPr txBox="1"/>
        </xdr:nvSpPr>
        <xdr:spPr>
          <a:xfrm>
            <a:off x="9148765" y="137160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352" name="TextBox 351">
            <a:extLst>
              <a:ext uri="{FF2B5EF4-FFF2-40B4-BE49-F238E27FC236}">
                <a16:creationId xmlns:a16="http://schemas.microsoft.com/office/drawing/2014/main" id="{1AB3A16A-79F8-7F13-B11B-10F8F1F3D648}"/>
              </a:ext>
            </a:extLst>
          </xdr:cNvPr>
          <xdr:cNvSpPr txBox="1"/>
        </xdr:nvSpPr>
        <xdr:spPr>
          <a:xfrm>
            <a:off x="9234489" y="142303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41</xdr:col>
      <xdr:colOff>104775</xdr:colOff>
      <xdr:row>523</xdr:row>
      <xdr:rowOff>133350</xdr:rowOff>
    </xdr:from>
    <xdr:to>
      <xdr:col>67</xdr:col>
      <xdr:colOff>76200</xdr:colOff>
      <xdr:row>567</xdr:row>
      <xdr:rowOff>28575</xdr:rowOff>
    </xdr:to>
    <xdr:grpSp>
      <xdr:nvGrpSpPr>
        <xdr:cNvPr id="361" name="Group 360">
          <a:extLst>
            <a:ext uri="{FF2B5EF4-FFF2-40B4-BE49-F238E27FC236}">
              <a16:creationId xmlns:a16="http://schemas.microsoft.com/office/drawing/2014/main" id="{DBC07ABC-1A51-B0AD-4B0A-BC08B05B619E}"/>
            </a:ext>
          </a:extLst>
        </xdr:cNvPr>
        <xdr:cNvGrpSpPr/>
      </xdr:nvGrpSpPr>
      <xdr:grpSpPr>
        <a:xfrm>
          <a:off x="6743700" y="75333225"/>
          <a:ext cx="4181475" cy="6181725"/>
          <a:chOff x="8296275" y="19850100"/>
          <a:chExt cx="4181475" cy="6181725"/>
        </a:xfrm>
      </xdr:grpSpPr>
      <xdr:sp macro="" textlink="">
        <xdr:nvSpPr>
          <xdr:cNvPr id="33" name="Arc 32">
            <a:extLst>
              <a:ext uri="{FF2B5EF4-FFF2-40B4-BE49-F238E27FC236}">
                <a16:creationId xmlns:a16="http://schemas.microsoft.com/office/drawing/2014/main" id="{1D912FB0-3133-4613-A1C8-5FCDB299BE0C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C42E651-F9F9-4424-A75C-4C182C5AFCA5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6" name="Isosceles Triangle 275">
            <a:extLst>
              <a:ext uri="{FF2B5EF4-FFF2-40B4-BE49-F238E27FC236}">
                <a16:creationId xmlns:a16="http://schemas.microsoft.com/office/drawing/2014/main" id="{BC32FAF0-358D-4819-B79D-7161B8774379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006E1C02-2DE0-4AA2-9E5F-E42D70BD2313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0" name="Oval 279">
            <a:extLst>
              <a:ext uri="{FF2B5EF4-FFF2-40B4-BE49-F238E27FC236}">
                <a16:creationId xmlns:a16="http://schemas.microsoft.com/office/drawing/2014/main" id="{0813D84D-6606-4E1D-A646-0FEE7202CA5D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0" name="Straight Arrow Connector 289">
            <a:extLst>
              <a:ext uri="{FF2B5EF4-FFF2-40B4-BE49-F238E27FC236}">
                <a16:creationId xmlns:a16="http://schemas.microsoft.com/office/drawing/2014/main" id="{CD06455E-484D-4758-85C7-C6CEB875E45D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Arrow Connector 296">
            <a:extLst>
              <a:ext uri="{FF2B5EF4-FFF2-40B4-BE49-F238E27FC236}">
                <a16:creationId xmlns:a16="http://schemas.microsoft.com/office/drawing/2014/main" id="{2704C1B0-5467-4FEA-8DD1-D8FDC1BEF2FD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4" name="Arc 303">
            <a:extLst>
              <a:ext uri="{FF2B5EF4-FFF2-40B4-BE49-F238E27FC236}">
                <a16:creationId xmlns:a16="http://schemas.microsoft.com/office/drawing/2014/main" id="{BAD7F5D4-6221-4868-A44A-2E6EC13C5679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6" name="TextBox 305">
            <a:extLst>
              <a:ext uri="{FF2B5EF4-FFF2-40B4-BE49-F238E27FC236}">
                <a16:creationId xmlns:a16="http://schemas.microsoft.com/office/drawing/2014/main" id="{93EC97DA-E492-46AC-9AA5-7DF36110D954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312" name="TextBox 311">
            <a:extLst>
              <a:ext uri="{FF2B5EF4-FFF2-40B4-BE49-F238E27FC236}">
                <a16:creationId xmlns:a16="http://schemas.microsoft.com/office/drawing/2014/main" id="{85BC2394-74C3-4C3B-902F-D700B964B8E8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314" name="TextBox 313">
            <a:extLst>
              <a:ext uri="{FF2B5EF4-FFF2-40B4-BE49-F238E27FC236}">
                <a16:creationId xmlns:a16="http://schemas.microsoft.com/office/drawing/2014/main" id="{F7DD2724-502E-4247-935D-E32E83E1B62E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41</xdr:col>
      <xdr:colOff>114300</xdr:colOff>
      <xdr:row>573</xdr:row>
      <xdr:rowOff>133350</xdr:rowOff>
    </xdr:from>
    <xdr:to>
      <xdr:col>67</xdr:col>
      <xdr:colOff>85725</xdr:colOff>
      <xdr:row>617</xdr:row>
      <xdr:rowOff>28575</xdr:rowOff>
    </xdr:to>
    <xdr:grpSp>
      <xdr:nvGrpSpPr>
        <xdr:cNvPr id="453" name="Group 452">
          <a:extLst>
            <a:ext uri="{FF2B5EF4-FFF2-40B4-BE49-F238E27FC236}">
              <a16:creationId xmlns:a16="http://schemas.microsoft.com/office/drawing/2014/main" id="{B6B54665-6099-4647-815E-E261C682A40E}"/>
            </a:ext>
          </a:extLst>
        </xdr:cNvPr>
        <xdr:cNvGrpSpPr/>
      </xdr:nvGrpSpPr>
      <xdr:grpSpPr>
        <a:xfrm>
          <a:off x="6753225" y="82476975"/>
          <a:ext cx="4181475" cy="6181725"/>
          <a:chOff x="8296275" y="19850100"/>
          <a:chExt cx="4181475" cy="6181725"/>
        </a:xfrm>
      </xdr:grpSpPr>
      <xdr:sp macro="" textlink="">
        <xdr:nvSpPr>
          <xdr:cNvPr id="454" name="Arc 453">
            <a:extLst>
              <a:ext uri="{FF2B5EF4-FFF2-40B4-BE49-F238E27FC236}">
                <a16:creationId xmlns:a16="http://schemas.microsoft.com/office/drawing/2014/main" id="{0D1BC1D2-6493-69CC-249B-2D4B8D3BD255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3B016D4E-2F2A-D9EF-E690-B9571CF731ED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6" name="Isosceles Triangle 455">
            <a:extLst>
              <a:ext uri="{FF2B5EF4-FFF2-40B4-BE49-F238E27FC236}">
                <a16:creationId xmlns:a16="http://schemas.microsoft.com/office/drawing/2014/main" id="{5B5DE451-931D-7DD7-4CC1-A57690A5F806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BB708D09-B886-4F2D-C6D1-444FEE6231E1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8" name="Oval 457">
            <a:extLst>
              <a:ext uri="{FF2B5EF4-FFF2-40B4-BE49-F238E27FC236}">
                <a16:creationId xmlns:a16="http://schemas.microsoft.com/office/drawing/2014/main" id="{C872DBDE-27D3-943C-1629-E52EA77051EA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C6875652-A67F-1EA3-34F9-DC9EB2ADB306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DAA876C0-ABBB-EC68-97A3-B236EDB808EE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1" name="Arc 460">
            <a:extLst>
              <a:ext uri="{FF2B5EF4-FFF2-40B4-BE49-F238E27FC236}">
                <a16:creationId xmlns:a16="http://schemas.microsoft.com/office/drawing/2014/main" id="{DBE9EE2C-7745-5893-733A-C700452BDA89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2" name="TextBox 461">
            <a:extLst>
              <a:ext uri="{FF2B5EF4-FFF2-40B4-BE49-F238E27FC236}">
                <a16:creationId xmlns:a16="http://schemas.microsoft.com/office/drawing/2014/main" id="{D72979B3-E6F4-B8AC-7E59-778922CDD528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463" name="TextBox 462">
            <a:extLst>
              <a:ext uri="{FF2B5EF4-FFF2-40B4-BE49-F238E27FC236}">
                <a16:creationId xmlns:a16="http://schemas.microsoft.com/office/drawing/2014/main" id="{034B5EFD-1903-5B14-61A6-BE129FEAB90C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464" name="TextBox 463">
            <a:extLst>
              <a:ext uri="{FF2B5EF4-FFF2-40B4-BE49-F238E27FC236}">
                <a16:creationId xmlns:a16="http://schemas.microsoft.com/office/drawing/2014/main" id="{C4DB2CBE-251F-14C3-108A-78A75D36AAA7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</xdr:col>
      <xdr:colOff>85721</xdr:colOff>
      <xdr:row>378</xdr:row>
      <xdr:rowOff>95244</xdr:rowOff>
    </xdr:from>
    <xdr:to>
      <xdr:col>40</xdr:col>
      <xdr:colOff>61913</xdr:colOff>
      <xdr:row>413</xdr:row>
      <xdr:rowOff>47625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id="{FE612203-3389-AAFD-9ABF-81703C0AF8F9}"/>
            </a:ext>
          </a:extLst>
        </xdr:cNvPr>
        <xdr:cNvGrpSpPr/>
      </xdr:nvGrpSpPr>
      <xdr:grpSpPr>
        <a:xfrm>
          <a:off x="571496" y="54578244"/>
          <a:ext cx="5967417" cy="4953006"/>
          <a:chOff x="571496" y="20145369"/>
          <a:chExt cx="5967417" cy="4953006"/>
        </a:xfrm>
      </xdr:grpSpPr>
      <xdr:sp macro="" textlink="">
        <xdr:nvSpPr>
          <xdr:cNvPr id="474" name="Arc 473">
            <a:extLst>
              <a:ext uri="{FF2B5EF4-FFF2-40B4-BE49-F238E27FC236}">
                <a16:creationId xmlns:a16="http://schemas.microsoft.com/office/drawing/2014/main" id="{16C17C9F-7104-982C-21AD-1B17BC199A5D}"/>
              </a:ext>
            </a:extLst>
          </xdr:cNvPr>
          <xdr:cNvSpPr/>
        </xdr:nvSpPr>
        <xdr:spPr>
          <a:xfrm>
            <a:off x="933451" y="20488275"/>
            <a:ext cx="4610100" cy="4610100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3001DC00-BA71-1F9D-3134-7A61F15144E0}"/>
              </a:ext>
            </a:extLst>
          </xdr:cNvPr>
          <xdr:cNvCxnSpPr>
            <a:endCxn id="474" idx="2"/>
          </xdr:cNvCxnSpPr>
        </xdr:nvCxnSpPr>
        <xdr:spPr>
          <a:xfrm flipV="1">
            <a:off x="3248026" y="21433307"/>
            <a:ext cx="1851552" cy="135049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69630805-6CD3-78D0-0BBA-F8955E1C3AD4}"/>
              </a:ext>
            </a:extLst>
          </xdr:cNvPr>
          <xdr:cNvCxnSpPr>
            <a:endCxn id="474" idx="0"/>
          </xdr:cNvCxnSpPr>
        </xdr:nvCxnSpPr>
        <xdr:spPr>
          <a:xfrm flipH="1" flipV="1">
            <a:off x="1371081" y="21442030"/>
            <a:ext cx="1862657" cy="134177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15EC5A2D-45E3-2E83-53DC-B0243B465381}"/>
              </a:ext>
            </a:extLst>
          </xdr:cNvPr>
          <xdr:cNvSpPr/>
        </xdr:nvSpPr>
        <xdr:spPr>
          <a:xfrm>
            <a:off x="1190621" y="216265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8" name="Isosceles Triangle 477">
            <a:extLst>
              <a:ext uri="{FF2B5EF4-FFF2-40B4-BE49-F238E27FC236}">
                <a16:creationId xmlns:a16="http://schemas.microsoft.com/office/drawing/2014/main" id="{BF65EA08-5892-1F73-8117-0609E956998F}"/>
              </a:ext>
            </a:extLst>
          </xdr:cNvPr>
          <xdr:cNvSpPr/>
        </xdr:nvSpPr>
        <xdr:spPr>
          <a:xfrm>
            <a:off x="1275203" y="2148840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79" name="Straight Connector 478">
            <a:extLst>
              <a:ext uri="{FF2B5EF4-FFF2-40B4-BE49-F238E27FC236}">
                <a16:creationId xmlns:a16="http://schemas.microsoft.com/office/drawing/2014/main" id="{7EAB1951-E6B7-D50B-AFFB-CA9DB60B1D07}"/>
              </a:ext>
            </a:extLst>
          </xdr:cNvPr>
          <xdr:cNvCxnSpPr/>
        </xdr:nvCxnSpPr>
        <xdr:spPr>
          <a:xfrm>
            <a:off x="1181095" y="216217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0" name="Oval 479">
            <a:extLst>
              <a:ext uri="{FF2B5EF4-FFF2-40B4-BE49-F238E27FC236}">
                <a16:creationId xmlns:a16="http://schemas.microsoft.com/office/drawing/2014/main" id="{CFCF90F7-8FB3-E0FC-1CAC-610209209E93}"/>
              </a:ext>
            </a:extLst>
          </xdr:cNvPr>
          <xdr:cNvSpPr/>
        </xdr:nvSpPr>
        <xdr:spPr>
          <a:xfrm>
            <a:off x="1309682" y="214312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81" name="Straight Arrow Connector 480">
            <a:extLst>
              <a:ext uri="{FF2B5EF4-FFF2-40B4-BE49-F238E27FC236}">
                <a16:creationId xmlns:a16="http://schemas.microsoft.com/office/drawing/2014/main" id="{88D10755-DADE-8416-E5A6-28FFBB255D1E}"/>
              </a:ext>
            </a:extLst>
          </xdr:cNvPr>
          <xdr:cNvCxnSpPr/>
        </xdr:nvCxnSpPr>
        <xdr:spPr>
          <a:xfrm flipV="1">
            <a:off x="1343020" y="217646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Arrow Connector 481">
            <a:extLst>
              <a:ext uri="{FF2B5EF4-FFF2-40B4-BE49-F238E27FC236}">
                <a16:creationId xmlns:a16="http://schemas.microsoft.com/office/drawing/2014/main" id="{E6DF2464-064A-B5D3-C947-E276E2796CA9}"/>
              </a:ext>
            </a:extLst>
          </xdr:cNvPr>
          <xdr:cNvCxnSpPr/>
        </xdr:nvCxnSpPr>
        <xdr:spPr>
          <a:xfrm>
            <a:off x="952497" y="2147887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9124FC5D-D496-7CE0-27DF-02057D2EA6EF}"/>
              </a:ext>
            </a:extLst>
          </xdr:cNvPr>
          <xdr:cNvSpPr/>
        </xdr:nvSpPr>
        <xdr:spPr>
          <a:xfrm>
            <a:off x="4948247" y="21621762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4" name="Isosceles Triangle 483">
            <a:extLst>
              <a:ext uri="{FF2B5EF4-FFF2-40B4-BE49-F238E27FC236}">
                <a16:creationId xmlns:a16="http://schemas.microsoft.com/office/drawing/2014/main" id="{9B0F93FD-97E7-CD5E-6C58-FA6ED3352F11}"/>
              </a:ext>
            </a:extLst>
          </xdr:cNvPr>
          <xdr:cNvSpPr/>
        </xdr:nvSpPr>
        <xdr:spPr>
          <a:xfrm>
            <a:off x="5032829" y="21483652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EEAF30AB-CCE6-0D82-4A9F-E283E4D19E9A}"/>
              </a:ext>
            </a:extLst>
          </xdr:cNvPr>
          <xdr:cNvCxnSpPr/>
        </xdr:nvCxnSpPr>
        <xdr:spPr>
          <a:xfrm>
            <a:off x="4938721" y="21616998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6" name="Oval 485">
            <a:extLst>
              <a:ext uri="{FF2B5EF4-FFF2-40B4-BE49-F238E27FC236}">
                <a16:creationId xmlns:a16="http://schemas.microsoft.com/office/drawing/2014/main" id="{B9124BC6-11F8-4E04-1F4C-EA2C2D73D980}"/>
              </a:ext>
            </a:extLst>
          </xdr:cNvPr>
          <xdr:cNvSpPr/>
        </xdr:nvSpPr>
        <xdr:spPr>
          <a:xfrm>
            <a:off x="5067308" y="21426499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87" name="Straight Arrow Connector 486">
            <a:extLst>
              <a:ext uri="{FF2B5EF4-FFF2-40B4-BE49-F238E27FC236}">
                <a16:creationId xmlns:a16="http://schemas.microsoft.com/office/drawing/2014/main" id="{46E3714C-4F6D-8E44-5825-5C62BA80915F}"/>
              </a:ext>
            </a:extLst>
          </xdr:cNvPr>
          <xdr:cNvCxnSpPr/>
        </xdr:nvCxnSpPr>
        <xdr:spPr>
          <a:xfrm flipV="1">
            <a:off x="5100646" y="2175987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Arrow Connector 487">
            <a:extLst>
              <a:ext uri="{FF2B5EF4-FFF2-40B4-BE49-F238E27FC236}">
                <a16:creationId xmlns:a16="http://schemas.microsoft.com/office/drawing/2014/main" id="{EC76608F-A623-13C2-F49B-6B916AA1124C}"/>
              </a:ext>
            </a:extLst>
          </xdr:cNvPr>
          <xdr:cNvCxnSpPr/>
        </xdr:nvCxnSpPr>
        <xdr:spPr>
          <a:xfrm flipH="1">
            <a:off x="5214945" y="21478886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9" name="Oval 488">
            <a:extLst>
              <a:ext uri="{FF2B5EF4-FFF2-40B4-BE49-F238E27FC236}">
                <a16:creationId xmlns:a16="http://schemas.microsoft.com/office/drawing/2014/main" id="{3244688D-881E-BC1B-1F19-702975F0E4FA}"/>
              </a:ext>
            </a:extLst>
          </xdr:cNvPr>
          <xdr:cNvSpPr/>
        </xdr:nvSpPr>
        <xdr:spPr>
          <a:xfrm>
            <a:off x="3195638" y="2044541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1B3ED867-A472-0198-67E5-A0E0F8295D4D}"/>
              </a:ext>
            </a:extLst>
          </xdr:cNvPr>
          <xdr:cNvCxnSpPr/>
        </xdr:nvCxnSpPr>
        <xdr:spPr>
          <a:xfrm>
            <a:off x="1390647" y="20335875"/>
            <a:ext cx="18573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Arrow Connector 490">
            <a:extLst>
              <a:ext uri="{FF2B5EF4-FFF2-40B4-BE49-F238E27FC236}">
                <a16:creationId xmlns:a16="http://schemas.microsoft.com/office/drawing/2014/main" id="{74733852-46AD-59F3-2EFE-D1109E3FA234}"/>
              </a:ext>
            </a:extLst>
          </xdr:cNvPr>
          <xdr:cNvCxnSpPr/>
        </xdr:nvCxnSpPr>
        <xdr:spPr>
          <a:xfrm>
            <a:off x="1390643" y="2014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Arrow Connector 491">
            <a:extLst>
              <a:ext uri="{FF2B5EF4-FFF2-40B4-BE49-F238E27FC236}">
                <a16:creationId xmlns:a16="http://schemas.microsoft.com/office/drawing/2014/main" id="{B793C3A5-4530-C6A3-5FD2-A4D922CC97A4}"/>
              </a:ext>
            </a:extLst>
          </xdr:cNvPr>
          <xdr:cNvCxnSpPr/>
        </xdr:nvCxnSpPr>
        <xdr:spPr>
          <a:xfrm>
            <a:off x="1619242" y="2014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Arrow Connector 492">
            <a:extLst>
              <a:ext uri="{FF2B5EF4-FFF2-40B4-BE49-F238E27FC236}">
                <a16:creationId xmlns:a16="http://schemas.microsoft.com/office/drawing/2014/main" id="{F6AD9CAF-F19D-26DA-805D-A1E19D116DC8}"/>
              </a:ext>
            </a:extLst>
          </xdr:cNvPr>
          <xdr:cNvCxnSpPr/>
        </xdr:nvCxnSpPr>
        <xdr:spPr>
          <a:xfrm>
            <a:off x="1781168" y="2014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Arrow Connector 493">
            <a:extLst>
              <a:ext uri="{FF2B5EF4-FFF2-40B4-BE49-F238E27FC236}">
                <a16:creationId xmlns:a16="http://schemas.microsoft.com/office/drawing/2014/main" id="{59131F9A-E99A-37BF-C7BE-ADA2AD64C12C}"/>
              </a:ext>
            </a:extLst>
          </xdr:cNvPr>
          <xdr:cNvCxnSpPr/>
        </xdr:nvCxnSpPr>
        <xdr:spPr>
          <a:xfrm>
            <a:off x="1943087" y="2014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Arrow Connector 494">
            <a:extLst>
              <a:ext uri="{FF2B5EF4-FFF2-40B4-BE49-F238E27FC236}">
                <a16:creationId xmlns:a16="http://schemas.microsoft.com/office/drawing/2014/main" id="{AA05711F-86DD-FB37-ACF7-3E6393696594}"/>
              </a:ext>
            </a:extLst>
          </xdr:cNvPr>
          <xdr:cNvCxnSpPr/>
        </xdr:nvCxnSpPr>
        <xdr:spPr>
          <a:xfrm>
            <a:off x="2105018" y="201453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Arrow Connector 495">
            <a:extLst>
              <a:ext uri="{FF2B5EF4-FFF2-40B4-BE49-F238E27FC236}">
                <a16:creationId xmlns:a16="http://schemas.microsoft.com/office/drawing/2014/main" id="{64B47204-979F-EF4F-4F68-267AF086CD08}"/>
              </a:ext>
            </a:extLst>
          </xdr:cNvPr>
          <xdr:cNvCxnSpPr/>
        </xdr:nvCxnSpPr>
        <xdr:spPr>
          <a:xfrm>
            <a:off x="2266944" y="201453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Arrow Connector 496">
            <a:extLst>
              <a:ext uri="{FF2B5EF4-FFF2-40B4-BE49-F238E27FC236}">
                <a16:creationId xmlns:a16="http://schemas.microsoft.com/office/drawing/2014/main" id="{01F164F3-06B8-97DE-61FA-86A488B9A2EB}"/>
              </a:ext>
            </a:extLst>
          </xdr:cNvPr>
          <xdr:cNvCxnSpPr/>
        </xdr:nvCxnSpPr>
        <xdr:spPr>
          <a:xfrm>
            <a:off x="2428863" y="201453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Arrow Connector 497">
            <a:extLst>
              <a:ext uri="{FF2B5EF4-FFF2-40B4-BE49-F238E27FC236}">
                <a16:creationId xmlns:a16="http://schemas.microsoft.com/office/drawing/2014/main" id="{739894D3-EF2A-D794-3C77-F473DB160BDA}"/>
              </a:ext>
            </a:extLst>
          </xdr:cNvPr>
          <xdr:cNvCxnSpPr/>
        </xdr:nvCxnSpPr>
        <xdr:spPr>
          <a:xfrm>
            <a:off x="2590800" y="201453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Arrow Connector 498">
            <a:extLst>
              <a:ext uri="{FF2B5EF4-FFF2-40B4-BE49-F238E27FC236}">
                <a16:creationId xmlns:a16="http://schemas.microsoft.com/office/drawing/2014/main" id="{4E9262A4-A7E4-41FD-50C9-E5678380A0CD}"/>
              </a:ext>
            </a:extLst>
          </xdr:cNvPr>
          <xdr:cNvCxnSpPr/>
        </xdr:nvCxnSpPr>
        <xdr:spPr>
          <a:xfrm>
            <a:off x="2752726" y="201453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Arrow Connector 499">
            <a:extLst>
              <a:ext uri="{FF2B5EF4-FFF2-40B4-BE49-F238E27FC236}">
                <a16:creationId xmlns:a16="http://schemas.microsoft.com/office/drawing/2014/main" id="{BCB37EB2-6EFE-F97A-C3BE-4D88DC7E13DC}"/>
              </a:ext>
            </a:extLst>
          </xdr:cNvPr>
          <xdr:cNvCxnSpPr/>
        </xdr:nvCxnSpPr>
        <xdr:spPr>
          <a:xfrm>
            <a:off x="2914645" y="201453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Arrow Connector 500">
            <a:extLst>
              <a:ext uri="{FF2B5EF4-FFF2-40B4-BE49-F238E27FC236}">
                <a16:creationId xmlns:a16="http://schemas.microsoft.com/office/drawing/2014/main" id="{D6ECB0A0-C210-D67D-BC15-B22AB9CCA252}"/>
              </a:ext>
            </a:extLst>
          </xdr:cNvPr>
          <xdr:cNvCxnSpPr/>
        </xdr:nvCxnSpPr>
        <xdr:spPr>
          <a:xfrm>
            <a:off x="3076576" y="2014537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Arrow Connector 501">
            <a:extLst>
              <a:ext uri="{FF2B5EF4-FFF2-40B4-BE49-F238E27FC236}">
                <a16:creationId xmlns:a16="http://schemas.microsoft.com/office/drawing/2014/main" id="{690C04EE-8EF7-EA24-4A9F-661C9AF42C58}"/>
              </a:ext>
            </a:extLst>
          </xdr:cNvPr>
          <xdr:cNvCxnSpPr/>
        </xdr:nvCxnSpPr>
        <xdr:spPr>
          <a:xfrm>
            <a:off x="3238502" y="2014537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CC158740-5F6D-4CEA-6A97-09C4CFC75B6A}"/>
              </a:ext>
            </a:extLst>
          </xdr:cNvPr>
          <xdr:cNvCxnSpPr/>
        </xdr:nvCxnSpPr>
        <xdr:spPr>
          <a:xfrm>
            <a:off x="1390645" y="20145369"/>
            <a:ext cx="18573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Connector 514">
            <a:extLst>
              <a:ext uri="{FF2B5EF4-FFF2-40B4-BE49-F238E27FC236}">
                <a16:creationId xmlns:a16="http://schemas.microsoft.com/office/drawing/2014/main" id="{D2CE460D-C0BE-EA9E-A959-1BE55273360E}"/>
              </a:ext>
            </a:extLst>
          </xdr:cNvPr>
          <xdr:cNvCxnSpPr/>
        </xdr:nvCxnSpPr>
        <xdr:spPr>
          <a:xfrm flipH="1" flipV="1">
            <a:off x="2133600" y="20764500"/>
            <a:ext cx="1109663" cy="203358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6CFEB638-28E8-A55C-073F-496B919C4CB4}"/>
              </a:ext>
            </a:extLst>
          </xdr:cNvPr>
          <xdr:cNvCxnSpPr/>
        </xdr:nvCxnSpPr>
        <xdr:spPr>
          <a:xfrm flipV="1">
            <a:off x="3243263" y="20769263"/>
            <a:ext cx="1090612" cy="201453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Connector 516">
            <a:extLst>
              <a:ext uri="{FF2B5EF4-FFF2-40B4-BE49-F238E27FC236}">
                <a16:creationId xmlns:a16="http://schemas.microsoft.com/office/drawing/2014/main" id="{D1A45AED-B492-2DB6-C760-434139B7E008}"/>
              </a:ext>
            </a:extLst>
          </xdr:cNvPr>
          <xdr:cNvCxnSpPr/>
        </xdr:nvCxnSpPr>
        <xdr:spPr>
          <a:xfrm>
            <a:off x="3524250" y="20478750"/>
            <a:ext cx="3014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C87F0105-2C4B-9D20-CD8C-91FA8599DFF1}"/>
              </a:ext>
            </a:extLst>
          </xdr:cNvPr>
          <xdr:cNvCxnSpPr/>
        </xdr:nvCxnSpPr>
        <xdr:spPr>
          <a:xfrm>
            <a:off x="5686425" y="21478875"/>
            <a:ext cx="847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00E5FD9C-284F-ACB9-3A54-039B076E9FC7}"/>
              </a:ext>
            </a:extLst>
          </xdr:cNvPr>
          <xdr:cNvCxnSpPr/>
        </xdr:nvCxnSpPr>
        <xdr:spPr>
          <a:xfrm>
            <a:off x="6153143" y="20407315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09AA7784-1F90-9A6C-9CCF-CDC78A11C6EF}"/>
              </a:ext>
            </a:extLst>
          </xdr:cNvPr>
          <xdr:cNvCxnSpPr/>
        </xdr:nvCxnSpPr>
        <xdr:spPr>
          <a:xfrm>
            <a:off x="4429125" y="20764501"/>
            <a:ext cx="1785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Connector 520">
            <a:extLst>
              <a:ext uri="{FF2B5EF4-FFF2-40B4-BE49-F238E27FC236}">
                <a16:creationId xmlns:a16="http://schemas.microsoft.com/office/drawing/2014/main" id="{06E9AFB9-67F2-A354-989D-453C1BF2E5FF}"/>
              </a:ext>
            </a:extLst>
          </xdr:cNvPr>
          <xdr:cNvCxnSpPr/>
        </xdr:nvCxnSpPr>
        <xdr:spPr>
          <a:xfrm flipH="1">
            <a:off x="4305299" y="20712116"/>
            <a:ext cx="61913" cy="11498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Connector 521">
            <a:extLst>
              <a:ext uri="{FF2B5EF4-FFF2-40B4-BE49-F238E27FC236}">
                <a16:creationId xmlns:a16="http://schemas.microsoft.com/office/drawing/2014/main" id="{1255D3A3-9D34-858B-0FFB-D610B0DC20C5}"/>
              </a:ext>
            </a:extLst>
          </xdr:cNvPr>
          <xdr:cNvCxnSpPr/>
        </xdr:nvCxnSpPr>
        <xdr:spPr>
          <a:xfrm flipH="1" flipV="1">
            <a:off x="2114553" y="20722318"/>
            <a:ext cx="50001" cy="8980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3483E150-1EC3-B895-4EB6-9815AABD70A7}"/>
              </a:ext>
            </a:extLst>
          </xdr:cNvPr>
          <xdr:cNvCxnSpPr/>
        </xdr:nvCxnSpPr>
        <xdr:spPr>
          <a:xfrm flipH="1">
            <a:off x="6115050" y="2044541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Connector 523">
            <a:extLst>
              <a:ext uri="{FF2B5EF4-FFF2-40B4-BE49-F238E27FC236}">
                <a16:creationId xmlns:a16="http://schemas.microsoft.com/office/drawing/2014/main" id="{1253CD58-EFC5-CCB8-BFC9-FDC1BCB874C9}"/>
              </a:ext>
            </a:extLst>
          </xdr:cNvPr>
          <xdr:cNvCxnSpPr/>
        </xdr:nvCxnSpPr>
        <xdr:spPr>
          <a:xfrm flipH="1">
            <a:off x="6115046" y="2073116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CA10C0D7-BB4E-181B-D44B-5E2C18AC655C}"/>
              </a:ext>
            </a:extLst>
          </xdr:cNvPr>
          <xdr:cNvCxnSpPr/>
        </xdr:nvCxnSpPr>
        <xdr:spPr>
          <a:xfrm flipH="1">
            <a:off x="6115036" y="2144554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Connector 525">
            <a:extLst>
              <a:ext uri="{FF2B5EF4-FFF2-40B4-BE49-F238E27FC236}">
                <a16:creationId xmlns:a16="http://schemas.microsoft.com/office/drawing/2014/main" id="{920B87FB-72B3-FFD3-6F98-72D218E52E01}"/>
              </a:ext>
            </a:extLst>
          </xdr:cNvPr>
          <xdr:cNvCxnSpPr/>
        </xdr:nvCxnSpPr>
        <xdr:spPr>
          <a:xfrm>
            <a:off x="6477000" y="20407314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Connector 526">
            <a:extLst>
              <a:ext uri="{FF2B5EF4-FFF2-40B4-BE49-F238E27FC236}">
                <a16:creationId xmlns:a16="http://schemas.microsoft.com/office/drawing/2014/main" id="{E43319DA-5DDE-A9D3-0B7C-82AFBEE58A91}"/>
              </a:ext>
            </a:extLst>
          </xdr:cNvPr>
          <xdr:cNvCxnSpPr/>
        </xdr:nvCxnSpPr>
        <xdr:spPr>
          <a:xfrm flipH="1">
            <a:off x="6438900" y="204454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Connector 527">
            <a:extLst>
              <a:ext uri="{FF2B5EF4-FFF2-40B4-BE49-F238E27FC236}">
                <a16:creationId xmlns:a16="http://schemas.microsoft.com/office/drawing/2014/main" id="{A0FC4AF0-B22C-047D-1004-867BE4836E0C}"/>
              </a:ext>
            </a:extLst>
          </xdr:cNvPr>
          <xdr:cNvCxnSpPr/>
        </xdr:nvCxnSpPr>
        <xdr:spPr>
          <a:xfrm flipH="1">
            <a:off x="6438898" y="2144554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E97B01FD-C90D-5CA1-59C9-DE02348194DA}"/>
              </a:ext>
            </a:extLst>
          </xdr:cNvPr>
          <xdr:cNvCxnSpPr/>
        </xdr:nvCxnSpPr>
        <xdr:spPr>
          <a:xfrm>
            <a:off x="571500" y="20478750"/>
            <a:ext cx="2319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Connector 529">
            <a:extLst>
              <a:ext uri="{FF2B5EF4-FFF2-40B4-BE49-F238E27FC236}">
                <a16:creationId xmlns:a16="http://schemas.microsoft.com/office/drawing/2014/main" id="{02ECE9B8-BF28-72E6-7063-AEE74AEE06E3}"/>
              </a:ext>
            </a:extLst>
          </xdr:cNvPr>
          <xdr:cNvCxnSpPr/>
        </xdr:nvCxnSpPr>
        <xdr:spPr>
          <a:xfrm>
            <a:off x="647705" y="20412075"/>
            <a:ext cx="0" cy="1133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1A6F8980-09DF-D97B-A41E-00195D367A33}"/>
              </a:ext>
            </a:extLst>
          </xdr:cNvPr>
          <xdr:cNvCxnSpPr/>
        </xdr:nvCxnSpPr>
        <xdr:spPr>
          <a:xfrm flipH="1">
            <a:off x="609604" y="2044541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Connector 531">
            <a:extLst>
              <a:ext uri="{FF2B5EF4-FFF2-40B4-BE49-F238E27FC236}">
                <a16:creationId xmlns:a16="http://schemas.microsoft.com/office/drawing/2014/main" id="{82B055F8-F229-8D74-C7B5-26385AB94D43}"/>
              </a:ext>
            </a:extLst>
          </xdr:cNvPr>
          <xdr:cNvCxnSpPr/>
        </xdr:nvCxnSpPr>
        <xdr:spPr>
          <a:xfrm>
            <a:off x="571496" y="20764500"/>
            <a:ext cx="148590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ABF579CB-426A-D914-87A7-803AF26E9DCA}"/>
              </a:ext>
            </a:extLst>
          </xdr:cNvPr>
          <xdr:cNvCxnSpPr/>
        </xdr:nvCxnSpPr>
        <xdr:spPr>
          <a:xfrm flipH="1">
            <a:off x="609600" y="20731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D243650C-1BF4-0AA5-D149-4E8EE87C05AD}"/>
              </a:ext>
            </a:extLst>
          </xdr:cNvPr>
          <xdr:cNvCxnSpPr/>
        </xdr:nvCxnSpPr>
        <xdr:spPr>
          <a:xfrm>
            <a:off x="571496" y="21478875"/>
            <a:ext cx="300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099E4033-9214-F979-B62C-196D0D7343E7}"/>
              </a:ext>
            </a:extLst>
          </xdr:cNvPr>
          <xdr:cNvCxnSpPr/>
        </xdr:nvCxnSpPr>
        <xdr:spPr>
          <a:xfrm flipH="1">
            <a:off x="609600" y="214455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Arrow Connector 535">
            <a:extLst>
              <a:ext uri="{FF2B5EF4-FFF2-40B4-BE49-F238E27FC236}">
                <a16:creationId xmlns:a16="http://schemas.microsoft.com/office/drawing/2014/main" id="{B571295B-DDD3-5AAE-CF54-07221296E1F2}"/>
              </a:ext>
            </a:extLst>
          </xdr:cNvPr>
          <xdr:cNvCxnSpPr/>
        </xdr:nvCxnSpPr>
        <xdr:spPr>
          <a:xfrm flipV="1">
            <a:off x="3248025" y="20550188"/>
            <a:ext cx="495300" cy="221932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E67E117B-AD60-E9BB-AF6F-5F10BDED4A8C}"/>
              </a:ext>
            </a:extLst>
          </xdr:cNvPr>
          <xdr:cNvCxnSpPr/>
        </xdr:nvCxnSpPr>
        <xdr:spPr>
          <a:xfrm>
            <a:off x="2566988" y="22798088"/>
            <a:ext cx="1233487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8" name="Arc 537">
            <a:extLst>
              <a:ext uri="{FF2B5EF4-FFF2-40B4-BE49-F238E27FC236}">
                <a16:creationId xmlns:a16="http://schemas.microsoft.com/office/drawing/2014/main" id="{9BFE789C-735D-BC95-EC1E-997B37733998}"/>
              </a:ext>
            </a:extLst>
          </xdr:cNvPr>
          <xdr:cNvSpPr/>
        </xdr:nvSpPr>
        <xdr:spPr>
          <a:xfrm rot="14662438">
            <a:off x="2940437" y="22461929"/>
            <a:ext cx="462776" cy="46277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9" name="Arc 538">
            <a:extLst>
              <a:ext uri="{FF2B5EF4-FFF2-40B4-BE49-F238E27FC236}">
                <a16:creationId xmlns:a16="http://schemas.microsoft.com/office/drawing/2014/main" id="{05144557-3654-B5B7-70F6-86EB8F824660}"/>
              </a:ext>
            </a:extLst>
          </xdr:cNvPr>
          <xdr:cNvSpPr/>
        </xdr:nvSpPr>
        <xdr:spPr>
          <a:xfrm rot="1806329">
            <a:off x="3065379" y="22463040"/>
            <a:ext cx="460540" cy="46054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75F75CF3-9C20-DB78-B61B-4F2177C4D16F}"/>
              </a:ext>
            </a:extLst>
          </xdr:cNvPr>
          <xdr:cNvCxnSpPr/>
        </xdr:nvCxnSpPr>
        <xdr:spPr>
          <a:xfrm>
            <a:off x="1338263" y="2223135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DCDEEAA4-E4A5-C462-5863-6A15538612D0}"/>
              </a:ext>
            </a:extLst>
          </xdr:cNvPr>
          <xdr:cNvCxnSpPr/>
        </xdr:nvCxnSpPr>
        <xdr:spPr>
          <a:xfrm>
            <a:off x="1262062" y="23050501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Connector 541">
            <a:extLst>
              <a:ext uri="{FF2B5EF4-FFF2-40B4-BE49-F238E27FC236}">
                <a16:creationId xmlns:a16="http://schemas.microsoft.com/office/drawing/2014/main" id="{C2A688C1-150C-A85D-2F76-BC236517D499}"/>
              </a:ext>
            </a:extLst>
          </xdr:cNvPr>
          <xdr:cNvCxnSpPr/>
        </xdr:nvCxnSpPr>
        <xdr:spPr>
          <a:xfrm flipH="1">
            <a:off x="1300163" y="230171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Connector 542">
            <a:extLst>
              <a:ext uri="{FF2B5EF4-FFF2-40B4-BE49-F238E27FC236}">
                <a16:creationId xmlns:a16="http://schemas.microsoft.com/office/drawing/2014/main" id="{B1264D2F-76FA-65BA-4A2F-A66A069193BA}"/>
              </a:ext>
            </a:extLst>
          </xdr:cNvPr>
          <xdr:cNvCxnSpPr/>
        </xdr:nvCxnSpPr>
        <xdr:spPr>
          <a:xfrm>
            <a:off x="1262061" y="23336252"/>
            <a:ext cx="389572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EA3689B5-EC1A-8E78-5B71-3D9527367B69}"/>
              </a:ext>
            </a:extLst>
          </xdr:cNvPr>
          <xdr:cNvCxnSpPr/>
        </xdr:nvCxnSpPr>
        <xdr:spPr>
          <a:xfrm flipH="1">
            <a:off x="1309687" y="233029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4F5998D9-1BD6-F0D6-9742-DEFF759D8D6B}"/>
              </a:ext>
            </a:extLst>
          </xdr:cNvPr>
          <xdr:cNvCxnSpPr/>
        </xdr:nvCxnSpPr>
        <xdr:spPr>
          <a:xfrm>
            <a:off x="5100637" y="2223136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Connector 545">
            <a:extLst>
              <a:ext uri="{FF2B5EF4-FFF2-40B4-BE49-F238E27FC236}">
                <a16:creationId xmlns:a16="http://schemas.microsoft.com/office/drawing/2014/main" id="{CD8CEACD-BCA9-08D8-1024-A47886F3C91A}"/>
              </a:ext>
            </a:extLst>
          </xdr:cNvPr>
          <xdr:cNvCxnSpPr/>
        </xdr:nvCxnSpPr>
        <xdr:spPr>
          <a:xfrm flipH="1">
            <a:off x="5062537" y="2301717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91D96BA7-DFED-53AB-7D4A-76E3BC07AAEE}"/>
              </a:ext>
            </a:extLst>
          </xdr:cNvPr>
          <xdr:cNvCxnSpPr/>
        </xdr:nvCxnSpPr>
        <xdr:spPr>
          <a:xfrm flipH="1">
            <a:off x="5062536" y="2330292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Connector 547">
            <a:extLst>
              <a:ext uri="{FF2B5EF4-FFF2-40B4-BE49-F238E27FC236}">
                <a16:creationId xmlns:a16="http://schemas.microsoft.com/office/drawing/2014/main" id="{B0515607-F93C-FABD-1EE4-5DBC62386CF5}"/>
              </a:ext>
            </a:extLst>
          </xdr:cNvPr>
          <xdr:cNvCxnSpPr/>
        </xdr:nvCxnSpPr>
        <xdr:spPr>
          <a:xfrm>
            <a:off x="2138364" y="20831175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69ADB2A2-9DBA-D134-4972-8D3E5385401D}"/>
              </a:ext>
            </a:extLst>
          </xdr:cNvPr>
          <xdr:cNvCxnSpPr/>
        </xdr:nvCxnSpPr>
        <xdr:spPr>
          <a:xfrm flipH="1">
            <a:off x="2100263" y="230171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7218F646-B7F1-59DE-9B1F-CF4C9C320C86}"/>
              </a:ext>
            </a:extLst>
          </xdr:cNvPr>
          <xdr:cNvCxnSpPr/>
        </xdr:nvCxnSpPr>
        <xdr:spPr>
          <a:xfrm>
            <a:off x="4338640" y="20831179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C914B9D7-0D10-83BC-6075-58D61139C3B7}"/>
              </a:ext>
            </a:extLst>
          </xdr:cNvPr>
          <xdr:cNvCxnSpPr/>
        </xdr:nvCxnSpPr>
        <xdr:spPr>
          <a:xfrm flipH="1">
            <a:off x="4300539" y="2301717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Connector 551">
            <a:extLst>
              <a:ext uri="{FF2B5EF4-FFF2-40B4-BE49-F238E27FC236}">
                <a16:creationId xmlns:a16="http://schemas.microsoft.com/office/drawing/2014/main" id="{F26557BE-DEDA-2F99-C9C2-1AA612A83DC6}"/>
              </a:ext>
            </a:extLst>
          </xdr:cNvPr>
          <xdr:cNvCxnSpPr/>
        </xdr:nvCxnSpPr>
        <xdr:spPr>
          <a:xfrm>
            <a:off x="3238499" y="22869525"/>
            <a:ext cx="0" cy="2619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67B3D0C6-6A66-3F4F-306A-7643454182CE}"/>
              </a:ext>
            </a:extLst>
          </xdr:cNvPr>
          <xdr:cNvCxnSpPr/>
        </xdr:nvCxnSpPr>
        <xdr:spPr>
          <a:xfrm flipH="1">
            <a:off x="3200400" y="230171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28AD6FF8-974E-D0C3-2593-45CEA2DAB424}"/>
              </a:ext>
            </a:extLst>
          </xdr:cNvPr>
          <xdr:cNvCxnSpPr/>
        </xdr:nvCxnSpPr>
        <xdr:spPr>
          <a:xfrm>
            <a:off x="4314825" y="2368867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B1C7DA6C-891A-6BE9-8ECD-892E3D5A4390}"/>
              </a:ext>
            </a:extLst>
          </xdr:cNvPr>
          <xdr:cNvCxnSpPr/>
        </xdr:nvCxnSpPr>
        <xdr:spPr>
          <a:xfrm>
            <a:off x="3314700" y="2383155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DFB87117-9C57-A606-6C26-0D90F938EE74}"/>
              </a:ext>
            </a:extLst>
          </xdr:cNvPr>
          <xdr:cNvCxnSpPr/>
        </xdr:nvCxnSpPr>
        <xdr:spPr>
          <a:xfrm>
            <a:off x="4314825" y="2397442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Arrow Connector 556">
            <a:extLst>
              <a:ext uri="{FF2B5EF4-FFF2-40B4-BE49-F238E27FC236}">
                <a16:creationId xmlns:a16="http://schemas.microsoft.com/office/drawing/2014/main" id="{9FF9FD87-477C-0A96-2668-CA4B156825D4}"/>
              </a:ext>
            </a:extLst>
          </xdr:cNvPr>
          <xdr:cNvCxnSpPr/>
        </xdr:nvCxnSpPr>
        <xdr:spPr>
          <a:xfrm>
            <a:off x="3829050" y="2411730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A41C7F56-F9BB-27CD-17B8-18B2641CA0CE}"/>
              </a:ext>
            </a:extLst>
          </xdr:cNvPr>
          <xdr:cNvCxnSpPr/>
        </xdr:nvCxnSpPr>
        <xdr:spPr>
          <a:xfrm>
            <a:off x="4343400" y="20493038"/>
            <a:ext cx="0" cy="261937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66675</xdr:colOff>
      <xdr:row>380</xdr:row>
      <xdr:rowOff>1</xdr:rowOff>
    </xdr:from>
    <xdr:to>
      <xdr:col>67</xdr:col>
      <xdr:colOff>142875</xdr:colOff>
      <xdr:row>413</xdr:row>
      <xdr:rowOff>76200</xdr:rowOff>
    </xdr:to>
    <xdr:grpSp>
      <xdr:nvGrpSpPr>
        <xdr:cNvPr id="559" name="Group 558">
          <a:extLst>
            <a:ext uri="{FF2B5EF4-FFF2-40B4-BE49-F238E27FC236}">
              <a16:creationId xmlns:a16="http://schemas.microsoft.com/office/drawing/2014/main" id="{A29FDC91-0021-443A-82E1-14F75D713997}"/>
            </a:ext>
          </a:extLst>
        </xdr:cNvPr>
        <xdr:cNvGrpSpPr/>
      </xdr:nvGrpSpPr>
      <xdr:grpSpPr>
        <a:xfrm>
          <a:off x="6381750" y="54768751"/>
          <a:ext cx="4610100" cy="4791074"/>
          <a:chOff x="8001000" y="13716001"/>
          <a:chExt cx="4610100" cy="4791074"/>
        </a:xfrm>
      </xdr:grpSpPr>
      <xdr:sp macro="" textlink="">
        <xdr:nvSpPr>
          <xdr:cNvPr id="560" name="Arc 559">
            <a:extLst>
              <a:ext uri="{FF2B5EF4-FFF2-40B4-BE49-F238E27FC236}">
                <a16:creationId xmlns:a16="http://schemas.microsoft.com/office/drawing/2014/main" id="{1EFF8CFB-41AA-F8E9-E496-9D47BA3546FE}"/>
              </a:ext>
            </a:extLst>
          </xdr:cNvPr>
          <xdr:cNvSpPr/>
        </xdr:nvSpPr>
        <xdr:spPr>
          <a:xfrm>
            <a:off x="8001000" y="13896975"/>
            <a:ext cx="4610100" cy="4610100"/>
          </a:xfrm>
          <a:prstGeom prst="arc">
            <a:avLst>
              <a:gd name="adj1" fmla="val 12953407"/>
              <a:gd name="adj2" fmla="val 14603002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BE306D8-E717-4196-0AB0-A795F9AC3FD0}"/>
              </a:ext>
            </a:extLst>
          </xdr:cNvPr>
          <xdr:cNvSpPr/>
        </xdr:nvSpPr>
        <xdr:spPr>
          <a:xfrm>
            <a:off x="8267701" y="150066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2" name="Isosceles Triangle 561">
            <a:extLst>
              <a:ext uri="{FF2B5EF4-FFF2-40B4-BE49-F238E27FC236}">
                <a16:creationId xmlns:a16="http://schemas.microsoft.com/office/drawing/2014/main" id="{79BABF04-8D66-4ED2-CBDC-0A19C4E6E405}"/>
              </a:ext>
            </a:extLst>
          </xdr:cNvPr>
          <xdr:cNvSpPr/>
        </xdr:nvSpPr>
        <xdr:spPr>
          <a:xfrm>
            <a:off x="8352283" y="148685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6EED1405-9300-FB00-4479-5F6C78331131}"/>
              </a:ext>
            </a:extLst>
          </xdr:cNvPr>
          <xdr:cNvCxnSpPr/>
        </xdr:nvCxnSpPr>
        <xdr:spPr>
          <a:xfrm>
            <a:off x="8258175" y="150018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4" name="Oval 563">
            <a:extLst>
              <a:ext uri="{FF2B5EF4-FFF2-40B4-BE49-F238E27FC236}">
                <a16:creationId xmlns:a16="http://schemas.microsoft.com/office/drawing/2014/main" id="{5A30CB1D-4B4E-93E0-27C8-7701753F3615}"/>
              </a:ext>
            </a:extLst>
          </xdr:cNvPr>
          <xdr:cNvSpPr/>
        </xdr:nvSpPr>
        <xdr:spPr>
          <a:xfrm>
            <a:off x="8386762" y="148113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5" name="Straight Arrow Connector 564">
            <a:extLst>
              <a:ext uri="{FF2B5EF4-FFF2-40B4-BE49-F238E27FC236}">
                <a16:creationId xmlns:a16="http://schemas.microsoft.com/office/drawing/2014/main" id="{0993EB0F-C135-874E-824C-0A705B6AE07D}"/>
              </a:ext>
            </a:extLst>
          </xdr:cNvPr>
          <xdr:cNvCxnSpPr/>
        </xdr:nvCxnSpPr>
        <xdr:spPr>
          <a:xfrm flipV="1">
            <a:off x="9291639" y="13954125"/>
            <a:ext cx="300036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Arrow Connector 565">
            <a:extLst>
              <a:ext uri="{FF2B5EF4-FFF2-40B4-BE49-F238E27FC236}">
                <a16:creationId xmlns:a16="http://schemas.microsoft.com/office/drawing/2014/main" id="{0210961B-4F24-09EC-A1ED-9D162EF90B6E}"/>
              </a:ext>
            </a:extLst>
          </xdr:cNvPr>
          <xdr:cNvCxnSpPr/>
        </xdr:nvCxnSpPr>
        <xdr:spPr>
          <a:xfrm>
            <a:off x="9215439" y="14001750"/>
            <a:ext cx="147636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7" name="Arc 566">
            <a:extLst>
              <a:ext uri="{FF2B5EF4-FFF2-40B4-BE49-F238E27FC236}">
                <a16:creationId xmlns:a16="http://schemas.microsoft.com/office/drawing/2014/main" id="{269411AE-DC63-4F7E-38C8-F540B4CE1EDE}"/>
              </a:ext>
            </a:extLst>
          </xdr:cNvPr>
          <xdr:cNvSpPr/>
        </xdr:nvSpPr>
        <xdr:spPr>
          <a:xfrm rot="787210">
            <a:off x="9005889" y="13954125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8" name="TextBox 567">
            <a:extLst>
              <a:ext uri="{FF2B5EF4-FFF2-40B4-BE49-F238E27FC236}">
                <a16:creationId xmlns:a16="http://schemas.microsoft.com/office/drawing/2014/main" id="{52C31306-96A9-438D-487D-6EF0FB2CF23F}"/>
              </a:ext>
            </a:extLst>
          </xdr:cNvPr>
          <xdr:cNvSpPr txBox="1"/>
        </xdr:nvSpPr>
        <xdr:spPr>
          <a:xfrm>
            <a:off x="9491665" y="1373505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569" name="TextBox 568">
            <a:extLst>
              <a:ext uri="{FF2B5EF4-FFF2-40B4-BE49-F238E27FC236}">
                <a16:creationId xmlns:a16="http://schemas.microsoft.com/office/drawing/2014/main" id="{F76374B7-1AC4-A20A-41B7-774FA8C6DB00}"/>
              </a:ext>
            </a:extLst>
          </xdr:cNvPr>
          <xdr:cNvSpPr txBox="1"/>
        </xdr:nvSpPr>
        <xdr:spPr>
          <a:xfrm>
            <a:off x="9148765" y="137160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570" name="TextBox 569">
            <a:extLst>
              <a:ext uri="{FF2B5EF4-FFF2-40B4-BE49-F238E27FC236}">
                <a16:creationId xmlns:a16="http://schemas.microsoft.com/office/drawing/2014/main" id="{D544C11F-58A3-D644-8807-9D8291B682F7}"/>
              </a:ext>
            </a:extLst>
          </xdr:cNvPr>
          <xdr:cNvSpPr txBox="1"/>
        </xdr:nvSpPr>
        <xdr:spPr>
          <a:xfrm>
            <a:off x="9234489" y="142303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</xdr:col>
      <xdr:colOff>85724</xdr:colOff>
      <xdr:row>571</xdr:row>
      <xdr:rowOff>95244</xdr:rowOff>
    </xdr:from>
    <xdr:to>
      <xdr:col>40</xdr:col>
      <xdr:colOff>61913</xdr:colOff>
      <xdr:row>617</xdr:row>
      <xdr:rowOff>28575</xdr:rowOff>
    </xdr:to>
    <xdr:grpSp>
      <xdr:nvGrpSpPr>
        <xdr:cNvPr id="509" name="Group 508">
          <a:extLst>
            <a:ext uri="{FF2B5EF4-FFF2-40B4-BE49-F238E27FC236}">
              <a16:creationId xmlns:a16="http://schemas.microsoft.com/office/drawing/2014/main" id="{07E126C7-DE78-7BEE-2115-DCDD120333F3}"/>
            </a:ext>
          </a:extLst>
        </xdr:cNvPr>
        <xdr:cNvGrpSpPr/>
      </xdr:nvGrpSpPr>
      <xdr:grpSpPr>
        <a:xfrm>
          <a:off x="571499" y="82153119"/>
          <a:ext cx="5967414" cy="6505581"/>
          <a:chOff x="571499" y="33289869"/>
          <a:chExt cx="5967414" cy="6505581"/>
        </a:xfrm>
      </xdr:grpSpPr>
      <xdr:sp macro="" textlink="">
        <xdr:nvSpPr>
          <xdr:cNvPr id="362" name="Arc 361">
            <a:extLst>
              <a:ext uri="{FF2B5EF4-FFF2-40B4-BE49-F238E27FC236}">
                <a16:creationId xmlns:a16="http://schemas.microsoft.com/office/drawing/2014/main" id="{1E7B0E50-D8F0-4723-B6A7-A2593899ACCF}"/>
              </a:ext>
            </a:extLst>
          </xdr:cNvPr>
          <xdr:cNvSpPr/>
        </xdr:nvSpPr>
        <xdr:spPr>
          <a:xfrm>
            <a:off x="1152525" y="33613725"/>
            <a:ext cx="4181475" cy="6181725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E25BC405-76DD-48F9-AD56-3F1FE764B209}"/>
              </a:ext>
            </a:extLst>
          </xdr:cNvPr>
          <xdr:cNvSpPr/>
        </xdr:nvSpPr>
        <xdr:spPr>
          <a:xfrm>
            <a:off x="1219196" y="35485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6" name="Isosceles Triangle 365">
            <a:extLst>
              <a:ext uri="{FF2B5EF4-FFF2-40B4-BE49-F238E27FC236}">
                <a16:creationId xmlns:a16="http://schemas.microsoft.com/office/drawing/2014/main" id="{AFE26374-6E60-44E0-923F-B3E6607D40F0}"/>
              </a:ext>
            </a:extLst>
          </xdr:cNvPr>
          <xdr:cNvSpPr/>
        </xdr:nvSpPr>
        <xdr:spPr>
          <a:xfrm>
            <a:off x="1303778" y="35347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23B4BCBA-8955-4040-ACB3-EAE772F198C2}"/>
              </a:ext>
            </a:extLst>
          </xdr:cNvPr>
          <xdr:cNvCxnSpPr/>
        </xdr:nvCxnSpPr>
        <xdr:spPr>
          <a:xfrm>
            <a:off x="1209670" y="35480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2" name="Oval 371">
            <a:extLst>
              <a:ext uri="{FF2B5EF4-FFF2-40B4-BE49-F238E27FC236}">
                <a16:creationId xmlns:a16="http://schemas.microsoft.com/office/drawing/2014/main" id="{73D936D8-864C-4D9C-886F-AB6A565DB7EC}"/>
              </a:ext>
            </a:extLst>
          </xdr:cNvPr>
          <xdr:cNvSpPr/>
        </xdr:nvSpPr>
        <xdr:spPr>
          <a:xfrm>
            <a:off x="1338257" y="35290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4" name="Straight Arrow Connector 373">
            <a:extLst>
              <a:ext uri="{FF2B5EF4-FFF2-40B4-BE49-F238E27FC236}">
                <a16:creationId xmlns:a16="http://schemas.microsoft.com/office/drawing/2014/main" id="{0D0BE29C-76DE-4811-AD11-FA671D5332F4}"/>
              </a:ext>
            </a:extLst>
          </xdr:cNvPr>
          <xdr:cNvCxnSpPr/>
        </xdr:nvCxnSpPr>
        <xdr:spPr>
          <a:xfrm flipV="1">
            <a:off x="1371595" y="356235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C7D9CEB4-A34B-4838-8793-4FECB654E547}"/>
              </a:ext>
            </a:extLst>
          </xdr:cNvPr>
          <xdr:cNvSpPr/>
        </xdr:nvSpPr>
        <xdr:spPr>
          <a:xfrm>
            <a:off x="4948247" y="35480637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9" name="Isosceles Triangle 378">
            <a:extLst>
              <a:ext uri="{FF2B5EF4-FFF2-40B4-BE49-F238E27FC236}">
                <a16:creationId xmlns:a16="http://schemas.microsoft.com/office/drawing/2014/main" id="{F289D24E-ADC1-4531-A155-8B7E1BEA744A}"/>
              </a:ext>
            </a:extLst>
          </xdr:cNvPr>
          <xdr:cNvSpPr/>
        </xdr:nvSpPr>
        <xdr:spPr>
          <a:xfrm>
            <a:off x="5032829" y="35342527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2F485CE7-E4EF-4C29-AA90-F9D35F88FD63}"/>
              </a:ext>
            </a:extLst>
          </xdr:cNvPr>
          <xdr:cNvCxnSpPr/>
        </xdr:nvCxnSpPr>
        <xdr:spPr>
          <a:xfrm>
            <a:off x="4938721" y="35475873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3" name="Oval 382">
            <a:extLst>
              <a:ext uri="{FF2B5EF4-FFF2-40B4-BE49-F238E27FC236}">
                <a16:creationId xmlns:a16="http://schemas.microsoft.com/office/drawing/2014/main" id="{EE382EAB-AA4E-4A07-9D74-7D91BF35734B}"/>
              </a:ext>
            </a:extLst>
          </xdr:cNvPr>
          <xdr:cNvSpPr/>
        </xdr:nvSpPr>
        <xdr:spPr>
          <a:xfrm>
            <a:off x="5067308" y="3528537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4" name="Straight Arrow Connector 383">
            <a:extLst>
              <a:ext uri="{FF2B5EF4-FFF2-40B4-BE49-F238E27FC236}">
                <a16:creationId xmlns:a16="http://schemas.microsoft.com/office/drawing/2014/main" id="{758132A1-94C8-4B4B-ABFB-C290F49BA531}"/>
              </a:ext>
            </a:extLst>
          </xdr:cNvPr>
          <xdr:cNvCxnSpPr/>
        </xdr:nvCxnSpPr>
        <xdr:spPr>
          <a:xfrm flipV="1">
            <a:off x="5100646" y="35618749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5" name="Oval 384">
            <a:extLst>
              <a:ext uri="{FF2B5EF4-FFF2-40B4-BE49-F238E27FC236}">
                <a16:creationId xmlns:a16="http://schemas.microsoft.com/office/drawing/2014/main" id="{CCC4369F-9040-482B-A18A-CBAB6C76FACA}"/>
              </a:ext>
            </a:extLst>
          </xdr:cNvPr>
          <xdr:cNvSpPr/>
        </xdr:nvSpPr>
        <xdr:spPr>
          <a:xfrm>
            <a:off x="3195638" y="33580387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78CC2026-9FA6-47EE-AFB1-F9FD1AB61D06}"/>
              </a:ext>
            </a:extLst>
          </xdr:cNvPr>
          <xdr:cNvCxnSpPr/>
        </xdr:nvCxnSpPr>
        <xdr:spPr>
          <a:xfrm>
            <a:off x="1390647" y="33480375"/>
            <a:ext cx="184785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Arrow Connector 386">
            <a:extLst>
              <a:ext uri="{FF2B5EF4-FFF2-40B4-BE49-F238E27FC236}">
                <a16:creationId xmlns:a16="http://schemas.microsoft.com/office/drawing/2014/main" id="{C6FDB0BA-7F66-4227-BE5C-5BD829F7AF94}"/>
              </a:ext>
            </a:extLst>
          </xdr:cNvPr>
          <xdr:cNvCxnSpPr/>
        </xdr:nvCxnSpPr>
        <xdr:spPr>
          <a:xfrm>
            <a:off x="1390643" y="332898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Arrow Connector 387">
            <a:extLst>
              <a:ext uri="{FF2B5EF4-FFF2-40B4-BE49-F238E27FC236}">
                <a16:creationId xmlns:a16="http://schemas.microsoft.com/office/drawing/2014/main" id="{F5F3E9DD-29F7-4FA8-9817-5FEE75985650}"/>
              </a:ext>
            </a:extLst>
          </xdr:cNvPr>
          <xdr:cNvCxnSpPr/>
        </xdr:nvCxnSpPr>
        <xdr:spPr>
          <a:xfrm>
            <a:off x="1619242" y="332898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Arrow Connector 388">
            <a:extLst>
              <a:ext uri="{FF2B5EF4-FFF2-40B4-BE49-F238E27FC236}">
                <a16:creationId xmlns:a16="http://schemas.microsoft.com/office/drawing/2014/main" id="{24B166C6-5E3A-430E-A78D-B05D2BDB03A1}"/>
              </a:ext>
            </a:extLst>
          </xdr:cNvPr>
          <xdr:cNvCxnSpPr/>
        </xdr:nvCxnSpPr>
        <xdr:spPr>
          <a:xfrm>
            <a:off x="1781168" y="332898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Arrow Connector 389">
            <a:extLst>
              <a:ext uri="{FF2B5EF4-FFF2-40B4-BE49-F238E27FC236}">
                <a16:creationId xmlns:a16="http://schemas.microsoft.com/office/drawing/2014/main" id="{E7326C01-D1D0-40CA-8B6B-E9BDE5CAB902}"/>
              </a:ext>
            </a:extLst>
          </xdr:cNvPr>
          <xdr:cNvCxnSpPr/>
        </xdr:nvCxnSpPr>
        <xdr:spPr>
          <a:xfrm>
            <a:off x="1943087" y="332898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Arrow Connector 390">
            <a:extLst>
              <a:ext uri="{FF2B5EF4-FFF2-40B4-BE49-F238E27FC236}">
                <a16:creationId xmlns:a16="http://schemas.microsoft.com/office/drawing/2014/main" id="{BA33F8C3-2A19-48D4-912F-DB9E5481B5C5}"/>
              </a:ext>
            </a:extLst>
          </xdr:cNvPr>
          <xdr:cNvCxnSpPr/>
        </xdr:nvCxnSpPr>
        <xdr:spPr>
          <a:xfrm>
            <a:off x="2105018" y="332898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Arrow Connector 391">
            <a:extLst>
              <a:ext uri="{FF2B5EF4-FFF2-40B4-BE49-F238E27FC236}">
                <a16:creationId xmlns:a16="http://schemas.microsoft.com/office/drawing/2014/main" id="{716B28F7-643D-4445-9FD9-643889ECC910}"/>
              </a:ext>
            </a:extLst>
          </xdr:cNvPr>
          <xdr:cNvCxnSpPr/>
        </xdr:nvCxnSpPr>
        <xdr:spPr>
          <a:xfrm>
            <a:off x="2266944" y="332898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Arrow Connector 392">
            <a:extLst>
              <a:ext uri="{FF2B5EF4-FFF2-40B4-BE49-F238E27FC236}">
                <a16:creationId xmlns:a16="http://schemas.microsoft.com/office/drawing/2014/main" id="{C59D162F-BC83-4555-BFC0-35D8606391AF}"/>
              </a:ext>
            </a:extLst>
          </xdr:cNvPr>
          <xdr:cNvCxnSpPr/>
        </xdr:nvCxnSpPr>
        <xdr:spPr>
          <a:xfrm>
            <a:off x="2428863" y="332898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Arrow Connector 393">
            <a:extLst>
              <a:ext uri="{FF2B5EF4-FFF2-40B4-BE49-F238E27FC236}">
                <a16:creationId xmlns:a16="http://schemas.microsoft.com/office/drawing/2014/main" id="{0A566E21-26C4-4D35-8C1B-27028A833BBE}"/>
              </a:ext>
            </a:extLst>
          </xdr:cNvPr>
          <xdr:cNvCxnSpPr/>
        </xdr:nvCxnSpPr>
        <xdr:spPr>
          <a:xfrm>
            <a:off x="2590800" y="332898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Arrow Connector 394">
            <a:extLst>
              <a:ext uri="{FF2B5EF4-FFF2-40B4-BE49-F238E27FC236}">
                <a16:creationId xmlns:a16="http://schemas.microsoft.com/office/drawing/2014/main" id="{33B1D2CE-6F83-4480-930F-BB007C6CF9F9}"/>
              </a:ext>
            </a:extLst>
          </xdr:cNvPr>
          <xdr:cNvCxnSpPr/>
        </xdr:nvCxnSpPr>
        <xdr:spPr>
          <a:xfrm>
            <a:off x="2752726" y="332898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Arrow Connector 395">
            <a:extLst>
              <a:ext uri="{FF2B5EF4-FFF2-40B4-BE49-F238E27FC236}">
                <a16:creationId xmlns:a16="http://schemas.microsoft.com/office/drawing/2014/main" id="{1BC7DFDC-6991-4463-AF14-34F598ED478E}"/>
              </a:ext>
            </a:extLst>
          </xdr:cNvPr>
          <xdr:cNvCxnSpPr/>
        </xdr:nvCxnSpPr>
        <xdr:spPr>
          <a:xfrm>
            <a:off x="2914645" y="332898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Arrow Connector 396">
            <a:extLst>
              <a:ext uri="{FF2B5EF4-FFF2-40B4-BE49-F238E27FC236}">
                <a16:creationId xmlns:a16="http://schemas.microsoft.com/office/drawing/2014/main" id="{A492C1AB-23DC-4F0C-8A90-90A66A542B36}"/>
              </a:ext>
            </a:extLst>
          </xdr:cNvPr>
          <xdr:cNvCxnSpPr/>
        </xdr:nvCxnSpPr>
        <xdr:spPr>
          <a:xfrm>
            <a:off x="3076576" y="3328987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Arrow Connector 397">
            <a:extLst>
              <a:ext uri="{FF2B5EF4-FFF2-40B4-BE49-F238E27FC236}">
                <a16:creationId xmlns:a16="http://schemas.microsoft.com/office/drawing/2014/main" id="{8F32BF4C-29D2-4219-870C-422102437436}"/>
              </a:ext>
            </a:extLst>
          </xdr:cNvPr>
          <xdr:cNvCxnSpPr/>
        </xdr:nvCxnSpPr>
        <xdr:spPr>
          <a:xfrm>
            <a:off x="3238502" y="3328987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Connector 409">
            <a:extLst>
              <a:ext uri="{FF2B5EF4-FFF2-40B4-BE49-F238E27FC236}">
                <a16:creationId xmlns:a16="http://schemas.microsoft.com/office/drawing/2014/main" id="{42EE506A-AA0D-45EC-A5F1-F3D3DEC5D1B3}"/>
              </a:ext>
            </a:extLst>
          </xdr:cNvPr>
          <xdr:cNvCxnSpPr/>
        </xdr:nvCxnSpPr>
        <xdr:spPr>
          <a:xfrm>
            <a:off x="1390645" y="33289869"/>
            <a:ext cx="18526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Arrow Connector 410">
            <a:extLst>
              <a:ext uri="{FF2B5EF4-FFF2-40B4-BE49-F238E27FC236}">
                <a16:creationId xmlns:a16="http://schemas.microsoft.com/office/drawing/2014/main" id="{A3E8CA17-0269-4A1B-B75F-D45B466D96DA}"/>
              </a:ext>
            </a:extLst>
          </xdr:cNvPr>
          <xdr:cNvCxnSpPr/>
        </xdr:nvCxnSpPr>
        <xdr:spPr>
          <a:xfrm>
            <a:off x="4371975" y="33766125"/>
            <a:ext cx="0" cy="347662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Connector 411">
            <a:extLst>
              <a:ext uri="{FF2B5EF4-FFF2-40B4-BE49-F238E27FC236}">
                <a16:creationId xmlns:a16="http://schemas.microsoft.com/office/drawing/2014/main" id="{0878B228-1215-467C-943A-DDCE567ED594}"/>
              </a:ext>
            </a:extLst>
          </xdr:cNvPr>
          <xdr:cNvCxnSpPr/>
        </xdr:nvCxnSpPr>
        <xdr:spPr>
          <a:xfrm>
            <a:off x="1371600" y="36056892"/>
            <a:ext cx="0" cy="5048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7917E3FA-618A-4FA7-9318-5C06029C08A3}"/>
              </a:ext>
            </a:extLst>
          </xdr:cNvPr>
          <xdr:cNvCxnSpPr/>
        </xdr:nvCxnSpPr>
        <xdr:spPr>
          <a:xfrm>
            <a:off x="1295399" y="36194999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903C87A5-6FDA-4D8F-9902-07D751BC231B}"/>
              </a:ext>
            </a:extLst>
          </xdr:cNvPr>
          <xdr:cNvCxnSpPr/>
        </xdr:nvCxnSpPr>
        <xdr:spPr>
          <a:xfrm flipH="1">
            <a:off x="1333500" y="36161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BF22D00F-D5EB-4ABC-911E-48416FEAB248}"/>
              </a:ext>
            </a:extLst>
          </xdr:cNvPr>
          <xdr:cNvCxnSpPr/>
        </xdr:nvCxnSpPr>
        <xdr:spPr>
          <a:xfrm>
            <a:off x="1295395" y="36480753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61B9FF20-B826-42F8-8095-447025A696B0}"/>
              </a:ext>
            </a:extLst>
          </xdr:cNvPr>
          <xdr:cNvCxnSpPr/>
        </xdr:nvCxnSpPr>
        <xdr:spPr>
          <a:xfrm flipH="1">
            <a:off x="1333496" y="364474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4DBCD092-3971-4A83-BC10-7315ADA1398B}"/>
              </a:ext>
            </a:extLst>
          </xdr:cNvPr>
          <xdr:cNvCxnSpPr/>
        </xdr:nvCxnSpPr>
        <xdr:spPr>
          <a:xfrm>
            <a:off x="5100639" y="36056897"/>
            <a:ext cx="0" cy="5048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CF23B0B4-F60E-48D8-991F-0D02F617E2DB}"/>
              </a:ext>
            </a:extLst>
          </xdr:cNvPr>
          <xdr:cNvCxnSpPr/>
        </xdr:nvCxnSpPr>
        <xdr:spPr>
          <a:xfrm flipH="1">
            <a:off x="5062539" y="3616166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385E767C-B5D9-4571-927D-98DB21BCC2B2}"/>
              </a:ext>
            </a:extLst>
          </xdr:cNvPr>
          <xdr:cNvCxnSpPr/>
        </xdr:nvCxnSpPr>
        <xdr:spPr>
          <a:xfrm flipH="1">
            <a:off x="5062535" y="3644742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D51192EC-0723-47F4-A8C0-CDB251D51239}"/>
              </a:ext>
            </a:extLst>
          </xdr:cNvPr>
          <xdr:cNvCxnSpPr/>
        </xdr:nvCxnSpPr>
        <xdr:spPr>
          <a:xfrm>
            <a:off x="2105025" y="34180463"/>
            <a:ext cx="0" cy="2095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0B2DEBB7-35AF-4789-B6B8-7FF918158B0C}"/>
              </a:ext>
            </a:extLst>
          </xdr:cNvPr>
          <xdr:cNvCxnSpPr/>
        </xdr:nvCxnSpPr>
        <xdr:spPr>
          <a:xfrm flipH="1">
            <a:off x="2066921" y="361616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2F6B38CC-DA00-46E1-8832-E1B2FE3615FB}"/>
              </a:ext>
            </a:extLst>
          </xdr:cNvPr>
          <xdr:cNvCxnSpPr/>
        </xdr:nvCxnSpPr>
        <xdr:spPr>
          <a:xfrm>
            <a:off x="2062163" y="34061400"/>
            <a:ext cx="85725" cy="904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3BB2A42A-13F7-4750-B1AF-B335D1905DC6}"/>
              </a:ext>
            </a:extLst>
          </xdr:cNvPr>
          <xdr:cNvCxnSpPr/>
        </xdr:nvCxnSpPr>
        <xdr:spPr>
          <a:xfrm flipH="1">
            <a:off x="4338638" y="34070925"/>
            <a:ext cx="76200" cy="76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8418323F-507D-4265-A5FC-A18B88A9D127}"/>
              </a:ext>
            </a:extLst>
          </xdr:cNvPr>
          <xdr:cNvCxnSpPr/>
        </xdr:nvCxnSpPr>
        <xdr:spPr>
          <a:xfrm>
            <a:off x="4371974" y="34180469"/>
            <a:ext cx="0" cy="2095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EFF6D71F-C40E-4F69-BA1D-723FC9A5C9A7}"/>
              </a:ext>
            </a:extLst>
          </xdr:cNvPr>
          <xdr:cNvCxnSpPr/>
        </xdr:nvCxnSpPr>
        <xdr:spPr>
          <a:xfrm flipH="1">
            <a:off x="4333870" y="361616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877CC645-692B-442F-A958-2BCB50034A31}"/>
              </a:ext>
            </a:extLst>
          </xdr:cNvPr>
          <xdr:cNvCxnSpPr/>
        </xdr:nvCxnSpPr>
        <xdr:spPr>
          <a:xfrm>
            <a:off x="3595686" y="33623251"/>
            <a:ext cx="29384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B3E61D86-A3E6-4F3F-A059-815FAA7AF249}"/>
              </a:ext>
            </a:extLst>
          </xdr:cNvPr>
          <xdr:cNvCxnSpPr/>
        </xdr:nvCxnSpPr>
        <xdr:spPr>
          <a:xfrm>
            <a:off x="5676897" y="35337750"/>
            <a:ext cx="862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Arrow Connector 427">
            <a:extLst>
              <a:ext uri="{FF2B5EF4-FFF2-40B4-BE49-F238E27FC236}">
                <a16:creationId xmlns:a16="http://schemas.microsoft.com/office/drawing/2014/main" id="{0A5AF73F-0003-46E2-A9B8-CB9FE591EB54}"/>
              </a:ext>
            </a:extLst>
          </xdr:cNvPr>
          <xdr:cNvCxnSpPr/>
        </xdr:nvCxnSpPr>
        <xdr:spPr>
          <a:xfrm flipH="1">
            <a:off x="5224461" y="35337750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E69CE53A-6973-46B3-BA65-5570950FBA39}"/>
              </a:ext>
            </a:extLst>
          </xdr:cNvPr>
          <xdr:cNvCxnSpPr/>
        </xdr:nvCxnSpPr>
        <xdr:spPr>
          <a:xfrm flipV="1">
            <a:off x="6153151" y="33551812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91A07655-98A3-47E3-97FC-2B21812F93BE}"/>
              </a:ext>
            </a:extLst>
          </xdr:cNvPr>
          <xdr:cNvCxnSpPr/>
        </xdr:nvCxnSpPr>
        <xdr:spPr>
          <a:xfrm flipH="1">
            <a:off x="6119813" y="335899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BF84A2B1-09D4-4D92-876D-D4DF82CDE14C}"/>
              </a:ext>
            </a:extLst>
          </xdr:cNvPr>
          <xdr:cNvCxnSpPr/>
        </xdr:nvCxnSpPr>
        <xdr:spPr>
          <a:xfrm flipH="1">
            <a:off x="6119812" y="353044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35026182-0539-4242-859C-BC9C48C07B08}"/>
              </a:ext>
            </a:extLst>
          </xdr:cNvPr>
          <xdr:cNvCxnSpPr/>
        </xdr:nvCxnSpPr>
        <xdr:spPr>
          <a:xfrm flipV="1">
            <a:off x="6477002" y="33551811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E4A2BE42-BDBE-4280-A088-756C48443C2D}"/>
              </a:ext>
            </a:extLst>
          </xdr:cNvPr>
          <xdr:cNvCxnSpPr/>
        </xdr:nvCxnSpPr>
        <xdr:spPr>
          <a:xfrm flipH="1">
            <a:off x="6443664" y="335899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3021FF1C-9F98-4FC3-B0DD-CA539E6C9172}"/>
              </a:ext>
            </a:extLst>
          </xdr:cNvPr>
          <xdr:cNvCxnSpPr/>
        </xdr:nvCxnSpPr>
        <xdr:spPr>
          <a:xfrm flipH="1">
            <a:off x="6443663" y="353044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8DAAC0E3-329D-430F-8B92-3F2738D4031A}"/>
              </a:ext>
            </a:extLst>
          </xdr:cNvPr>
          <xdr:cNvCxnSpPr/>
        </xdr:nvCxnSpPr>
        <xdr:spPr>
          <a:xfrm>
            <a:off x="4452938" y="34113794"/>
            <a:ext cx="1766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C6DCFB3F-A446-4872-8F05-67728F070E3F}"/>
              </a:ext>
            </a:extLst>
          </xdr:cNvPr>
          <xdr:cNvCxnSpPr/>
        </xdr:nvCxnSpPr>
        <xdr:spPr>
          <a:xfrm flipH="1">
            <a:off x="6119813" y="3408045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9F74412B-9A46-40FC-A46C-4338997EBDF3}"/>
              </a:ext>
            </a:extLst>
          </xdr:cNvPr>
          <xdr:cNvCxnSpPr/>
        </xdr:nvCxnSpPr>
        <xdr:spPr>
          <a:xfrm>
            <a:off x="571500" y="33623249"/>
            <a:ext cx="23336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Arrow Connector 437">
            <a:extLst>
              <a:ext uri="{FF2B5EF4-FFF2-40B4-BE49-F238E27FC236}">
                <a16:creationId xmlns:a16="http://schemas.microsoft.com/office/drawing/2014/main" id="{15AC2688-FAF8-4B0A-9F17-DF5E7F6FE9DB}"/>
              </a:ext>
            </a:extLst>
          </xdr:cNvPr>
          <xdr:cNvCxnSpPr/>
        </xdr:nvCxnSpPr>
        <xdr:spPr>
          <a:xfrm>
            <a:off x="985838" y="35337750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C1E70A15-7DE2-4E7F-9259-F0116004E57C}"/>
              </a:ext>
            </a:extLst>
          </xdr:cNvPr>
          <xdr:cNvCxnSpPr/>
        </xdr:nvCxnSpPr>
        <xdr:spPr>
          <a:xfrm flipH="1">
            <a:off x="585788" y="35337750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>
            <a:extLst>
              <a:ext uri="{FF2B5EF4-FFF2-40B4-BE49-F238E27FC236}">
                <a16:creationId xmlns:a16="http://schemas.microsoft.com/office/drawing/2014/main" id="{A300A238-20DB-4CAB-A13D-CF5011F035EF}"/>
              </a:ext>
            </a:extLst>
          </xdr:cNvPr>
          <xdr:cNvCxnSpPr/>
        </xdr:nvCxnSpPr>
        <xdr:spPr>
          <a:xfrm flipH="1">
            <a:off x="609604" y="353044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Connector 440">
            <a:extLst>
              <a:ext uri="{FF2B5EF4-FFF2-40B4-BE49-F238E27FC236}">
                <a16:creationId xmlns:a16="http://schemas.microsoft.com/office/drawing/2014/main" id="{A9558717-A16F-46B1-82D3-54DDA5DA5C4E}"/>
              </a:ext>
            </a:extLst>
          </xdr:cNvPr>
          <xdr:cNvCxnSpPr/>
        </xdr:nvCxnSpPr>
        <xdr:spPr>
          <a:xfrm>
            <a:off x="647701" y="33551813"/>
            <a:ext cx="0" cy="18573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Connector 441">
            <a:extLst>
              <a:ext uri="{FF2B5EF4-FFF2-40B4-BE49-F238E27FC236}">
                <a16:creationId xmlns:a16="http://schemas.microsoft.com/office/drawing/2014/main" id="{0B8F2285-0E49-43D7-8355-A3692071A48C}"/>
              </a:ext>
            </a:extLst>
          </xdr:cNvPr>
          <xdr:cNvCxnSpPr/>
        </xdr:nvCxnSpPr>
        <xdr:spPr>
          <a:xfrm flipH="1">
            <a:off x="614361" y="3358991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C5527DCB-F5BF-498E-9201-C175F5C5B7D0}"/>
              </a:ext>
            </a:extLst>
          </xdr:cNvPr>
          <xdr:cNvCxnSpPr/>
        </xdr:nvCxnSpPr>
        <xdr:spPr>
          <a:xfrm>
            <a:off x="571499" y="34109024"/>
            <a:ext cx="14668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58738039-BB2D-4608-A946-BF4053F6BFBD}"/>
              </a:ext>
            </a:extLst>
          </xdr:cNvPr>
          <xdr:cNvCxnSpPr/>
        </xdr:nvCxnSpPr>
        <xdr:spPr>
          <a:xfrm flipH="1">
            <a:off x="614360" y="3407568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5C11CE66-15EE-4F0E-90C8-EB7C8660213F}"/>
              </a:ext>
            </a:extLst>
          </xdr:cNvPr>
          <xdr:cNvCxnSpPr/>
        </xdr:nvCxnSpPr>
        <xdr:spPr>
          <a:xfrm>
            <a:off x="3238504" y="33775650"/>
            <a:ext cx="0" cy="2495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05CEFEA3-DCD3-4ACB-8011-0C13B62D08F3}"/>
              </a:ext>
            </a:extLst>
          </xdr:cNvPr>
          <xdr:cNvCxnSpPr/>
        </xdr:nvCxnSpPr>
        <xdr:spPr>
          <a:xfrm flipH="1">
            <a:off x="3200400" y="3615690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Arrow Connector 446">
            <a:extLst>
              <a:ext uri="{FF2B5EF4-FFF2-40B4-BE49-F238E27FC236}">
                <a16:creationId xmlns:a16="http://schemas.microsoft.com/office/drawing/2014/main" id="{8F055DFC-6EBC-4207-BB66-A9EDB436618E}"/>
              </a:ext>
            </a:extLst>
          </xdr:cNvPr>
          <xdr:cNvCxnSpPr/>
        </xdr:nvCxnSpPr>
        <xdr:spPr>
          <a:xfrm>
            <a:off x="3505200" y="3740467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C1810D86-A91D-47E6-B41D-DC2E3F0D8203}"/>
              </a:ext>
            </a:extLst>
          </xdr:cNvPr>
          <xdr:cNvCxnSpPr/>
        </xdr:nvCxnSpPr>
        <xdr:spPr>
          <a:xfrm>
            <a:off x="3505200" y="3754755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00F0B0B0-6FA8-494A-BEDF-C256FFC6384E}"/>
              </a:ext>
            </a:extLst>
          </xdr:cNvPr>
          <xdr:cNvCxnSpPr/>
        </xdr:nvCxnSpPr>
        <xdr:spPr>
          <a:xfrm>
            <a:off x="4314825" y="3783330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85697120-1445-4D4C-82DE-3FEFC4F2F4D4}"/>
              </a:ext>
            </a:extLst>
          </xdr:cNvPr>
          <xdr:cNvCxnSpPr/>
        </xdr:nvCxnSpPr>
        <xdr:spPr>
          <a:xfrm>
            <a:off x="3314700" y="3797617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B9939936-FF8E-4207-8CB7-C8CFB77C33AD}"/>
              </a:ext>
            </a:extLst>
          </xdr:cNvPr>
          <xdr:cNvCxnSpPr/>
        </xdr:nvCxnSpPr>
        <xdr:spPr>
          <a:xfrm>
            <a:off x="4314825" y="3811905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Arrow Connector 451">
            <a:extLst>
              <a:ext uri="{FF2B5EF4-FFF2-40B4-BE49-F238E27FC236}">
                <a16:creationId xmlns:a16="http://schemas.microsoft.com/office/drawing/2014/main" id="{A4EF20D7-50A6-43C7-BA69-2D34FE173A53}"/>
              </a:ext>
            </a:extLst>
          </xdr:cNvPr>
          <xdr:cNvCxnSpPr/>
        </xdr:nvCxnSpPr>
        <xdr:spPr>
          <a:xfrm>
            <a:off x="3829050" y="3826192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E31E226B-DEF8-4B2F-D9CF-EFA666674059}"/>
              </a:ext>
            </a:extLst>
          </xdr:cNvPr>
          <xdr:cNvCxnSpPr/>
        </xdr:nvCxnSpPr>
        <xdr:spPr>
          <a:xfrm flipV="1">
            <a:off x="1371600" y="3464242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Arrow Connector 502">
            <a:extLst>
              <a:ext uri="{FF2B5EF4-FFF2-40B4-BE49-F238E27FC236}">
                <a16:creationId xmlns:a16="http://schemas.microsoft.com/office/drawing/2014/main" id="{E626595C-EC4F-1364-82A9-791359E3021B}"/>
              </a:ext>
            </a:extLst>
          </xdr:cNvPr>
          <xdr:cNvCxnSpPr/>
        </xdr:nvCxnSpPr>
        <xdr:spPr>
          <a:xfrm>
            <a:off x="1371600" y="35337750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104775</xdr:colOff>
      <xdr:row>550</xdr:row>
      <xdr:rowOff>66675</xdr:rowOff>
    </xdr:from>
    <xdr:to>
      <xdr:col>23</xdr:col>
      <xdr:colOff>66675</xdr:colOff>
      <xdr:row>550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F27964-6B14-441E-911B-04FD8DD87A44}"/>
            </a:ext>
          </a:extLst>
        </xdr:cNvPr>
        <xdr:cNvCxnSpPr/>
      </xdr:nvCxnSpPr>
      <xdr:spPr>
        <a:xfrm>
          <a:off x="3505200" y="36547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104775</xdr:colOff>
      <xdr:row>551</xdr:row>
      <xdr:rowOff>66675</xdr:rowOff>
    </xdr:from>
    <xdr:to>
      <xdr:col>23</xdr:col>
      <xdr:colOff>66675</xdr:colOff>
      <xdr:row>551</xdr:row>
      <xdr:rowOff>66675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A698E7F-BA88-412C-8294-9A6EDF9CD551}"/>
            </a:ext>
          </a:extLst>
        </xdr:cNvPr>
        <xdr:cNvCxnSpPr/>
      </xdr:nvCxnSpPr>
      <xdr:spPr>
        <a:xfrm>
          <a:off x="3505200" y="36690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104775</xdr:colOff>
      <xdr:row>553</xdr:row>
      <xdr:rowOff>66675</xdr:rowOff>
    </xdr:from>
    <xdr:to>
      <xdr:col>37</xdr:col>
      <xdr:colOff>66675</xdr:colOff>
      <xdr:row>553</xdr:row>
      <xdr:rowOff>66675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2A91F340-7F88-45F8-9C63-0B14BC8B9D69}"/>
            </a:ext>
          </a:extLst>
        </xdr:cNvPr>
        <xdr:cNvCxnSpPr/>
      </xdr:nvCxnSpPr>
      <xdr:spPr>
        <a:xfrm>
          <a:off x="4314825" y="36976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554</xdr:row>
      <xdr:rowOff>66675</xdr:rowOff>
    </xdr:from>
    <xdr:to>
      <xdr:col>28</xdr:col>
      <xdr:colOff>38100</xdr:colOff>
      <xdr:row>554</xdr:row>
      <xdr:rowOff>66675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9C590F0-97D4-4217-9C6D-208696AB4496}"/>
            </a:ext>
          </a:extLst>
        </xdr:cNvPr>
        <xdr:cNvCxnSpPr/>
      </xdr:nvCxnSpPr>
      <xdr:spPr>
        <a:xfrm>
          <a:off x="3314700" y="371189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555</xdr:row>
      <xdr:rowOff>66675</xdr:rowOff>
    </xdr:from>
    <xdr:to>
      <xdr:col>28</xdr:col>
      <xdr:colOff>66675</xdr:colOff>
      <xdr:row>555</xdr:row>
      <xdr:rowOff>66675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B990226F-A210-46F2-AB0E-AFB0ACF5B2AE}"/>
            </a:ext>
          </a:extLst>
        </xdr:cNvPr>
        <xdr:cNvCxnSpPr/>
      </xdr:nvCxnSpPr>
      <xdr:spPr>
        <a:xfrm>
          <a:off x="4314825" y="372618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556</xdr:row>
      <xdr:rowOff>66675</xdr:rowOff>
    </xdr:from>
    <xdr:to>
      <xdr:col>34</xdr:col>
      <xdr:colOff>66675</xdr:colOff>
      <xdr:row>556</xdr:row>
      <xdr:rowOff>66675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EF38EE54-BE47-4A12-A296-C5F6ACFDB5C6}"/>
            </a:ext>
          </a:extLst>
        </xdr:cNvPr>
        <xdr:cNvCxnSpPr/>
      </xdr:nvCxnSpPr>
      <xdr:spPr>
        <a:xfrm>
          <a:off x="5286375" y="374046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42861</xdr:colOff>
      <xdr:row>798</xdr:row>
      <xdr:rowOff>114300</xdr:rowOff>
    </xdr:from>
    <xdr:to>
      <xdr:col>63</xdr:col>
      <xdr:colOff>28575</xdr:colOff>
      <xdr:row>823</xdr:row>
      <xdr:rowOff>133350</xdr:rowOff>
    </xdr:to>
    <xdr:grpSp>
      <xdr:nvGrpSpPr>
        <xdr:cNvPr id="629" name="Group 628">
          <a:extLst>
            <a:ext uri="{FF2B5EF4-FFF2-40B4-BE49-F238E27FC236}">
              <a16:creationId xmlns:a16="http://schemas.microsoft.com/office/drawing/2014/main" id="{FBF29797-7E7E-4F8B-AEA3-0A0A2C00B511}"/>
            </a:ext>
          </a:extLst>
        </xdr:cNvPr>
        <xdr:cNvGrpSpPr/>
      </xdr:nvGrpSpPr>
      <xdr:grpSpPr>
        <a:xfrm>
          <a:off x="6357936" y="114604800"/>
          <a:ext cx="3871914" cy="3590925"/>
          <a:chOff x="7872411" y="714375"/>
          <a:chExt cx="3871914" cy="3695700"/>
        </a:xfrm>
      </xdr:grpSpPr>
      <xdr:sp macro="" textlink="">
        <xdr:nvSpPr>
          <xdr:cNvPr id="630" name="Arc 629">
            <a:extLst>
              <a:ext uri="{FF2B5EF4-FFF2-40B4-BE49-F238E27FC236}">
                <a16:creationId xmlns:a16="http://schemas.microsoft.com/office/drawing/2014/main" id="{3AFBEF08-BC55-3764-1998-EE69D7ECF4BD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31742363-7D11-FC47-7A30-C271A0646CA4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32" name="Isosceles Triangle 631">
            <a:extLst>
              <a:ext uri="{FF2B5EF4-FFF2-40B4-BE49-F238E27FC236}">
                <a16:creationId xmlns:a16="http://schemas.microsoft.com/office/drawing/2014/main" id="{50D5B40D-655D-A7C1-F75E-094209FB9120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89C7FA22-2238-EC0B-8DCA-8CE2D9E76641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4" name="Oval 633">
            <a:extLst>
              <a:ext uri="{FF2B5EF4-FFF2-40B4-BE49-F238E27FC236}">
                <a16:creationId xmlns:a16="http://schemas.microsoft.com/office/drawing/2014/main" id="{4F740F99-1C29-597A-8DD6-2EFBB093D749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35" name="Straight Arrow Connector 634">
            <a:extLst>
              <a:ext uri="{FF2B5EF4-FFF2-40B4-BE49-F238E27FC236}">
                <a16:creationId xmlns:a16="http://schemas.microsoft.com/office/drawing/2014/main" id="{517CDF86-799D-769F-C3FE-135DEA27C8CA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Arrow Connector 635">
            <a:extLst>
              <a:ext uri="{FF2B5EF4-FFF2-40B4-BE49-F238E27FC236}">
                <a16:creationId xmlns:a16="http://schemas.microsoft.com/office/drawing/2014/main" id="{E80B7995-16FA-96FC-A53F-E25E075DD30E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7" name="Arc 636">
            <a:extLst>
              <a:ext uri="{FF2B5EF4-FFF2-40B4-BE49-F238E27FC236}">
                <a16:creationId xmlns:a16="http://schemas.microsoft.com/office/drawing/2014/main" id="{EF5E7EA5-0691-7060-124D-501783D79CA4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38" name="TextBox 637">
            <a:extLst>
              <a:ext uri="{FF2B5EF4-FFF2-40B4-BE49-F238E27FC236}">
                <a16:creationId xmlns:a16="http://schemas.microsoft.com/office/drawing/2014/main" id="{7DA3F61A-C427-2C44-6829-2F02918CADC2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639" name="TextBox 638">
            <a:extLst>
              <a:ext uri="{FF2B5EF4-FFF2-40B4-BE49-F238E27FC236}">
                <a16:creationId xmlns:a16="http://schemas.microsoft.com/office/drawing/2014/main" id="{EC9E97EB-1CDB-F951-0179-F4033B863BB7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640" name="TextBox 639">
            <a:extLst>
              <a:ext uri="{FF2B5EF4-FFF2-40B4-BE49-F238E27FC236}">
                <a16:creationId xmlns:a16="http://schemas.microsoft.com/office/drawing/2014/main" id="{5AAC99A3-8A4A-C537-3432-314CCC6E1121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38</xdr:col>
      <xdr:colOff>142875</xdr:colOff>
      <xdr:row>862</xdr:row>
      <xdr:rowOff>0</xdr:rowOff>
    </xdr:from>
    <xdr:to>
      <xdr:col>62</xdr:col>
      <xdr:colOff>128589</xdr:colOff>
      <xdr:row>887</xdr:row>
      <xdr:rowOff>123825</xdr:rowOff>
    </xdr:to>
    <xdr:grpSp>
      <xdr:nvGrpSpPr>
        <xdr:cNvPr id="717" name="Group 716">
          <a:extLst>
            <a:ext uri="{FF2B5EF4-FFF2-40B4-BE49-F238E27FC236}">
              <a16:creationId xmlns:a16="http://schemas.microsoft.com/office/drawing/2014/main" id="{A43C315F-6F35-4BC2-AE27-C28A8E032787}"/>
            </a:ext>
          </a:extLst>
        </xdr:cNvPr>
        <xdr:cNvGrpSpPr/>
      </xdr:nvGrpSpPr>
      <xdr:grpSpPr>
        <a:xfrm>
          <a:off x="6296025" y="123634500"/>
          <a:ext cx="3871914" cy="3695700"/>
          <a:chOff x="7872411" y="714375"/>
          <a:chExt cx="3871914" cy="3695700"/>
        </a:xfrm>
      </xdr:grpSpPr>
      <xdr:sp macro="" textlink="">
        <xdr:nvSpPr>
          <xdr:cNvPr id="718" name="Arc 717">
            <a:extLst>
              <a:ext uri="{FF2B5EF4-FFF2-40B4-BE49-F238E27FC236}">
                <a16:creationId xmlns:a16="http://schemas.microsoft.com/office/drawing/2014/main" id="{534310FB-53DB-565D-515D-70A200DD8A2D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03124D6B-6869-9F95-F06D-3F0D758A2D52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0" name="Isosceles Triangle 719">
            <a:extLst>
              <a:ext uri="{FF2B5EF4-FFF2-40B4-BE49-F238E27FC236}">
                <a16:creationId xmlns:a16="http://schemas.microsoft.com/office/drawing/2014/main" id="{E30FC63E-9F42-4C3F-F41C-09C756551B14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3EE1EC0E-5B71-3A13-C48F-D3EDC2A8B9A8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2" name="Oval 721">
            <a:extLst>
              <a:ext uri="{FF2B5EF4-FFF2-40B4-BE49-F238E27FC236}">
                <a16:creationId xmlns:a16="http://schemas.microsoft.com/office/drawing/2014/main" id="{89BD29CE-AA0F-89F4-24E5-0903FBDE172D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23" name="Straight Arrow Connector 722">
            <a:extLst>
              <a:ext uri="{FF2B5EF4-FFF2-40B4-BE49-F238E27FC236}">
                <a16:creationId xmlns:a16="http://schemas.microsoft.com/office/drawing/2014/main" id="{56C6EC0E-34CD-1051-957A-DB7FF69F32D9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Arrow Connector 723">
            <a:extLst>
              <a:ext uri="{FF2B5EF4-FFF2-40B4-BE49-F238E27FC236}">
                <a16:creationId xmlns:a16="http://schemas.microsoft.com/office/drawing/2014/main" id="{D0A14DC5-0EDB-233D-72F1-B3A76C24352F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5" name="Arc 724">
            <a:extLst>
              <a:ext uri="{FF2B5EF4-FFF2-40B4-BE49-F238E27FC236}">
                <a16:creationId xmlns:a16="http://schemas.microsoft.com/office/drawing/2014/main" id="{0210BF57-AC94-8A80-F2FC-E3B1D258B696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6" name="TextBox 725">
            <a:extLst>
              <a:ext uri="{FF2B5EF4-FFF2-40B4-BE49-F238E27FC236}">
                <a16:creationId xmlns:a16="http://schemas.microsoft.com/office/drawing/2014/main" id="{5F8C1ECC-B87A-9A67-6A96-B9A316DFBA76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727" name="TextBox 726">
            <a:extLst>
              <a:ext uri="{FF2B5EF4-FFF2-40B4-BE49-F238E27FC236}">
                <a16:creationId xmlns:a16="http://schemas.microsoft.com/office/drawing/2014/main" id="{9BEEDC50-9591-890C-FC86-F100E92E9066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728" name="TextBox 727">
            <a:extLst>
              <a:ext uri="{FF2B5EF4-FFF2-40B4-BE49-F238E27FC236}">
                <a16:creationId xmlns:a16="http://schemas.microsoft.com/office/drawing/2014/main" id="{81D662AA-CDE0-2969-2E6D-A8E88F566DB8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</xdr:col>
      <xdr:colOff>90489</xdr:colOff>
      <xdr:row>859</xdr:row>
      <xdr:rowOff>85719</xdr:rowOff>
    </xdr:from>
    <xdr:to>
      <xdr:col>39</xdr:col>
      <xdr:colOff>66675</xdr:colOff>
      <xdr:row>888</xdr:row>
      <xdr:rowOff>57150</xdr:rowOff>
    </xdr:to>
    <xdr:grpSp>
      <xdr:nvGrpSpPr>
        <xdr:cNvPr id="731" name="Group 730">
          <a:extLst>
            <a:ext uri="{FF2B5EF4-FFF2-40B4-BE49-F238E27FC236}">
              <a16:creationId xmlns:a16="http://schemas.microsoft.com/office/drawing/2014/main" id="{53536EF2-753C-52CE-AA29-BA15F8CFD4FA}"/>
            </a:ext>
          </a:extLst>
        </xdr:cNvPr>
        <xdr:cNvGrpSpPr/>
      </xdr:nvGrpSpPr>
      <xdr:grpSpPr>
        <a:xfrm>
          <a:off x="576264" y="123291594"/>
          <a:ext cx="5805486" cy="4114806"/>
          <a:chOff x="576264" y="45586644"/>
          <a:chExt cx="5805486" cy="4133856"/>
        </a:xfrm>
      </xdr:grpSpPr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64E173E0-7E1B-0764-9D21-6B7FF85FE75D}"/>
              </a:ext>
            </a:extLst>
          </xdr:cNvPr>
          <xdr:cNvSpPr/>
        </xdr:nvSpPr>
        <xdr:spPr>
          <a:xfrm>
            <a:off x="1223962" y="479440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6" name="Arc 645">
            <a:extLst>
              <a:ext uri="{FF2B5EF4-FFF2-40B4-BE49-F238E27FC236}">
                <a16:creationId xmlns:a16="http://schemas.microsoft.com/office/drawing/2014/main" id="{68B393AA-8238-2CCF-2C54-6ECE489EC971}"/>
              </a:ext>
            </a:extLst>
          </xdr:cNvPr>
          <xdr:cNvSpPr/>
        </xdr:nvSpPr>
        <xdr:spPr>
          <a:xfrm>
            <a:off x="1390649" y="45948600"/>
            <a:ext cx="3695700" cy="3695700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7" name="Isosceles Triangle 646">
            <a:extLst>
              <a:ext uri="{FF2B5EF4-FFF2-40B4-BE49-F238E27FC236}">
                <a16:creationId xmlns:a16="http://schemas.microsoft.com/office/drawing/2014/main" id="{9DBE38AD-8393-B043-C1B4-0CBFB126D495}"/>
              </a:ext>
            </a:extLst>
          </xdr:cNvPr>
          <xdr:cNvSpPr/>
        </xdr:nvSpPr>
        <xdr:spPr>
          <a:xfrm>
            <a:off x="1308544" y="478059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0CB9D6D8-8356-C966-6F7B-B4C251ADBD80}"/>
              </a:ext>
            </a:extLst>
          </xdr:cNvPr>
          <xdr:cNvCxnSpPr/>
        </xdr:nvCxnSpPr>
        <xdr:spPr>
          <a:xfrm>
            <a:off x="1214436" y="479393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9" name="Oval 648">
            <a:extLst>
              <a:ext uri="{FF2B5EF4-FFF2-40B4-BE49-F238E27FC236}">
                <a16:creationId xmlns:a16="http://schemas.microsoft.com/office/drawing/2014/main" id="{4BFB2A05-215F-4C0F-C0CE-2AC53291E720}"/>
              </a:ext>
            </a:extLst>
          </xdr:cNvPr>
          <xdr:cNvSpPr/>
        </xdr:nvSpPr>
        <xdr:spPr>
          <a:xfrm>
            <a:off x="1343023" y="477488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775FD7DD-632F-AA62-0103-4EA1304C102C}"/>
              </a:ext>
            </a:extLst>
          </xdr:cNvPr>
          <xdr:cNvSpPr/>
        </xdr:nvSpPr>
        <xdr:spPr>
          <a:xfrm>
            <a:off x="4919659" y="479440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1" name="Isosceles Triangle 650">
            <a:extLst>
              <a:ext uri="{FF2B5EF4-FFF2-40B4-BE49-F238E27FC236}">
                <a16:creationId xmlns:a16="http://schemas.microsoft.com/office/drawing/2014/main" id="{983DA049-BE39-A3BE-0545-EB5D1CD22AC1}"/>
              </a:ext>
            </a:extLst>
          </xdr:cNvPr>
          <xdr:cNvSpPr/>
        </xdr:nvSpPr>
        <xdr:spPr>
          <a:xfrm>
            <a:off x="5004241" y="478059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8DB4577A-5BBC-B969-22D4-9A1F23C4BE57}"/>
              </a:ext>
            </a:extLst>
          </xdr:cNvPr>
          <xdr:cNvCxnSpPr/>
        </xdr:nvCxnSpPr>
        <xdr:spPr>
          <a:xfrm>
            <a:off x="4910133" y="479393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3" name="Oval 652">
            <a:extLst>
              <a:ext uri="{FF2B5EF4-FFF2-40B4-BE49-F238E27FC236}">
                <a16:creationId xmlns:a16="http://schemas.microsoft.com/office/drawing/2014/main" id="{8F4D9E91-377D-6E72-2593-B05D8856253B}"/>
              </a:ext>
            </a:extLst>
          </xdr:cNvPr>
          <xdr:cNvSpPr/>
        </xdr:nvSpPr>
        <xdr:spPr>
          <a:xfrm>
            <a:off x="5038720" y="477488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4" name="Straight Arrow Connector 653">
            <a:extLst>
              <a:ext uri="{FF2B5EF4-FFF2-40B4-BE49-F238E27FC236}">
                <a16:creationId xmlns:a16="http://schemas.microsoft.com/office/drawing/2014/main" id="{ECD4042B-7AB2-9062-A27B-6ABF494DBE15}"/>
              </a:ext>
            </a:extLst>
          </xdr:cNvPr>
          <xdr:cNvCxnSpPr/>
        </xdr:nvCxnSpPr>
        <xdr:spPr>
          <a:xfrm flipV="1">
            <a:off x="1376361" y="480822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Arrow Connector 654">
            <a:extLst>
              <a:ext uri="{FF2B5EF4-FFF2-40B4-BE49-F238E27FC236}">
                <a16:creationId xmlns:a16="http://schemas.microsoft.com/office/drawing/2014/main" id="{C816612A-F4BB-D8D0-A279-E3B24775FB75}"/>
              </a:ext>
            </a:extLst>
          </xdr:cNvPr>
          <xdr:cNvCxnSpPr/>
        </xdr:nvCxnSpPr>
        <xdr:spPr>
          <a:xfrm flipV="1">
            <a:off x="5086348" y="48082199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6" name="Oval 655">
            <a:extLst>
              <a:ext uri="{FF2B5EF4-FFF2-40B4-BE49-F238E27FC236}">
                <a16:creationId xmlns:a16="http://schemas.microsoft.com/office/drawing/2014/main" id="{64549C42-5554-E880-B323-BE4EC58DBC74}"/>
              </a:ext>
            </a:extLst>
          </xdr:cNvPr>
          <xdr:cNvSpPr/>
        </xdr:nvSpPr>
        <xdr:spPr>
          <a:xfrm>
            <a:off x="3195638" y="45905737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FBDD7287-9D90-5E3C-1627-12C2E4306097}"/>
              </a:ext>
            </a:extLst>
          </xdr:cNvPr>
          <xdr:cNvCxnSpPr/>
        </xdr:nvCxnSpPr>
        <xdr:spPr>
          <a:xfrm>
            <a:off x="1309690" y="48653701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9522406D-FE46-E38D-E311-3F507FA0C264}"/>
              </a:ext>
            </a:extLst>
          </xdr:cNvPr>
          <xdr:cNvCxnSpPr/>
        </xdr:nvCxnSpPr>
        <xdr:spPr>
          <a:xfrm>
            <a:off x="1376363" y="48520356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C32126A1-CBA9-67E8-CA8F-F2C01E44602D}"/>
              </a:ext>
            </a:extLst>
          </xdr:cNvPr>
          <xdr:cNvCxnSpPr/>
        </xdr:nvCxnSpPr>
        <xdr:spPr>
          <a:xfrm flipH="1">
            <a:off x="1347787" y="4862993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CD1946CD-B87A-35D4-D3C2-F3C241FEFF67}"/>
              </a:ext>
            </a:extLst>
          </xdr:cNvPr>
          <xdr:cNvCxnSpPr/>
        </xdr:nvCxnSpPr>
        <xdr:spPr>
          <a:xfrm>
            <a:off x="1309688" y="48949026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E3A9CED5-E29F-4CE8-900A-5CFFC3147C01}"/>
              </a:ext>
            </a:extLst>
          </xdr:cNvPr>
          <xdr:cNvCxnSpPr/>
        </xdr:nvCxnSpPr>
        <xdr:spPr>
          <a:xfrm flipH="1">
            <a:off x="1347785" y="489156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2ECD8CF6-E384-13C7-E97E-792CC25B9DE2}"/>
              </a:ext>
            </a:extLst>
          </xdr:cNvPr>
          <xdr:cNvCxnSpPr/>
        </xdr:nvCxnSpPr>
        <xdr:spPr>
          <a:xfrm>
            <a:off x="5086357" y="48520351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99D0393D-CA0A-FCDF-DAF8-3B11D50EA332}"/>
              </a:ext>
            </a:extLst>
          </xdr:cNvPr>
          <xdr:cNvCxnSpPr/>
        </xdr:nvCxnSpPr>
        <xdr:spPr>
          <a:xfrm flipH="1">
            <a:off x="5048256" y="4862035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769CA0F2-CAEF-D5B5-BCB5-DB63ACFF46FA}"/>
              </a:ext>
            </a:extLst>
          </xdr:cNvPr>
          <xdr:cNvCxnSpPr/>
        </xdr:nvCxnSpPr>
        <xdr:spPr>
          <a:xfrm flipH="1">
            <a:off x="5048254" y="489061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3753CA69-9759-6780-C5BB-E3E589563D66}"/>
              </a:ext>
            </a:extLst>
          </xdr:cNvPr>
          <xdr:cNvCxnSpPr/>
        </xdr:nvCxnSpPr>
        <xdr:spPr>
          <a:xfrm>
            <a:off x="1943095" y="46553438"/>
            <a:ext cx="0" cy="2176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id="{D6ABBA80-DFB9-0B76-59E2-176761C8672D}"/>
              </a:ext>
            </a:extLst>
          </xdr:cNvPr>
          <xdr:cNvCxnSpPr/>
        </xdr:nvCxnSpPr>
        <xdr:spPr>
          <a:xfrm flipH="1">
            <a:off x="1904997" y="486203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Straight Connector 666">
            <a:extLst>
              <a:ext uri="{FF2B5EF4-FFF2-40B4-BE49-F238E27FC236}">
                <a16:creationId xmlns:a16="http://schemas.microsoft.com/office/drawing/2014/main" id="{E6BF6B75-D51E-9D05-FAC7-74331F830915}"/>
              </a:ext>
            </a:extLst>
          </xdr:cNvPr>
          <xdr:cNvCxnSpPr/>
        </xdr:nvCxnSpPr>
        <xdr:spPr>
          <a:xfrm>
            <a:off x="4533909" y="46572488"/>
            <a:ext cx="0" cy="21574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id="{64E5256A-DAA8-D191-68F1-83E93227A453}"/>
              </a:ext>
            </a:extLst>
          </xdr:cNvPr>
          <xdr:cNvCxnSpPr/>
        </xdr:nvCxnSpPr>
        <xdr:spPr>
          <a:xfrm flipH="1">
            <a:off x="4495811" y="486203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id="{1CCE3FF6-58B0-DAF7-D18A-EF1FD3771FA2}"/>
              </a:ext>
            </a:extLst>
          </xdr:cNvPr>
          <xdr:cNvCxnSpPr/>
        </xdr:nvCxnSpPr>
        <xdr:spPr>
          <a:xfrm flipH="1" flipV="1">
            <a:off x="1905002" y="46434378"/>
            <a:ext cx="83925" cy="8572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id="{91A71553-C013-5856-D27D-C271CED09878}"/>
              </a:ext>
            </a:extLst>
          </xdr:cNvPr>
          <xdr:cNvCxnSpPr/>
        </xdr:nvCxnSpPr>
        <xdr:spPr>
          <a:xfrm flipV="1">
            <a:off x="4500563" y="46443900"/>
            <a:ext cx="71437" cy="7246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id="{714E1071-C7C9-9C9E-B3D9-193CA08DC1B8}"/>
              </a:ext>
            </a:extLst>
          </xdr:cNvPr>
          <xdr:cNvCxnSpPr/>
        </xdr:nvCxnSpPr>
        <xdr:spPr>
          <a:xfrm>
            <a:off x="3238501" y="47940648"/>
            <a:ext cx="0" cy="784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id="{EC1A2F11-324E-231B-3E44-049B9EFB7B46}"/>
              </a:ext>
            </a:extLst>
          </xdr:cNvPr>
          <xdr:cNvCxnSpPr/>
        </xdr:nvCxnSpPr>
        <xdr:spPr>
          <a:xfrm flipH="1">
            <a:off x="3200402" y="486203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id="{81DAB67C-6F73-4064-B42E-CCB91C9C6A28}"/>
              </a:ext>
            </a:extLst>
          </xdr:cNvPr>
          <xdr:cNvCxnSpPr/>
        </xdr:nvCxnSpPr>
        <xdr:spPr>
          <a:xfrm>
            <a:off x="1390647" y="45796200"/>
            <a:ext cx="18526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Arrow Connector 673">
            <a:extLst>
              <a:ext uri="{FF2B5EF4-FFF2-40B4-BE49-F238E27FC236}">
                <a16:creationId xmlns:a16="http://schemas.microsoft.com/office/drawing/2014/main" id="{585B4E0B-920E-C3C6-E16A-52DCDD64E249}"/>
              </a:ext>
            </a:extLst>
          </xdr:cNvPr>
          <xdr:cNvCxnSpPr/>
        </xdr:nvCxnSpPr>
        <xdr:spPr>
          <a:xfrm>
            <a:off x="1390643" y="45586651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Arrow Connector 674">
            <a:extLst>
              <a:ext uri="{FF2B5EF4-FFF2-40B4-BE49-F238E27FC236}">
                <a16:creationId xmlns:a16="http://schemas.microsoft.com/office/drawing/2014/main" id="{A5D53D2D-5C4F-128F-36A4-6077FFAC2128}"/>
              </a:ext>
            </a:extLst>
          </xdr:cNvPr>
          <xdr:cNvCxnSpPr/>
        </xdr:nvCxnSpPr>
        <xdr:spPr>
          <a:xfrm>
            <a:off x="1619242" y="45586651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Arrow Connector 675">
            <a:extLst>
              <a:ext uri="{FF2B5EF4-FFF2-40B4-BE49-F238E27FC236}">
                <a16:creationId xmlns:a16="http://schemas.microsoft.com/office/drawing/2014/main" id="{7C36917F-6693-D4F1-9891-8CBC86B32F3B}"/>
              </a:ext>
            </a:extLst>
          </xdr:cNvPr>
          <xdr:cNvCxnSpPr/>
        </xdr:nvCxnSpPr>
        <xdr:spPr>
          <a:xfrm>
            <a:off x="1781168" y="45586651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Arrow Connector 676">
            <a:extLst>
              <a:ext uri="{FF2B5EF4-FFF2-40B4-BE49-F238E27FC236}">
                <a16:creationId xmlns:a16="http://schemas.microsoft.com/office/drawing/2014/main" id="{07FD32B4-DE0C-1C50-15F7-6CF245835C92}"/>
              </a:ext>
            </a:extLst>
          </xdr:cNvPr>
          <xdr:cNvCxnSpPr/>
        </xdr:nvCxnSpPr>
        <xdr:spPr>
          <a:xfrm>
            <a:off x="1943087" y="45586651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Straight Arrow Connector 677">
            <a:extLst>
              <a:ext uri="{FF2B5EF4-FFF2-40B4-BE49-F238E27FC236}">
                <a16:creationId xmlns:a16="http://schemas.microsoft.com/office/drawing/2014/main" id="{0E8759AD-0E0D-5DB3-61F6-4E7BFDA63075}"/>
              </a:ext>
            </a:extLst>
          </xdr:cNvPr>
          <xdr:cNvCxnSpPr/>
        </xdr:nvCxnSpPr>
        <xdr:spPr>
          <a:xfrm>
            <a:off x="2105018" y="45586649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Straight Arrow Connector 678">
            <a:extLst>
              <a:ext uri="{FF2B5EF4-FFF2-40B4-BE49-F238E27FC236}">
                <a16:creationId xmlns:a16="http://schemas.microsoft.com/office/drawing/2014/main" id="{1DEB7AC6-63EE-E7F0-BDDE-74A26665187A}"/>
              </a:ext>
            </a:extLst>
          </xdr:cNvPr>
          <xdr:cNvCxnSpPr/>
        </xdr:nvCxnSpPr>
        <xdr:spPr>
          <a:xfrm>
            <a:off x="2266944" y="45586649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Arrow Connector 679">
            <a:extLst>
              <a:ext uri="{FF2B5EF4-FFF2-40B4-BE49-F238E27FC236}">
                <a16:creationId xmlns:a16="http://schemas.microsoft.com/office/drawing/2014/main" id="{F147F57E-7982-9E38-B7BD-FA7DC54AAE22}"/>
              </a:ext>
            </a:extLst>
          </xdr:cNvPr>
          <xdr:cNvCxnSpPr/>
        </xdr:nvCxnSpPr>
        <xdr:spPr>
          <a:xfrm>
            <a:off x="2428863" y="45586649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Arrow Connector 680">
            <a:extLst>
              <a:ext uri="{FF2B5EF4-FFF2-40B4-BE49-F238E27FC236}">
                <a16:creationId xmlns:a16="http://schemas.microsoft.com/office/drawing/2014/main" id="{31FD4EF2-2E22-E0A5-68A7-8A970B67FDCF}"/>
              </a:ext>
            </a:extLst>
          </xdr:cNvPr>
          <xdr:cNvCxnSpPr/>
        </xdr:nvCxnSpPr>
        <xdr:spPr>
          <a:xfrm>
            <a:off x="2590800" y="45586654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Arrow Connector 681">
            <a:extLst>
              <a:ext uri="{FF2B5EF4-FFF2-40B4-BE49-F238E27FC236}">
                <a16:creationId xmlns:a16="http://schemas.microsoft.com/office/drawing/2014/main" id="{54220E35-4776-D91C-153F-95859952CF32}"/>
              </a:ext>
            </a:extLst>
          </xdr:cNvPr>
          <xdr:cNvCxnSpPr/>
        </xdr:nvCxnSpPr>
        <xdr:spPr>
          <a:xfrm>
            <a:off x="2752726" y="45586654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Arrow Connector 682">
            <a:extLst>
              <a:ext uri="{FF2B5EF4-FFF2-40B4-BE49-F238E27FC236}">
                <a16:creationId xmlns:a16="http://schemas.microsoft.com/office/drawing/2014/main" id="{390CF75B-B6A0-DE0B-FF59-FE64762565DC}"/>
              </a:ext>
            </a:extLst>
          </xdr:cNvPr>
          <xdr:cNvCxnSpPr/>
        </xdr:nvCxnSpPr>
        <xdr:spPr>
          <a:xfrm>
            <a:off x="2914645" y="45586654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Arrow Connector 683">
            <a:extLst>
              <a:ext uri="{FF2B5EF4-FFF2-40B4-BE49-F238E27FC236}">
                <a16:creationId xmlns:a16="http://schemas.microsoft.com/office/drawing/2014/main" id="{454F0EB1-198F-E569-DA86-E7C51946F2FB}"/>
              </a:ext>
            </a:extLst>
          </xdr:cNvPr>
          <xdr:cNvCxnSpPr/>
        </xdr:nvCxnSpPr>
        <xdr:spPr>
          <a:xfrm>
            <a:off x="3076576" y="45586652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Arrow Connector 684">
            <a:extLst>
              <a:ext uri="{FF2B5EF4-FFF2-40B4-BE49-F238E27FC236}">
                <a16:creationId xmlns:a16="http://schemas.microsoft.com/office/drawing/2014/main" id="{E9CD8B95-E3B1-EA53-51C3-8561836C4CC5}"/>
              </a:ext>
            </a:extLst>
          </xdr:cNvPr>
          <xdr:cNvCxnSpPr/>
        </xdr:nvCxnSpPr>
        <xdr:spPr>
          <a:xfrm>
            <a:off x="3238502" y="45586652"/>
            <a:ext cx="0" cy="19526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id="{89B0126F-B017-E957-8B19-19A886666DD5}"/>
              </a:ext>
            </a:extLst>
          </xdr:cNvPr>
          <xdr:cNvCxnSpPr/>
        </xdr:nvCxnSpPr>
        <xdr:spPr>
          <a:xfrm>
            <a:off x="1390645" y="45586644"/>
            <a:ext cx="18526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id="{CCBE05AE-4B3D-58D1-B373-93C82576D876}"/>
              </a:ext>
            </a:extLst>
          </xdr:cNvPr>
          <xdr:cNvCxnSpPr/>
        </xdr:nvCxnSpPr>
        <xdr:spPr>
          <a:xfrm>
            <a:off x="3600450" y="45939075"/>
            <a:ext cx="2781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FEA72F94-26A6-1753-5511-B4EAED88D1E0}"/>
              </a:ext>
            </a:extLst>
          </xdr:cNvPr>
          <xdr:cNvCxnSpPr/>
        </xdr:nvCxnSpPr>
        <xdr:spPr>
          <a:xfrm>
            <a:off x="4581525" y="46482006"/>
            <a:ext cx="1476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id="{5A2AB47C-5F42-308B-451F-18B5654063B8}"/>
              </a:ext>
            </a:extLst>
          </xdr:cNvPr>
          <xdr:cNvCxnSpPr/>
        </xdr:nvCxnSpPr>
        <xdr:spPr>
          <a:xfrm>
            <a:off x="5991226" y="45872400"/>
            <a:ext cx="0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Arrow Connector 689">
            <a:extLst>
              <a:ext uri="{FF2B5EF4-FFF2-40B4-BE49-F238E27FC236}">
                <a16:creationId xmlns:a16="http://schemas.microsoft.com/office/drawing/2014/main" id="{AB95ADBE-A7DC-4A70-A373-132F1C4175EC}"/>
              </a:ext>
            </a:extLst>
          </xdr:cNvPr>
          <xdr:cNvCxnSpPr/>
        </xdr:nvCxnSpPr>
        <xdr:spPr>
          <a:xfrm flipH="1">
            <a:off x="5157788" y="47801212"/>
            <a:ext cx="35718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1847D1F6-778A-5C5F-D3D0-9FD00D85B570}"/>
              </a:ext>
            </a:extLst>
          </xdr:cNvPr>
          <xdr:cNvCxnSpPr/>
        </xdr:nvCxnSpPr>
        <xdr:spPr>
          <a:xfrm flipH="1">
            <a:off x="5953124" y="4590574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8BFB3AE2-3E55-C77B-2D18-12C77BFF1297}"/>
              </a:ext>
            </a:extLst>
          </xdr:cNvPr>
          <xdr:cNvCxnSpPr/>
        </xdr:nvCxnSpPr>
        <xdr:spPr>
          <a:xfrm flipH="1">
            <a:off x="5953120" y="4644868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3DBC18FF-3745-D40F-21A2-7CF0B5E67355}"/>
              </a:ext>
            </a:extLst>
          </xdr:cNvPr>
          <xdr:cNvCxnSpPr/>
        </xdr:nvCxnSpPr>
        <xdr:spPr>
          <a:xfrm>
            <a:off x="5600700" y="47796462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75730656-7AF9-D3D1-0ED5-8E4BAD6F74F9}"/>
              </a:ext>
            </a:extLst>
          </xdr:cNvPr>
          <xdr:cNvCxnSpPr/>
        </xdr:nvCxnSpPr>
        <xdr:spPr>
          <a:xfrm flipH="1">
            <a:off x="5953117" y="4776313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F13AFBBA-F268-409D-23B4-FBA33BE04164}"/>
              </a:ext>
            </a:extLst>
          </xdr:cNvPr>
          <xdr:cNvCxnSpPr/>
        </xdr:nvCxnSpPr>
        <xdr:spPr>
          <a:xfrm>
            <a:off x="6315076" y="45877163"/>
            <a:ext cx="0" cy="1985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C0BAD21B-17E2-F828-91CB-83DFD4AAF7C3}"/>
              </a:ext>
            </a:extLst>
          </xdr:cNvPr>
          <xdr:cNvCxnSpPr/>
        </xdr:nvCxnSpPr>
        <xdr:spPr>
          <a:xfrm flipH="1">
            <a:off x="6276974" y="4590574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AB276AAE-07E9-D48A-29CC-7F8036CA27C3}"/>
              </a:ext>
            </a:extLst>
          </xdr:cNvPr>
          <xdr:cNvCxnSpPr/>
        </xdr:nvCxnSpPr>
        <xdr:spPr>
          <a:xfrm flipH="1">
            <a:off x="6276967" y="477631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Arrow Connector 697">
            <a:extLst>
              <a:ext uri="{FF2B5EF4-FFF2-40B4-BE49-F238E27FC236}">
                <a16:creationId xmlns:a16="http://schemas.microsoft.com/office/drawing/2014/main" id="{B624C9E3-4A0B-8CAF-F786-749C028C1ACE}"/>
              </a:ext>
            </a:extLst>
          </xdr:cNvPr>
          <xdr:cNvCxnSpPr/>
        </xdr:nvCxnSpPr>
        <xdr:spPr>
          <a:xfrm flipV="1">
            <a:off x="3238501" y="46091475"/>
            <a:ext cx="685799" cy="170497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Arrow Connector 698">
            <a:extLst>
              <a:ext uri="{FF2B5EF4-FFF2-40B4-BE49-F238E27FC236}">
                <a16:creationId xmlns:a16="http://schemas.microsoft.com/office/drawing/2014/main" id="{CB2F3FA2-482E-FDC7-F611-C65633FB7A4C}"/>
              </a:ext>
            </a:extLst>
          </xdr:cNvPr>
          <xdr:cNvCxnSpPr/>
        </xdr:nvCxnSpPr>
        <xdr:spPr>
          <a:xfrm>
            <a:off x="985838" y="47796450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Arrow Connector 699">
            <a:extLst>
              <a:ext uri="{FF2B5EF4-FFF2-40B4-BE49-F238E27FC236}">
                <a16:creationId xmlns:a16="http://schemas.microsoft.com/office/drawing/2014/main" id="{C5BE6393-2CF4-78F8-315B-7AD4B033DA95}"/>
              </a:ext>
            </a:extLst>
          </xdr:cNvPr>
          <xdr:cNvCxnSpPr/>
        </xdr:nvCxnSpPr>
        <xdr:spPr>
          <a:xfrm>
            <a:off x="4533900" y="46096238"/>
            <a:ext cx="0" cy="32385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7E4F18F3-55BD-6112-A70C-656DE1C85216}"/>
              </a:ext>
            </a:extLst>
          </xdr:cNvPr>
          <xdr:cNvCxnSpPr/>
        </xdr:nvCxnSpPr>
        <xdr:spPr>
          <a:xfrm>
            <a:off x="585788" y="45939077"/>
            <a:ext cx="24383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0FD7BDB0-3E18-835A-E98A-455DFC9C3448}"/>
              </a:ext>
            </a:extLst>
          </xdr:cNvPr>
          <xdr:cNvCxnSpPr/>
        </xdr:nvCxnSpPr>
        <xdr:spPr>
          <a:xfrm>
            <a:off x="647700" y="45867638"/>
            <a:ext cx="0" cy="2005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7EBA9361-A381-50AF-1E12-D20E76AF0A30}"/>
              </a:ext>
            </a:extLst>
          </xdr:cNvPr>
          <xdr:cNvCxnSpPr/>
        </xdr:nvCxnSpPr>
        <xdr:spPr>
          <a:xfrm flipH="1">
            <a:off x="585788" y="47796450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C66718F1-A9A1-B61A-FD84-C968D2B6EB9D}"/>
              </a:ext>
            </a:extLst>
          </xdr:cNvPr>
          <xdr:cNvCxnSpPr/>
        </xdr:nvCxnSpPr>
        <xdr:spPr>
          <a:xfrm flipH="1">
            <a:off x="609598" y="4590574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3C9E7CAC-CCA1-487E-C6CC-0513DDA526C7}"/>
              </a:ext>
            </a:extLst>
          </xdr:cNvPr>
          <xdr:cNvCxnSpPr/>
        </xdr:nvCxnSpPr>
        <xdr:spPr>
          <a:xfrm flipH="1">
            <a:off x="609604" y="477631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03A380C9-AC30-ED98-3A36-5F0E14484B2F}"/>
              </a:ext>
            </a:extLst>
          </xdr:cNvPr>
          <xdr:cNvCxnSpPr/>
        </xdr:nvCxnSpPr>
        <xdr:spPr>
          <a:xfrm>
            <a:off x="576264" y="46481988"/>
            <a:ext cx="12858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826A796F-CE3C-186D-5A26-43982B01C938}"/>
              </a:ext>
            </a:extLst>
          </xdr:cNvPr>
          <xdr:cNvCxnSpPr/>
        </xdr:nvCxnSpPr>
        <xdr:spPr>
          <a:xfrm flipH="1">
            <a:off x="609597" y="464486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Arrow Connector 707">
            <a:extLst>
              <a:ext uri="{FF2B5EF4-FFF2-40B4-BE49-F238E27FC236}">
                <a16:creationId xmlns:a16="http://schemas.microsoft.com/office/drawing/2014/main" id="{B24BC4BB-0C76-8EB9-0711-892772752914}"/>
              </a:ext>
            </a:extLst>
          </xdr:cNvPr>
          <xdr:cNvCxnSpPr/>
        </xdr:nvCxnSpPr>
        <xdr:spPr>
          <a:xfrm flipH="1" flipV="1">
            <a:off x="1952625" y="46477238"/>
            <a:ext cx="1290638" cy="1328737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Arrow Connector 708">
            <a:extLst>
              <a:ext uri="{FF2B5EF4-FFF2-40B4-BE49-F238E27FC236}">
                <a16:creationId xmlns:a16="http://schemas.microsoft.com/office/drawing/2014/main" id="{FD701FC6-E775-D215-6B68-4E01D282B034}"/>
              </a:ext>
            </a:extLst>
          </xdr:cNvPr>
          <xdr:cNvCxnSpPr/>
        </xdr:nvCxnSpPr>
        <xdr:spPr>
          <a:xfrm flipV="1">
            <a:off x="3233738" y="46486763"/>
            <a:ext cx="1290637" cy="13144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1045329D-FBAD-F85B-2EF9-CF2D6D1CBE6A}"/>
              </a:ext>
            </a:extLst>
          </xdr:cNvPr>
          <xdr:cNvCxnSpPr/>
        </xdr:nvCxnSpPr>
        <xdr:spPr>
          <a:xfrm>
            <a:off x="2790825" y="47796451"/>
            <a:ext cx="9429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1" name="Arc 710">
            <a:extLst>
              <a:ext uri="{FF2B5EF4-FFF2-40B4-BE49-F238E27FC236}">
                <a16:creationId xmlns:a16="http://schemas.microsoft.com/office/drawing/2014/main" id="{FCB907D5-73FF-DEAD-6A2F-40E20D26EEC2}"/>
              </a:ext>
            </a:extLst>
          </xdr:cNvPr>
          <xdr:cNvSpPr/>
        </xdr:nvSpPr>
        <xdr:spPr>
          <a:xfrm rot="14662438">
            <a:off x="2981326" y="47601189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2" name="Arc 711">
            <a:extLst>
              <a:ext uri="{FF2B5EF4-FFF2-40B4-BE49-F238E27FC236}">
                <a16:creationId xmlns:a16="http://schemas.microsoft.com/office/drawing/2014/main" id="{F475265B-9D89-C922-3775-50E2BA855D6E}"/>
              </a:ext>
            </a:extLst>
          </xdr:cNvPr>
          <xdr:cNvSpPr/>
        </xdr:nvSpPr>
        <xdr:spPr>
          <a:xfrm rot="1806329">
            <a:off x="3214687" y="47596425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13" name="Straight Arrow Connector 712">
            <a:extLst>
              <a:ext uri="{FF2B5EF4-FFF2-40B4-BE49-F238E27FC236}">
                <a16:creationId xmlns:a16="http://schemas.microsoft.com/office/drawing/2014/main" id="{859D3215-E57C-6615-09C4-419DEA95767C}"/>
              </a:ext>
            </a:extLst>
          </xdr:cNvPr>
          <xdr:cNvCxnSpPr/>
        </xdr:nvCxnSpPr>
        <xdr:spPr>
          <a:xfrm>
            <a:off x="4314825" y="4929187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Arrow Connector 713">
            <a:extLst>
              <a:ext uri="{FF2B5EF4-FFF2-40B4-BE49-F238E27FC236}">
                <a16:creationId xmlns:a16="http://schemas.microsoft.com/office/drawing/2014/main" id="{EBC79220-9953-281B-1514-6D8A198C20D5}"/>
              </a:ext>
            </a:extLst>
          </xdr:cNvPr>
          <xdr:cNvCxnSpPr/>
        </xdr:nvCxnSpPr>
        <xdr:spPr>
          <a:xfrm>
            <a:off x="3314700" y="4943475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Arrow Connector 714">
            <a:extLst>
              <a:ext uri="{FF2B5EF4-FFF2-40B4-BE49-F238E27FC236}">
                <a16:creationId xmlns:a16="http://schemas.microsoft.com/office/drawing/2014/main" id="{A74B5EBB-60E3-3545-11C0-C2559B75D120}"/>
              </a:ext>
            </a:extLst>
          </xdr:cNvPr>
          <xdr:cNvCxnSpPr/>
        </xdr:nvCxnSpPr>
        <xdr:spPr>
          <a:xfrm>
            <a:off x="4314825" y="4957762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Arrow Connector 715">
            <a:extLst>
              <a:ext uri="{FF2B5EF4-FFF2-40B4-BE49-F238E27FC236}">
                <a16:creationId xmlns:a16="http://schemas.microsoft.com/office/drawing/2014/main" id="{3F3AC7DA-8E19-6FC7-8A42-7DF0D0FC97F0}"/>
              </a:ext>
            </a:extLst>
          </xdr:cNvPr>
          <xdr:cNvCxnSpPr/>
        </xdr:nvCxnSpPr>
        <xdr:spPr>
          <a:xfrm>
            <a:off x="3829050" y="4972050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Arrow Connector 728">
            <a:extLst>
              <a:ext uri="{FF2B5EF4-FFF2-40B4-BE49-F238E27FC236}">
                <a16:creationId xmlns:a16="http://schemas.microsoft.com/office/drawing/2014/main" id="{19187D5A-C7BE-4636-9147-DBA49E35BBC0}"/>
              </a:ext>
            </a:extLst>
          </xdr:cNvPr>
          <xdr:cNvCxnSpPr/>
        </xdr:nvCxnSpPr>
        <xdr:spPr>
          <a:xfrm flipV="1">
            <a:off x="1390650" y="4710112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Arrow Connector 729">
            <a:extLst>
              <a:ext uri="{FF2B5EF4-FFF2-40B4-BE49-F238E27FC236}">
                <a16:creationId xmlns:a16="http://schemas.microsoft.com/office/drawing/2014/main" id="{ED75EAB3-4112-45A7-AD0C-5C14C6442CBC}"/>
              </a:ext>
            </a:extLst>
          </xdr:cNvPr>
          <xdr:cNvCxnSpPr/>
        </xdr:nvCxnSpPr>
        <xdr:spPr>
          <a:xfrm>
            <a:off x="1390650" y="47796450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104775</xdr:colOff>
      <xdr:row>920</xdr:row>
      <xdr:rowOff>66675</xdr:rowOff>
    </xdr:from>
    <xdr:to>
      <xdr:col>37</xdr:col>
      <xdr:colOff>66675</xdr:colOff>
      <xdr:row>920</xdr:row>
      <xdr:rowOff>66675</xdr:rowOff>
    </xdr:to>
    <xdr:cxnSp macro="">
      <xdr:nvCxnSpPr>
        <xdr:cNvPr id="813" name="Straight Arrow Connector 812">
          <a:extLst>
            <a:ext uri="{FF2B5EF4-FFF2-40B4-BE49-F238E27FC236}">
              <a16:creationId xmlns:a16="http://schemas.microsoft.com/office/drawing/2014/main" id="{309B76A7-FBDF-9FD0-FB46-E6DC527FD522}"/>
            </a:ext>
          </a:extLst>
        </xdr:cNvPr>
        <xdr:cNvCxnSpPr/>
      </xdr:nvCxnSpPr>
      <xdr:spPr>
        <a:xfrm>
          <a:off x="4314825" y="1205579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921</xdr:row>
      <xdr:rowOff>66675</xdr:rowOff>
    </xdr:from>
    <xdr:to>
      <xdr:col>28</xdr:col>
      <xdr:colOff>38100</xdr:colOff>
      <xdr:row>921</xdr:row>
      <xdr:rowOff>66675</xdr:rowOff>
    </xdr:to>
    <xdr:cxnSp macro="">
      <xdr:nvCxnSpPr>
        <xdr:cNvPr id="814" name="Straight Arrow Connector 813">
          <a:extLst>
            <a:ext uri="{FF2B5EF4-FFF2-40B4-BE49-F238E27FC236}">
              <a16:creationId xmlns:a16="http://schemas.microsoft.com/office/drawing/2014/main" id="{0536966A-BCAA-3F22-F41F-711B5696059B}"/>
            </a:ext>
          </a:extLst>
        </xdr:cNvPr>
        <xdr:cNvCxnSpPr/>
      </xdr:nvCxnSpPr>
      <xdr:spPr>
        <a:xfrm>
          <a:off x="3314700" y="1207008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922</xdr:row>
      <xdr:rowOff>66675</xdr:rowOff>
    </xdr:from>
    <xdr:to>
      <xdr:col>28</xdr:col>
      <xdr:colOff>66675</xdr:colOff>
      <xdr:row>922</xdr:row>
      <xdr:rowOff>66675</xdr:rowOff>
    </xdr:to>
    <xdr:cxnSp macro="">
      <xdr:nvCxnSpPr>
        <xdr:cNvPr id="815" name="Straight Arrow Connector 814">
          <a:extLst>
            <a:ext uri="{FF2B5EF4-FFF2-40B4-BE49-F238E27FC236}">
              <a16:creationId xmlns:a16="http://schemas.microsoft.com/office/drawing/2014/main" id="{D8BDD2A2-E4D4-3674-C7D9-C02B2F10ACF2}"/>
            </a:ext>
          </a:extLst>
        </xdr:cNvPr>
        <xdr:cNvCxnSpPr/>
      </xdr:nvCxnSpPr>
      <xdr:spPr>
        <a:xfrm>
          <a:off x="4314825" y="1208436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923</xdr:row>
      <xdr:rowOff>66675</xdr:rowOff>
    </xdr:from>
    <xdr:to>
      <xdr:col>34</xdr:col>
      <xdr:colOff>66675</xdr:colOff>
      <xdr:row>923</xdr:row>
      <xdr:rowOff>66675</xdr:rowOff>
    </xdr:to>
    <xdr:cxnSp macro="">
      <xdr:nvCxnSpPr>
        <xdr:cNvPr id="816" name="Straight Arrow Connector 815">
          <a:extLst>
            <a:ext uri="{FF2B5EF4-FFF2-40B4-BE49-F238E27FC236}">
              <a16:creationId xmlns:a16="http://schemas.microsoft.com/office/drawing/2014/main" id="{B958F149-873F-4ABD-76C5-BE94EB3FA4B2}"/>
            </a:ext>
          </a:extLst>
        </xdr:cNvPr>
        <xdr:cNvCxnSpPr/>
      </xdr:nvCxnSpPr>
      <xdr:spPr>
        <a:xfrm>
          <a:off x="5286375" y="120986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47625</xdr:colOff>
      <xdr:row>906</xdr:row>
      <xdr:rowOff>19051</xdr:rowOff>
    </xdr:from>
    <xdr:to>
      <xdr:col>60</xdr:col>
      <xdr:colOff>123825</xdr:colOff>
      <xdr:row>939</xdr:row>
      <xdr:rowOff>76200</xdr:rowOff>
    </xdr:to>
    <xdr:grpSp>
      <xdr:nvGrpSpPr>
        <xdr:cNvPr id="818" name="Group 817">
          <a:extLst>
            <a:ext uri="{FF2B5EF4-FFF2-40B4-BE49-F238E27FC236}">
              <a16:creationId xmlns:a16="http://schemas.microsoft.com/office/drawing/2014/main" id="{181801A8-2F33-4A65-A32E-70CC9014480A}"/>
            </a:ext>
          </a:extLst>
        </xdr:cNvPr>
        <xdr:cNvGrpSpPr/>
      </xdr:nvGrpSpPr>
      <xdr:grpSpPr>
        <a:xfrm>
          <a:off x="5229225" y="129940051"/>
          <a:ext cx="4610100" cy="4772024"/>
          <a:chOff x="8001000" y="13716001"/>
          <a:chExt cx="4610100" cy="4791074"/>
        </a:xfrm>
      </xdr:grpSpPr>
      <xdr:sp macro="" textlink="">
        <xdr:nvSpPr>
          <xdr:cNvPr id="819" name="Arc 818">
            <a:extLst>
              <a:ext uri="{FF2B5EF4-FFF2-40B4-BE49-F238E27FC236}">
                <a16:creationId xmlns:a16="http://schemas.microsoft.com/office/drawing/2014/main" id="{330B926B-3857-502F-36BC-E8BAE9E1714B}"/>
              </a:ext>
            </a:extLst>
          </xdr:cNvPr>
          <xdr:cNvSpPr/>
        </xdr:nvSpPr>
        <xdr:spPr>
          <a:xfrm>
            <a:off x="8001000" y="13896975"/>
            <a:ext cx="4610100" cy="4610100"/>
          </a:xfrm>
          <a:prstGeom prst="arc">
            <a:avLst>
              <a:gd name="adj1" fmla="val 12953407"/>
              <a:gd name="adj2" fmla="val 14603002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208F87F7-22CA-8085-67B7-B67864D843C3}"/>
              </a:ext>
            </a:extLst>
          </xdr:cNvPr>
          <xdr:cNvSpPr/>
        </xdr:nvSpPr>
        <xdr:spPr>
          <a:xfrm>
            <a:off x="8267701" y="150066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1" name="Isosceles Triangle 820">
            <a:extLst>
              <a:ext uri="{FF2B5EF4-FFF2-40B4-BE49-F238E27FC236}">
                <a16:creationId xmlns:a16="http://schemas.microsoft.com/office/drawing/2014/main" id="{AE32EB60-2605-DD3A-138B-C9F8098BB517}"/>
              </a:ext>
            </a:extLst>
          </xdr:cNvPr>
          <xdr:cNvSpPr/>
        </xdr:nvSpPr>
        <xdr:spPr>
          <a:xfrm>
            <a:off x="8352283" y="148685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1D1CC083-9E84-4274-BC7D-74D0108CD6F8}"/>
              </a:ext>
            </a:extLst>
          </xdr:cNvPr>
          <xdr:cNvCxnSpPr/>
        </xdr:nvCxnSpPr>
        <xdr:spPr>
          <a:xfrm>
            <a:off x="8258175" y="150018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3" name="Oval 822">
            <a:extLst>
              <a:ext uri="{FF2B5EF4-FFF2-40B4-BE49-F238E27FC236}">
                <a16:creationId xmlns:a16="http://schemas.microsoft.com/office/drawing/2014/main" id="{052BB525-0867-7F69-07E3-6077ACB79BE9}"/>
              </a:ext>
            </a:extLst>
          </xdr:cNvPr>
          <xdr:cNvSpPr/>
        </xdr:nvSpPr>
        <xdr:spPr>
          <a:xfrm>
            <a:off x="8386762" y="148113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24" name="Straight Arrow Connector 823">
            <a:extLst>
              <a:ext uri="{FF2B5EF4-FFF2-40B4-BE49-F238E27FC236}">
                <a16:creationId xmlns:a16="http://schemas.microsoft.com/office/drawing/2014/main" id="{32629740-19F2-1409-B60E-149A0C6B256C}"/>
              </a:ext>
            </a:extLst>
          </xdr:cNvPr>
          <xdr:cNvCxnSpPr/>
        </xdr:nvCxnSpPr>
        <xdr:spPr>
          <a:xfrm flipV="1">
            <a:off x="9291639" y="13954125"/>
            <a:ext cx="300036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Arrow Connector 824">
            <a:extLst>
              <a:ext uri="{FF2B5EF4-FFF2-40B4-BE49-F238E27FC236}">
                <a16:creationId xmlns:a16="http://schemas.microsoft.com/office/drawing/2014/main" id="{CA0F40D6-6FCB-70B2-2F9F-CCB16A0133C4}"/>
              </a:ext>
            </a:extLst>
          </xdr:cNvPr>
          <xdr:cNvCxnSpPr/>
        </xdr:nvCxnSpPr>
        <xdr:spPr>
          <a:xfrm>
            <a:off x="9215439" y="14001750"/>
            <a:ext cx="147636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6" name="Arc 825">
            <a:extLst>
              <a:ext uri="{FF2B5EF4-FFF2-40B4-BE49-F238E27FC236}">
                <a16:creationId xmlns:a16="http://schemas.microsoft.com/office/drawing/2014/main" id="{9E85EA96-AA8A-41F9-3320-C2B42827BFF7}"/>
              </a:ext>
            </a:extLst>
          </xdr:cNvPr>
          <xdr:cNvSpPr/>
        </xdr:nvSpPr>
        <xdr:spPr>
          <a:xfrm rot="787210">
            <a:off x="9005889" y="13954125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7" name="TextBox 826">
            <a:extLst>
              <a:ext uri="{FF2B5EF4-FFF2-40B4-BE49-F238E27FC236}">
                <a16:creationId xmlns:a16="http://schemas.microsoft.com/office/drawing/2014/main" id="{6D859B1D-E660-23EA-E51D-8BE24EA39E2C}"/>
              </a:ext>
            </a:extLst>
          </xdr:cNvPr>
          <xdr:cNvSpPr txBox="1"/>
        </xdr:nvSpPr>
        <xdr:spPr>
          <a:xfrm>
            <a:off x="9491665" y="1373505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828" name="TextBox 827">
            <a:extLst>
              <a:ext uri="{FF2B5EF4-FFF2-40B4-BE49-F238E27FC236}">
                <a16:creationId xmlns:a16="http://schemas.microsoft.com/office/drawing/2014/main" id="{71838D30-B11C-59D0-4CD1-84D293FF2778}"/>
              </a:ext>
            </a:extLst>
          </xdr:cNvPr>
          <xdr:cNvSpPr txBox="1"/>
        </xdr:nvSpPr>
        <xdr:spPr>
          <a:xfrm>
            <a:off x="9148765" y="137160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829" name="TextBox 828">
            <a:extLst>
              <a:ext uri="{FF2B5EF4-FFF2-40B4-BE49-F238E27FC236}">
                <a16:creationId xmlns:a16="http://schemas.microsoft.com/office/drawing/2014/main" id="{1AA0850A-E9D1-22F5-3B2D-C6EAE3AF09FC}"/>
              </a:ext>
            </a:extLst>
          </xdr:cNvPr>
          <xdr:cNvSpPr txBox="1"/>
        </xdr:nvSpPr>
        <xdr:spPr>
          <a:xfrm>
            <a:off x="9234489" y="142303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32</xdr:col>
      <xdr:colOff>66675</xdr:colOff>
      <xdr:row>941</xdr:row>
      <xdr:rowOff>76201</xdr:rowOff>
    </xdr:from>
    <xdr:to>
      <xdr:col>60</xdr:col>
      <xdr:colOff>142875</xdr:colOff>
      <xdr:row>975</xdr:row>
      <xdr:rowOff>9525</xdr:rowOff>
    </xdr:to>
    <xdr:grpSp>
      <xdr:nvGrpSpPr>
        <xdr:cNvPr id="905" name="Group 904">
          <a:extLst>
            <a:ext uri="{FF2B5EF4-FFF2-40B4-BE49-F238E27FC236}">
              <a16:creationId xmlns:a16="http://schemas.microsoft.com/office/drawing/2014/main" id="{CE9E2C2D-4855-4351-AD0F-281BA8C9A960}"/>
            </a:ext>
          </a:extLst>
        </xdr:cNvPr>
        <xdr:cNvGrpSpPr/>
      </xdr:nvGrpSpPr>
      <xdr:grpSpPr>
        <a:xfrm>
          <a:off x="5248275" y="134997826"/>
          <a:ext cx="4610100" cy="4791074"/>
          <a:chOff x="8001000" y="13716001"/>
          <a:chExt cx="4610100" cy="4791074"/>
        </a:xfrm>
      </xdr:grpSpPr>
      <xdr:sp macro="" textlink="">
        <xdr:nvSpPr>
          <xdr:cNvPr id="906" name="Arc 905">
            <a:extLst>
              <a:ext uri="{FF2B5EF4-FFF2-40B4-BE49-F238E27FC236}">
                <a16:creationId xmlns:a16="http://schemas.microsoft.com/office/drawing/2014/main" id="{3BF24A54-5FE1-92DC-E7CF-3083DA922E47}"/>
              </a:ext>
            </a:extLst>
          </xdr:cNvPr>
          <xdr:cNvSpPr/>
        </xdr:nvSpPr>
        <xdr:spPr>
          <a:xfrm>
            <a:off x="8001000" y="13896975"/>
            <a:ext cx="4610100" cy="4610100"/>
          </a:xfrm>
          <a:prstGeom prst="arc">
            <a:avLst>
              <a:gd name="adj1" fmla="val 12953407"/>
              <a:gd name="adj2" fmla="val 14603002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5FFB7B2F-B211-EAFA-769F-2D826168AE7D}"/>
              </a:ext>
            </a:extLst>
          </xdr:cNvPr>
          <xdr:cNvSpPr/>
        </xdr:nvSpPr>
        <xdr:spPr>
          <a:xfrm>
            <a:off x="8267701" y="150066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08" name="Isosceles Triangle 907">
            <a:extLst>
              <a:ext uri="{FF2B5EF4-FFF2-40B4-BE49-F238E27FC236}">
                <a16:creationId xmlns:a16="http://schemas.microsoft.com/office/drawing/2014/main" id="{CF9B1A01-00D4-2608-FE1D-9BEB7A39E1EA}"/>
              </a:ext>
            </a:extLst>
          </xdr:cNvPr>
          <xdr:cNvSpPr/>
        </xdr:nvSpPr>
        <xdr:spPr>
          <a:xfrm>
            <a:off x="8352283" y="148685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09" name="Straight Connector 908">
            <a:extLst>
              <a:ext uri="{FF2B5EF4-FFF2-40B4-BE49-F238E27FC236}">
                <a16:creationId xmlns:a16="http://schemas.microsoft.com/office/drawing/2014/main" id="{1AB7FF5C-EE91-92DE-0A51-18968BC70AFD}"/>
              </a:ext>
            </a:extLst>
          </xdr:cNvPr>
          <xdr:cNvCxnSpPr/>
        </xdr:nvCxnSpPr>
        <xdr:spPr>
          <a:xfrm>
            <a:off x="8258175" y="150018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0" name="Oval 909">
            <a:extLst>
              <a:ext uri="{FF2B5EF4-FFF2-40B4-BE49-F238E27FC236}">
                <a16:creationId xmlns:a16="http://schemas.microsoft.com/office/drawing/2014/main" id="{15279B3B-B30F-A295-0828-C43EBEEB89D2}"/>
              </a:ext>
            </a:extLst>
          </xdr:cNvPr>
          <xdr:cNvSpPr/>
        </xdr:nvSpPr>
        <xdr:spPr>
          <a:xfrm>
            <a:off x="8386762" y="148113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11" name="Straight Arrow Connector 910">
            <a:extLst>
              <a:ext uri="{FF2B5EF4-FFF2-40B4-BE49-F238E27FC236}">
                <a16:creationId xmlns:a16="http://schemas.microsoft.com/office/drawing/2014/main" id="{3696FB89-BCE5-39C4-1BDB-7513A653DD5A}"/>
              </a:ext>
            </a:extLst>
          </xdr:cNvPr>
          <xdr:cNvCxnSpPr/>
        </xdr:nvCxnSpPr>
        <xdr:spPr>
          <a:xfrm flipV="1">
            <a:off x="9291639" y="13954125"/>
            <a:ext cx="300036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Arrow Connector 911">
            <a:extLst>
              <a:ext uri="{FF2B5EF4-FFF2-40B4-BE49-F238E27FC236}">
                <a16:creationId xmlns:a16="http://schemas.microsoft.com/office/drawing/2014/main" id="{D9789D2C-D9E8-E091-01A5-791AAD09FCD6}"/>
              </a:ext>
            </a:extLst>
          </xdr:cNvPr>
          <xdr:cNvCxnSpPr/>
        </xdr:nvCxnSpPr>
        <xdr:spPr>
          <a:xfrm>
            <a:off x="9215439" y="14001750"/>
            <a:ext cx="147636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3" name="Arc 912">
            <a:extLst>
              <a:ext uri="{FF2B5EF4-FFF2-40B4-BE49-F238E27FC236}">
                <a16:creationId xmlns:a16="http://schemas.microsoft.com/office/drawing/2014/main" id="{45B4A7AF-745E-70EB-A1CC-B3BD83890338}"/>
              </a:ext>
            </a:extLst>
          </xdr:cNvPr>
          <xdr:cNvSpPr/>
        </xdr:nvSpPr>
        <xdr:spPr>
          <a:xfrm rot="787210">
            <a:off x="9005889" y="13954125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4" name="TextBox 913">
            <a:extLst>
              <a:ext uri="{FF2B5EF4-FFF2-40B4-BE49-F238E27FC236}">
                <a16:creationId xmlns:a16="http://schemas.microsoft.com/office/drawing/2014/main" id="{C8A9DA17-81E4-AC1A-B8FB-42913869280E}"/>
              </a:ext>
            </a:extLst>
          </xdr:cNvPr>
          <xdr:cNvSpPr txBox="1"/>
        </xdr:nvSpPr>
        <xdr:spPr>
          <a:xfrm>
            <a:off x="9491665" y="1373505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915" name="TextBox 914">
            <a:extLst>
              <a:ext uri="{FF2B5EF4-FFF2-40B4-BE49-F238E27FC236}">
                <a16:creationId xmlns:a16="http://schemas.microsoft.com/office/drawing/2014/main" id="{57B71C5B-4991-720C-7E97-C6020082517F}"/>
              </a:ext>
            </a:extLst>
          </xdr:cNvPr>
          <xdr:cNvSpPr txBox="1"/>
        </xdr:nvSpPr>
        <xdr:spPr>
          <a:xfrm>
            <a:off x="9148765" y="137160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916" name="TextBox 915">
            <a:extLst>
              <a:ext uri="{FF2B5EF4-FFF2-40B4-BE49-F238E27FC236}">
                <a16:creationId xmlns:a16="http://schemas.microsoft.com/office/drawing/2014/main" id="{4B3C0D1C-9A4B-C4E6-9CCB-0EC0CFB8C0ED}"/>
              </a:ext>
            </a:extLst>
          </xdr:cNvPr>
          <xdr:cNvSpPr txBox="1"/>
        </xdr:nvSpPr>
        <xdr:spPr>
          <a:xfrm>
            <a:off x="9234489" y="142303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35</xdr:col>
      <xdr:colOff>85725</xdr:colOff>
      <xdr:row>1055</xdr:row>
      <xdr:rowOff>28575</xdr:rowOff>
    </xdr:from>
    <xdr:to>
      <xdr:col>61</xdr:col>
      <xdr:colOff>57150</xdr:colOff>
      <xdr:row>1098</xdr:row>
      <xdr:rowOff>66675</xdr:rowOff>
    </xdr:to>
    <xdr:grpSp>
      <xdr:nvGrpSpPr>
        <xdr:cNvPr id="917" name="Group 916">
          <a:extLst>
            <a:ext uri="{FF2B5EF4-FFF2-40B4-BE49-F238E27FC236}">
              <a16:creationId xmlns:a16="http://schemas.microsoft.com/office/drawing/2014/main" id="{52772077-5B30-44EC-9BB6-70775F2EA9FB}"/>
            </a:ext>
          </a:extLst>
        </xdr:cNvPr>
        <xdr:cNvGrpSpPr/>
      </xdr:nvGrpSpPr>
      <xdr:grpSpPr>
        <a:xfrm>
          <a:off x="5753100" y="151237950"/>
          <a:ext cx="4181475" cy="6181725"/>
          <a:chOff x="8296275" y="19850100"/>
          <a:chExt cx="4181475" cy="6181725"/>
        </a:xfrm>
      </xdr:grpSpPr>
      <xdr:sp macro="" textlink="">
        <xdr:nvSpPr>
          <xdr:cNvPr id="918" name="Arc 917">
            <a:extLst>
              <a:ext uri="{FF2B5EF4-FFF2-40B4-BE49-F238E27FC236}">
                <a16:creationId xmlns:a16="http://schemas.microsoft.com/office/drawing/2014/main" id="{F3A6347D-2B34-BC4D-E590-BB7008F86248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D0004031-DD0E-8C1B-85BC-B0112F1D431D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0" name="Isosceles Triangle 919">
            <a:extLst>
              <a:ext uri="{FF2B5EF4-FFF2-40B4-BE49-F238E27FC236}">
                <a16:creationId xmlns:a16="http://schemas.microsoft.com/office/drawing/2014/main" id="{DA92ECD0-3A8C-3598-6AE3-011666DAF4FD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21" name="Straight Connector 920">
            <a:extLst>
              <a:ext uri="{FF2B5EF4-FFF2-40B4-BE49-F238E27FC236}">
                <a16:creationId xmlns:a16="http://schemas.microsoft.com/office/drawing/2014/main" id="{139139BF-A57F-E127-AC1B-2BD873CB72BE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2" name="Oval 921">
            <a:extLst>
              <a:ext uri="{FF2B5EF4-FFF2-40B4-BE49-F238E27FC236}">
                <a16:creationId xmlns:a16="http://schemas.microsoft.com/office/drawing/2014/main" id="{092D98E8-6C40-3D95-B9D1-344660AAA5C7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23" name="Straight Arrow Connector 922">
            <a:extLst>
              <a:ext uri="{FF2B5EF4-FFF2-40B4-BE49-F238E27FC236}">
                <a16:creationId xmlns:a16="http://schemas.microsoft.com/office/drawing/2014/main" id="{95406C3A-6841-01E8-E795-6211D8CD590F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4" name="Straight Arrow Connector 923">
            <a:extLst>
              <a:ext uri="{FF2B5EF4-FFF2-40B4-BE49-F238E27FC236}">
                <a16:creationId xmlns:a16="http://schemas.microsoft.com/office/drawing/2014/main" id="{9636283C-1DD7-C970-1E68-E1B7E7A62409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5" name="Arc 924">
            <a:extLst>
              <a:ext uri="{FF2B5EF4-FFF2-40B4-BE49-F238E27FC236}">
                <a16:creationId xmlns:a16="http://schemas.microsoft.com/office/drawing/2014/main" id="{47475438-53CB-749A-A81B-4BEA9B4EC2F7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6" name="TextBox 925">
            <a:extLst>
              <a:ext uri="{FF2B5EF4-FFF2-40B4-BE49-F238E27FC236}">
                <a16:creationId xmlns:a16="http://schemas.microsoft.com/office/drawing/2014/main" id="{AB7F3027-D6B2-ED17-D4DD-6CE51DE9A518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927" name="TextBox 926">
            <a:extLst>
              <a:ext uri="{FF2B5EF4-FFF2-40B4-BE49-F238E27FC236}">
                <a16:creationId xmlns:a16="http://schemas.microsoft.com/office/drawing/2014/main" id="{C5E146DD-E955-A024-B49E-632D39631500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928" name="TextBox 927">
            <a:extLst>
              <a:ext uri="{FF2B5EF4-FFF2-40B4-BE49-F238E27FC236}">
                <a16:creationId xmlns:a16="http://schemas.microsoft.com/office/drawing/2014/main" id="{C5587330-5605-7F83-5E6D-5C76383978F5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35</xdr:col>
      <xdr:colOff>104775</xdr:colOff>
      <xdr:row>1073</xdr:row>
      <xdr:rowOff>70454</xdr:rowOff>
    </xdr:from>
    <xdr:to>
      <xdr:col>37</xdr:col>
      <xdr:colOff>66675</xdr:colOff>
      <xdr:row>1073</xdr:row>
      <xdr:rowOff>70454</xdr:rowOff>
    </xdr:to>
    <xdr:cxnSp macro="">
      <xdr:nvCxnSpPr>
        <xdr:cNvPr id="1005" name="Straight Arrow Connector 1004">
          <a:extLst>
            <a:ext uri="{FF2B5EF4-FFF2-40B4-BE49-F238E27FC236}">
              <a16:creationId xmlns:a16="http://schemas.microsoft.com/office/drawing/2014/main" id="{571E097E-B3BC-1016-9B85-B10B9ADC29E7}"/>
            </a:ext>
          </a:extLst>
        </xdr:cNvPr>
        <xdr:cNvCxnSpPr/>
      </xdr:nvCxnSpPr>
      <xdr:spPr>
        <a:xfrm>
          <a:off x="4314825" y="142421579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1074</xdr:row>
      <xdr:rowOff>70873</xdr:rowOff>
    </xdr:from>
    <xdr:to>
      <xdr:col>28</xdr:col>
      <xdr:colOff>38100</xdr:colOff>
      <xdr:row>1074</xdr:row>
      <xdr:rowOff>70873</xdr:rowOff>
    </xdr:to>
    <xdr:cxnSp macro="">
      <xdr:nvCxnSpPr>
        <xdr:cNvPr id="1006" name="Straight Arrow Connector 1005">
          <a:extLst>
            <a:ext uri="{FF2B5EF4-FFF2-40B4-BE49-F238E27FC236}">
              <a16:creationId xmlns:a16="http://schemas.microsoft.com/office/drawing/2014/main" id="{3BFFE906-BA1F-7C38-1966-0557A3CE5530}"/>
            </a:ext>
          </a:extLst>
        </xdr:cNvPr>
        <xdr:cNvCxnSpPr/>
      </xdr:nvCxnSpPr>
      <xdr:spPr>
        <a:xfrm>
          <a:off x="3314700" y="142564873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104775</xdr:colOff>
      <xdr:row>1075</xdr:row>
      <xdr:rowOff>71291</xdr:rowOff>
    </xdr:from>
    <xdr:to>
      <xdr:col>28</xdr:col>
      <xdr:colOff>66675</xdr:colOff>
      <xdr:row>1075</xdr:row>
      <xdr:rowOff>71291</xdr:rowOff>
    </xdr:to>
    <xdr:cxnSp macro="">
      <xdr:nvCxnSpPr>
        <xdr:cNvPr id="1007" name="Straight Arrow Connector 1006">
          <a:extLst>
            <a:ext uri="{FF2B5EF4-FFF2-40B4-BE49-F238E27FC236}">
              <a16:creationId xmlns:a16="http://schemas.microsoft.com/office/drawing/2014/main" id="{49F0F2D1-E130-2CDF-F16C-E2D5C35BB17D}"/>
            </a:ext>
          </a:extLst>
        </xdr:cNvPr>
        <xdr:cNvCxnSpPr/>
      </xdr:nvCxnSpPr>
      <xdr:spPr>
        <a:xfrm>
          <a:off x="4314825" y="142708166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1076</xdr:row>
      <xdr:rowOff>71709</xdr:rowOff>
    </xdr:from>
    <xdr:to>
      <xdr:col>34</xdr:col>
      <xdr:colOff>66675</xdr:colOff>
      <xdr:row>1076</xdr:row>
      <xdr:rowOff>71709</xdr:rowOff>
    </xdr:to>
    <xdr:cxnSp macro="">
      <xdr:nvCxnSpPr>
        <xdr:cNvPr id="1008" name="Straight Arrow Connector 1007">
          <a:extLst>
            <a:ext uri="{FF2B5EF4-FFF2-40B4-BE49-F238E27FC236}">
              <a16:creationId xmlns:a16="http://schemas.microsoft.com/office/drawing/2014/main" id="{14ABD3AA-7E02-F11F-8B09-B6FAD8732F0A}"/>
            </a:ext>
          </a:extLst>
        </xdr:cNvPr>
        <xdr:cNvCxnSpPr/>
      </xdr:nvCxnSpPr>
      <xdr:spPr>
        <a:xfrm>
          <a:off x="5286375" y="142851459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85721</xdr:colOff>
      <xdr:row>931</xdr:row>
      <xdr:rowOff>95244</xdr:rowOff>
    </xdr:from>
    <xdr:to>
      <xdr:col>40</xdr:col>
      <xdr:colOff>61913</xdr:colOff>
      <xdr:row>966</xdr:row>
      <xdr:rowOff>47625</xdr:rowOff>
    </xdr:to>
    <xdr:grpSp>
      <xdr:nvGrpSpPr>
        <xdr:cNvPr id="2797" name="Group 2796">
          <a:extLst>
            <a:ext uri="{FF2B5EF4-FFF2-40B4-BE49-F238E27FC236}">
              <a16:creationId xmlns:a16="http://schemas.microsoft.com/office/drawing/2014/main" id="{7EADE857-EE3F-2164-E30A-E970B8422D23}"/>
            </a:ext>
          </a:extLst>
        </xdr:cNvPr>
        <xdr:cNvGrpSpPr/>
      </xdr:nvGrpSpPr>
      <xdr:grpSpPr>
        <a:xfrm>
          <a:off x="571496" y="133588119"/>
          <a:ext cx="5967417" cy="4953006"/>
          <a:chOff x="571496" y="122158119"/>
          <a:chExt cx="5967417" cy="4953006"/>
        </a:xfrm>
      </xdr:grpSpPr>
      <xdr:sp macro="" textlink="">
        <xdr:nvSpPr>
          <xdr:cNvPr id="831" name="Arc 830">
            <a:extLst>
              <a:ext uri="{FF2B5EF4-FFF2-40B4-BE49-F238E27FC236}">
                <a16:creationId xmlns:a16="http://schemas.microsoft.com/office/drawing/2014/main" id="{FF555297-3D8A-C999-2B8E-CC55F6F8C4CF}"/>
              </a:ext>
            </a:extLst>
          </xdr:cNvPr>
          <xdr:cNvSpPr/>
        </xdr:nvSpPr>
        <xdr:spPr>
          <a:xfrm>
            <a:off x="942976" y="122501025"/>
            <a:ext cx="4610100" cy="4610100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B6B1B4F9-1358-794A-0A17-317AD5B4779E}"/>
              </a:ext>
            </a:extLst>
          </xdr:cNvPr>
          <xdr:cNvCxnSpPr>
            <a:endCxn id="831" idx="2"/>
          </xdr:cNvCxnSpPr>
        </xdr:nvCxnSpPr>
        <xdr:spPr>
          <a:xfrm flipV="1">
            <a:off x="3257551" y="123446057"/>
            <a:ext cx="1851552" cy="135049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DED27E20-5D85-715A-3FC2-CF941F201F79}"/>
              </a:ext>
            </a:extLst>
          </xdr:cNvPr>
          <xdr:cNvCxnSpPr>
            <a:endCxn id="831" idx="0"/>
          </xdr:cNvCxnSpPr>
        </xdr:nvCxnSpPr>
        <xdr:spPr>
          <a:xfrm flipH="1" flipV="1">
            <a:off x="1380606" y="123454780"/>
            <a:ext cx="1862657" cy="134177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4DF6486F-2CC8-9228-F405-7FF959D37AD9}"/>
              </a:ext>
            </a:extLst>
          </xdr:cNvPr>
          <xdr:cNvSpPr/>
        </xdr:nvSpPr>
        <xdr:spPr>
          <a:xfrm>
            <a:off x="1190621" y="1236392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5" name="Isosceles Triangle 834">
            <a:extLst>
              <a:ext uri="{FF2B5EF4-FFF2-40B4-BE49-F238E27FC236}">
                <a16:creationId xmlns:a16="http://schemas.microsoft.com/office/drawing/2014/main" id="{CFC61F44-0183-C287-DF66-D4CED8B255FB}"/>
              </a:ext>
            </a:extLst>
          </xdr:cNvPr>
          <xdr:cNvSpPr/>
        </xdr:nvSpPr>
        <xdr:spPr>
          <a:xfrm>
            <a:off x="1275203" y="1235011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6" name="Straight Connector 835">
            <a:extLst>
              <a:ext uri="{FF2B5EF4-FFF2-40B4-BE49-F238E27FC236}">
                <a16:creationId xmlns:a16="http://schemas.microsoft.com/office/drawing/2014/main" id="{97374064-33EC-3771-5AC5-90E9F57D2C34}"/>
              </a:ext>
            </a:extLst>
          </xdr:cNvPr>
          <xdr:cNvCxnSpPr/>
        </xdr:nvCxnSpPr>
        <xdr:spPr>
          <a:xfrm>
            <a:off x="1181095" y="1236344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7" name="Oval 836">
            <a:extLst>
              <a:ext uri="{FF2B5EF4-FFF2-40B4-BE49-F238E27FC236}">
                <a16:creationId xmlns:a16="http://schemas.microsoft.com/office/drawing/2014/main" id="{D9965CF3-74D9-FE44-2E6C-6D8A990D997E}"/>
              </a:ext>
            </a:extLst>
          </xdr:cNvPr>
          <xdr:cNvSpPr/>
        </xdr:nvSpPr>
        <xdr:spPr>
          <a:xfrm>
            <a:off x="1309682" y="1234440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8" name="Straight Arrow Connector 837">
            <a:extLst>
              <a:ext uri="{FF2B5EF4-FFF2-40B4-BE49-F238E27FC236}">
                <a16:creationId xmlns:a16="http://schemas.microsoft.com/office/drawing/2014/main" id="{5825D0BC-56A8-B42D-5418-3341B5E4CE5B}"/>
              </a:ext>
            </a:extLst>
          </xdr:cNvPr>
          <xdr:cNvCxnSpPr/>
        </xdr:nvCxnSpPr>
        <xdr:spPr>
          <a:xfrm flipV="1">
            <a:off x="1343020" y="12377737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9" name="Straight Arrow Connector 838">
            <a:extLst>
              <a:ext uri="{FF2B5EF4-FFF2-40B4-BE49-F238E27FC236}">
                <a16:creationId xmlns:a16="http://schemas.microsoft.com/office/drawing/2014/main" id="{CAD0BDF0-628E-CF01-E2E7-47D34122DC3B}"/>
              </a:ext>
            </a:extLst>
          </xdr:cNvPr>
          <xdr:cNvCxnSpPr/>
        </xdr:nvCxnSpPr>
        <xdr:spPr>
          <a:xfrm>
            <a:off x="952497" y="12349162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EC00D625-08CE-E2FD-B988-67C678152531}"/>
              </a:ext>
            </a:extLst>
          </xdr:cNvPr>
          <xdr:cNvSpPr/>
        </xdr:nvSpPr>
        <xdr:spPr>
          <a:xfrm>
            <a:off x="4948247" y="123634512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1" name="Isosceles Triangle 840">
            <a:extLst>
              <a:ext uri="{FF2B5EF4-FFF2-40B4-BE49-F238E27FC236}">
                <a16:creationId xmlns:a16="http://schemas.microsoft.com/office/drawing/2014/main" id="{D81C7F87-DCC1-60AB-F6C6-FFB4488C0151}"/>
              </a:ext>
            </a:extLst>
          </xdr:cNvPr>
          <xdr:cNvSpPr/>
        </xdr:nvSpPr>
        <xdr:spPr>
          <a:xfrm>
            <a:off x="5032829" y="123496402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42" name="Straight Connector 841">
            <a:extLst>
              <a:ext uri="{FF2B5EF4-FFF2-40B4-BE49-F238E27FC236}">
                <a16:creationId xmlns:a16="http://schemas.microsoft.com/office/drawing/2014/main" id="{67393A9F-5E93-70A7-4631-CE0BDB148CBC}"/>
              </a:ext>
            </a:extLst>
          </xdr:cNvPr>
          <xdr:cNvCxnSpPr/>
        </xdr:nvCxnSpPr>
        <xdr:spPr>
          <a:xfrm>
            <a:off x="4938721" y="123629748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43" name="Oval 842">
            <a:extLst>
              <a:ext uri="{FF2B5EF4-FFF2-40B4-BE49-F238E27FC236}">
                <a16:creationId xmlns:a16="http://schemas.microsoft.com/office/drawing/2014/main" id="{DA7FB735-6431-37CB-E420-3D181AD8B370}"/>
              </a:ext>
            </a:extLst>
          </xdr:cNvPr>
          <xdr:cNvSpPr/>
        </xdr:nvSpPr>
        <xdr:spPr>
          <a:xfrm>
            <a:off x="5067308" y="123439249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44" name="Straight Arrow Connector 843">
            <a:extLst>
              <a:ext uri="{FF2B5EF4-FFF2-40B4-BE49-F238E27FC236}">
                <a16:creationId xmlns:a16="http://schemas.microsoft.com/office/drawing/2014/main" id="{55B6CCEC-C37A-343E-869C-EFDF55F83E64}"/>
              </a:ext>
            </a:extLst>
          </xdr:cNvPr>
          <xdr:cNvCxnSpPr/>
        </xdr:nvCxnSpPr>
        <xdr:spPr>
          <a:xfrm flipV="1">
            <a:off x="5100646" y="12377262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Arrow Connector 844">
            <a:extLst>
              <a:ext uri="{FF2B5EF4-FFF2-40B4-BE49-F238E27FC236}">
                <a16:creationId xmlns:a16="http://schemas.microsoft.com/office/drawing/2014/main" id="{CA407812-C9D0-C81D-35E7-4C42C4021F57}"/>
              </a:ext>
            </a:extLst>
          </xdr:cNvPr>
          <xdr:cNvCxnSpPr/>
        </xdr:nvCxnSpPr>
        <xdr:spPr>
          <a:xfrm flipH="1">
            <a:off x="5214945" y="123491636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46" name="Oval 845">
            <a:extLst>
              <a:ext uri="{FF2B5EF4-FFF2-40B4-BE49-F238E27FC236}">
                <a16:creationId xmlns:a16="http://schemas.microsoft.com/office/drawing/2014/main" id="{2BC9BBC6-7AF1-3757-122F-C6ADBDDA7FA5}"/>
              </a:ext>
            </a:extLst>
          </xdr:cNvPr>
          <xdr:cNvSpPr/>
        </xdr:nvSpPr>
        <xdr:spPr>
          <a:xfrm>
            <a:off x="3195638" y="1224581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E43F98C8-6C11-68AD-BBB6-4CE08E4E559E}"/>
              </a:ext>
            </a:extLst>
          </xdr:cNvPr>
          <xdr:cNvCxnSpPr/>
        </xdr:nvCxnSpPr>
        <xdr:spPr>
          <a:xfrm>
            <a:off x="1390647" y="122348625"/>
            <a:ext cx="18573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Arrow Connector 847">
            <a:extLst>
              <a:ext uri="{FF2B5EF4-FFF2-40B4-BE49-F238E27FC236}">
                <a16:creationId xmlns:a16="http://schemas.microsoft.com/office/drawing/2014/main" id="{30D9DBD4-0653-7DE0-AB96-F794DF7B3F2B}"/>
              </a:ext>
            </a:extLst>
          </xdr:cNvPr>
          <xdr:cNvCxnSpPr/>
        </xdr:nvCxnSpPr>
        <xdr:spPr>
          <a:xfrm>
            <a:off x="1390643" y="1221581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Arrow Connector 848">
            <a:extLst>
              <a:ext uri="{FF2B5EF4-FFF2-40B4-BE49-F238E27FC236}">
                <a16:creationId xmlns:a16="http://schemas.microsoft.com/office/drawing/2014/main" id="{FEF4B5E7-3E20-1213-5B49-FB17128CE84B}"/>
              </a:ext>
            </a:extLst>
          </xdr:cNvPr>
          <xdr:cNvCxnSpPr/>
        </xdr:nvCxnSpPr>
        <xdr:spPr>
          <a:xfrm>
            <a:off x="1619242" y="1221581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Arrow Connector 849">
            <a:extLst>
              <a:ext uri="{FF2B5EF4-FFF2-40B4-BE49-F238E27FC236}">
                <a16:creationId xmlns:a16="http://schemas.microsoft.com/office/drawing/2014/main" id="{D4CF7AC3-3E73-3611-5F69-352B559B62AE}"/>
              </a:ext>
            </a:extLst>
          </xdr:cNvPr>
          <xdr:cNvCxnSpPr/>
        </xdr:nvCxnSpPr>
        <xdr:spPr>
          <a:xfrm>
            <a:off x="1781168" y="1221581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Arrow Connector 850">
            <a:extLst>
              <a:ext uri="{FF2B5EF4-FFF2-40B4-BE49-F238E27FC236}">
                <a16:creationId xmlns:a16="http://schemas.microsoft.com/office/drawing/2014/main" id="{C0488D8E-2F02-6999-3A5C-54E018730296}"/>
              </a:ext>
            </a:extLst>
          </xdr:cNvPr>
          <xdr:cNvCxnSpPr/>
        </xdr:nvCxnSpPr>
        <xdr:spPr>
          <a:xfrm>
            <a:off x="1943087" y="1221581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Arrow Connector 851">
            <a:extLst>
              <a:ext uri="{FF2B5EF4-FFF2-40B4-BE49-F238E27FC236}">
                <a16:creationId xmlns:a16="http://schemas.microsoft.com/office/drawing/2014/main" id="{5A58764B-D3DD-E5B7-5573-E41C366413D5}"/>
              </a:ext>
            </a:extLst>
          </xdr:cNvPr>
          <xdr:cNvCxnSpPr/>
        </xdr:nvCxnSpPr>
        <xdr:spPr>
          <a:xfrm>
            <a:off x="2105018" y="1221581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Arrow Connector 852">
            <a:extLst>
              <a:ext uri="{FF2B5EF4-FFF2-40B4-BE49-F238E27FC236}">
                <a16:creationId xmlns:a16="http://schemas.microsoft.com/office/drawing/2014/main" id="{93F283D7-7509-E862-41A7-AD9D8F465D18}"/>
              </a:ext>
            </a:extLst>
          </xdr:cNvPr>
          <xdr:cNvCxnSpPr/>
        </xdr:nvCxnSpPr>
        <xdr:spPr>
          <a:xfrm>
            <a:off x="2266944" y="1221581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Arrow Connector 853">
            <a:extLst>
              <a:ext uri="{FF2B5EF4-FFF2-40B4-BE49-F238E27FC236}">
                <a16:creationId xmlns:a16="http://schemas.microsoft.com/office/drawing/2014/main" id="{C4F7A878-9F37-FFD9-1576-7DE60794C9AE}"/>
              </a:ext>
            </a:extLst>
          </xdr:cNvPr>
          <xdr:cNvCxnSpPr/>
        </xdr:nvCxnSpPr>
        <xdr:spPr>
          <a:xfrm>
            <a:off x="2428863" y="1221581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Arrow Connector 854">
            <a:extLst>
              <a:ext uri="{FF2B5EF4-FFF2-40B4-BE49-F238E27FC236}">
                <a16:creationId xmlns:a16="http://schemas.microsoft.com/office/drawing/2014/main" id="{B0D4E5A8-D988-F88E-21C8-985C3C7B4D17}"/>
              </a:ext>
            </a:extLst>
          </xdr:cNvPr>
          <xdr:cNvCxnSpPr/>
        </xdr:nvCxnSpPr>
        <xdr:spPr>
          <a:xfrm>
            <a:off x="2590800" y="1221581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Arrow Connector 855">
            <a:extLst>
              <a:ext uri="{FF2B5EF4-FFF2-40B4-BE49-F238E27FC236}">
                <a16:creationId xmlns:a16="http://schemas.microsoft.com/office/drawing/2014/main" id="{59D542A8-176D-38B4-B9A0-5054221A2B50}"/>
              </a:ext>
            </a:extLst>
          </xdr:cNvPr>
          <xdr:cNvCxnSpPr/>
        </xdr:nvCxnSpPr>
        <xdr:spPr>
          <a:xfrm>
            <a:off x="2752726" y="1221581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Arrow Connector 856">
            <a:extLst>
              <a:ext uri="{FF2B5EF4-FFF2-40B4-BE49-F238E27FC236}">
                <a16:creationId xmlns:a16="http://schemas.microsoft.com/office/drawing/2014/main" id="{6D1BD88A-1D49-21A1-4444-683C097AA7E3}"/>
              </a:ext>
            </a:extLst>
          </xdr:cNvPr>
          <xdr:cNvCxnSpPr/>
        </xdr:nvCxnSpPr>
        <xdr:spPr>
          <a:xfrm>
            <a:off x="2914645" y="1221581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Arrow Connector 857">
            <a:extLst>
              <a:ext uri="{FF2B5EF4-FFF2-40B4-BE49-F238E27FC236}">
                <a16:creationId xmlns:a16="http://schemas.microsoft.com/office/drawing/2014/main" id="{1AA5FB2D-D4E1-67C0-A585-8CBFD5474501}"/>
              </a:ext>
            </a:extLst>
          </xdr:cNvPr>
          <xdr:cNvCxnSpPr/>
        </xdr:nvCxnSpPr>
        <xdr:spPr>
          <a:xfrm>
            <a:off x="3076576" y="12215812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Arrow Connector 858">
            <a:extLst>
              <a:ext uri="{FF2B5EF4-FFF2-40B4-BE49-F238E27FC236}">
                <a16:creationId xmlns:a16="http://schemas.microsoft.com/office/drawing/2014/main" id="{FA97463C-8541-4857-81D8-43FA5CE632D1}"/>
              </a:ext>
            </a:extLst>
          </xdr:cNvPr>
          <xdr:cNvCxnSpPr/>
        </xdr:nvCxnSpPr>
        <xdr:spPr>
          <a:xfrm>
            <a:off x="3238502" y="12215812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Connector 859">
            <a:extLst>
              <a:ext uri="{FF2B5EF4-FFF2-40B4-BE49-F238E27FC236}">
                <a16:creationId xmlns:a16="http://schemas.microsoft.com/office/drawing/2014/main" id="{6F7F8A7A-82C4-79BC-1EEB-A31F0FFE739D}"/>
              </a:ext>
            </a:extLst>
          </xdr:cNvPr>
          <xdr:cNvCxnSpPr/>
        </xdr:nvCxnSpPr>
        <xdr:spPr>
          <a:xfrm>
            <a:off x="1390645" y="122158119"/>
            <a:ext cx="18573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Connector 860">
            <a:extLst>
              <a:ext uri="{FF2B5EF4-FFF2-40B4-BE49-F238E27FC236}">
                <a16:creationId xmlns:a16="http://schemas.microsoft.com/office/drawing/2014/main" id="{36A1C256-1691-9327-BC18-6111E0067B58}"/>
              </a:ext>
            </a:extLst>
          </xdr:cNvPr>
          <xdr:cNvCxnSpPr/>
        </xdr:nvCxnSpPr>
        <xdr:spPr>
          <a:xfrm flipH="1" flipV="1">
            <a:off x="2133600" y="122777250"/>
            <a:ext cx="1109663" cy="203358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Connector 861">
            <a:extLst>
              <a:ext uri="{FF2B5EF4-FFF2-40B4-BE49-F238E27FC236}">
                <a16:creationId xmlns:a16="http://schemas.microsoft.com/office/drawing/2014/main" id="{3AFF5510-1CAF-6715-DBFC-401973F4274A}"/>
              </a:ext>
            </a:extLst>
          </xdr:cNvPr>
          <xdr:cNvCxnSpPr/>
        </xdr:nvCxnSpPr>
        <xdr:spPr>
          <a:xfrm flipV="1">
            <a:off x="3243263" y="122782013"/>
            <a:ext cx="1090612" cy="201453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Connector 862">
            <a:extLst>
              <a:ext uri="{FF2B5EF4-FFF2-40B4-BE49-F238E27FC236}">
                <a16:creationId xmlns:a16="http://schemas.microsoft.com/office/drawing/2014/main" id="{9A344D3A-A54C-B4ED-EABF-BC681096DD68}"/>
              </a:ext>
            </a:extLst>
          </xdr:cNvPr>
          <xdr:cNvCxnSpPr/>
        </xdr:nvCxnSpPr>
        <xdr:spPr>
          <a:xfrm>
            <a:off x="3524250" y="122491500"/>
            <a:ext cx="3014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Connector 863">
            <a:extLst>
              <a:ext uri="{FF2B5EF4-FFF2-40B4-BE49-F238E27FC236}">
                <a16:creationId xmlns:a16="http://schemas.microsoft.com/office/drawing/2014/main" id="{F325980F-71AD-D04A-7DFD-B5A6B523D6AD}"/>
              </a:ext>
            </a:extLst>
          </xdr:cNvPr>
          <xdr:cNvCxnSpPr/>
        </xdr:nvCxnSpPr>
        <xdr:spPr>
          <a:xfrm>
            <a:off x="5686425" y="123491625"/>
            <a:ext cx="847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Connector 864">
            <a:extLst>
              <a:ext uri="{FF2B5EF4-FFF2-40B4-BE49-F238E27FC236}">
                <a16:creationId xmlns:a16="http://schemas.microsoft.com/office/drawing/2014/main" id="{A7579F70-E6DF-8643-7A0F-0782BC75577E}"/>
              </a:ext>
            </a:extLst>
          </xdr:cNvPr>
          <xdr:cNvCxnSpPr/>
        </xdr:nvCxnSpPr>
        <xdr:spPr>
          <a:xfrm>
            <a:off x="6153143" y="122420065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Connector 865">
            <a:extLst>
              <a:ext uri="{FF2B5EF4-FFF2-40B4-BE49-F238E27FC236}">
                <a16:creationId xmlns:a16="http://schemas.microsoft.com/office/drawing/2014/main" id="{E62F24BE-A641-7F9A-1EE8-01629C0D7849}"/>
              </a:ext>
            </a:extLst>
          </xdr:cNvPr>
          <xdr:cNvCxnSpPr/>
        </xdr:nvCxnSpPr>
        <xdr:spPr>
          <a:xfrm>
            <a:off x="4429125" y="122777251"/>
            <a:ext cx="1785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Connector 866">
            <a:extLst>
              <a:ext uri="{FF2B5EF4-FFF2-40B4-BE49-F238E27FC236}">
                <a16:creationId xmlns:a16="http://schemas.microsoft.com/office/drawing/2014/main" id="{7C9804B8-AAF3-7732-FD37-147D37A45C41}"/>
              </a:ext>
            </a:extLst>
          </xdr:cNvPr>
          <xdr:cNvCxnSpPr/>
        </xdr:nvCxnSpPr>
        <xdr:spPr>
          <a:xfrm flipH="1">
            <a:off x="4305299" y="122724866"/>
            <a:ext cx="61913" cy="11498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Connector 867">
            <a:extLst>
              <a:ext uri="{FF2B5EF4-FFF2-40B4-BE49-F238E27FC236}">
                <a16:creationId xmlns:a16="http://schemas.microsoft.com/office/drawing/2014/main" id="{28F54332-1760-2C81-A82E-1090442DAE1F}"/>
              </a:ext>
            </a:extLst>
          </xdr:cNvPr>
          <xdr:cNvCxnSpPr/>
        </xdr:nvCxnSpPr>
        <xdr:spPr>
          <a:xfrm flipH="1" flipV="1">
            <a:off x="2114553" y="122735068"/>
            <a:ext cx="50001" cy="8980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Connector 868">
            <a:extLst>
              <a:ext uri="{FF2B5EF4-FFF2-40B4-BE49-F238E27FC236}">
                <a16:creationId xmlns:a16="http://schemas.microsoft.com/office/drawing/2014/main" id="{05CE724B-E806-DF18-986B-A94452EFB2CF}"/>
              </a:ext>
            </a:extLst>
          </xdr:cNvPr>
          <xdr:cNvCxnSpPr/>
        </xdr:nvCxnSpPr>
        <xdr:spPr>
          <a:xfrm flipH="1">
            <a:off x="6115050" y="12245816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Connector 869">
            <a:extLst>
              <a:ext uri="{FF2B5EF4-FFF2-40B4-BE49-F238E27FC236}">
                <a16:creationId xmlns:a16="http://schemas.microsoft.com/office/drawing/2014/main" id="{B77EEE65-A8B7-9CD6-3EF7-05F77B626BCD}"/>
              </a:ext>
            </a:extLst>
          </xdr:cNvPr>
          <xdr:cNvCxnSpPr/>
        </xdr:nvCxnSpPr>
        <xdr:spPr>
          <a:xfrm flipH="1">
            <a:off x="6115046" y="12274391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Connector 870">
            <a:extLst>
              <a:ext uri="{FF2B5EF4-FFF2-40B4-BE49-F238E27FC236}">
                <a16:creationId xmlns:a16="http://schemas.microsoft.com/office/drawing/2014/main" id="{BE7E612D-C817-8FEE-37E7-A38B6E7596D8}"/>
              </a:ext>
            </a:extLst>
          </xdr:cNvPr>
          <xdr:cNvCxnSpPr/>
        </xdr:nvCxnSpPr>
        <xdr:spPr>
          <a:xfrm flipH="1">
            <a:off x="6115036" y="12345829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Connector 871">
            <a:extLst>
              <a:ext uri="{FF2B5EF4-FFF2-40B4-BE49-F238E27FC236}">
                <a16:creationId xmlns:a16="http://schemas.microsoft.com/office/drawing/2014/main" id="{BEAC259E-8EE1-C03A-449C-A567421EE1D0}"/>
              </a:ext>
            </a:extLst>
          </xdr:cNvPr>
          <xdr:cNvCxnSpPr/>
        </xdr:nvCxnSpPr>
        <xdr:spPr>
          <a:xfrm>
            <a:off x="6477000" y="122420064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Connector 872">
            <a:extLst>
              <a:ext uri="{FF2B5EF4-FFF2-40B4-BE49-F238E27FC236}">
                <a16:creationId xmlns:a16="http://schemas.microsoft.com/office/drawing/2014/main" id="{FABC9AC1-8645-8A8E-E682-89295B22EDC0}"/>
              </a:ext>
            </a:extLst>
          </xdr:cNvPr>
          <xdr:cNvCxnSpPr/>
        </xdr:nvCxnSpPr>
        <xdr:spPr>
          <a:xfrm flipH="1">
            <a:off x="6438900" y="122458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Connector 873">
            <a:extLst>
              <a:ext uri="{FF2B5EF4-FFF2-40B4-BE49-F238E27FC236}">
                <a16:creationId xmlns:a16="http://schemas.microsoft.com/office/drawing/2014/main" id="{CB4DC274-CFD6-3B3E-F090-5AAAB6C3E204}"/>
              </a:ext>
            </a:extLst>
          </xdr:cNvPr>
          <xdr:cNvCxnSpPr/>
        </xdr:nvCxnSpPr>
        <xdr:spPr>
          <a:xfrm flipH="1">
            <a:off x="6438898" y="12345829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Connector 874">
            <a:extLst>
              <a:ext uri="{FF2B5EF4-FFF2-40B4-BE49-F238E27FC236}">
                <a16:creationId xmlns:a16="http://schemas.microsoft.com/office/drawing/2014/main" id="{B6C08709-205D-26DE-5665-6ECFA8EEF896}"/>
              </a:ext>
            </a:extLst>
          </xdr:cNvPr>
          <xdr:cNvCxnSpPr/>
        </xdr:nvCxnSpPr>
        <xdr:spPr>
          <a:xfrm>
            <a:off x="571500" y="122491500"/>
            <a:ext cx="2319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175FA0AD-3719-B92C-1304-AC08458FB56D}"/>
              </a:ext>
            </a:extLst>
          </xdr:cNvPr>
          <xdr:cNvCxnSpPr/>
        </xdr:nvCxnSpPr>
        <xdr:spPr>
          <a:xfrm>
            <a:off x="647705" y="122424825"/>
            <a:ext cx="0" cy="1133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8BB4C296-DB4C-FBEB-A77A-1DF615F48991}"/>
              </a:ext>
            </a:extLst>
          </xdr:cNvPr>
          <xdr:cNvCxnSpPr/>
        </xdr:nvCxnSpPr>
        <xdr:spPr>
          <a:xfrm flipH="1">
            <a:off x="609604" y="12245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Connector 877">
            <a:extLst>
              <a:ext uri="{FF2B5EF4-FFF2-40B4-BE49-F238E27FC236}">
                <a16:creationId xmlns:a16="http://schemas.microsoft.com/office/drawing/2014/main" id="{55408266-29CC-7F65-FB4A-DCBA75B3B7D0}"/>
              </a:ext>
            </a:extLst>
          </xdr:cNvPr>
          <xdr:cNvCxnSpPr/>
        </xdr:nvCxnSpPr>
        <xdr:spPr>
          <a:xfrm>
            <a:off x="571496" y="122777250"/>
            <a:ext cx="148590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Connector 878">
            <a:extLst>
              <a:ext uri="{FF2B5EF4-FFF2-40B4-BE49-F238E27FC236}">
                <a16:creationId xmlns:a16="http://schemas.microsoft.com/office/drawing/2014/main" id="{8490D8B6-D916-4A4B-2AD8-E143396982BA}"/>
              </a:ext>
            </a:extLst>
          </xdr:cNvPr>
          <xdr:cNvCxnSpPr/>
        </xdr:nvCxnSpPr>
        <xdr:spPr>
          <a:xfrm flipH="1">
            <a:off x="609600" y="12274391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41243CFD-40F8-8D09-DE85-4ABDD618E718}"/>
              </a:ext>
            </a:extLst>
          </xdr:cNvPr>
          <xdr:cNvCxnSpPr/>
        </xdr:nvCxnSpPr>
        <xdr:spPr>
          <a:xfrm>
            <a:off x="571496" y="123491625"/>
            <a:ext cx="300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49890F5B-173B-43F4-A21B-7D2378840D91}"/>
              </a:ext>
            </a:extLst>
          </xdr:cNvPr>
          <xdr:cNvCxnSpPr/>
        </xdr:nvCxnSpPr>
        <xdr:spPr>
          <a:xfrm flipH="1">
            <a:off x="609600" y="1234582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Arrow Connector 881">
            <a:extLst>
              <a:ext uri="{FF2B5EF4-FFF2-40B4-BE49-F238E27FC236}">
                <a16:creationId xmlns:a16="http://schemas.microsoft.com/office/drawing/2014/main" id="{92CE9967-4D56-9370-D4E1-1E242D66D660}"/>
              </a:ext>
            </a:extLst>
          </xdr:cNvPr>
          <xdr:cNvCxnSpPr/>
        </xdr:nvCxnSpPr>
        <xdr:spPr>
          <a:xfrm flipV="1">
            <a:off x="3248025" y="122562938"/>
            <a:ext cx="495300" cy="221932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B552BF04-49D5-9465-01CF-F441BCC7853D}"/>
              </a:ext>
            </a:extLst>
          </xdr:cNvPr>
          <xdr:cNvCxnSpPr/>
        </xdr:nvCxnSpPr>
        <xdr:spPr>
          <a:xfrm>
            <a:off x="2566988" y="124810838"/>
            <a:ext cx="1233487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4" name="Arc 883">
            <a:extLst>
              <a:ext uri="{FF2B5EF4-FFF2-40B4-BE49-F238E27FC236}">
                <a16:creationId xmlns:a16="http://schemas.microsoft.com/office/drawing/2014/main" id="{37F95560-0587-4910-6369-F29983E71851}"/>
              </a:ext>
            </a:extLst>
          </xdr:cNvPr>
          <xdr:cNvSpPr/>
        </xdr:nvSpPr>
        <xdr:spPr>
          <a:xfrm rot="14662438">
            <a:off x="2940437" y="124474679"/>
            <a:ext cx="462776" cy="46277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5" name="Arc 884">
            <a:extLst>
              <a:ext uri="{FF2B5EF4-FFF2-40B4-BE49-F238E27FC236}">
                <a16:creationId xmlns:a16="http://schemas.microsoft.com/office/drawing/2014/main" id="{FA29E3C1-142F-0985-D38E-FF7BA9F1088D}"/>
              </a:ext>
            </a:extLst>
          </xdr:cNvPr>
          <xdr:cNvSpPr/>
        </xdr:nvSpPr>
        <xdr:spPr>
          <a:xfrm rot="1806329">
            <a:off x="3065379" y="124475790"/>
            <a:ext cx="460540" cy="46054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86" name="Straight Connector 885">
            <a:extLst>
              <a:ext uri="{FF2B5EF4-FFF2-40B4-BE49-F238E27FC236}">
                <a16:creationId xmlns:a16="http://schemas.microsoft.com/office/drawing/2014/main" id="{2E9E7507-C7DF-65AC-6331-AC741E6FB3C6}"/>
              </a:ext>
            </a:extLst>
          </xdr:cNvPr>
          <xdr:cNvCxnSpPr/>
        </xdr:nvCxnSpPr>
        <xdr:spPr>
          <a:xfrm>
            <a:off x="1338263" y="12424410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7" name="Straight Connector 886">
            <a:extLst>
              <a:ext uri="{FF2B5EF4-FFF2-40B4-BE49-F238E27FC236}">
                <a16:creationId xmlns:a16="http://schemas.microsoft.com/office/drawing/2014/main" id="{2E16F397-28BF-69DA-3C36-D051BF897465}"/>
              </a:ext>
            </a:extLst>
          </xdr:cNvPr>
          <xdr:cNvCxnSpPr/>
        </xdr:nvCxnSpPr>
        <xdr:spPr>
          <a:xfrm>
            <a:off x="1262062" y="125063251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8" name="Straight Connector 887">
            <a:extLst>
              <a:ext uri="{FF2B5EF4-FFF2-40B4-BE49-F238E27FC236}">
                <a16:creationId xmlns:a16="http://schemas.microsoft.com/office/drawing/2014/main" id="{ED31231C-58DB-B203-C018-E8F0254186A6}"/>
              </a:ext>
            </a:extLst>
          </xdr:cNvPr>
          <xdr:cNvCxnSpPr/>
        </xdr:nvCxnSpPr>
        <xdr:spPr>
          <a:xfrm flipH="1">
            <a:off x="1300163" y="1250299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Straight Connector 888">
            <a:extLst>
              <a:ext uri="{FF2B5EF4-FFF2-40B4-BE49-F238E27FC236}">
                <a16:creationId xmlns:a16="http://schemas.microsoft.com/office/drawing/2014/main" id="{DDD1D044-1BED-D8D9-F98F-B9557E2E7D46}"/>
              </a:ext>
            </a:extLst>
          </xdr:cNvPr>
          <xdr:cNvCxnSpPr/>
        </xdr:nvCxnSpPr>
        <xdr:spPr>
          <a:xfrm>
            <a:off x="1262061" y="125349002"/>
            <a:ext cx="389572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0" name="Straight Connector 889">
            <a:extLst>
              <a:ext uri="{FF2B5EF4-FFF2-40B4-BE49-F238E27FC236}">
                <a16:creationId xmlns:a16="http://schemas.microsoft.com/office/drawing/2014/main" id="{BFD2C29E-9844-6A37-4F68-78E91C40EBAC}"/>
              </a:ext>
            </a:extLst>
          </xdr:cNvPr>
          <xdr:cNvCxnSpPr/>
        </xdr:nvCxnSpPr>
        <xdr:spPr>
          <a:xfrm flipH="1">
            <a:off x="1309687" y="125315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Connector 890">
            <a:extLst>
              <a:ext uri="{FF2B5EF4-FFF2-40B4-BE49-F238E27FC236}">
                <a16:creationId xmlns:a16="http://schemas.microsoft.com/office/drawing/2014/main" id="{0CC5CC7F-FE70-91D8-9F2C-3AB628BD1CD9}"/>
              </a:ext>
            </a:extLst>
          </xdr:cNvPr>
          <xdr:cNvCxnSpPr/>
        </xdr:nvCxnSpPr>
        <xdr:spPr>
          <a:xfrm>
            <a:off x="5100637" y="12424411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9CADE258-3F67-01E8-F966-73B309F0FDA3}"/>
              </a:ext>
            </a:extLst>
          </xdr:cNvPr>
          <xdr:cNvCxnSpPr/>
        </xdr:nvCxnSpPr>
        <xdr:spPr>
          <a:xfrm flipH="1">
            <a:off x="5062537" y="12502992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Connector 892">
            <a:extLst>
              <a:ext uri="{FF2B5EF4-FFF2-40B4-BE49-F238E27FC236}">
                <a16:creationId xmlns:a16="http://schemas.microsoft.com/office/drawing/2014/main" id="{BEC7944F-17F5-A6EE-3A57-F5F0EFF27F14}"/>
              </a:ext>
            </a:extLst>
          </xdr:cNvPr>
          <xdr:cNvCxnSpPr/>
        </xdr:nvCxnSpPr>
        <xdr:spPr>
          <a:xfrm flipH="1">
            <a:off x="5062536" y="1253156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Connector 893">
            <a:extLst>
              <a:ext uri="{FF2B5EF4-FFF2-40B4-BE49-F238E27FC236}">
                <a16:creationId xmlns:a16="http://schemas.microsoft.com/office/drawing/2014/main" id="{43AA2C5D-2F39-9ECE-D118-556F28484AD9}"/>
              </a:ext>
            </a:extLst>
          </xdr:cNvPr>
          <xdr:cNvCxnSpPr/>
        </xdr:nvCxnSpPr>
        <xdr:spPr>
          <a:xfrm>
            <a:off x="2138364" y="122843925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Connector 894">
            <a:extLst>
              <a:ext uri="{FF2B5EF4-FFF2-40B4-BE49-F238E27FC236}">
                <a16:creationId xmlns:a16="http://schemas.microsoft.com/office/drawing/2014/main" id="{E753DCCE-F4F3-870F-6345-833E0C19ED1C}"/>
              </a:ext>
            </a:extLst>
          </xdr:cNvPr>
          <xdr:cNvCxnSpPr/>
        </xdr:nvCxnSpPr>
        <xdr:spPr>
          <a:xfrm flipH="1">
            <a:off x="2100263" y="1250299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Connector 895">
            <a:extLst>
              <a:ext uri="{FF2B5EF4-FFF2-40B4-BE49-F238E27FC236}">
                <a16:creationId xmlns:a16="http://schemas.microsoft.com/office/drawing/2014/main" id="{5D13003E-5F71-3255-CE41-580D2B7B04F0}"/>
              </a:ext>
            </a:extLst>
          </xdr:cNvPr>
          <xdr:cNvCxnSpPr/>
        </xdr:nvCxnSpPr>
        <xdr:spPr>
          <a:xfrm>
            <a:off x="4338640" y="122843929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9AAD482C-BB9F-206E-2A08-979A8CEFEC1C}"/>
              </a:ext>
            </a:extLst>
          </xdr:cNvPr>
          <xdr:cNvCxnSpPr/>
        </xdr:nvCxnSpPr>
        <xdr:spPr>
          <a:xfrm flipH="1">
            <a:off x="4300539" y="12502992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D85B3331-B6D4-1E4A-C7ED-9E4B6B68C6CD}"/>
              </a:ext>
            </a:extLst>
          </xdr:cNvPr>
          <xdr:cNvCxnSpPr/>
        </xdr:nvCxnSpPr>
        <xdr:spPr>
          <a:xfrm>
            <a:off x="3238499" y="124882275"/>
            <a:ext cx="0" cy="2619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791168B0-E8E1-6245-02C6-CBBF4C265DD0}"/>
              </a:ext>
            </a:extLst>
          </xdr:cNvPr>
          <xdr:cNvCxnSpPr/>
        </xdr:nvCxnSpPr>
        <xdr:spPr>
          <a:xfrm flipH="1">
            <a:off x="3200400" y="1250299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Arrow Connector 899">
            <a:extLst>
              <a:ext uri="{FF2B5EF4-FFF2-40B4-BE49-F238E27FC236}">
                <a16:creationId xmlns:a16="http://schemas.microsoft.com/office/drawing/2014/main" id="{0CBF049C-5F60-8DFF-F4F5-61C6CD82930E}"/>
              </a:ext>
            </a:extLst>
          </xdr:cNvPr>
          <xdr:cNvCxnSpPr/>
        </xdr:nvCxnSpPr>
        <xdr:spPr>
          <a:xfrm>
            <a:off x="4314825" y="12570142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Arrow Connector 900">
            <a:extLst>
              <a:ext uri="{FF2B5EF4-FFF2-40B4-BE49-F238E27FC236}">
                <a16:creationId xmlns:a16="http://schemas.microsoft.com/office/drawing/2014/main" id="{5DD39EB5-DA19-1C1C-D6FC-373D0389B5CD}"/>
              </a:ext>
            </a:extLst>
          </xdr:cNvPr>
          <xdr:cNvCxnSpPr/>
        </xdr:nvCxnSpPr>
        <xdr:spPr>
          <a:xfrm>
            <a:off x="3314700" y="12584430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Arrow Connector 901">
            <a:extLst>
              <a:ext uri="{FF2B5EF4-FFF2-40B4-BE49-F238E27FC236}">
                <a16:creationId xmlns:a16="http://schemas.microsoft.com/office/drawing/2014/main" id="{5EB3C48C-4CE0-9D0D-5BC3-A3C9FC89372D}"/>
              </a:ext>
            </a:extLst>
          </xdr:cNvPr>
          <xdr:cNvCxnSpPr/>
        </xdr:nvCxnSpPr>
        <xdr:spPr>
          <a:xfrm>
            <a:off x="4314825" y="125987175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Arrow Connector 902">
            <a:extLst>
              <a:ext uri="{FF2B5EF4-FFF2-40B4-BE49-F238E27FC236}">
                <a16:creationId xmlns:a16="http://schemas.microsoft.com/office/drawing/2014/main" id="{41AE6C2C-2931-F7D7-3CE8-D9B2869D22DB}"/>
              </a:ext>
            </a:extLst>
          </xdr:cNvPr>
          <xdr:cNvCxnSpPr/>
        </xdr:nvCxnSpPr>
        <xdr:spPr>
          <a:xfrm>
            <a:off x="3829050" y="12613005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Arrow Connector 903">
            <a:extLst>
              <a:ext uri="{FF2B5EF4-FFF2-40B4-BE49-F238E27FC236}">
                <a16:creationId xmlns:a16="http://schemas.microsoft.com/office/drawing/2014/main" id="{B469C673-6AFB-6516-D745-A8165F824F51}"/>
              </a:ext>
            </a:extLst>
          </xdr:cNvPr>
          <xdr:cNvCxnSpPr/>
        </xdr:nvCxnSpPr>
        <xdr:spPr>
          <a:xfrm>
            <a:off x="4343400" y="122505788"/>
            <a:ext cx="0" cy="261937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4" name="Straight Arrow Connector 1013">
            <a:extLst>
              <a:ext uri="{FF2B5EF4-FFF2-40B4-BE49-F238E27FC236}">
                <a16:creationId xmlns:a16="http://schemas.microsoft.com/office/drawing/2014/main" id="{31D13570-602C-4711-A0BA-49113435B463}"/>
              </a:ext>
            </a:extLst>
          </xdr:cNvPr>
          <xdr:cNvCxnSpPr/>
        </xdr:nvCxnSpPr>
        <xdr:spPr>
          <a:xfrm flipV="1">
            <a:off x="1343025" y="123053475"/>
            <a:ext cx="0" cy="425465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Straight Arrow Connector 1014">
            <a:extLst>
              <a:ext uri="{FF2B5EF4-FFF2-40B4-BE49-F238E27FC236}">
                <a16:creationId xmlns:a16="http://schemas.microsoft.com/office/drawing/2014/main" id="{106969D0-0FB0-4840-B5AA-FDC0D63E969F}"/>
              </a:ext>
            </a:extLst>
          </xdr:cNvPr>
          <xdr:cNvCxnSpPr/>
        </xdr:nvCxnSpPr>
        <xdr:spPr>
          <a:xfrm>
            <a:off x="1343025" y="123488421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57150</xdr:colOff>
      <xdr:row>1092</xdr:row>
      <xdr:rowOff>38100</xdr:rowOff>
    </xdr:from>
    <xdr:to>
      <xdr:col>61</xdr:col>
      <xdr:colOff>28575</xdr:colOff>
      <xdr:row>1135</xdr:row>
      <xdr:rowOff>76200</xdr:rowOff>
    </xdr:to>
    <xdr:grpSp>
      <xdr:nvGrpSpPr>
        <xdr:cNvPr id="1097" name="Group 1096">
          <a:extLst>
            <a:ext uri="{FF2B5EF4-FFF2-40B4-BE49-F238E27FC236}">
              <a16:creationId xmlns:a16="http://schemas.microsoft.com/office/drawing/2014/main" id="{8DF77297-4D16-4B90-80C8-D19D554340F7}"/>
            </a:ext>
          </a:extLst>
        </xdr:cNvPr>
        <xdr:cNvGrpSpPr/>
      </xdr:nvGrpSpPr>
      <xdr:grpSpPr>
        <a:xfrm>
          <a:off x="5724525" y="156533850"/>
          <a:ext cx="4181475" cy="6181725"/>
          <a:chOff x="8296275" y="19850100"/>
          <a:chExt cx="4181475" cy="6181725"/>
        </a:xfrm>
      </xdr:grpSpPr>
      <xdr:sp macro="" textlink="">
        <xdr:nvSpPr>
          <xdr:cNvPr id="1098" name="Arc 1097">
            <a:extLst>
              <a:ext uri="{FF2B5EF4-FFF2-40B4-BE49-F238E27FC236}">
                <a16:creationId xmlns:a16="http://schemas.microsoft.com/office/drawing/2014/main" id="{77C85959-FBD6-35D7-DDB8-92FEF0623011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8315CEFB-F669-DE63-1130-CE828F918769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00" name="Isosceles Triangle 1099">
            <a:extLst>
              <a:ext uri="{FF2B5EF4-FFF2-40B4-BE49-F238E27FC236}">
                <a16:creationId xmlns:a16="http://schemas.microsoft.com/office/drawing/2014/main" id="{41201CAE-E289-7013-C58E-9934A71F9B2C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01" name="Straight Connector 1100">
            <a:extLst>
              <a:ext uri="{FF2B5EF4-FFF2-40B4-BE49-F238E27FC236}">
                <a16:creationId xmlns:a16="http://schemas.microsoft.com/office/drawing/2014/main" id="{B6CD9F98-3BC0-1F7B-49C5-6A6BB066B331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2" name="Oval 1101">
            <a:extLst>
              <a:ext uri="{FF2B5EF4-FFF2-40B4-BE49-F238E27FC236}">
                <a16:creationId xmlns:a16="http://schemas.microsoft.com/office/drawing/2014/main" id="{01B7BC86-2A1D-301E-8B50-95B2D46E3F68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03" name="Straight Arrow Connector 1102">
            <a:extLst>
              <a:ext uri="{FF2B5EF4-FFF2-40B4-BE49-F238E27FC236}">
                <a16:creationId xmlns:a16="http://schemas.microsoft.com/office/drawing/2014/main" id="{B13B081A-9AC6-0E5D-8854-B6F638EAD54B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Arrow Connector 1103">
            <a:extLst>
              <a:ext uri="{FF2B5EF4-FFF2-40B4-BE49-F238E27FC236}">
                <a16:creationId xmlns:a16="http://schemas.microsoft.com/office/drawing/2014/main" id="{060CBA26-2D7B-73E6-C449-43120C9A45E7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5" name="Arc 1104">
            <a:extLst>
              <a:ext uri="{FF2B5EF4-FFF2-40B4-BE49-F238E27FC236}">
                <a16:creationId xmlns:a16="http://schemas.microsoft.com/office/drawing/2014/main" id="{60F454BA-B56D-9C6A-65CD-7600B867051F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06" name="TextBox 1105">
            <a:extLst>
              <a:ext uri="{FF2B5EF4-FFF2-40B4-BE49-F238E27FC236}">
                <a16:creationId xmlns:a16="http://schemas.microsoft.com/office/drawing/2014/main" id="{898819F2-FE1A-5CF6-40AE-0C5FEB1185FC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107" name="TextBox 1106">
            <a:extLst>
              <a:ext uri="{FF2B5EF4-FFF2-40B4-BE49-F238E27FC236}">
                <a16:creationId xmlns:a16="http://schemas.microsoft.com/office/drawing/2014/main" id="{800C9792-7419-954F-8F97-411C7E199A90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1108" name="TextBox 1107">
            <a:extLst>
              <a:ext uri="{FF2B5EF4-FFF2-40B4-BE49-F238E27FC236}">
                <a16:creationId xmlns:a16="http://schemas.microsoft.com/office/drawing/2014/main" id="{F128B130-F159-06C4-FA57-947F7419F33C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</xdr:col>
      <xdr:colOff>85724</xdr:colOff>
      <xdr:row>1081</xdr:row>
      <xdr:rowOff>104769</xdr:rowOff>
    </xdr:from>
    <xdr:to>
      <xdr:col>40</xdr:col>
      <xdr:colOff>61913</xdr:colOff>
      <xdr:row>1127</xdr:row>
      <xdr:rowOff>38100</xdr:rowOff>
    </xdr:to>
    <xdr:grpSp>
      <xdr:nvGrpSpPr>
        <xdr:cNvPr id="1180" name="Group 1179">
          <a:extLst>
            <a:ext uri="{FF2B5EF4-FFF2-40B4-BE49-F238E27FC236}">
              <a16:creationId xmlns:a16="http://schemas.microsoft.com/office/drawing/2014/main" id="{8AC086CF-9FAD-90B7-2E9B-1133C5593AEB}"/>
            </a:ext>
          </a:extLst>
        </xdr:cNvPr>
        <xdr:cNvGrpSpPr/>
      </xdr:nvGrpSpPr>
      <xdr:grpSpPr>
        <a:xfrm>
          <a:off x="571499" y="155028894"/>
          <a:ext cx="5967414" cy="6505581"/>
          <a:chOff x="571499" y="66293994"/>
          <a:chExt cx="5967414" cy="6505581"/>
        </a:xfrm>
      </xdr:grpSpPr>
      <xdr:sp macro="" textlink="">
        <xdr:nvSpPr>
          <xdr:cNvPr id="1110" name="Arc 1109">
            <a:extLst>
              <a:ext uri="{FF2B5EF4-FFF2-40B4-BE49-F238E27FC236}">
                <a16:creationId xmlns:a16="http://schemas.microsoft.com/office/drawing/2014/main" id="{1B30F40E-57AB-E518-FC5C-2FDFF044B76E}"/>
              </a:ext>
            </a:extLst>
          </xdr:cNvPr>
          <xdr:cNvSpPr/>
        </xdr:nvSpPr>
        <xdr:spPr>
          <a:xfrm>
            <a:off x="1152525" y="66608799"/>
            <a:ext cx="4181475" cy="6190776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C8284FDB-3E38-F8BD-E1F5-19E5AB844C95}"/>
              </a:ext>
            </a:extLst>
          </xdr:cNvPr>
          <xdr:cNvSpPr/>
        </xdr:nvSpPr>
        <xdr:spPr>
          <a:xfrm>
            <a:off x="1219196" y="68483203"/>
            <a:ext cx="338137" cy="14308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12" name="Isosceles Triangle 1111">
            <a:extLst>
              <a:ext uri="{FF2B5EF4-FFF2-40B4-BE49-F238E27FC236}">
                <a16:creationId xmlns:a16="http://schemas.microsoft.com/office/drawing/2014/main" id="{DF8E1726-53DB-140E-22FF-FCCCC2728633}"/>
              </a:ext>
            </a:extLst>
          </xdr:cNvPr>
          <xdr:cNvSpPr/>
        </xdr:nvSpPr>
        <xdr:spPr>
          <a:xfrm>
            <a:off x="1303778" y="68344890"/>
            <a:ext cx="154684" cy="13354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3EA18B8D-F84C-76F0-7BA3-E420F51F9A28}"/>
              </a:ext>
            </a:extLst>
          </xdr:cNvPr>
          <xdr:cNvCxnSpPr/>
        </xdr:nvCxnSpPr>
        <xdr:spPr>
          <a:xfrm>
            <a:off x="1209670" y="68478432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4" name="Oval 1113">
            <a:extLst>
              <a:ext uri="{FF2B5EF4-FFF2-40B4-BE49-F238E27FC236}">
                <a16:creationId xmlns:a16="http://schemas.microsoft.com/office/drawing/2014/main" id="{1CBE4FA8-E8FE-D7A1-564B-514B6C020662}"/>
              </a:ext>
            </a:extLst>
          </xdr:cNvPr>
          <xdr:cNvSpPr/>
        </xdr:nvSpPr>
        <xdr:spPr>
          <a:xfrm>
            <a:off x="1338257" y="68287654"/>
            <a:ext cx="85726" cy="85852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15" name="Straight Arrow Connector 1114">
            <a:extLst>
              <a:ext uri="{FF2B5EF4-FFF2-40B4-BE49-F238E27FC236}">
                <a16:creationId xmlns:a16="http://schemas.microsoft.com/office/drawing/2014/main" id="{7B8A22D2-9453-64A6-28D4-C71A3F7FD052}"/>
              </a:ext>
            </a:extLst>
          </xdr:cNvPr>
          <xdr:cNvCxnSpPr/>
        </xdr:nvCxnSpPr>
        <xdr:spPr>
          <a:xfrm flipV="1">
            <a:off x="1371595" y="68621517"/>
            <a:ext cx="0" cy="295707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7FC8246F-D8CC-4E3F-55ED-4318B12B7B03}"/>
              </a:ext>
            </a:extLst>
          </xdr:cNvPr>
          <xdr:cNvSpPr/>
        </xdr:nvSpPr>
        <xdr:spPr>
          <a:xfrm>
            <a:off x="4948247" y="68478445"/>
            <a:ext cx="338137" cy="143084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17" name="Isosceles Triangle 1116">
            <a:extLst>
              <a:ext uri="{FF2B5EF4-FFF2-40B4-BE49-F238E27FC236}">
                <a16:creationId xmlns:a16="http://schemas.microsoft.com/office/drawing/2014/main" id="{0053B2AA-AA5F-4B35-10B5-23DD0E7178FB}"/>
              </a:ext>
            </a:extLst>
          </xdr:cNvPr>
          <xdr:cNvSpPr/>
        </xdr:nvSpPr>
        <xdr:spPr>
          <a:xfrm>
            <a:off x="5032829" y="68340132"/>
            <a:ext cx="154684" cy="133543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18" name="Straight Connector 1117">
            <a:extLst>
              <a:ext uri="{FF2B5EF4-FFF2-40B4-BE49-F238E27FC236}">
                <a16:creationId xmlns:a16="http://schemas.microsoft.com/office/drawing/2014/main" id="{E92A45FB-049A-C193-EB08-97E087B3062C}"/>
              </a:ext>
            </a:extLst>
          </xdr:cNvPr>
          <xdr:cNvCxnSpPr/>
        </xdr:nvCxnSpPr>
        <xdr:spPr>
          <a:xfrm>
            <a:off x="4938721" y="684736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9" name="Oval 1118">
            <a:extLst>
              <a:ext uri="{FF2B5EF4-FFF2-40B4-BE49-F238E27FC236}">
                <a16:creationId xmlns:a16="http://schemas.microsoft.com/office/drawing/2014/main" id="{E77159D2-087A-F65D-05DF-F477EA7418F3}"/>
              </a:ext>
            </a:extLst>
          </xdr:cNvPr>
          <xdr:cNvSpPr/>
        </xdr:nvSpPr>
        <xdr:spPr>
          <a:xfrm>
            <a:off x="5067308" y="68282896"/>
            <a:ext cx="85726" cy="85852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20" name="Straight Arrow Connector 1119">
            <a:extLst>
              <a:ext uri="{FF2B5EF4-FFF2-40B4-BE49-F238E27FC236}">
                <a16:creationId xmlns:a16="http://schemas.microsoft.com/office/drawing/2014/main" id="{B1E3574F-735C-A4AF-59B4-1C30C8CD8AFB}"/>
              </a:ext>
            </a:extLst>
          </xdr:cNvPr>
          <xdr:cNvCxnSpPr/>
        </xdr:nvCxnSpPr>
        <xdr:spPr>
          <a:xfrm flipV="1">
            <a:off x="5100646" y="68616759"/>
            <a:ext cx="0" cy="295707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1" name="Oval 1120">
            <a:extLst>
              <a:ext uri="{FF2B5EF4-FFF2-40B4-BE49-F238E27FC236}">
                <a16:creationId xmlns:a16="http://schemas.microsoft.com/office/drawing/2014/main" id="{513E541A-AC82-9CA2-E38B-0F28BFD9B362}"/>
              </a:ext>
            </a:extLst>
          </xdr:cNvPr>
          <xdr:cNvSpPr/>
        </xdr:nvSpPr>
        <xdr:spPr>
          <a:xfrm>
            <a:off x="3195638" y="66565887"/>
            <a:ext cx="85726" cy="85852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22" name="Straight Connector 1121">
            <a:extLst>
              <a:ext uri="{FF2B5EF4-FFF2-40B4-BE49-F238E27FC236}">
                <a16:creationId xmlns:a16="http://schemas.microsoft.com/office/drawing/2014/main" id="{6A33D722-3C29-669A-925A-F964D6F7287C}"/>
              </a:ext>
            </a:extLst>
          </xdr:cNvPr>
          <xdr:cNvCxnSpPr/>
        </xdr:nvCxnSpPr>
        <xdr:spPr>
          <a:xfrm>
            <a:off x="1390647" y="66475254"/>
            <a:ext cx="184785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Arrow Connector 1122">
            <a:extLst>
              <a:ext uri="{FF2B5EF4-FFF2-40B4-BE49-F238E27FC236}">
                <a16:creationId xmlns:a16="http://schemas.microsoft.com/office/drawing/2014/main" id="{9B17CBFC-8CA3-9EB6-BD2F-CD1DFDB531B5}"/>
              </a:ext>
            </a:extLst>
          </xdr:cNvPr>
          <xdr:cNvCxnSpPr/>
        </xdr:nvCxnSpPr>
        <xdr:spPr>
          <a:xfrm>
            <a:off x="1390643" y="66294001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Arrow Connector 1123">
            <a:extLst>
              <a:ext uri="{FF2B5EF4-FFF2-40B4-BE49-F238E27FC236}">
                <a16:creationId xmlns:a16="http://schemas.microsoft.com/office/drawing/2014/main" id="{D7AA5AF3-57ED-6BF3-A91B-1627683CE731}"/>
              </a:ext>
            </a:extLst>
          </xdr:cNvPr>
          <xdr:cNvCxnSpPr/>
        </xdr:nvCxnSpPr>
        <xdr:spPr>
          <a:xfrm>
            <a:off x="1619242" y="66294001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Arrow Connector 1124">
            <a:extLst>
              <a:ext uri="{FF2B5EF4-FFF2-40B4-BE49-F238E27FC236}">
                <a16:creationId xmlns:a16="http://schemas.microsoft.com/office/drawing/2014/main" id="{F6BF0426-E441-6FFA-400C-2DDB4AFF2ECE}"/>
              </a:ext>
            </a:extLst>
          </xdr:cNvPr>
          <xdr:cNvCxnSpPr/>
        </xdr:nvCxnSpPr>
        <xdr:spPr>
          <a:xfrm>
            <a:off x="1781168" y="66294001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Arrow Connector 1125">
            <a:extLst>
              <a:ext uri="{FF2B5EF4-FFF2-40B4-BE49-F238E27FC236}">
                <a16:creationId xmlns:a16="http://schemas.microsoft.com/office/drawing/2014/main" id="{1AB8EE34-EAA4-42C5-E0FD-1B078F13AB37}"/>
              </a:ext>
            </a:extLst>
          </xdr:cNvPr>
          <xdr:cNvCxnSpPr/>
        </xdr:nvCxnSpPr>
        <xdr:spPr>
          <a:xfrm>
            <a:off x="1943087" y="66294001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Arrow Connector 1126">
            <a:extLst>
              <a:ext uri="{FF2B5EF4-FFF2-40B4-BE49-F238E27FC236}">
                <a16:creationId xmlns:a16="http://schemas.microsoft.com/office/drawing/2014/main" id="{D5524B77-1186-ED54-763A-35B2789F9CA5}"/>
              </a:ext>
            </a:extLst>
          </xdr:cNvPr>
          <xdr:cNvCxnSpPr/>
        </xdr:nvCxnSpPr>
        <xdr:spPr>
          <a:xfrm>
            <a:off x="2105018" y="66293999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Arrow Connector 1127">
            <a:extLst>
              <a:ext uri="{FF2B5EF4-FFF2-40B4-BE49-F238E27FC236}">
                <a16:creationId xmlns:a16="http://schemas.microsoft.com/office/drawing/2014/main" id="{577C4326-4050-3460-502E-34E4FC9E607F}"/>
              </a:ext>
            </a:extLst>
          </xdr:cNvPr>
          <xdr:cNvCxnSpPr/>
        </xdr:nvCxnSpPr>
        <xdr:spPr>
          <a:xfrm>
            <a:off x="2266944" y="66293999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Arrow Connector 1128">
            <a:extLst>
              <a:ext uri="{FF2B5EF4-FFF2-40B4-BE49-F238E27FC236}">
                <a16:creationId xmlns:a16="http://schemas.microsoft.com/office/drawing/2014/main" id="{05077D29-33F3-88C1-C8D7-FB961E77B5AE}"/>
              </a:ext>
            </a:extLst>
          </xdr:cNvPr>
          <xdr:cNvCxnSpPr/>
        </xdr:nvCxnSpPr>
        <xdr:spPr>
          <a:xfrm>
            <a:off x="2428863" y="66293999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5DD01E28-234E-241A-2DA8-CFA9039C6D98}"/>
              </a:ext>
            </a:extLst>
          </xdr:cNvPr>
          <xdr:cNvCxnSpPr/>
        </xdr:nvCxnSpPr>
        <xdr:spPr>
          <a:xfrm>
            <a:off x="2590800" y="66294004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Arrow Connector 1130">
            <a:extLst>
              <a:ext uri="{FF2B5EF4-FFF2-40B4-BE49-F238E27FC236}">
                <a16:creationId xmlns:a16="http://schemas.microsoft.com/office/drawing/2014/main" id="{1F0D1B00-48A0-2CFF-302F-14D79DFEA809}"/>
              </a:ext>
            </a:extLst>
          </xdr:cNvPr>
          <xdr:cNvCxnSpPr/>
        </xdr:nvCxnSpPr>
        <xdr:spPr>
          <a:xfrm>
            <a:off x="2752726" y="66294004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Arrow Connector 1131">
            <a:extLst>
              <a:ext uri="{FF2B5EF4-FFF2-40B4-BE49-F238E27FC236}">
                <a16:creationId xmlns:a16="http://schemas.microsoft.com/office/drawing/2014/main" id="{DBDBF3CD-6840-89AE-1D84-BEC9E74D16EB}"/>
              </a:ext>
            </a:extLst>
          </xdr:cNvPr>
          <xdr:cNvCxnSpPr/>
        </xdr:nvCxnSpPr>
        <xdr:spPr>
          <a:xfrm>
            <a:off x="2914645" y="66294004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Arrow Connector 1132">
            <a:extLst>
              <a:ext uri="{FF2B5EF4-FFF2-40B4-BE49-F238E27FC236}">
                <a16:creationId xmlns:a16="http://schemas.microsoft.com/office/drawing/2014/main" id="{DA4F47E8-1510-A9F3-0D83-1068314D7343}"/>
              </a:ext>
            </a:extLst>
          </xdr:cNvPr>
          <xdr:cNvCxnSpPr/>
        </xdr:nvCxnSpPr>
        <xdr:spPr>
          <a:xfrm>
            <a:off x="3076576" y="66294002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Arrow Connector 1133">
            <a:extLst>
              <a:ext uri="{FF2B5EF4-FFF2-40B4-BE49-F238E27FC236}">
                <a16:creationId xmlns:a16="http://schemas.microsoft.com/office/drawing/2014/main" id="{65516308-90B6-19D3-FFC7-AEB03A85980F}"/>
              </a:ext>
            </a:extLst>
          </xdr:cNvPr>
          <xdr:cNvCxnSpPr/>
        </xdr:nvCxnSpPr>
        <xdr:spPr>
          <a:xfrm>
            <a:off x="3238502" y="66294002"/>
            <a:ext cx="0" cy="1764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Connector 1134">
            <a:extLst>
              <a:ext uri="{FF2B5EF4-FFF2-40B4-BE49-F238E27FC236}">
                <a16:creationId xmlns:a16="http://schemas.microsoft.com/office/drawing/2014/main" id="{4878A3A2-C543-8B26-DF95-00A15F5815B3}"/>
              </a:ext>
            </a:extLst>
          </xdr:cNvPr>
          <xdr:cNvCxnSpPr/>
        </xdr:nvCxnSpPr>
        <xdr:spPr>
          <a:xfrm>
            <a:off x="1390645" y="66293994"/>
            <a:ext cx="18526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Arrow Connector 1135">
            <a:extLst>
              <a:ext uri="{FF2B5EF4-FFF2-40B4-BE49-F238E27FC236}">
                <a16:creationId xmlns:a16="http://schemas.microsoft.com/office/drawing/2014/main" id="{035B9906-8F71-FE48-9FAE-7B9B5FE27EB9}"/>
              </a:ext>
            </a:extLst>
          </xdr:cNvPr>
          <xdr:cNvCxnSpPr/>
        </xdr:nvCxnSpPr>
        <xdr:spPr>
          <a:xfrm>
            <a:off x="4371975" y="66761422"/>
            <a:ext cx="0" cy="348171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Connector 1136">
            <a:extLst>
              <a:ext uri="{FF2B5EF4-FFF2-40B4-BE49-F238E27FC236}">
                <a16:creationId xmlns:a16="http://schemas.microsoft.com/office/drawing/2014/main" id="{C8D91366-1343-62C7-F739-D6BEB039309F}"/>
              </a:ext>
            </a:extLst>
          </xdr:cNvPr>
          <xdr:cNvCxnSpPr/>
        </xdr:nvCxnSpPr>
        <xdr:spPr>
          <a:xfrm>
            <a:off x="1371600" y="69055543"/>
            <a:ext cx="0" cy="5055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Connector 1137">
            <a:extLst>
              <a:ext uri="{FF2B5EF4-FFF2-40B4-BE49-F238E27FC236}">
                <a16:creationId xmlns:a16="http://schemas.microsoft.com/office/drawing/2014/main" id="{A59AD3BA-323B-7CD1-D947-B2330E5A385E}"/>
              </a:ext>
            </a:extLst>
          </xdr:cNvPr>
          <xdr:cNvCxnSpPr/>
        </xdr:nvCxnSpPr>
        <xdr:spPr>
          <a:xfrm>
            <a:off x="1295399" y="69193852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779A7F9C-09EF-BE95-B7F2-82A3174F933E}"/>
              </a:ext>
            </a:extLst>
          </xdr:cNvPr>
          <xdr:cNvCxnSpPr/>
        </xdr:nvCxnSpPr>
        <xdr:spPr>
          <a:xfrm flipH="1">
            <a:off x="1333500" y="69160468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Connector 1139">
            <a:extLst>
              <a:ext uri="{FF2B5EF4-FFF2-40B4-BE49-F238E27FC236}">
                <a16:creationId xmlns:a16="http://schemas.microsoft.com/office/drawing/2014/main" id="{09A48222-821E-A03A-B0B8-3485C32FBDC2}"/>
              </a:ext>
            </a:extLst>
          </xdr:cNvPr>
          <xdr:cNvCxnSpPr/>
        </xdr:nvCxnSpPr>
        <xdr:spPr>
          <a:xfrm>
            <a:off x="1295395" y="69480025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C214A02B-82DA-98F0-D5EA-A09EE575036C}"/>
              </a:ext>
            </a:extLst>
          </xdr:cNvPr>
          <xdr:cNvCxnSpPr/>
        </xdr:nvCxnSpPr>
        <xdr:spPr>
          <a:xfrm flipH="1">
            <a:off x="1333496" y="69446640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Connector 1141">
            <a:extLst>
              <a:ext uri="{FF2B5EF4-FFF2-40B4-BE49-F238E27FC236}">
                <a16:creationId xmlns:a16="http://schemas.microsoft.com/office/drawing/2014/main" id="{B3AC9365-EF05-431C-6B4A-15BEA3DFF05D}"/>
              </a:ext>
            </a:extLst>
          </xdr:cNvPr>
          <xdr:cNvCxnSpPr/>
        </xdr:nvCxnSpPr>
        <xdr:spPr>
          <a:xfrm>
            <a:off x="5100639" y="69055548"/>
            <a:ext cx="0" cy="5055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Connector 1142">
            <a:extLst>
              <a:ext uri="{FF2B5EF4-FFF2-40B4-BE49-F238E27FC236}">
                <a16:creationId xmlns:a16="http://schemas.microsoft.com/office/drawing/2014/main" id="{64DFEE76-8C20-2FF5-E696-38171D1A0D0E}"/>
              </a:ext>
            </a:extLst>
          </xdr:cNvPr>
          <xdr:cNvCxnSpPr/>
        </xdr:nvCxnSpPr>
        <xdr:spPr>
          <a:xfrm flipH="1">
            <a:off x="5062539" y="69160473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4DDC0A5C-4ADD-A4DC-DDC7-C9C72A503BC4}"/>
              </a:ext>
            </a:extLst>
          </xdr:cNvPr>
          <xdr:cNvCxnSpPr/>
        </xdr:nvCxnSpPr>
        <xdr:spPr>
          <a:xfrm flipH="1">
            <a:off x="5072060" y="69446645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80E2612C-EEFD-5BEC-55C2-24F961649B45}"/>
              </a:ext>
            </a:extLst>
          </xdr:cNvPr>
          <xdr:cNvCxnSpPr/>
        </xdr:nvCxnSpPr>
        <xdr:spPr>
          <a:xfrm>
            <a:off x="2105025" y="67176367"/>
            <a:ext cx="0" cy="20985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BC3B7502-B48B-0A98-AE4A-45CC3B94A1A5}"/>
              </a:ext>
            </a:extLst>
          </xdr:cNvPr>
          <xdr:cNvCxnSpPr/>
        </xdr:nvCxnSpPr>
        <xdr:spPr>
          <a:xfrm flipH="1">
            <a:off x="2066921" y="69160472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B7615C1A-E88A-9A05-6EED-160F60C5CF83}"/>
              </a:ext>
            </a:extLst>
          </xdr:cNvPr>
          <xdr:cNvCxnSpPr/>
        </xdr:nvCxnSpPr>
        <xdr:spPr>
          <a:xfrm>
            <a:off x="2062163" y="67057130"/>
            <a:ext cx="85725" cy="9062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Connector 1147">
            <a:extLst>
              <a:ext uri="{FF2B5EF4-FFF2-40B4-BE49-F238E27FC236}">
                <a16:creationId xmlns:a16="http://schemas.microsoft.com/office/drawing/2014/main" id="{0F3E0A3C-AA76-1C15-FB3C-6AEA4D3B0817}"/>
              </a:ext>
            </a:extLst>
          </xdr:cNvPr>
          <xdr:cNvCxnSpPr/>
        </xdr:nvCxnSpPr>
        <xdr:spPr>
          <a:xfrm flipH="1">
            <a:off x="4338638" y="67066669"/>
            <a:ext cx="76200" cy="7631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Connector 1148">
            <a:extLst>
              <a:ext uri="{FF2B5EF4-FFF2-40B4-BE49-F238E27FC236}">
                <a16:creationId xmlns:a16="http://schemas.microsoft.com/office/drawing/2014/main" id="{92842FC7-51DD-2104-8152-86E9BE632AFD}"/>
              </a:ext>
            </a:extLst>
          </xdr:cNvPr>
          <xdr:cNvCxnSpPr/>
        </xdr:nvCxnSpPr>
        <xdr:spPr>
          <a:xfrm>
            <a:off x="4371974" y="67176373"/>
            <a:ext cx="0" cy="20985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BFD8A83F-70D2-B8CB-D5C7-AE784D373615}"/>
              </a:ext>
            </a:extLst>
          </xdr:cNvPr>
          <xdr:cNvCxnSpPr/>
        </xdr:nvCxnSpPr>
        <xdr:spPr>
          <a:xfrm flipH="1">
            <a:off x="4333870" y="69160478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Connector 1150">
            <a:extLst>
              <a:ext uri="{FF2B5EF4-FFF2-40B4-BE49-F238E27FC236}">
                <a16:creationId xmlns:a16="http://schemas.microsoft.com/office/drawing/2014/main" id="{286D32DC-C791-3670-7030-D2B647F8756D}"/>
              </a:ext>
            </a:extLst>
          </xdr:cNvPr>
          <xdr:cNvCxnSpPr/>
        </xdr:nvCxnSpPr>
        <xdr:spPr>
          <a:xfrm>
            <a:off x="3595686" y="66618339"/>
            <a:ext cx="29384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Connector 1151">
            <a:extLst>
              <a:ext uri="{FF2B5EF4-FFF2-40B4-BE49-F238E27FC236}">
                <a16:creationId xmlns:a16="http://schemas.microsoft.com/office/drawing/2014/main" id="{DF60945B-AB25-6D0F-A234-0FDD95E90D4D}"/>
              </a:ext>
            </a:extLst>
          </xdr:cNvPr>
          <xdr:cNvCxnSpPr/>
        </xdr:nvCxnSpPr>
        <xdr:spPr>
          <a:xfrm>
            <a:off x="5676897" y="68335348"/>
            <a:ext cx="862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Arrow Connector 1152">
            <a:extLst>
              <a:ext uri="{FF2B5EF4-FFF2-40B4-BE49-F238E27FC236}">
                <a16:creationId xmlns:a16="http://schemas.microsoft.com/office/drawing/2014/main" id="{855DF0D4-2947-599C-44A1-BA745CF6694D}"/>
              </a:ext>
            </a:extLst>
          </xdr:cNvPr>
          <xdr:cNvCxnSpPr/>
        </xdr:nvCxnSpPr>
        <xdr:spPr>
          <a:xfrm flipH="1">
            <a:off x="5224461" y="68335348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Connector 1153">
            <a:extLst>
              <a:ext uri="{FF2B5EF4-FFF2-40B4-BE49-F238E27FC236}">
                <a16:creationId xmlns:a16="http://schemas.microsoft.com/office/drawing/2014/main" id="{257084B7-CBAF-5737-256C-90D5C0035F62}"/>
              </a:ext>
            </a:extLst>
          </xdr:cNvPr>
          <xdr:cNvCxnSpPr/>
        </xdr:nvCxnSpPr>
        <xdr:spPr>
          <a:xfrm flipV="1">
            <a:off x="6153151" y="66546796"/>
            <a:ext cx="0" cy="18600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5" name="Straight Connector 1154">
            <a:extLst>
              <a:ext uri="{FF2B5EF4-FFF2-40B4-BE49-F238E27FC236}">
                <a16:creationId xmlns:a16="http://schemas.microsoft.com/office/drawing/2014/main" id="{33093A2C-21C9-6B60-0464-9276AC4A4E7B}"/>
              </a:ext>
            </a:extLst>
          </xdr:cNvPr>
          <xdr:cNvCxnSpPr/>
        </xdr:nvCxnSpPr>
        <xdr:spPr>
          <a:xfrm flipH="1">
            <a:off x="6119813" y="66584951"/>
            <a:ext cx="66675" cy="667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Connector 1155">
            <a:extLst>
              <a:ext uri="{FF2B5EF4-FFF2-40B4-BE49-F238E27FC236}">
                <a16:creationId xmlns:a16="http://schemas.microsoft.com/office/drawing/2014/main" id="{02F35CA8-EC5C-0CB8-D1BA-21BF47E35DC7}"/>
              </a:ext>
            </a:extLst>
          </xdr:cNvPr>
          <xdr:cNvCxnSpPr/>
        </xdr:nvCxnSpPr>
        <xdr:spPr>
          <a:xfrm flipH="1">
            <a:off x="6119812" y="68301963"/>
            <a:ext cx="66675" cy="667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9CAA2AEF-ED9A-1EDD-E716-C91533947359}"/>
              </a:ext>
            </a:extLst>
          </xdr:cNvPr>
          <xdr:cNvCxnSpPr/>
        </xdr:nvCxnSpPr>
        <xdr:spPr>
          <a:xfrm flipV="1">
            <a:off x="6477002" y="66546795"/>
            <a:ext cx="0" cy="18600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Connector 1157">
            <a:extLst>
              <a:ext uri="{FF2B5EF4-FFF2-40B4-BE49-F238E27FC236}">
                <a16:creationId xmlns:a16="http://schemas.microsoft.com/office/drawing/2014/main" id="{DBD606A6-751A-E9C2-B717-C899A9D490B1}"/>
              </a:ext>
            </a:extLst>
          </xdr:cNvPr>
          <xdr:cNvCxnSpPr/>
        </xdr:nvCxnSpPr>
        <xdr:spPr>
          <a:xfrm flipH="1">
            <a:off x="6443664" y="66584950"/>
            <a:ext cx="66675" cy="667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Connector 1158">
            <a:extLst>
              <a:ext uri="{FF2B5EF4-FFF2-40B4-BE49-F238E27FC236}">
                <a16:creationId xmlns:a16="http://schemas.microsoft.com/office/drawing/2014/main" id="{B078365D-0D4E-E4B5-9702-0A600160F3EB}"/>
              </a:ext>
            </a:extLst>
          </xdr:cNvPr>
          <xdr:cNvCxnSpPr/>
        </xdr:nvCxnSpPr>
        <xdr:spPr>
          <a:xfrm flipH="1">
            <a:off x="6443663" y="68301962"/>
            <a:ext cx="66675" cy="667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Connector 1159">
            <a:extLst>
              <a:ext uri="{FF2B5EF4-FFF2-40B4-BE49-F238E27FC236}">
                <a16:creationId xmlns:a16="http://schemas.microsoft.com/office/drawing/2014/main" id="{EE439B93-32AE-4F46-A3F3-BD41C8F25169}"/>
              </a:ext>
            </a:extLst>
          </xdr:cNvPr>
          <xdr:cNvCxnSpPr/>
        </xdr:nvCxnSpPr>
        <xdr:spPr>
          <a:xfrm>
            <a:off x="4452938" y="67109600"/>
            <a:ext cx="1766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Connector 1160">
            <a:extLst>
              <a:ext uri="{FF2B5EF4-FFF2-40B4-BE49-F238E27FC236}">
                <a16:creationId xmlns:a16="http://schemas.microsoft.com/office/drawing/2014/main" id="{0E770BBE-98C1-52A9-B36F-4303D734CAB4}"/>
              </a:ext>
            </a:extLst>
          </xdr:cNvPr>
          <xdr:cNvCxnSpPr/>
        </xdr:nvCxnSpPr>
        <xdr:spPr>
          <a:xfrm flipH="1">
            <a:off x="6119813" y="67076213"/>
            <a:ext cx="66675" cy="667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Connector 1161">
            <a:extLst>
              <a:ext uri="{FF2B5EF4-FFF2-40B4-BE49-F238E27FC236}">
                <a16:creationId xmlns:a16="http://schemas.microsoft.com/office/drawing/2014/main" id="{D2DE2F30-3B65-9B1C-7B7A-0335C656215D}"/>
              </a:ext>
            </a:extLst>
          </xdr:cNvPr>
          <xdr:cNvCxnSpPr/>
        </xdr:nvCxnSpPr>
        <xdr:spPr>
          <a:xfrm>
            <a:off x="571500" y="66618337"/>
            <a:ext cx="23336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Arrow Connector 1162">
            <a:extLst>
              <a:ext uri="{FF2B5EF4-FFF2-40B4-BE49-F238E27FC236}">
                <a16:creationId xmlns:a16="http://schemas.microsoft.com/office/drawing/2014/main" id="{683DDCDA-7E4A-C877-E7AE-44764BADDE31}"/>
              </a:ext>
            </a:extLst>
          </xdr:cNvPr>
          <xdr:cNvCxnSpPr/>
        </xdr:nvCxnSpPr>
        <xdr:spPr>
          <a:xfrm>
            <a:off x="985838" y="68335348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BBE99AB6-4954-B168-0E32-1EFF9C1BB629}"/>
              </a:ext>
            </a:extLst>
          </xdr:cNvPr>
          <xdr:cNvCxnSpPr/>
        </xdr:nvCxnSpPr>
        <xdr:spPr>
          <a:xfrm flipH="1">
            <a:off x="585788" y="68335348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4B67BF82-D397-A89B-5194-D54016F98514}"/>
              </a:ext>
            </a:extLst>
          </xdr:cNvPr>
          <xdr:cNvCxnSpPr/>
        </xdr:nvCxnSpPr>
        <xdr:spPr>
          <a:xfrm flipH="1">
            <a:off x="609604" y="68301965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CE79C6E4-E2B5-738A-D711-6BD12972E073}"/>
              </a:ext>
            </a:extLst>
          </xdr:cNvPr>
          <xdr:cNvCxnSpPr/>
        </xdr:nvCxnSpPr>
        <xdr:spPr>
          <a:xfrm>
            <a:off x="647701" y="66546797"/>
            <a:ext cx="0" cy="18600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01FBC876-BD43-DA02-4800-2C2BA8F724DC}"/>
              </a:ext>
            </a:extLst>
          </xdr:cNvPr>
          <xdr:cNvCxnSpPr/>
        </xdr:nvCxnSpPr>
        <xdr:spPr>
          <a:xfrm flipH="1">
            <a:off x="614361" y="66584949"/>
            <a:ext cx="66675" cy="667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99698835-FB8B-82C3-BC5D-FC3523C2C8AE}"/>
              </a:ext>
            </a:extLst>
          </xdr:cNvPr>
          <xdr:cNvCxnSpPr/>
        </xdr:nvCxnSpPr>
        <xdr:spPr>
          <a:xfrm>
            <a:off x="571499" y="67104823"/>
            <a:ext cx="14668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Connector 1168">
            <a:extLst>
              <a:ext uri="{FF2B5EF4-FFF2-40B4-BE49-F238E27FC236}">
                <a16:creationId xmlns:a16="http://schemas.microsoft.com/office/drawing/2014/main" id="{E46551B1-8F24-1378-6708-D12F0B87E50D}"/>
              </a:ext>
            </a:extLst>
          </xdr:cNvPr>
          <xdr:cNvCxnSpPr/>
        </xdr:nvCxnSpPr>
        <xdr:spPr>
          <a:xfrm flipH="1">
            <a:off x="614360" y="67071436"/>
            <a:ext cx="66675" cy="667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Connector 1169">
            <a:extLst>
              <a:ext uri="{FF2B5EF4-FFF2-40B4-BE49-F238E27FC236}">
                <a16:creationId xmlns:a16="http://schemas.microsoft.com/office/drawing/2014/main" id="{E36FE693-81D6-BD48-136A-3DBCB3F58F82}"/>
              </a:ext>
            </a:extLst>
          </xdr:cNvPr>
          <xdr:cNvCxnSpPr/>
        </xdr:nvCxnSpPr>
        <xdr:spPr>
          <a:xfrm>
            <a:off x="3238504" y="66770961"/>
            <a:ext cx="0" cy="249920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BDD14972-9839-83AD-5A7A-47B45086A1D7}"/>
              </a:ext>
            </a:extLst>
          </xdr:cNvPr>
          <xdr:cNvCxnSpPr/>
        </xdr:nvCxnSpPr>
        <xdr:spPr>
          <a:xfrm flipH="1">
            <a:off x="3200400" y="69155702"/>
            <a:ext cx="71437" cy="715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Arrow Connector 1173">
            <a:extLst>
              <a:ext uri="{FF2B5EF4-FFF2-40B4-BE49-F238E27FC236}">
                <a16:creationId xmlns:a16="http://schemas.microsoft.com/office/drawing/2014/main" id="{AF9D6BE3-EDDA-8466-840D-2052D3524C77}"/>
              </a:ext>
            </a:extLst>
          </xdr:cNvPr>
          <xdr:cNvCxnSpPr/>
        </xdr:nvCxnSpPr>
        <xdr:spPr>
          <a:xfrm>
            <a:off x="4314825" y="70405927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Arrow Connector 1174">
            <a:extLst>
              <a:ext uri="{FF2B5EF4-FFF2-40B4-BE49-F238E27FC236}">
                <a16:creationId xmlns:a16="http://schemas.microsoft.com/office/drawing/2014/main" id="{1BC5C71E-B115-3588-5A85-A000F0A2D690}"/>
              </a:ext>
            </a:extLst>
          </xdr:cNvPr>
          <xdr:cNvCxnSpPr/>
        </xdr:nvCxnSpPr>
        <xdr:spPr>
          <a:xfrm>
            <a:off x="3314700" y="70549011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Arrow Connector 1175">
            <a:extLst>
              <a:ext uri="{FF2B5EF4-FFF2-40B4-BE49-F238E27FC236}">
                <a16:creationId xmlns:a16="http://schemas.microsoft.com/office/drawing/2014/main" id="{F0375964-C6F5-4AC0-5AB9-A17C94CD1F6B}"/>
              </a:ext>
            </a:extLst>
          </xdr:cNvPr>
          <xdr:cNvCxnSpPr/>
        </xdr:nvCxnSpPr>
        <xdr:spPr>
          <a:xfrm>
            <a:off x="4314825" y="70692096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Arrow Connector 1176">
            <a:extLst>
              <a:ext uri="{FF2B5EF4-FFF2-40B4-BE49-F238E27FC236}">
                <a16:creationId xmlns:a16="http://schemas.microsoft.com/office/drawing/2014/main" id="{9469B544-7563-AD06-68EE-57DE27541494}"/>
              </a:ext>
            </a:extLst>
          </xdr:cNvPr>
          <xdr:cNvCxnSpPr/>
        </xdr:nvCxnSpPr>
        <xdr:spPr>
          <a:xfrm>
            <a:off x="3829050" y="70835180"/>
            <a:ext cx="2857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Arrow Connector 1177">
            <a:extLst>
              <a:ext uri="{FF2B5EF4-FFF2-40B4-BE49-F238E27FC236}">
                <a16:creationId xmlns:a16="http://schemas.microsoft.com/office/drawing/2014/main" id="{9A29CF70-EAFE-598C-9852-6C521BC93686}"/>
              </a:ext>
            </a:extLst>
          </xdr:cNvPr>
          <xdr:cNvCxnSpPr/>
        </xdr:nvCxnSpPr>
        <xdr:spPr>
          <a:xfrm flipV="1">
            <a:off x="1371600" y="67639005"/>
            <a:ext cx="0" cy="68680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Arrow Connector 1178">
            <a:extLst>
              <a:ext uri="{FF2B5EF4-FFF2-40B4-BE49-F238E27FC236}">
                <a16:creationId xmlns:a16="http://schemas.microsoft.com/office/drawing/2014/main" id="{B7A215FF-7D27-61B9-B622-184A7332EEE3}"/>
              </a:ext>
            </a:extLst>
          </xdr:cNvPr>
          <xdr:cNvCxnSpPr/>
        </xdr:nvCxnSpPr>
        <xdr:spPr>
          <a:xfrm>
            <a:off x="1371600" y="68335348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33336</xdr:colOff>
      <xdr:row>206</xdr:row>
      <xdr:rowOff>0</xdr:rowOff>
    </xdr:from>
    <xdr:to>
      <xdr:col>69</xdr:col>
      <xdr:colOff>19050</xdr:colOff>
      <xdr:row>231</xdr:row>
      <xdr:rowOff>123825</xdr:rowOff>
    </xdr:to>
    <xdr:grpSp>
      <xdr:nvGrpSpPr>
        <xdr:cNvPr id="1240" name="Group 1239">
          <a:extLst>
            <a:ext uri="{FF2B5EF4-FFF2-40B4-BE49-F238E27FC236}">
              <a16:creationId xmlns:a16="http://schemas.microsoft.com/office/drawing/2014/main" id="{90043319-70AE-44FD-81AE-4C1F79DDCBFE}"/>
            </a:ext>
          </a:extLst>
        </xdr:cNvPr>
        <xdr:cNvGrpSpPr/>
      </xdr:nvGrpSpPr>
      <xdr:grpSpPr>
        <a:xfrm>
          <a:off x="7319961" y="29908500"/>
          <a:ext cx="3871914" cy="3695700"/>
          <a:chOff x="7872411" y="714375"/>
          <a:chExt cx="3871914" cy="3695700"/>
        </a:xfrm>
      </xdr:grpSpPr>
      <xdr:sp macro="" textlink="">
        <xdr:nvSpPr>
          <xdr:cNvPr id="1241" name="Arc 1240">
            <a:extLst>
              <a:ext uri="{FF2B5EF4-FFF2-40B4-BE49-F238E27FC236}">
                <a16:creationId xmlns:a16="http://schemas.microsoft.com/office/drawing/2014/main" id="{46DFB86C-2F28-5D53-E528-B692B9811C46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FFE04ABF-F679-33EC-3A24-CB0074E6A08E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3" name="Isosceles Triangle 1242">
            <a:extLst>
              <a:ext uri="{FF2B5EF4-FFF2-40B4-BE49-F238E27FC236}">
                <a16:creationId xmlns:a16="http://schemas.microsoft.com/office/drawing/2014/main" id="{18C1F002-92D1-9FAF-6604-953A42E68D3C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0E1B5DA5-D69D-28AC-D0AC-F7E3D8F80B93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45" name="Oval 1244">
            <a:extLst>
              <a:ext uri="{FF2B5EF4-FFF2-40B4-BE49-F238E27FC236}">
                <a16:creationId xmlns:a16="http://schemas.microsoft.com/office/drawing/2014/main" id="{95087AA0-02DF-28B7-788A-FD1EC6AFF6E2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46" name="Straight Arrow Connector 1245">
            <a:extLst>
              <a:ext uri="{FF2B5EF4-FFF2-40B4-BE49-F238E27FC236}">
                <a16:creationId xmlns:a16="http://schemas.microsoft.com/office/drawing/2014/main" id="{BEE5703B-3393-BA9C-572A-C4370E4CCFD4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Arrow Connector 1246">
            <a:extLst>
              <a:ext uri="{FF2B5EF4-FFF2-40B4-BE49-F238E27FC236}">
                <a16:creationId xmlns:a16="http://schemas.microsoft.com/office/drawing/2014/main" id="{3C370CC7-19A3-5024-F8DF-C24F6BBBE2B0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48" name="Arc 1247">
            <a:extLst>
              <a:ext uri="{FF2B5EF4-FFF2-40B4-BE49-F238E27FC236}">
                <a16:creationId xmlns:a16="http://schemas.microsoft.com/office/drawing/2014/main" id="{517D3B2B-B76A-B81F-004C-61B17E2101A9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9" name="TextBox 1248">
            <a:extLst>
              <a:ext uri="{FF2B5EF4-FFF2-40B4-BE49-F238E27FC236}">
                <a16:creationId xmlns:a16="http://schemas.microsoft.com/office/drawing/2014/main" id="{F9AD9418-56C9-80DA-6188-5080B4410D9B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250" name="TextBox 1249">
            <a:extLst>
              <a:ext uri="{FF2B5EF4-FFF2-40B4-BE49-F238E27FC236}">
                <a16:creationId xmlns:a16="http://schemas.microsoft.com/office/drawing/2014/main" id="{9F40B671-9A9E-6447-989A-30719F0552DC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1251" name="TextBox 1250">
            <a:extLst>
              <a:ext uri="{FF2B5EF4-FFF2-40B4-BE49-F238E27FC236}">
                <a16:creationId xmlns:a16="http://schemas.microsoft.com/office/drawing/2014/main" id="{3F7A6C17-25B3-B293-3795-332E84994B1F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44</xdr:col>
      <xdr:colOff>104775</xdr:colOff>
      <xdr:row>229</xdr:row>
      <xdr:rowOff>66675</xdr:rowOff>
    </xdr:from>
    <xdr:to>
      <xdr:col>46</xdr:col>
      <xdr:colOff>66675</xdr:colOff>
      <xdr:row>229</xdr:row>
      <xdr:rowOff>66675</xdr:rowOff>
    </xdr:to>
    <xdr:cxnSp macro="">
      <xdr:nvCxnSpPr>
        <xdr:cNvPr id="1236" name="Straight Arrow Connector 1235">
          <a:extLst>
            <a:ext uri="{FF2B5EF4-FFF2-40B4-BE49-F238E27FC236}">
              <a16:creationId xmlns:a16="http://schemas.microsoft.com/office/drawing/2014/main" id="{730E1861-8929-FFF8-9612-B161E9568F9E}"/>
            </a:ext>
          </a:extLst>
        </xdr:cNvPr>
        <xdr:cNvCxnSpPr/>
      </xdr:nvCxnSpPr>
      <xdr:spPr>
        <a:xfrm>
          <a:off x="5772150" y="269748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230</xdr:row>
      <xdr:rowOff>66675</xdr:rowOff>
    </xdr:from>
    <xdr:to>
      <xdr:col>28</xdr:col>
      <xdr:colOff>38100</xdr:colOff>
      <xdr:row>230</xdr:row>
      <xdr:rowOff>66675</xdr:rowOff>
    </xdr:to>
    <xdr:cxnSp macro="">
      <xdr:nvCxnSpPr>
        <xdr:cNvPr id="1237" name="Straight Arrow Connector 1236">
          <a:extLst>
            <a:ext uri="{FF2B5EF4-FFF2-40B4-BE49-F238E27FC236}">
              <a16:creationId xmlns:a16="http://schemas.microsoft.com/office/drawing/2014/main" id="{77C201E8-C834-0CF4-2998-0A8FA81381B8}"/>
            </a:ext>
          </a:extLst>
        </xdr:cNvPr>
        <xdr:cNvCxnSpPr/>
      </xdr:nvCxnSpPr>
      <xdr:spPr>
        <a:xfrm>
          <a:off x="3314700" y="271176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104775</xdr:colOff>
      <xdr:row>231</xdr:row>
      <xdr:rowOff>66675</xdr:rowOff>
    </xdr:from>
    <xdr:to>
      <xdr:col>37</xdr:col>
      <xdr:colOff>66675</xdr:colOff>
      <xdr:row>231</xdr:row>
      <xdr:rowOff>66675</xdr:rowOff>
    </xdr:to>
    <xdr:cxnSp macro="">
      <xdr:nvCxnSpPr>
        <xdr:cNvPr id="1238" name="Straight Arrow Connector 1237">
          <a:extLst>
            <a:ext uri="{FF2B5EF4-FFF2-40B4-BE49-F238E27FC236}">
              <a16:creationId xmlns:a16="http://schemas.microsoft.com/office/drawing/2014/main" id="{0C06BA6D-0D3E-8680-73AE-5088303B3AD9}"/>
            </a:ext>
          </a:extLst>
        </xdr:cNvPr>
        <xdr:cNvCxnSpPr/>
      </xdr:nvCxnSpPr>
      <xdr:spPr>
        <a:xfrm>
          <a:off x="5772150" y="27260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232</xdr:row>
      <xdr:rowOff>66675</xdr:rowOff>
    </xdr:from>
    <xdr:to>
      <xdr:col>34</xdr:col>
      <xdr:colOff>66675</xdr:colOff>
      <xdr:row>232</xdr:row>
      <xdr:rowOff>66675</xdr:rowOff>
    </xdr:to>
    <xdr:cxnSp macro="">
      <xdr:nvCxnSpPr>
        <xdr:cNvPr id="1239" name="Straight Arrow Connector 1238">
          <a:extLst>
            <a:ext uri="{FF2B5EF4-FFF2-40B4-BE49-F238E27FC236}">
              <a16:creationId xmlns:a16="http://schemas.microsoft.com/office/drawing/2014/main" id="{41477178-D8C5-0226-A93F-4DBF18C59DD6}"/>
            </a:ext>
          </a:extLst>
        </xdr:cNvPr>
        <xdr:cNvCxnSpPr/>
      </xdr:nvCxnSpPr>
      <xdr:spPr>
        <a:xfrm>
          <a:off x="5286375" y="27403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90486</xdr:colOff>
      <xdr:row>827</xdr:row>
      <xdr:rowOff>9525</xdr:rowOff>
    </xdr:from>
    <xdr:to>
      <xdr:col>63</xdr:col>
      <xdr:colOff>76200</xdr:colOff>
      <xdr:row>852</xdr:row>
      <xdr:rowOff>133350</xdr:rowOff>
    </xdr:to>
    <xdr:grpSp>
      <xdr:nvGrpSpPr>
        <xdr:cNvPr id="1273" name="Group 1272">
          <a:extLst>
            <a:ext uri="{FF2B5EF4-FFF2-40B4-BE49-F238E27FC236}">
              <a16:creationId xmlns:a16="http://schemas.microsoft.com/office/drawing/2014/main" id="{2BC50F3A-6D68-4E9C-864A-CCDD842C11D8}"/>
            </a:ext>
          </a:extLst>
        </xdr:cNvPr>
        <xdr:cNvGrpSpPr/>
      </xdr:nvGrpSpPr>
      <xdr:grpSpPr>
        <a:xfrm>
          <a:off x="6405561" y="118643400"/>
          <a:ext cx="3871914" cy="3695700"/>
          <a:chOff x="7872411" y="714375"/>
          <a:chExt cx="3871914" cy="3695700"/>
        </a:xfrm>
      </xdr:grpSpPr>
      <xdr:sp macro="" textlink="">
        <xdr:nvSpPr>
          <xdr:cNvPr id="1274" name="Arc 1273">
            <a:extLst>
              <a:ext uri="{FF2B5EF4-FFF2-40B4-BE49-F238E27FC236}">
                <a16:creationId xmlns:a16="http://schemas.microsoft.com/office/drawing/2014/main" id="{51406067-9F64-1336-A213-366CE09879E6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6CDDE639-BDA1-A555-5812-BBEC53188FE6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6" name="Isosceles Triangle 1275">
            <a:extLst>
              <a:ext uri="{FF2B5EF4-FFF2-40B4-BE49-F238E27FC236}">
                <a16:creationId xmlns:a16="http://schemas.microsoft.com/office/drawing/2014/main" id="{5BBAB8C8-1531-24EB-B62A-7ECD33E05E61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AEA8BCC9-0F14-0ACE-822C-E93C0121E089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8" name="Oval 1277">
            <a:extLst>
              <a:ext uri="{FF2B5EF4-FFF2-40B4-BE49-F238E27FC236}">
                <a16:creationId xmlns:a16="http://schemas.microsoft.com/office/drawing/2014/main" id="{A3B64353-5E45-6FB1-CA06-FCB94BB0ABCE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9" name="Straight Arrow Connector 1278">
            <a:extLst>
              <a:ext uri="{FF2B5EF4-FFF2-40B4-BE49-F238E27FC236}">
                <a16:creationId xmlns:a16="http://schemas.microsoft.com/office/drawing/2014/main" id="{0CCD3057-004E-20C8-45DD-AF23B44D081D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0" name="Straight Arrow Connector 1279">
            <a:extLst>
              <a:ext uri="{FF2B5EF4-FFF2-40B4-BE49-F238E27FC236}">
                <a16:creationId xmlns:a16="http://schemas.microsoft.com/office/drawing/2014/main" id="{58902421-79B7-3019-6F45-131746D8F720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1" name="Arc 1280">
            <a:extLst>
              <a:ext uri="{FF2B5EF4-FFF2-40B4-BE49-F238E27FC236}">
                <a16:creationId xmlns:a16="http://schemas.microsoft.com/office/drawing/2014/main" id="{667477F2-BBC3-24CD-317F-FE3F83C9F69C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2" name="TextBox 1281">
            <a:extLst>
              <a:ext uri="{FF2B5EF4-FFF2-40B4-BE49-F238E27FC236}">
                <a16:creationId xmlns:a16="http://schemas.microsoft.com/office/drawing/2014/main" id="{22382D23-7EA6-A071-F686-5FA2F66EF2DA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283" name="TextBox 1282">
            <a:extLst>
              <a:ext uri="{FF2B5EF4-FFF2-40B4-BE49-F238E27FC236}">
                <a16:creationId xmlns:a16="http://schemas.microsoft.com/office/drawing/2014/main" id="{FCAAAB16-FC93-DC78-97F4-2DA0A58408C6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1284" name="TextBox 1283">
            <a:extLst>
              <a:ext uri="{FF2B5EF4-FFF2-40B4-BE49-F238E27FC236}">
                <a16:creationId xmlns:a16="http://schemas.microsoft.com/office/drawing/2014/main" id="{8A937B97-4C60-57C1-F7C4-57C3BA20F612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32</xdr:col>
      <xdr:colOff>104775</xdr:colOff>
      <xdr:row>850</xdr:row>
      <xdr:rowOff>65683</xdr:rowOff>
    </xdr:from>
    <xdr:to>
      <xdr:col>34</xdr:col>
      <xdr:colOff>66675</xdr:colOff>
      <xdr:row>850</xdr:row>
      <xdr:rowOff>65683</xdr:rowOff>
    </xdr:to>
    <xdr:cxnSp macro="">
      <xdr:nvCxnSpPr>
        <xdr:cNvPr id="1365" name="Straight Arrow Connector 1364">
          <a:extLst>
            <a:ext uri="{FF2B5EF4-FFF2-40B4-BE49-F238E27FC236}">
              <a16:creationId xmlns:a16="http://schemas.microsoft.com/office/drawing/2014/main" id="{CCA1DFD5-2A43-92E1-45A1-A9AA0957A748}"/>
            </a:ext>
          </a:extLst>
        </xdr:cNvPr>
        <xdr:cNvCxnSpPr/>
      </xdr:nvCxnSpPr>
      <xdr:spPr>
        <a:xfrm>
          <a:off x="4314825" y="110555683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851</xdr:row>
      <xdr:rowOff>66014</xdr:rowOff>
    </xdr:from>
    <xdr:to>
      <xdr:col>25</xdr:col>
      <xdr:colOff>38100</xdr:colOff>
      <xdr:row>851</xdr:row>
      <xdr:rowOff>66014</xdr:rowOff>
    </xdr:to>
    <xdr:cxnSp macro="">
      <xdr:nvCxnSpPr>
        <xdr:cNvPr id="1366" name="Straight Arrow Connector 1365">
          <a:extLst>
            <a:ext uri="{FF2B5EF4-FFF2-40B4-BE49-F238E27FC236}">
              <a16:creationId xmlns:a16="http://schemas.microsoft.com/office/drawing/2014/main" id="{D990AF7E-1CF0-93AE-5FEE-CDB62A2F846A}"/>
            </a:ext>
          </a:extLst>
        </xdr:cNvPr>
        <xdr:cNvCxnSpPr/>
      </xdr:nvCxnSpPr>
      <xdr:spPr>
        <a:xfrm>
          <a:off x="3314700" y="110698889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104775</xdr:colOff>
      <xdr:row>852</xdr:row>
      <xdr:rowOff>66344</xdr:rowOff>
    </xdr:from>
    <xdr:to>
      <xdr:col>25</xdr:col>
      <xdr:colOff>66675</xdr:colOff>
      <xdr:row>852</xdr:row>
      <xdr:rowOff>66344</xdr:rowOff>
    </xdr:to>
    <xdr:cxnSp macro="">
      <xdr:nvCxnSpPr>
        <xdr:cNvPr id="1367" name="Straight Arrow Connector 1366">
          <a:extLst>
            <a:ext uri="{FF2B5EF4-FFF2-40B4-BE49-F238E27FC236}">
              <a16:creationId xmlns:a16="http://schemas.microsoft.com/office/drawing/2014/main" id="{2D2993D1-CBB6-5C91-4968-7FB06411E3B9}"/>
            </a:ext>
          </a:extLst>
        </xdr:cNvPr>
        <xdr:cNvCxnSpPr/>
      </xdr:nvCxnSpPr>
      <xdr:spPr>
        <a:xfrm>
          <a:off x="4314825" y="110842094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853</xdr:row>
      <xdr:rowOff>66675</xdr:rowOff>
    </xdr:from>
    <xdr:to>
      <xdr:col>31</xdr:col>
      <xdr:colOff>66675</xdr:colOff>
      <xdr:row>853</xdr:row>
      <xdr:rowOff>66675</xdr:rowOff>
    </xdr:to>
    <xdr:cxnSp macro="">
      <xdr:nvCxnSpPr>
        <xdr:cNvPr id="1368" name="Straight Arrow Connector 1367">
          <a:extLst>
            <a:ext uri="{FF2B5EF4-FFF2-40B4-BE49-F238E27FC236}">
              <a16:creationId xmlns:a16="http://schemas.microsoft.com/office/drawing/2014/main" id="{F5F23348-2B68-33DD-CB24-6C183B511B10}"/>
            </a:ext>
          </a:extLst>
        </xdr:cNvPr>
        <xdr:cNvCxnSpPr/>
      </xdr:nvCxnSpPr>
      <xdr:spPr>
        <a:xfrm>
          <a:off x="5286375" y="110985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816</xdr:row>
      <xdr:rowOff>66014</xdr:rowOff>
    </xdr:from>
    <xdr:to>
      <xdr:col>25</xdr:col>
      <xdr:colOff>38100</xdr:colOff>
      <xdr:row>816</xdr:row>
      <xdr:rowOff>66014</xdr:rowOff>
    </xdr:to>
    <xdr:cxnSp macro="">
      <xdr:nvCxnSpPr>
        <xdr:cNvPr id="626" name="Straight Arrow Connector 625">
          <a:extLst>
            <a:ext uri="{FF2B5EF4-FFF2-40B4-BE49-F238E27FC236}">
              <a16:creationId xmlns:a16="http://schemas.microsoft.com/office/drawing/2014/main" id="{F7078481-7D32-DAE8-73AC-8B01324FA579}"/>
            </a:ext>
          </a:extLst>
        </xdr:cNvPr>
        <xdr:cNvCxnSpPr/>
      </xdr:nvCxnSpPr>
      <xdr:spPr>
        <a:xfrm>
          <a:off x="3314700" y="105555389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817</xdr:row>
      <xdr:rowOff>66344</xdr:rowOff>
    </xdr:from>
    <xdr:to>
      <xdr:col>34</xdr:col>
      <xdr:colOff>66675</xdr:colOff>
      <xdr:row>817</xdr:row>
      <xdr:rowOff>66344</xdr:rowOff>
    </xdr:to>
    <xdr:cxnSp macro="">
      <xdr:nvCxnSpPr>
        <xdr:cNvPr id="627" name="Straight Arrow Connector 626">
          <a:extLst>
            <a:ext uri="{FF2B5EF4-FFF2-40B4-BE49-F238E27FC236}">
              <a16:creationId xmlns:a16="http://schemas.microsoft.com/office/drawing/2014/main" id="{CB59CAB4-D870-C139-E125-E6C548649A48}"/>
            </a:ext>
          </a:extLst>
        </xdr:cNvPr>
        <xdr:cNvCxnSpPr/>
      </xdr:nvCxnSpPr>
      <xdr:spPr>
        <a:xfrm>
          <a:off x="5772150" y="105698594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818</xdr:row>
      <xdr:rowOff>66675</xdr:rowOff>
    </xdr:from>
    <xdr:to>
      <xdr:col>31</xdr:col>
      <xdr:colOff>66675</xdr:colOff>
      <xdr:row>818</xdr:row>
      <xdr:rowOff>66675</xdr:rowOff>
    </xdr:to>
    <xdr:cxnSp macro="">
      <xdr:nvCxnSpPr>
        <xdr:cNvPr id="628" name="Straight Arrow Connector 627">
          <a:extLst>
            <a:ext uri="{FF2B5EF4-FFF2-40B4-BE49-F238E27FC236}">
              <a16:creationId xmlns:a16="http://schemas.microsoft.com/office/drawing/2014/main" id="{6BD69875-63A6-DABD-34D6-02FDDD937AD2}"/>
            </a:ext>
          </a:extLst>
        </xdr:cNvPr>
        <xdr:cNvCxnSpPr/>
      </xdr:nvCxnSpPr>
      <xdr:spPr>
        <a:xfrm>
          <a:off x="5286375" y="1058418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114300</xdr:colOff>
      <xdr:row>473</xdr:row>
      <xdr:rowOff>133350</xdr:rowOff>
    </xdr:from>
    <xdr:to>
      <xdr:col>70</xdr:col>
      <xdr:colOff>85725</xdr:colOff>
      <xdr:row>517</xdr:row>
      <xdr:rowOff>28575</xdr:rowOff>
    </xdr:to>
    <xdr:grpSp>
      <xdr:nvGrpSpPr>
        <xdr:cNvPr id="1395" name="Group 1394">
          <a:extLst>
            <a:ext uri="{FF2B5EF4-FFF2-40B4-BE49-F238E27FC236}">
              <a16:creationId xmlns:a16="http://schemas.microsoft.com/office/drawing/2014/main" id="{F3F86EF3-C72C-4125-887A-B356EEAC79CC}"/>
            </a:ext>
          </a:extLst>
        </xdr:cNvPr>
        <xdr:cNvGrpSpPr/>
      </xdr:nvGrpSpPr>
      <xdr:grpSpPr>
        <a:xfrm>
          <a:off x="7239000" y="68189475"/>
          <a:ext cx="4181475" cy="6181725"/>
          <a:chOff x="8296275" y="19850100"/>
          <a:chExt cx="4181475" cy="6181725"/>
        </a:xfrm>
      </xdr:grpSpPr>
      <xdr:sp macro="" textlink="">
        <xdr:nvSpPr>
          <xdr:cNvPr id="1396" name="Arc 1395">
            <a:extLst>
              <a:ext uri="{FF2B5EF4-FFF2-40B4-BE49-F238E27FC236}">
                <a16:creationId xmlns:a16="http://schemas.microsoft.com/office/drawing/2014/main" id="{335658E0-BE10-B949-217A-004325CCFB03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AE2E3EA0-33E0-A75E-35E8-8E8D93EFC55B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8" name="Isosceles Triangle 1397">
            <a:extLst>
              <a:ext uri="{FF2B5EF4-FFF2-40B4-BE49-F238E27FC236}">
                <a16:creationId xmlns:a16="http://schemas.microsoft.com/office/drawing/2014/main" id="{E4C3BF20-2D72-5D30-D4EB-774D43FEC61D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9" name="Straight Connector 1398">
            <a:extLst>
              <a:ext uri="{FF2B5EF4-FFF2-40B4-BE49-F238E27FC236}">
                <a16:creationId xmlns:a16="http://schemas.microsoft.com/office/drawing/2014/main" id="{2D3E29D7-D852-2732-C870-BD1498A6BD5B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0" name="Oval 1399">
            <a:extLst>
              <a:ext uri="{FF2B5EF4-FFF2-40B4-BE49-F238E27FC236}">
                <a16:creationId xmlns:a16="http://schemas.microsoft.com/office/drawing/2014/main" id="{B0C3A49C-7DE0-A3A4-D6E4-7932DDC4D456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1" name="Straight Arrow Connector 1400">
            <a:extLst>
              <a:ext uri="{FF2B5EF4-FFF2-40B4-BE49-F238E27FC236}">
                <a16:creationId xmlns:a16="http://schemas.microsoft.com/office/drawing/2014/main" id="{F8000A79-27B1-F7D1-A244-A98F4B9F9661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Arrow Connector 1401">
            <a:extLst>
              <a:ext uri="{FF2B5EF4-FFF2-40B4-BE49-F238E27FC236}">
                <a16:creationId xmlns:a16="http://schemas.microsoft.com/office/drawing/2014/main" id="{AB57C1D7-814A-FA5B-2A0A-87691191E670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3" name="Arc 1402">
            <a:extLst>
              <a:ext uri="{FF2B5EF4-FFF2-40B4-BE49-F238E27FC236}">
                <a16:creationId xmlns:a16="http://schemas.microsoft.com/office/drawing/2014/main" id="{40EA0878-28BE-FF44-3E4C-F0D65361B0AD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04" name="TextBox 1403">
            <a:extLst>
              <a:ext uri="{FF2B5EF4-FFF2-40B4-BE49-F238E27FC236}">
                <a16:creationId xmlns:a16="http://schemas.microsoft.com/office/drawing/2014/main" id="{8999A466-5702-2BDD-6D81-EE514E6B512C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405" name="TextBox 1404">
            <a:extLst>
              <a:ext uri="{FF2B5EF4-FFF2-40B4-BE49-F238E27FC236}">
                <a16:creationId xmlns:a16="http://schemas.microsoft.com/office/drawing/2014/main" id="{D55F519E-F302-01EF-AB02-5FBF52DAFC6A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1406" name="TextBox 1405">
            <a:extLst>
              <a:ext uri="{FF2B5EF4-FFF2-40B4-BE49-F238E27FC236}">
                <a16:creationId xmlns:a16="http://schemas.microsoft.com/office/drawing/2014/main" id="{EF92BAB8-484A-B08C-BD79-D9395A82E6E0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21</xdr:col>
      <xdr:colOff>104775</xdr:colOff>
      <xdr:row>500</xdr:row>
      <xdr:rowOff>66675</xdr:rowOff>
    </xdr:from>
    <xdr:to>
      <xdr:col>23</xdr:col>
      <xdr:colOff>66675</xdr:colOff>
      <xdr:row>500</xdr:row>
      <xdr:rowOff>66675</xdr:rowOff>
    </xdr:to>
    <xdr:cxnSp macro="">
      <xdr:nvCxnSpPr>
        <xdr:cNvPr id="1407" name="Straight Arrow Connector 1406">
          <a:extLst>
            <a:ext uri="{FF2B5EF4-FFF2-40B4-BE49-F238E27FC236}">
              <a16:creationId xmlns:a16="http://schemas.microsoft.com/office/drawing/2014/main" id="{3ABF8D99-1E2B-4527-843A-8694127D384B}"/>
            </a:ext>
          </a:extLst>
        </xdr:cNvPr>
        <xdr:cNvCxnSpPr/>
      </xdr:nvCxnSpPr>
      <xdr:spPr>
        <a:xfrm>
          <a:off x="3505200" y="43691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104775</xdr:colOff>
      <xdr:row>501</xdr:row>
      <xdr:rowOff>66675</xdr:rowOff>
    </xdr:from>
    <xdr:to>
      <xdr:col>23</xdr:col>
      <xdr:colOff>66675</xdr:colOff>
      <xdr:row>501</xdr:row>
      <xdr:rowOff>66675</xdr:rowOff>
    </xdr:to>
    <xdr:cxnSp macro="">
      <xdr:nvCxnSpPr>
        <xdr:cNvPr id="1408" name="Straight Arrow Connector 1407">
          <a:extLst>
            <a:ext uri="{FF2B5EF4-FFF2-40B4-BE49-F238E27FC236}">
              <a16:creationId xmlns:a16="http://schemas.microsoft.com/office/drawing/2014/main" id="{4A090F5F-C075-490B-8A46-A0C6083EEE18}"/>
            </a:ext>
          </a:extLst>
        </xdr:cNvPr>
        <xdr:cNvCxnSpPr/>
      </xdr:nvCxnSpPr>
      <xdr:spPr>
        <a:xfrm>
          <a:off x="3505200" y="43834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104775</xdr:colOff>
      <xdr:row>503</xdr:row>
      <xdr:rowOff>66675</xdr:rowOff>
    </xdr:from>
    <xdr:to>
      <xdr:col>46</xdr:col>
      <xdr:colOff>66675</xdr:colOff>
      <xdr:row>503</xdr:row>
      <xdr:rowOff>66675</xdr:rowOff>
    </xdr:to>
    <xdr:cxnSp macro="">
      <xdr:nvCxnSpPr>
        <xdr:cNvPr id="1409" name="Straight Arrow Connector 1408">
          <a:extLst>
            <a:ext uri="{FF2B5EF4-FFF2-40B4-BE49-F238E27FC236}">
              <a16:creationId xmlns:a16="http://schemas.microsoft.com/office/drawing/2014/main" id="{9CCDBE56-0C94-41E2-BBFE-E280E989EDDE}"/>
            </a:ext>
          </a:extLst>
        </xdr:cNvPr>
        <xdr:cNvCxnSpPr/>
      </xdr:nvCxnSpPr>
      <xdr:spPr>
        <a:xfrm>
          <a:off x="7229475" y="66122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504</xdr:row>
      <xdr:rowOff>66675</xdr:rowOff>
    </xdr:from>
    <xdr:to>
      <xdr:col>28</xdr:col>
      <xdr:colOff>38100</xdr:colOff>
      <xdr:row>504</xdr:row>
      <xdr:rowOff>66675</xdr:rowOff>
    </xdr:to>
    <xdr:cxnSp macro="">
      <xdr:nvCxnSpPr>
        <xdr:cNvPr id="1410" name="Straight Arrow Connector 1409">
          <a:extLst>
            <a:ext uri="{FF2B5EF4-FFF2-40B4-BE49-F238E27FC236}">
              <a16:creationId xmlns:a16="http://schemas.microsoft.com/office/drawing/2014/main" id="{51F7089E-5517-44A6-94A8-D4966927FB21}"/>
            </a:ext>
          </a:extLst>
        </xdr:cNvPr>
        <xdr:cNvCxnSpPr/>
      </xdr:nvCxnSpPr>
      <xdr:spPr>
        <a:xfrm>
          <a:off x="3314700" y="442626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104775</xdr:colOff>
      <xdr:row>505</xdr:row>
      <xdr:rowOff>66675</xdr:rowOff>
    </xdr:from>
    <xdr:to>
      <xdr:col>37</xdr:col>
      <xdr:colOff>66675</xdr:colOff>
      <xdr:row>505</xdr:row>
      <xdr:rowOff>66675</xdr:rowOff>
    </xdr:to>
    <xdr:cxnSp macro="">
      <xdr:nvCxnSpPr>
        <xdr:cNvPr id="1411" name="Straight Arrow Connector 1410">
          <a:extLst>
            <a:ext uri="{FF2B5EF4-FFF2-40B4-BE49-F238E27FC236}">
              <a16:creationId xmlns:a16="http://schemas.microsoft.com/office/drawing/2014/main" id="{A0C744EF-CC8F-4AFC-98BF-EADED2E2C027}"/>
            </a:ext>
          </a:extLst>
        </xdr:cNvPr>
        <xdr:cNvCxnSpPr/>
      </xdr:nvCxnSpPr>
      <xdr:spPr>
        <a:xfrm>
          <a:off x="4314825" y="44405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506</xdr:row>
      <xdr:rowOff>66675</xdr:rowOff>
    </xdr:from>
    <xdr:to>
      <xdr:col>34</xdr:col>
      <xdr:colOff>66675</xdr:colOff>
      <xdr:row>506</xdr:row>
      <xdr:rowOff>66675</xdr:rowOff>
    </xdr:to>
    <xdr:cxnSp macro="">
      <xdr:nvCxnSpPr>
        <xdr:cNvPr id="1412" name="Straight Arrow Connector 1411">
          <a:extLst>
            <a:ext uri="{FF2B5EF4-FFF2-40B4-BE49-F238E27FC236}">
              <a16:creationId xmlns:a16="http://schemas.microsoft.com/office/drawing/2014/main" id="{6CA3397A-8EBB-49FC-9C98-E3D0FD8124E3}"/>
            </a:ext>
          </a:extLst>
        </xdr:cNvPr>
        <xdr:cNvCxnSpPr/>
      </xdr:nvCxnSpPr>
      <xdr:spPr>
        <a:xfrm>
          <a:off x="5286375" y="44548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76201</xdr:colOff>
      <xdr:row>1037</xdr:row>
      <xdr:rowOff>70879</xdr:rowOff>
    </xdr:from>
    <xdr:to>
      <xdr:col>25</xdr:col>
      <xdr:colOff>38101</xdr:colOff>
      <xdr:row>1037</xdr:row>
      <xdr:rowOff>70879</xdr:rowOff>
    </xdr:to>
    <xdr:cxnSp macro="">
      <xdr:nvCxnSpPr>
        <xdr:cNvPr id="1585" name="Straight Arrow Connector 1584">
          <a:extLst>
            <a:ext uri="{FF2B5EF4-FFF2-40B4-BE49-F238E27FC236}">
              <a16:creationId xmlns:a16="http://schemas.microsoft.com/office/drawing/2014/main" id="{6A44616F-E6DA-4C4C-2E11-08D74A35FC87}"/>
            </a:ext>
          </a:extLst>
        </xdr:cNvPr>
        <xdr:cNvCxnSpPr/>
      </xdr:nvCxnSpPr>
      <xdr:spPr>
        <a:xfrm>
          <a:off x="3314701" y="83700379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104776</xdr:colOff>
      <xdr:row>1038</xdr:row>
      <xdr:rowOff>71297</xdr:rowOff>
    </xdr:from>
    <xdr:to>
      <xdr:col>34</xdr:col>
      <xdr:colOff>66676</xdr:colOff>
      <xdr:row>1038</xdr:row>
      <xdr:rowOff>71297</xdr:rowOff>
    </xdr:to>
    <xdr:cxnSp macro="">
      <xdr:nvCxnSpPr>
        <xdr:cNvPr id="1586" name="Straight Arrow Connector 1585">
          <a:extLst>
            <a:ext uri="{FF2B5EF4-FFF2-40B4-BE49-F238E27FC236}">
              <a16:creationId xmlns:a16="http://schemas.microsoft.com/office/drawing/2014/main" id="{6F48AC6F-CCAD-FA93-4582-5A1729E2B649}"/>
            </a:ext>
          </a:extLst>
        </xdr:cNvPr>
        <xdr:cNvCxnSpPr/>
      </xdr:nvCxnSpPr>
      <xdr:spPr>
        <a:xfrm>
          <a:off x="4314826" y="83843672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104776</xdr:colOff>
      <xdr:row>1039</xdr:row>
      <xdr:rowOff>71715</xdr:rowOff>
    </xdr:from>
    <xdr:to>
      <xdr:col>31</xdr:col>
      <xdr:colOff>66676</xdr:colOff>
      <xdr:row>1039</xdr:row>
      <xdr:rowOff>71715</xdr:rowOff>
    </xdr:to>
    <xdr:cxnSp macro="">
      <xdr:nvCxnSpPr>
        <xdr:cNvPr id="1587" name="Straight Arrow Connector 1586">
          <a:extLst>
            <a:ext uri="{FF2B5EF4-FFF2-40B4-BE49-F238E27FC236}">
              <a16:creationId xmlns:a16="http://schemas.microsoft.com/office/drawing/2014/main" id="{A370EFC7-BF28-8955-DE96-54906CAFA93D}"/>
            </a:ext>
          </a:extLst>
        </xdr:cNvPr>
        <xdr:cNvCxnSpPr/>
      </xdr:nvCxnSpPr>
      <xdr:spPr>
        <a:xfrm>
          <a:off x="5286376" y="8398696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95250</xdr:colOff>
      <xdr:row>1018</xdr:row>
      <xdr:rowOff>85725</xdr:rowOff>
    </xdr:from>
    <xdr:to>
      <xdr:col>63</xdr:col>
      <xdr:colOff>66675</xdr:colOff>
      <xdr:row>1061</xdr:row>
      <xdr:rowOff>123825</xdr:rowOff>
    </xdr:to>
    <xdr:grpSp>
      <xdr:nvGrpSpPr>
        <xdr:cNvPr id="1614" name="Group 1613">
          <a:extLst>
            <a:ext uri="{FF2B5EF4-FFF2-40B4-BE49-F238E27FC236}">
              <a16:creationId xmlns:a16="http://schemas.microsoft.com/office/drawing/2014/main" id="{17219C96-E31E-444A-8CCC-67AB6715D442}"/>
            </a:ext>
          </a:extLst>
        </xdr:cNvPr>
        <xdr:cNvGrpSpPr/>
      </xdr:nvGrpSpPr>
      <xdr:grpSpPr>
        <a:xfrm>
          <a:off x="6086475" y="146008725"/>
          <a:ext cx="4181475" cy="6181725"/>
          <a:chOff x="8296275" y="19850100"/>
          <a:chExt cx="4181475" cy="6181725"/>
        </a:xfrm>
      </xdr:grpSpPr>
      <xdr:sp macro="" textlink="">
        <xdr:nvSpPr>
          <xdr:cNvPr id="1615" name="Arc 1614">
            <a:extLst>
              <a:ext uri="{FF2B5EF4-FFF2-40B4-BE49-F238E27FC236}">
                <a16:creationId xmlns:a16="http://schemas.microsoft.com/office/drawing/2014/main" id="{08ADCDDE-903B-2C3A-4A1D-614930965DEB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27D48DCA-5237-3D7D-5F68-5C44643C1F44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17" name="Isosceles Triangle 1616">
            <a:extLst>
              <a:ext uri="{FF2B5EF4-FFF2-40B4-BE49-F238E27FC236}">
                <a16:creationId xmlns:a16="http://schemas.microsoft.com/office/drawing/2014/main" id="{A3FD2AF0-DCEF-8A3B-2B7E-948B0B3EEC82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18" name="Straight Connector 1617">
            <a:extLst>
              <a:ext uri="{FF2B5EF4-FFF2-40B4-BE49-F238E27FC236}">
                <a16:creationId xmlns:a16="http://schemas.microsoft.com/office/drawing/2014/main" id="{4F3BF0ED-4019-B3D0-1A44-9D38FAF02AB2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9" name="Oval 1618">
            <a:extLst>
              <a:ext uri="{FF2B5EF4-FFF2-40B4-BE49-F238E27FC236}">
                <a16:creationId xmlns:a16="http://schemas.microsoft.com/office/drawing/2014/main" id="{6B69F7B1-597E-22C7-6894-DABE6AC91E68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20" name="Straight Arrow Connector 1619">
            <a:extLst>
              <a:ext uri="{FF2B5EF4-FFF2-40B4-BE49-F238E27FC236}">
                <a16:creationId xmlns:a16="http://schemas.microsoft.com/office/drawing/2014/main" id="{BA9341F3-6256-CBDE-6382-1AAD6E7A5841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1" name="Straight Arrow Connector 1620">
            <a:extLst>
              <a:ext uri="{FF2B5EF4-FFF2-40B4-BE49-F238E27FC236}">
                <a16:creationId xmlns:a16="http://schemas.microsoft.com/office/drawing/2014/main" id="{AFAAD3C0-69A0-C709-4EDE-09937DDC9709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2" name="Arc 1621">
            <a:extLst>
              <a:ext uri="{FF2B5EF4-FFF2-40B4-BE49-F238E27FC236}">
                <a16:creationId xmlns:a16="http://schemas.microsoft.com/office/drawing/2014/main" id="{0BFDCB2D-362F-849D-C7D3-617498C5BCE9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3" name="TextBox 1622">
            <a:extLst>
              <a:ext uri="{FF2B5EF4-FFF2-40B4-BE49-F238E27FC236}">
                <a16:creationId xmlns:a16="http://schemas.microsoft.com/office/drawing/2014/main" id="{236ED64C-C298-21F6-11D0-0D0EC908AAE0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624" name="TextBox 1623">
            <a:extLst>
              <a:ext uri="{FF2B5EF4-FFF2-40B4-BE49-F238E27FC236}">
                <a16:creationId xmlns:a16="http://schemas.microsoft.com/office/drawing/2014/main" id="{80052BDE-BDB3-B282-1E4C-07612A96AC5E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1625" name="TextBox 1624">
            <a:extLst>
              <a:ext uri="{FF2B5EF4-FFF2-40B4-BE49-F238E27FC236}">
                <a16:creationId xmlns:a16="http://schemas.microsoft.com/office/drawing/2014/main" id="{5C9EAF1C-3A91-4974-1268-87F94A9D1A38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30</xdr:col>
      <xdr:colOff>104775</xdr:colOff>
      <xdr:row>144</xdr:row>
      <xdr:rowOff>66675</xdr:rowOff>
    </xdr:from>
    <xdr:to>
      <xdr:col>32</xdr:col>
      <xdr:colOff>66675</xdr:colOff>
      <xdr:row>144</xdr:row>
      <xdr:rowOff>66675</xdr:rowOff>
    </xdr:to>
    <xdr:cxnSp macro="">
      <xdr:nvCxnSpPr>
        <xdr:cNvPr id="1893" name="Straight Arrow Connector 1892">
          <a:extLst>
            <a:ext uri="{FF2B5EF4-FFF2-40B4-BE49-F238E27FC236}">
              <a16:creationId xmlns:a16="http://schemas.microsoft.com/office/drawing/2014/main" id="{0513DB77-D323-4DC3-9B3E-FD4F76A09BD7}"/>
            </a:ext>
          </a:extLst>
        </xdr:cNvPr>
        <xdr:cNvCxnSpPr/>
      </xdr:nvCxnSpPr>
      <xdr:spPr>
        <a:xfrm>
          <a:off x="5772150" y="11258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145</xdr:row>
      <xdr:rowOff>66675</xdr:rowOff>
    </xdr:from>
    <xdr:to>
      <xdr:col>26</xdr:col>
      <xdr:colOff>38100</xdr:colOff>
      <xdr:row>145</xdr:row>
      <xdr:rowOff>66675</xdr:rowOff>
    </xdr:to>
    <xdr:cxnSp macro="">
      <xdr:nvCxnSpPr>
        <xdr:cNvPr id="1894" name="Straight Arrow Connector 1893">
          <a:extLst>
            <a:ext uri="{FF2B5EF4-FFF2-40B4-BE49-F238E27FC236}">
              <a16:creationId xmlns:a16="http://schemas.microsoft.com/office/drawing/2014/main" id="{075CC952-FE10-42B7-B065-C0D08AA84011}"/>
            </a:ext>
          </a:extLst>
        </xdr:cNvPr>
        <xdr:cNvCxnSpPr/>
      </xdr:nvCxnSpPr>
      <xdr:spPr>
        <a:xfrm>
          <a:off x="3314700" y="11401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76200</xdr:colOff>
      <xdr:row>146</xdr:row>
      <xdr:rowOff>66675</xdr:rowOff>
    </xdr:from>
    <xdr:to>
      <xdr:col>29</xdr:col>
      <xdr:colOff>38100</xdr:colOff>
      <xdr:row>146</xdr:row>
      <xdr:rowOff>66675</xdr:rowOff>
    </xdr:to>
    <xdr:cxnSp macro="">
      <xdr:nvCxnSpPr>
        <xdr:cNvPr id="1895" name="Straight Arrow Connector 1894">
          <a:extLst>
            <a:ext uri="{FF2B5EF4-FFF2-40B4-BE49-F238E27FC236}">
              <a16:creationId xmlns:a16="http://schemas.microsoft.com/office/drawing/2014/main" id="{A0A24ADA-3CC1-411B-9EFC-9B9EB25B559F}"/>
            </a:ext>
          </a:extLst>
        </xdr:cNvPr>
        <xdr:cNvCxnSpPr/>
      </xdr:nvCxnSpPr>
      <xdr:spPr>
        <a:xfrm>
          <a:off x="3314700" y="4972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85728</xdr:colOff>
      <xdr:row>118</xdr:row>
      <xdr:rowOff>109536</xdr:rowOff>
    </xdr:from>
    <xdr:to>
      <xdr:col>40</xdr:col>
      <xdr:colOff>66675</xdr:colOff>
      <xdr:row>149</xdr:row>
      <xdr:rowOff>114300</xdr:rowOff>
    </xdr:to>
    <xdr:grpSp>
      <xdr:nvGrpSpPr>
        <xdr:cNvPr id="1709" name="Group 1708">
          <a:extLst>
            <a:ext uri="{FF2B5EF4-FFF2-40B4-BE49-F238E27FC236}">
              <a16:creationId xmlns:a16="http://schemas.microsoft.com/office/drawing/2014/main" id="{9ED016E3-9BAE-38BE-41E9-3C2879286249}"/>
            </a:ext>
          </a:extLst>
        </xdr:cNvPr>
        <xdr:cNvGrpSpPr/>
      </xdr:nvGrpSpPr>
      <xdr:grpSpPr>
        <a:xfrm>
          <a:off x="1219203" y="17445036"/>
          <a:ext cx="5324472" cy="4433889"/>
          <a:chOff x="1219203" y="17445036"/>
          <a:chExt cx="5324472" cy="4433889"/>
        </a:xfrm>
      </xdr:grpSpPr>
      <xdr:sp macro="" textlink="">
        <xdr:nvSpPr>
          <xdr:cNvPr id="1413" name="Arc 1412">
            <a:extLst>
              <a:ext uri="{FF2B5EF4-FFF2-40B4-BE49-F238E27FC236}">
                <a16:creationId xmlns:a16="http://schemas.microsoft.com/office/drawing/2014/main" id="{DAB3E619-982D-821C-C14C-7AC3F9A57035}"/>
              </a:ext>
            </a:extLst>
          </xdr:cNvPr>
          <xdr:cNvSpPr/>
        </xdr:nvSpPr>
        <xdr:spPr>
          <a:xfrm>
            <a:off x="1743075" y="17916525"/>
            <a:ext cx="3962400" cy="3962400"/>
          </a:xfrm>
          <a:prstGeom prst="arc">
            <a:avLst>
              <a:gd name="adj1" fmla="val 12054284"/>
              <a:gd name="adj2" fmla="val 20343441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74" name="Straight Connector 1773">
            <a:extLst>
              <a:ext uri="{FF2B5EF4-FFF2-40B4-BE49-F238E27FC236}">
                <a16:creationId xmlns:a16="http://schemas.microsoft.com/office/drawing/2014/main" id="{11CEDF28-3A6E-AA11-3968-3FFDB43E29CF}"/>
              </a:ext>
            </a:extLst>
          </xdr:cNvPr>
          <xdr:cNvCxnSpPr/>
        </xdr:nvCxnSpPr>
        <xdr:spPr>
          <a:xfrm flipV="1">
            <a:off x="1295401" y="17840325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Straight Connector 1635">
            <a:extLst>
              <a:ext uri="{FF2B5EF4-FFF2-40B4-BE49-F238E27FC236}">
                <a16:creationId xmlns:a16="http://schemas.microsoft.com/office/drawing/2014/main" id="{C646424E-D65E-72A4-0EDE-B152C4D8572B}"/>
              </a:ext>
            </a:extLst>
          </xdr:cNvPr>
          <xdr:cNvCxnSpPr/>
        </xdr:nvCxnSpPr>
        <xdr:spPr>
          <a:xfrm>
            <a:off x="2276476" y="18621377"/>
            <a:ext cx="287654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D8473173-B2C6-46C5-8051-D86639F81D6B}"/>
              </a:ext>
            </a:extLst>
          </xdr:cNvPr>
          <xdr:cNvSpPr/>
        </xdr:nvSpPr>
        <xdr:spPr>
          <a:xfrm>
            <a:off x="1709737" y="193405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3" name="Isosceles Triangle 642">
            <a:extLst>
              <a:ext uri="{FF2B5EF4-FFF2-40B4-BE49-F238E27FC236}">
                <a16:creationId xmlns:a16="http://schemas.microsoft.com/office/drawing/2014/main" id="{3215A94E-2A2C-4A70-AD82-11BF7564D6CD}"/>
              </a:ext>
            </a:extLst>
          </xdr:cNvPr>
          <xdr:cNvSpPr/>
        </xdr:nvSpPr>
        <xdr:spPr>
          <a:xfrm>
            <a:off x="1794319" y="1920240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C98B0766-D6D5-4652-B4E0-00E14AB64F3C}"/>
              </a:ext>
            </a:extLst>
          </xdr:cNvPr>
          <xdr:cNvCxnSpPr/>
        </xdr:nvCxnSpPr>
        <xdr:spPr>
          <a:xfrm>
            <a:off x="1700211" y="193357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0" name="Oval 829">
            <a:extLst>
              <a:ext uri="{FF2B5EF4-FFF2-40B4-BE49-F238E27FC236}">
                <a16:creationId xmlns:a16="http://schemas.microsoft.com/office/drawing/2014/main" id="{65268160-4A05-43FB-AB62-66601A9B97B3}"/>
              </a:ext>
            </a:extLst>
          </xdr:cNvPr>
          <xdr:cNvSpPr/>
        </xdr:nvSpPr>
        <xdr:spPr>
          <a:xfrm>
            <a:off x="1828798" y="191452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52" name="Straight Arrow Connector 1251">
            <a:extLst>
              <a:ext uri="{FF2B5EF4-FFF2-40B4-BE49-F238E27FC236}">
                <a16:creationId xmlns:a16="http://schemas.microsoft.com/office/drawing/2014/main" id="{0D50D336-0490-4E6E-B04D-670EB4C30226}"/>
              </a:ext>
            </a:extLst>
          </xdr:cNvPr>
          <xdr:cNvCxnSpPr/>
        </xdr:nvCxnSpPr>
        <xdr:spPr>
          <a:xfrm flipV="1">
            <a:off x="1862136" y="194786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Arrow Connector 1253">
            <a:extLst>
              <a:ext uri="{FF2B5EF4-FFF2-40B4-BE49-F238E27FC236}">
                <a16:creationId xmlns:a16="http://schemas.microsoft.com/office/drawing/2014/main" id="{BD5A5783-6241-4906-9A32-BD25194E6AA3}"/>
              </a:ext>
            </a:extLst>
          </xdr:cNvPr>
          <xdr:cNvCxnSpPr/>
        </xdr:nvCxnSpPr>
        <xdr:spPr>
          <a:xfrm>
            <a:off x="1471613" y="1919287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6" name="Straight Connector 1255">
            <a:extLst>
              <a:ext uri="{FF2B5EF4-FFF2-40B4-BE49-F238E27FC236}">
                <a16:creationId xmlns:a16="http://schemas.microsoft.com/office/drawing/2014/main" id="{02FC2779-8750-4EA6-B975-F6047FDDD26F}"/>
              </a:ext>
            </a:extLst>
          </xdr:cNvPr>
          <xdr:cNvCxnSpPr/>
        </xdr:nvCxnSpPr>
        <xdr:spPr>
          <a:xfrm flipH="1">
            <a:off x="1219203" y="19192875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7" name="Straight Connector 1256">
            <a:extLst>
              <a:ext uri="{FF2B5EF4-FFF2-40B4-BE49-F238E27FC236}">
                <a16:creationId xmlns:a16="http://schemas.microsoft.com/office/drawing/2014/main" id="{AAB2978A-612D-4716-9ADD-C5B69A36CB6A}"/>
              </a:ext>
            </a:extLst>
          </xdr:cNvPr>
          <xdr:cNvCxnSpPr/>
        </xdr:nvCxnSpPr>
        <xdr:spPr>
          <a:xfrm flipH="1">
            <a:off x="1257303" y="191595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68A737FF-FD49-4D0F-A601-0D44CBB23EBA}"/>
              </a:ext>
            </a:extLst>
          </xdr:cNvPr>
          <xdr:cNvSpPr/>
        </xdr:nvSpPr>
        <xdr:spPr>
          <a:xfrm>
            <a:off x="5405434" y="193405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87" name="Isosceles Triangle 1386">
            <a:extLst>
              <a:ext uri="{FF2B5EF4-FFF2-40B4-BE49-F238E27FC236}">
                <a16:creationId xmlns:a16="http://schemas.microsoft.com/office/drawing/2014/main" id="{CFC13BD2-48B1-4E54-98C4-842224D65357}"/>
              </a:ext>
            </a:extLst>
          </xdr:cNvPr>
          <xdr:cNvSpPr/>
        </xdr:nvSpPr>
        <xdr:spPr>
          <a:xfrm>
            <a:off x="5505441" y="19187123"/>
            <a:ext cx="123834" cy="10675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88" name="Straight Connector 1387">
            <a:extLst>
              <a:ext uri="{FF2B5EF4-FFF2-40B4-BE49-F238E27FC236}">
                <a16:creationId xmlns:a16="http://schemas.microsoft.com/office/drawing/2014/main" id="{227AD7AE-49BF-459E-88C3-BF3B03F17464}"/>
              </a:ext>
            </a:extLst>
          </xdr:cNvPr>
          <xdr:cNvCxnSpPr/>
        </xdr:nvCxnSpPr>
        <xdr:spPr>
          <a:xfrm>
            <a:off x="5395908" y="193357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9" name="Oval 1388">
            <a:extLst>
              <a:ext uri="{FF2B5EF4-FFF2-40B4-BE49-F238E27FC236}">
                <a16:creationId xmlns:a16="http://schemas.microsoft.com/office/drawing/2014/main" id="{DFA14982-37A4-40F4-8F01-E6F8A7AD9DBD}"/>
              </a:ext>
            </a:extLst>
          </xdr:cNvPr>
          <xdr:cNvSpPr/>
        </xdr:nvSpPr>
        <xdr:spPr>
          <a:xfrm>
            <a:off x="5524495" y="191452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0" name="Straight Arrow Connector 1389">
            <a:extLst>
              <a:ext uri="{FF2B5EF4-FFF2-40B4-BE49-F238E27FC236}">
                <a16:creationId xmlns:a16="http://schemas.microsoft.com/office/drawing/2014/main" id="{73C9245B-284A-4FFC-8ABD-589E1B8418C2}"/>
              </a:ext>
            </a:extLst>
          </xdr:cNvPr>
          <xdr:cNvCxnSpPr/>
        </xdr:nvCxnSpPr>
        <xdr:spPr>
          <a:xfrm flipV="1">
            <a:off x="5572123" y="1947862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0" name="Straight Connector 1489">
            <a:extLst>
              <a:ext uri="{FF2B5EF4-FFF2-40B4-BE49-F238E27FC236}">
                <a16:creationId xmlns:a16="http://schemas.microsoft.com/office/drawing/2014/main" id="{5F452504-1C8C-59EE-1A95-0607B47E4055}"/>
              </a:ext>
            </a:extLst>
          </xdr:cNvPr>
          <xdr:cNvCxnSpPr/>
        </xdr:nvCxnSpPr>
        <xdr:spPr>
          <a:xfrm>
            <a:off x="3138488" y="19907250"/>
            <a:ext cx="1281112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2" name="Straight Connector 1491">
            <a:extLst>
              <a:ext uri="{FF2B5EF4-FFF2-40B4-BE49-F238E27FC236}">
                <a16:creationId xmlns:a16="http://schemas.microsoft.com/office/drawing/2014/main" id="{80A92DA5-CB6A-57B2-3ED9-701363647601}"/>
              </a:ext>
            </a:extLst>
          </xdr:cNvPr>
          <xdr:cNvCxnSpPr/>
        </xdr:nvCxnSpPr>
        <xdr:spPr>
          <a:xfrm>
            <a:off x="3724275" y="19964400"/>
            <a:ext cx="0" cy="585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0" name="Straight Connector 1509">
            <a:extLst>
              <a:ext uri="{FF2B5EF4-FFF2-40B4-BE49-F238E27FC236}">
                <a16:creationId xmlns:a16="http://schemas.microsoft.com/office/drawing/2014/main" id="{88C7223C-4FB9-F21A-125B-1630028C65FF}"/>
              </a:ext>
            </a:extLst>
          </xdr:cNvPr>
          <xdr:cNvCxnSpPr/>
        </xdr:nvCxnSpPr>
        <xdr:spPr>
          <a:xfrm flipV="1">
            <a:off x="3724275" y="17983200"/>
            <a:ext cx="481013" cy="192405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2" name="Straight Connector 1591">
            <a:extLst>
              <a:ext uri="{FF2B5EF4-FFF2-40B4-BE49-F238E27FC236}">
                <a16:creationId xmlns:a16="http://schemas.microsoft.com/office/drawing/2014/main" id="{D9308622-5074-CB89-8807-C3FDBC686A76}"/>
              </a:ext>
            </a:extLst>
          </xdr:cNvPr>
          <xdr:cNvCxnSpPr/>
        </xdr:nvCxnSpPr>
        <xdr:spPr>
          <a:xfrm flipH="1" flipV="1">
            <a:off x="1857375" y="19182781"/>
            <a:ext cx="1866900" cy="724469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7" name="Straight Connector 1596">
            <a:extLst>
              <a:ext uri="{FF2B5EF4-FFF2-40B4-BE49-F238E27FC236}">
                <a16:creationId xmlns:a16="http://schemas.microsoft.com/office/drawing/2014/main" id="{32F6D850-01AA-4DA8-A2F8-AD4959A192D5}"/>
              </a:ext>
            </a:extLst>
          </xdr:cNvPr>
          <xdr:cNvCxnSpPr/>
        </xdr:nvCxnSpPr>
        <xdr:spPr>
          <a:xfrm flipH="1">
            <a:off x="3724275" y="19187504"/>
            <a:ext cx="1843088" cy="719746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3" name="Oval 1632">
            <a:extLst>
              <a:ext uri="{FF2B5EF4-FFF2-40B4-BE49-F238E27FC236}">
                <a16:creationId xmlns:a16="http://schemas.microsoft.com/office/drawing/2014/main" id="{50327ABF-292C-4B46-BD2C-1AE9B417592E}"/>
              </a:ext>
            </a:extLst>
          </xdr:cNvPr>
          <xdr:cNvSpPr/>
        </xdr:nvSpPr>
        <xdr:spPr>
          <a:xfrm>
            <a:off x="2224090" y="1857851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34" name="Oval 1633">
            <a:extLst>
              <a:ext uri="{FF2B5EF4-FFF2-40B4-BE49-F238E27FC236}">
                <a16:creationId xmlns:a16="http://schemas.microsoft.com/office/drawing/2014/main" id="{6E769D53-7E5E-4096-9D33-6010B9DA47F5}"/>
              </a:ext>
            </a:extLst>
          </xdr:cNvPr>
          <xdr:cNvSpPr/>
        </xdr:nvSpPr>
        <xdr:spPr>
          <a:xfrm>
            <a:off x="5114928" y="185737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39" name="Straight Connector 1638">
            <a:extLst>
              <a:ext uri="{FF2B5EF4-FFF2-40B4-BE49-F238E27FC236}">
                <a16:creationId xmlns:a16="http://schemas.microsoft.com/office/drawing/2014/main" id="{DA90AB46-E9FE-1693-6F67-06950006ED4F}"/>
              </a:ext>
            </a:extLst>
          </xdr:cNvPr>
          <xdr:cNvCxnSpPr/>
        </xdr:nvCxnSpPr>
        <xdr:spPr>
          <a:xfrm>
            <a:off x="1866900" y="17764125"/>
            <a:ext cx="3700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1" name="Straight Arrow Connector 1640">
            <a:extLst>
              <a:ext uri="{FF2B5EF4-FFF2-40B4-BE49-F238E27FC236}">
                <a16:creationId xmlns:a16="http://schemas.microsoft.com/office/drawing/2014/main" id="{B7E21322-CE19-E567-D089-55F6647950B1}"/>
              </a:ext>
            </a:extLst>
          </xdr:cNvPr>
          <xdr:cNvCxnSpPr/>
        </xdr:nvCxnSpPr>
        <xdr:spPr>
          <a:xfrm>
            <a:off x="1866902" y="17559338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3" name="Straight Arrow Connector 1642">
            <a:extLst>
              <a:ext uri="{FF2B5EF4-FFF2-40B4-BE49-F238E27FC236}">
                <a16:creationId xmlns:a16="http://schemas.microsoft.com/office/drawing/2014/main" id="{C72B60CF-E7EA-472A-BB61-01DF89EBD74A}"/>
              </a:ext>
            </a:extLst>
          </xdr:cNvPr>
          <xdr:cNvCxnSpPr/>
        </xdr:nvCxnSpPr>
        <xdr:spPr>
          <a:xfrm>
            <a:off x="2105027" y="17559338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4" name="Straight Arrow Connector 1643">
            <a:extLst>
              <a:ext uri="{FF2B5EF4-FFF2-40B4-BE49-F238E27FC236}">
                <a16:creationId xmlns:a16="http://schemas.microsoft.com/office/drawing/2014/main" id="{70AEC912-4452-4F82-A4A6-37A9A722F72F}"/>
              </a:ext>
            </a:extLst>
          </xdr:cNvPr>
          <xdr:cNvCxnSpPr/>
        </xdr:nvCxnSpPr>
        <xdr:spPr>
          <a:xfrm>
            <a:off x="2266951" y="17554575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5" name="Straight Arrow Connector 1644">
            <a:extLst>
              <a:ext uri="{FF2B5EF4-FFF2-40B4-BE49-F238E27FC236}">
                <a16:creationId xmlns:a16="http://schemas.microsoft.com/office/drawing/2014/main" id="{C5FDC9F5-B5DD-4B35-818E-FE2B6F28EE85}"/>
              </a:ext>
            </a:extLst>
          </xdr:cNvPr>
          <xdr:cNvCxnSpPr/>
        </xdr:nvCxnSpPr>
        <xdr:spPr>
          <a:xfrm>
            <a:off x="2428878" y="17554576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6" name="Straight Arrow Connector 1645">
            <a:extLst>
              <a:ext uri="{FF2B5EF4-FFF2-40B4-BE49-F238E27FC236}">
                <a16:creationId xmlns:a16="http://schemas.microsoft.com/office/drawing/2014/main" id="{09452007-DF25-45AE-9A01-40794291A045}"/>
              </a:ext>
            </a:extLst>
          </xdr:cNvPr>
          <xdr:cNvCxnSpPr/>
        </xdr:nvCxnSpPr>
        <xdr:spPr>
          <a:xfrm>
            <a:off x="2590802" y="17554576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7" name="Straight Arrow Connector 1646">
            <a:extLst>
              <a:ext uri="{FF2B5EF4-FFF2-40B4-BE49-F238E27FC236}">
                <a16:creationId xmlns:a16="http://schemas.microsoft.com/office/drawing/2014/main" id="{1CA1B40E-C79D-4C2A-85BA-FAD43671EC40}"/>
              </a:ext>
            </a:extLst>
          </xdr:cNvPr>
          <xdr:cNvCxnSpPr/>
        </xdr:nvCxnSpPr>
        <xdr:spPr>
          <a:xfrm>
            <a:off x="2752727" y="17559337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8" name="Straight Arrow Connector 1647">
            <a:extLst>
              <a:ext uri="{FF2B5EF4-FFF2-40B4-BE49-F238E27FC236}">
                <a16:creationId xmlns:a16="http://schemas.microsoft.com/office/drawing/2014/main" id="{0A2CC05E-4E65-4B88-B16F-6003EC9EE16B}"/>
              </a:ext>
            </a:extLst>
          </xdr:cNvPr>
          <xdr:cNvCxnSpPr/>
        </xdr:nvCxnSpPr>
        <xdr:spPr>
          <a:xfrm>
            <a:off x="2914651" y="17554574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9" name="Straight Arrow Connector 1648">
            <a:extLst>
              <a:ext uri="{FF2B5EF4-FFF2-40B4-BE49-F238E27FC236}">
                <a16:creationId xmlns:a16="http://schemas.microsoft.com/office/drawing/2014/main" id="{1FB7F40E-0B0C-4674-9E5E-172182B30A93}"/>
              </a:ext>
            </a:extLst>
          </xdr:cNvPr>
          <xdr:cNvCxnSpPr/>
        </xdr:nvCxnSpPr>
        <xdr:spPr>
          <a:xfrm>
            <a:off x="3076578" y="17554575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0" name="Straight Arrow Connector 1649">
            <a:extLst>
              <a:ext uri="{FF2B5EF4-FFF2-40B4-BE49-F238E27FC236}">
                <a16:creationId xmlns:a16="http://schemas.microsoft.com/office/drawing/2014/main" id="{3FEF93E4-17D0-44D0-9713-95DDDBE3929F}"/>
              </a:ext>
            </a:extLst>
          </xdr:cNvPr>
          <xdr:cNvCxnSpPr/>
        </xdr:nvCxnSpPr>
        <xdr:spPr>
          <a:xfrm>
            <a:off x="3238502" y="17554575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1" name="Straight Arrow Connector 1650">
            <a:extLst>
              <a:ext uri="{FF2B5EF4-FFF2-40B4-BE49-F238E27FC236}">
                <a16:creationId xmlns:a16="http://schemas.microsoft.com/office/drawing/2014/main" id="{D5A4828B-B776-4DFC-BDC3-85377AE598D3}"/>
              </a:ext>
            </a:extLst>
          </xdr:cNvPr>
          <xdr:cNvCxnSpPr/>
        </xdr:nvCxnSpPr>
        <xdr:spPr>
          <a:xfrm>
            <a:off x="3400433" y="17559339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2" name="Straight Arrow Connector 1651">
            <a:extLst>
              <a:ext uri="{FF2B5EF4-FFF2-40B4-BE49-F238E27FC236}">
                <a16:creationId xmlns:a16="http://schemas.microsoft.com/office/drawing/2014/main" id="{1D076D79-E4EF-4CB6-BF65-AFD792FAF90D}"/>
              </a:ext>
            </a:extLst>
          </xdr:cNvPr>
          <xdr:cNvCxnSpPr/>
        </xdr:nvCxnSpPr>
        <xdr:spPr>
          <a:xfrm>
            <a:off x="3562357" y="17554576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3" name="Straight Arrow Connector 1652">
            <a:extLst>
              <a:ext uri="{FF2B5EF4-FFF2-40B4-BE49-F238E27FC236}">
                <a16:creationId xmlns:a16="http://schemas.microsoft.com/office/drawing/2014/main" id="{CCC12C18-786E-45CE-90B7-BA326AD04026}"/>
              </a:ext>
            </a:extLst>
          </xdr:cNvPr>
          <xdr:cNvCxnSpPr/>
        </xdr:nvCxnSpPr>
        <xdr:spPr>
          <a:xfrm>
            <a:off x="3724284" y="17445038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4" name="Straight Arrow Connector 1653">
            <a:extLst>
              <a:ext uri="{FF2B5EF4-FFF2-40B4-BE49-F238E27FC236}">
                <a16:creationId xmlns:a16="http://schemas.microsoft.com/office/drawing/2014/main" id="{66EA1BA4-B4C0-42DA-AE46-D4F81EB7DE66}"/>
              </a:ext>
            </a:extLst>
          </xdr:cNvPr>
          <xdr:cNvCxnSpPr/>
        </xdr:nvCxnSpPr>
        <xdr:spPr>
          <a:xfrm>
            <a:off x="3886208" y="17445038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5" name="Straight Arrow Connector 1654">
            <a:extLst>
              <a:ext uri="{FF2B5EF4-FFF2-40B4-BE49-F238E27FC236}">
                <a16:creationId xmlns:a16="http://schemas.microsoft.com/office/drawing/2014/main" id="{81B10C6E-C3E0-411A-AC81-77AE82B672B8}"/>
              </a:ext>
            </a:extLst>
          </xdr:cNvPr>
          <xdr:cNvCxnSpPr/>
        </xdr:nvCxnSpPr>
        <xdr:spPr>
          <a:xfrm>
            <a:off x="4048133" y="17445038"/>
            <a:ext cx="0" cy="3190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6" name="Straight Arrow Connector 1655">
            <a:extLst>
              <a:ext uri="{FF2B5EF4-FFF2-40B4-BE49-F238E27FC236}">
                <a16:creationId xmlns:a16="http://schemas.microsoft.com/office/drawing/2014/main" id="{1AE886F6-9F7D-4BC2-979E-2FE425A39F56}"/>
              </a:ext>
            </a:extLst>
          </xdr:cNvPr>
          <xdr:cNvCxnSpPr/>
        </xdr:nvCxnSpPr>
        <xdr:spPr>
          <a:xfrm>
            <a:off x="4210057" y="17449800"/>
            <a:ext cx="0" cy="3095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7" name="Straight Arrow Connector 1656">
            <a:extLst>
              <a:ext uri="{FF2B5EF4-FFF2-40B4-BE49-F238E27FC236}">
                <a16:creationId xmlns:a16="http://schemas.microsoft.com/office/drawing/2014/main" id="{DDA36527-066B-4726-BF21-8A2E4F9BBCAD}"/>
              </a:ext>
            </a:extLst>
          </xdr:cNvPr>
          <xdr:cNvCxnSpPr/>
        </xdr:nvCxnSpPr>
        <xdr:spPr>
          <a:xfrm>
            <a:off x="4371984" y="17449800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8" name="Straight Arrow Connector 1657">
            <a:extLst>
              <a:ext uri="{FF2B5EF4-FFF2-40B4-BE49-F238E27FC236}">
                <a16:creationId xmlns:a16="http://schemas.microsoft.com/office/drawing/2014/main" id="{08225294-1758-4402-9D39-BFF6043E2A86}"/>
              </a:ext>
            </a:extLst>
          </xdr:cNvPr>
          <xdr:cNvCxnSpPr/>
        </xdr:nvCxnSpPr>
        <xdr:spPr>
          <a:xfrm>
            <a:off x="4533908" y="17445038"/>
            <a:ext cx="0" cy="3143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0" name="Straight Arrow Connector 1659">
            <a:extLst>
              <a:ext uri="{FF2B5EF4-FFF2-40B4-BE49-F238E27FC236}">
                <a16:creationId xmlns:a16="http://schemas.microsoft.com/office/drawing/2014/main" id="{3D8466E2-ED1D-491C-8285-3F83BB5DB12F}"/>
              </a:ext>
            </a:extLst>
          </xdr:cNvPr>
          <xdr:cNvCxnSpPr/>
        </xdr:nvCxnSpPr>
        <xdr:spPr>
          <a:xfrm>
            <a:off x="4695834" y="17445038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1" name="Straight Arrow Connector 1660">
            <a:extLst>
              <a:ext uri="{FF2B5EF4-FFF2-40B4-BE49-F238E27FC236}">
                <a16:creationId xmlns:a16="http://schemas.microsoft.com/office/drawing/2014/main" id="{0576CA65-ED76-4CB2-8222-9B2E54646385}"/>
              </a:ext>
            </a:extLst>
          </xdr:cNvPr>
          <xdr:cNvCxnSpPr/>
        </xdr:nvCxnSpPr>
        <xdr:spPr>
          <a:xfrm>
            <a:off x="4857759" y="17445038"/>
            <a:ext cx="0" cy="3190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Straight Arrow Connector 1661">
            <a:extLst>
              <a:ext uri="{FF2B5EF4-FFF2-40B4-BE49-F238E27FC236}">
                <a16:creationId xmlns:a16="http://schemas.microsoft.com/office/drawing/2014/main" id="{7337A439-6D92-4926-B872-AC36D6D0DCC6}"/>
              </a:ext>
            </a:extLst>
          </xdr:cNvPr>
          <xdr:cNvCxnSpPr/>
        </xdr:nvCxnSpPr>
        <xdr:spPr>
          <a:xfrm>
            <a:off x="5019683" y="17445038"/>
            <a:ext cx="0" cy="3143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3" name="Straight Arrow Connector 1662">
            <a:extLst>
              <a:ext uri="{FF2B5EF4-FFF2-40B4-BE49-F238E27FC236}">
                <a16:creationId xmlns:a16="http://schemas.microsoft.com/office/drawing/2014/main" id="{3D1712F9-8EEC-4F03-A4C6-849B91B0FFD6}"/>
              </a:ext>
            </a:extLst>
          </xdr:cNvPr>
          <xdr:cNvCxnSpPr/>
        </xdr:nvCxnSpPr>
        <xdr:spPr>
          <a:xfrm>
            <a:off x="5181610" y="17449800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4" name="Straight Arrow Connector 1663">
            <a:extLst>
              <a:ext uri="{FF2B5EF4-FFF2-40B4-BE49-F238E27FC236}">
                <a16:creationId xmlns:a16="http://schemas.microsoft.com/office/drawing/2014/main" id="{0B224336-74A8-4783-8BF5-58B85C79F722}"/>
              </a:ext>
            </a:extLst>
          </xdr:cNvPr>
          <xdr:cNvCxnSpPr/>
        </xdr:nvCxnSpPr>
        <xdr:spPr>
          <a:xfrm>
            <a:off x="5343534" y="17449800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5" name="Straight Arrow Connector 1664">
            <a:extLst>
              <a:ext uri="{FF2B5EF4-FFF2-40B4-BE49-F238E27FC236}">
                <a16:creationId xmlns:a16="http://schemas.microsoft.com/office/drawing/2014/main" id="{20DE3594-779D-4F4F-B22B-7927E9F324FD}"/>
              </a:ext>
            </a:extLst>
          </xdr:cNvPr>
          <xdr:cNvCxnSpPr/>
        </xdr:nvCxnSpPr>
        <xdr:spPr>
          <a:xfrm>
            <a:off x="5572140" y="17449800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7" name="Straight Connector 1666">
            <a:extLst>
              <a:ext uri="{FF2B5EF4-FFF2-40B4-BE49-F238E27FC236}">
                <a16:creationId xmlns:a16="http://schemas.microsoft.com/office/drawing/2014/main" id="{E48E084E-E5B9-41F4-AE6D-FE0520B293C9}"/>
              </a:ext>
            </a:extLst>
          </xdr:cNvPr>
          <xdr:cNvCxnSpPr/>
        </xdr:nvCxnSpPr>
        <xdr:spPr>
          <a:xfrm>
            <a:off x="1871662" y="17554574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9" name="Straight Connector 1668">
            <a:extLst>
              <a:ext uri="{FF2B5EF4-FFF2-40B4-BE49-F238E27FC236}">
                <a16:creationId xmlns:a16="http://schemas.microsoft.com/office/drawing/2014/main" id="{96C6F622-3B11-4D2A-AF84-84FAC6CB3CFC}"/>
              </a:ext>
            </a:extLst>
          </xdr:cNvPr>
          <xdr:cNvCxnSpPr/>
        </xdr:nvCxnSpPr>
        <xdr:spPr>
          <a:xfrm>
            <a:off x="3724275" y="17445036"/>
            <a:ext cx="1847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6" name="Straight Connector 1775">
            <a:extLst>
              <a:ext uri="{FF2B5EF4-FFF2-40B4-BE49-F238E27FC236}">
                <a16:creationId xmlns:a16="http://schemas.microsoft.com/office/drawing/2014/main" id="{50794ED5-E7AF-0488-69DE-FA32205056F9}"/>
              </a:ext>
            </a:extLst>
          </xdr:cNvPr>
          <xdr:cNvCxnSpPr/>
        </xdr:nvCxnSpPr>
        <xdr:spPr>
          <a:xfrm>
            <a:off x="1223964" y="18192750"/>
            <a:ext cx="13954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8" name="Straight Connector 1777">
            <a:extLst>
              <a:ext uri="{FF2B5EF4-FFF2-40B4-BE49-F238E27FC236}">
                <a16:creationId xmlns:a16="http://schemas.microsoft.com/office/drawing/2014/main" id="{0976B782-B36E-4D2A-AF9F-2D019C20FEC0}"/>
              </a:ext>
            </a:extLst>
          </xdr:cNvPr>
          <xdr:cNvCxnSpPr/>
        </xdr:nvCxnSpPr>
        <xdr:spPr>
          <a:xfrm flipH="1">
            <a:off x="1257302" y="1815940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9" name="Straight Connector 1778">
            <a:extLst>
              <a:ext uri="{FF2B5EF4-FFF2-40B4-BE49-F238E27FC236}">
                <a16:creationId xmlns:a16="http://schemas.microsoft.com/office/drawing/2014/main" id="{7DBD678C-3579-4FC6-B6F5-0BFE1680FEC9}"/>
              </a:ext>
            </a:extLst>
          </xdr:cNvPr>
          <xdr:cNvCxnSpPr/>
        </xdr:nvCxnSpPr>
        <xdr:spPr>
          <a:xfrm>
            <a:off x="1223960" y="17906991"/>
            <a:ext cx="199549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0" name="Straight Connector 1779">
            <a:extLst>
              <a:ext uri="{FF2B5EF4-FFF2-40B4-BE49-F238E27FC236}">
                <a16:creationId xmlns:a16="http://schemas.microsoft.com/office/drawing/2014/main" id="{EECA5800-4A4C-4092-849B-FC9AB90E1600}"/>
              </a:ext>
            </a:extLst>
          </xdr:cNvPr>
          <xdr:cNvCxnSpPr/>
        </xdr:nvCxnSpPr>
        <xdr:spPr>
          <a:xfrm flipH="1">
            <a:off x="1257298" y="1787364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4" name="Straight Connector 1783">
            <a:extLst>
              <a:ext uri="{FF2B5EF4-FFF2-40B4-BE49-F238E27FC236}">
                <a16:creationId xmlns:a16="http://schemas.microsoft.com/office/drawing/2014/main" id="{AD957061-19BC-491F-F03D-D9FFAE7F5C62}"/>
              </a:ext>
            </a:extLst>
          </xdr:cNvPr>
          <xdr:cNvCxnSpPr/>
        </xdr:nvCxnSpPr>
        <xdr:spPr>
          <a:xfrm>
            <a:off x="2667000" y="18140363"/>
            <a:ext cx="65722" cy="10953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3" name="Straight Connector 1792">
            <a:extLst>
              <a:ext uri="{FF2B5EF4-FFF2-40B4-BE49-F238E27FC236}">
                <a16:creationId xmlns:a16="http://schemas.microsoft.com/office/drawing/2014/main" id="{4B4AAB76-66F7-B524-0809-819248ABA326}"/>
              </a:ext>
            </a:extLst>
          </xdr:cNvPr>
          <xdr:cNvCxnSpPr/>
        </xdr:nvCxnSpPr>
        <xdr:spPr>
          <a:xfrm>
            <a:off x="4181473" y="17907001"/>
            <a:ext cx="23574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5" name="Straight Connector 1794">
            <a:extLst>
              <a:ext uri="{FF2B5EF4-FFF2-40B4-BE49-F238E27FC236}">
                <a16:creationId xmlns:a16="http://schemas.microsoft.com/office/drawing/2014/main" id="{5C49EF2A-2D2C-71FE-01B1-73BD798E79CE}"/>
              </a:ext>
            </a:extLst>
          </xdr:cNvPr>
          <xdr:cNvCxnSpPr/>
        </xdr:nvCxnSpPr>
        <xdr:spPr>
          <a:xfrm>
            <a:off x="6153155" y="17835564"/>
            <a:ext cx="0" cy="14287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8" name="Straight Connector 1797">
            <a:extLst>
              <a:ext uri="{FF2B5EF4-FFF2-40B4-BE49-F238E27FC236}">
                <a16:creationId xmlns:a16="http://schemas.microsoft.com/office/drawing/2014/main" id="{91742BAD-52D7-4AAB-AC3A-C5D52293B9BD}"/>
              </a:ext>
            </a:extLst>
          </xdr:cNvPr>
          <xdr:cNvCxnSpPr/>
        </xdr:nvCxnSpPr>
        <xdr:spPr>
          <a:xfrm flipH="1">
            <a:off x="6115051" y="17873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Straight Connector 1798">
            <a:extLst>
              <a:ext uri="{FF2B5EF4-FFF2-40B4-BE49-F238E27FC236}">
                <a16:creationId xmlns:a16="http://schemas.microsoft.com/office/drawing/2014/main" id="{F9E5C84E-7FF3-4397-8EC6-63AA3381218C}"/>
              </a:ext>
            </a:extLst>
          </xdr:cNvPr>
          <xdr:cNvCxnSpPr/>
        </xdr:nvCxnSpPr>
        <xdr:spPr>
          <a:xfrm flipH="1">
            <a:off x="6115051" y="1916429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1" name="Straight Connector 1800">
            <a:extLst>
              <a:ext uri="{FF2B5EF4-FFF2-40B4-BE49-F238E27FC236}">
                <a16:creationId xmlns:a16="http://schemas.microsoft.com/office/drawing/2014/main" id="{7AC7B4C0-8079-4763-A38B-5CB36A0009DD}"/>
              </a:ext>
            </a:extLst>
          </xdr:cNvPr>
          <xdr:cNvCxnSpPr/>
        </xdr:nvCxnSpPr>
        <xdr:spPr>
          <a:xfrm>
            <a:off x="5329238" y="1862137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2" name="Straight Connector 1801">
            <a:extLst>
              <a:ext uri="{FF2B5EF4-FFF2-40B4-BE49-F238E27FC236}">
                <a16:creationId xmlns:a16="http://schemas.microsoft.com/office/drawing/2014/main" id="{C2E6894B-3863-4938-BBEE-E0A61D567F2B}"/>
              </a:ext>
            </a:extLst>
          </xdr:cNvPr>
          <xdr:cNvCxnSpPr/>
        </xdr:nvCxnSpPr>
        <xdr:spPr>
          <a:xfrm flipH="1">
            <a:off x="6115050" y="1858803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Connector 1806">
            <a:extLst>
              <a:ext uri="{FF2B5EF4-FFF2-40B4-BE49-F238E27FC236}">
                <a16:creationId xmlns:a16="http://schemas.microsoft.com/office/drawing/2014/main" id="{E003C619-1D33-8972-66F5-3AF155A3D634}"/>
              </a:ext>
            </a:extLst>
          </xdr:cNvPr>
          <xdr:cNvCxnSpPr/>
        </xdr:nvCxnSpPr>
        <xdr:spPr>
          <a:xfrm>
            <a:off x="5643563" y="19192876"/>
            <a:ext cx="9001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9" name="Straight Connector 1808">
            <a:extLst>
              <a:ext uri="{FF2B5EF4-FFF2-40B4-BE49-F238E27FC236}">
                <a16:creationId xmlns:a16="http://schemas.microsoft.com/office/drawing/2014/main" id="{3C3A8A74-4369-DAD1-A39F-2CBD80BD9117}"/>
              </a:ext>
            </a:extLst>
          </xdr:cNvPr>
          <xdr:cNvCxnSpPr/>
        </xdr:nvCxnSpPr>
        <xdr:spPr>
          <a:xfrm>
            <a:off x="6477000" y="17835563"/>
            <a:ext cx="0" cy="1428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3" name="Straight Connector 1812">
            <a:extLst>
              <a:ext uri="{FF2B5EF4-FFF2-40B4-BE49-F238E27FC236}">
                <a16:creationId xmlns:a16="http://schemas.microsoft.com/office/drawing/2014/main" id="{06F16E7F-ABFE-4FC7-B106-E5E000B0F1F9}"/>
              </a:ext>
            </a:extLst>
          </xdr:cNvPr>
          <xdr:cNvCxnSpPr/>
        </xdr:nvCxnSpPr>
        <xdr:spPr>
          <a:xfrm flipH="1">
            <a:off x="6438909" y="1787366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4" name="Straight Connector 1813">
            <a:extLst>
              <a:ext uri="{FF2B5EF4-FFF2-40B4-BE49-F238E27FC236}">
                <a16:creationId xmlns:a16="http://schemas.microsoft.com/office/drawing/2014/main" id="{855C02C2-F232-4740-8688-6EDE8417DDA3}"/>
              </a:ext>
            </a:extLst>
          </xdr:cNvPr>
          <xdr:cNvCxnSpPr/>
        </xdr:nvCxnSpPr>
        <xdr:spPr>
          <a:xfrm flipH="1">
            <a:off x="6438909" y="191595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6" name="Straight Connector 1815">
            <a:extLst>
              <a:ext uri="{FF2B5EF4-FFF2-40B4-BE49-F238E27FC236}">
                <a16:creationId xmlns:a16="http://schemas.microsoft.com/office/drawing/2014/main" id="{9080268A-2791-2F6C-1CDA-ADF1BA148FD8}"/>
              </a:ext>
            </a:extLst>
          </xdr:cNvPr>
          <xdr:cNvCxnSpPr/>
        </xdr:nvCxnSpPr>
        <xdr:spPr>
          <a:xfrm>
            <a:off x="1862138" y="19907250"/>
            <a:ext cx="0" cy="933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8" name="Straight Connector 1817">
            <a:extLst>
              <a:ext uri="{FF2B5EF4-FFF2-40B4-BE49-F238E27FC236}">
                <a16:creationId xmlns:a16="http://schemas.microsoft.com/office/drawing/2014/main" id="{C5A2257E-563D-A86B-AAEC-655993768FF0}"/>
              </a:ext>
            </a:extLst>
          </xdr:cNvPr>
          <xdr:cNvCxnSpPr/>
        </xdr:nvCxnSpPr>
        <xdr:spPr>
          <a:xfrm>
            <a:off x="1790698" y="20193000"/>
            <a:ext cx="3848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9" name="Straight Connector 1818">
            <a:extLst>
              <a:ext uri="{FF2B5EF4-FFF2-40B4-BE49-F238E27FC236}">
                <a16:creationId xmlns:a16="http://schemas.microsoft.com/office/drawing/2014/main" id="{C0A14626-9212-4D6B-8AE6-7CABF9AAD101}"/>
              </a:ext>
            </a:extLst>
          </xdr:cNvPr>
          <xdr:cNvCxnSpPr/>
        </xdr:nvCxnSpPr>
        <xdr:spPr>
          <a:xfrm flipH="1">
            <a:off x="1824041" y="201596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0" name="Straight Connector 1819">
            <a:extLst>
              <a:ext uri="{FF2B5EF4-FFF2-40B4-BE49-F238E27FC236}">
                <a16:creationId xmlns:a16="http://schemas.microsoft.com/office/drawing/2014/main" id="{8F9E4853-AD7F-4E6A-88CF-A0CA3E578901}"/>
              </a:ext>
            </a:extLst>
          </xdr:cNvPr>
          <xdr:cNvCxnSpPr/>
        </xdr:nvCxnSpPr>
        <xdr:spPr>
          <a:xfrm>
            <a:off x="1790698" y="20478750"/>
            <a:ext cx="3848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1" name="Straight Connector 1820">
            <a:extLst>
              <a:ext uri="{FF2B5EF4-FFF2-40B4-BE49-F238E27FC236}">
                <a16:creationId xmlns:a16="http://schemas.microsoft.com/office/drawing/2014/main" id="{34F56B0B-55FD-4435-B150-21E1D0CEE9E4}"/>
              </a:ext>
            </a:extLst>
          </xdr:cNvPr>
          <xdr:cNvCxnSpPr/>
        </xdr:nvCxnSpPr>
        <xdr:spPr>
          <a:xfrm flipH="1">
            <a:off x="1824041" y="204454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3" name="Straight Connector 1822">
            <a:extLst>
              <a:ext uri="{FF2B5EF4-FFF2-40B4-BE49-F238E27FC236}">
                <a16:creationId xmlns:a16="http://schemas.microsoft.com/office/drawing/2014/main" id="{A493E8CA-F8BB-4603-BD41-54A61A22647D}"/>
              </a:ext>
            </a:extLst>
          </xdr:cNvPr>
          <xdr:cNvCxnSpPr/>
        </xdr:nvCxnSpPr>
        <xdr:spPr>
          <a:xfrm>
            <a:off x="2266950" y="18721388"/>
            <a:ext cx="0" cy="1543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4" name="Straight Connector 1823">
            <a:extLst>
              <a:ext uri="{FF2B5EF4-FFF2-40B4-BE49-F238E27FC236}">
                <a16:creationId xmlns:a16="http://schemas.microsoft.com/office/drawing/2014/main" id="{1A2FE928-062B-4B91-A8E5-5EF349619FBE}"/>
              </a:ext>
            </a:extLst>
          </xdr:cNvPr>
          <xdr:cNvCxnSpPr/>
        </xdr:nvCxnSpPr>
        <xdr:spPr>
          <a:xfrm flipH="1">
            <a:off x="2228853" y="201596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6" name="Straight Connector 1825">
            <a:extLst>
              <a:ext uri="{FF2B5EF4-FFF2-40B4-BE49-F238E27FC236}">
                <a16:creationId xmlns:a16="http://schemas.microsoft.com/office/drawing/2014/main" id="{3C50CC93-B4D8-47AE-BD32-405623B9A606}"/>
              </a:ext>
            </a:extLst>
          </xdr:cNvPr>
          <xdr:cNvCxnSpPr/>
        </xdr:nvCxnSpPr>
        <xdr:spPr>
          <a:xfrm>
            <a:off x="5181599" y="18716628"/>
            <a:ext cx="0" cy="1543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7" name="Straight Connector 1826">
            <a:extLst>
              <a:ext uri="{FF2B5EF4-FFF2-40B4-BE49-F238E27FC236}">
                <a16:creationId xmlns:a16="http://schemas.microsoft.com/office/drawing/2014/main" id="{128BF3F7-E560-4D74-8217-08093B18AAC1}"/>
              </a:ext>
            </a:extLst>
          </xdr:cNvPr>
          <xdr:cNvCxnSpPr/>
        </xdr:nvCxnSpPr>
        <xdr:spPr>
          <a:xfrm flipH="1">
            <a:off x="5143502" y="2015490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8" name="Straight Connector 1827">
            <a:extLst>
              <a:ext uri="{FF2B5EF4-FFF2-40B4-BE49-F238E27FC236}">
                <a16:creationId xmlns:a16="http://schemas.microsoft.com/office/drawing/2014/main" id="{41392DD1-0FE5-4BD1-A848-F1A80F43B5D4}"/>
              </a:ext>
            </a:extLst>
          </xdr:cNvPr>
          <xdr:cNvCxnSpPr/>
        </xdr:nvCxnSpPr>
        <xdr:spPr>
          <a:xfrm>
            <a:off x="5572125" y="19902491"/>
            <a:ext cx="0" cy="9334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9" name="Straight Connector 1828">
            <a:extLst>
              <a:ext uri="{FF2B5EF4-FFF2-40B4-BE49-F238E27FC236}">
                <a16:creationId xmlns:a16="http://schemas.microsoft.com/office/drawing/2014/main" id="{75BFB992-4649-4FDE-B3EB-8DBD56704741}"/>
              </a:ext>
            </a:extLst>
          </xdr:cNvPr>
          <xdr:cNvCxnSpPr/>
        </xdr:nvCxnSpPr>
        <xdr:spPr>
          <a:xfrm flipH="1">
            <a:off x="5534028" y="2015490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0" name="Straight Connector 1829">
            <a:extLst>
              <a:ext uri="{FF2B5EF4-FFF2-40B4-BE49-F238E27FC236}">
                <a16:creationId xmlns:a16="http://schemas.microsoft.com/office/drawing/2014/main" id="{99B69580-37A3-4C78-B2A7-6026F2E53462}"/>
              </a:ext>
            </a:extLst>
          </xdr:cNvPr>
          <xdr:cNvCxnSpPr/>
        </xdr:nvCxnSpPr>
        <xdr:spPr>
          <a:xfrm flipH="1">
            <a:off x="5534028" y="2044065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AD6D9BA4-57C9-418F-97CA-8CEFE27B894D}"/>
              </a:ext>
            </a:extLst>
          </xdr:cNvPr>
          <xdr:cNvCxnSpPr/>
        </xdr:nvCxnSpPr>
        <xdr:spPr>
          <a:xfrm flipH="1">
            <a:off x="3686176" y="2015965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8" name="Straight Connector 1837">
            <a:extLst>
              <a:ext uri="{FF2B5EF4-FFF2-40B4-BE49-F238E27FC236}">
                <a16:creationId xmlns:a16="http://schemas.microsoft.com/office/drawing/2014/main" id="{EFEFAC80-A4EA-4C29-AE85-F184EAB125F9}"/>
              </a:ext>
            </a:extLst>
          </xdr:cNvPr>
          <xdr:cNvCxnSpPr/>
        </xdr:nvCxnSpPr>
        <xdr:spPr>
          <a:xfrm flipH="1" flipV="1">
            <a:off x="2252663" y="18610027"/>
            <a:ext cx="1466850" cy="1288267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2" name="Straight Connector 1841">
            <a:extLst>
              <a:ext uri="{FF2B5EF4-FFF2-40B4-BE49-F238E27FC236}">
                <a16:creationId xmlns:a16="http://schemas.microsoft.com/office/drawing/2014/main" id="{4F3C94CF-85FD-400C-8154-A2F53A150CE4}"/>
              </a:ext>
            </a:extLst>
          </xdr:cNvPr>
          <xdr:cNvCxnSpPr/>
        </xdr:nvCxnSpPr>
        <xdr:spPr>
          <a:xfrm flipV="1">
            <a:off x="3719513" y="18614999"/>
            <a:ext cx="1443037" cy="1293959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0" name="Arc 1849">
            <a:extLst>
              <a:ext uri="{FF2B5EF4-FFF2-40B4-BE49-F238E27FC236}">
                <a16:creationId xmlns:a16="http://schemas.microsoft.com/office/drawing/2014/main" id="{F4216F34-6A31-981F-AB8C-DF2CA2749CA5}"/>
              </a:ext>
            </a:extLst>
          </xdr:cNvPr>
          <xdr:cNvSpPr/>
        </xdr:nvSpPr>
        <xdr:spPr>
          <a:xfrm rot="14175002">
            <a:off x="3276598" y="19731036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51" name="Arc 1850">
            <a:extLst>
              <a:ext uri="{FF2B5EF4-FFF2-40B4-BE49-F238E27FC236}">
                <a16:creationId xmlns:a16="http://schemas.microsoft.com/office/drawing/2014/main" id="{48DCF9BA-285F-4710-A2E0-FB7EE34B1012}"/>
              </a:ext>
            </a:extLst>
          </xdr:cNvPr>
          <xdr:cNvSpPr/>
        </xdr:nvSpPr>
        <xdr:spPr>
          <a:xfrm rot="2253138">
            <a:off x="3957638" y="19726276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52" name="Straight Connector 1851">
            <a:extLst>
              <a:ext uri="{FF2B5EF4-FFF2-40B4-BE49-F238E27FC236}">
                <a16:creationId xmlns:a16="http://schemas.microsoft.com/office/drawing/2014/main" id="{D1CCE2D6-7BF8-4D15-A4BE-096286C28EC5}"/>
              </a:ext>
            </a:extLst>
          </xdr:cNvPr>
          <xdr:cNvCxnSpPr/>
        </xdr:nvCxnSpPr>
        <xdr:spPr>
          <a:xfrm>
            <a:off x="1790701" y="20764500"/>
            <a:ext cx="3848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3" name="Straight Connector 1852">
            <a:extLst>
              <a:ext uri="{FF2B5EF4-FFF2-40B4-BE49-F238E27FC236}">
                <a16:creationId xmlns:a16="http://schemas.microsoft.com/office/drawing/2014/main" id="{E5C4B455-C87E-48E8-9033-814777A85532}"/>
              </a:ext>
            </a:extLst>
          </xdr:cNvPr>
          <xdr:cNvCxnSpPr/>
        </xdr:nvCxnSpPr>
        <xdr:spPr>
          <a:xfrm flipH="1">
            <a:off x="1824044" y="207311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4" name="Straight Connector 1853">
            <a:extLst>
              <a:ext uri="{FF2B5EF4-FFF2-40B4-BE49-F238E27FC236}">
                <a16:creationId xmlns:a16="http://schemas.microsoft.com/office/drawing/2014/main" id="{5C72F21B-0184-4BDE-AAEC-9864C5D326F4}"/>
              </a:ext>
            </a:extLst>
          </xdr:cNvPr>
          <xdr:cNvCxnSpPr/>
        </xdr:nvCxnSpPr>
        <xdr:spPr>
          <a:xfrm flipH="1">
            <a:off x="5534031" y="2072640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Connector 1857">
            <a:extLst>
              <a:ext uri="{FF2B5EF4-FFF2-40B4-BE49-F238E27FC236}">
                <a16:creationId xmlns:a16="http://schemas.microsoft.com/office/drawing/2014/main" id="{87A7D42C-D692-49E6-AF9A-8BA99A6D20FF}"/>
              </a:ext>
            </a:extLst>
          </xdr:cNvPr>
          <xdr:cNvCxnSpPr/>
        </xdr:nvCxnSpPr>
        <xdr:spPr>
          <a:xfrm flipH="1">
            <a:off x="3686185" y="2044541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Connector 1858">
            <a:extLst>
              <a:ext uri="{FF2B5EF4-FFF2-40B4-BE49-F238E27FC236}">
                <a16:creationId xmlns:a16="http://schemas.microsoft.com/office/drawing/2014/main" id="{38C4FF51-97A5-4EC0-988C-DF5EEAB42AB3}"/>
              </a:ext>
            </a:extLst>
          </xdr:cNvPr>
          <xdr:cNvCxnSpPr/>
        </xdr:nvCxnSpPr>
        <xdr:spPr>
          <a:xfrm>
            <a:off x="2700335" y="18692813"/>
            <a:ext cx="0" cy="1343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Connector 1859">
            <a:extLst>
              <a:ext uri="{FF2B5EF4-FFF2-40B4-BE49-F238E27FC236}">
                <a16:creationId xmlns:a16="http://schemas.microsoft.com/office/drawing/2014/main" id="{21C3D75D-EC5B-461C-A381-B3243F5D5B28}"/>
              </a:ext>
            </a:extLst>
          </xdr:cNvPr>
          <xdr:cNvCxnSpPr/>
        </xdr:nvCxnSpPr>
        <xdr:spPr>
          <a:xfrm flipH="1">
            <a:off x="2662238" y="204454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Connector 1862">
            <a:extLst>
              <a:ext uri="{FF2B5EF4-FFF2-40B4-BE49-F238E27FC236}">
                <a16:creationId xmlns:a16="http://schemas.microsoft.com/office/drawing/2014/main" id="{FE4CA2C5-6B14-96D7-932C-A1DE9ED64673}"/>
              </a:ext>
            </a:extLst>
          </xdr:cNvPr>
          <xdr:cNvCxnSpPr/>
        </xdr:nvCxnSpPr>
        <xdr:spPr>
          <a:xfrm>
            <a:off x="2700338" y="182594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0" name="Straight Connector 1869">
            <a:extLst>
              <a:ext uri="{FF2B5EF4-FFF2-40B4-BE49-F238E27FC236}">
                <a16:creationId xmlns:a16="http://schemas.microsoft.com/office/drawing/2014/main" id="{B71B2C27-1035-428E-8333-3874D368BFCF}"/>
              </a:ext>
            </a:extLst>
          </xdr:cNvPr>
          <xdr:cNvCxnSpPr/>
        </xdr:nvCxnSpPr>
        <xdr:spPr>
          <a:xfrm>
            <a:off x="4695822" y="18688053"/>
            <a:ext cx="0" cy="13430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1" name="Straight Connector 1870">
            <a:extLst>
              <a:ext uri="{FF2B5EF4-FFF2-40B4-BE49-F238E27FC236}">
                <a16:creationId xmlns:a16="http://schemas.microsoft.com/office/drawing/2014/main" id="{5756B619-1583-4149-9C62-5F88443C0CF3}"/>
              </a:ext>
            </a:extLst>
          </xdr:cNvPr>
          <xdr:cNvCxnSpPr/>
        </xdr:nvCxnSpPr>
        <xdr:spPr>
          <a:xfrm flipH="1">
            <a:off x="4657725" y="2045017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2" name="Straight Connector 1871">
            <a:extLst>
              <a:ext uri="{FF2B5EF4-FFF2-40B4-BE49-F238E27FC236}">
                <a16:creationId xmlns:a16="http://schemas.microsoft.com/office/drawing/2014/main" id="{45B1F65C-EA33-4B46-8E84-1069587C9A78}"/>
              </a:ext>
            </a:extLst>
          </xdr:cNvPr>
          <xdr:cNvCxnSpPr/>
        </xdr:nvCxnSpPr>
        <xdr:spPr>
          <a:xfrm>
            <a:off x="4695825" y="1826419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3" name="Straight Connector 1872">
            <a:extLst>
              <a:ext uri="{FF2B5EF4-FFF2-40B4-BE49-F238E27FC236}">
                <a16:creationId xmlns:a16="http://schemas.microsoft.com/office/drawing/2014/main" id="{1CE17B46-8E40-42CA-BE02-6C0B0B0C0A56}"/>
              </a:ext>
            </a:extLst>
          </xdr:cNvPr>
          <xdr:cNvCxnSpPr/>
        </xdr:nvCxnSpPr>
        <xdr:spPr>
          <a:xfrm flipH="1" flipV="1">
            <a:off x="2700338" y="18197513"/>
            <a:ext cx="1023937" cy="170260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Connector 1875">
            <a:extLst>
              <a:ext uri="{FF2B5EF4-FFF2-40B4-BE49-F238E27FC236}">
                <a16:creationId xmlns:a16="http://schemas.microsoft.com/office/drawing/2014/main" id="{638F8D08-2E2E-4389-8D39-0C63E6638A44}"/>
              </a:ext>
            </a:extLst>
          </xdr:cNvPr>
          <xdr:cNvCxnSpPr/>
        </xdr:nvCxnSpPr>
        <xdr:spPr>
          <a:xfrm flipV="1">
            <a:off x="3724277" y="18183225"/>
            <a:ext cx="976311" cy="172641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1" name="Straight Connector 1880">
            <a:extLst>
              <a:ext uri="{FF2B5EF4-FFF2-40B4-BE49-F238E27FC236}">
                <a16:creationId xmlns:a16="http://schemas.microsoft.com/office/drawing/2014/main" id="{EDAF6176-1258-42E6-00CE-C57C6072C3A6}"/>
              </a:ext>
            </a:extLst>
          </xdr:cNvPr>
          <xdr:cNvCxnSpPr/>
        </xdr:nvCxnSpPr>
        <xdr:spPr>
          <a:xfrm flipV="1">
            <a:off x="4672013" y="18135601"/>
            <a:ext cx="60703" cy="10772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7" name="Straight Connector 1886">
            <a:extLst>
              <a:ext uri="{FF2B5EF4-FFF2-40B4-BE49-F238E27FC236}">
                <a16:creationId xmlns:a16="http://schemas.microsoft.com/office/drawing/2014/main" id="{C7D6511A-46B2-46A3-857D-E73498079FD5}"/>
              </a:ext>
            </a:extLst>
          </xdr:cNvPr>
          <xdr:cNvCxnSpPr/>
        </xdr:nvCxnSpPr>
        <xdr:spPr>
          <a:xfrm>
            <a:off x="2700337" y="20254918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8" name="Straight Connector 1887">
            <a:extLst>
              <a:ext uri="{FF2B5EF4-FFF2-40B4-BE49-F238E27FC236}">
                <a16:creationId xmlns:a16="http://schemas.microsoft.com/office/drawing/2014/main" id="{AEA5DF31-DFDF-4CCA-8F04-0F50D9B0A382}"/>
              </a:ext>
            </a:extLst>
          </xdr:cNvPr>
          <xdr:cNvCxnSpPr/>
        </xdr:nvCxnSpPr>
        <xdr:spPr>
          <a:xfrm>
            <a:off x="4695824" y="20259683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89" name="Oval 1888">
            <a:extLst>
              <a:ext uri="{FF2B5EF4-FFF2-40B4-BE49-F238E27FC236}">
                <a16:creationId xmlns:a16="http://schemas.microsoft.com/office/drawing/2014/main" id="{C18A170D-BCFF-491F-969D-2AE74B3A229C}"/>
              </a:ext>
            </a:extLst>
          </xdr:cNvPr>
          <xdr:cNvSpPr/>
        </xdr:nvSpPr>
        <xdr:spPr>
          <a:xfrm>
            <a:off x="3681412" y="17873663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98" name="Straight Connector 1897">
            <a:extLst>
              <a:ext uri="{FF2B5EF4-FFF2-40B4-BE49-F238E27FC236}">
                <a16:creationId xmlns:a16="http://schemas.microsoft.com/office/drawing/2014/main" id="{5F674E59-0664-E26F-BE6F-16534EECC660}"/>
              </a:ext>
            </a:extLst>
          </xdr:cNvPr>
          <xdr:cNvCxnSpPr/>
        </xdr:nvCxnSpPr>
        <xdr:spPr>
          <a:xfrm>
            <a:off x="5829301" y="17845088"/>
            <a:ext cx="0" cy="14239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1" name="Straight Connector 1900">
            <a:extLst>
              <a:ext uri="{FF2B5EF4-FFF2-40B4-BE49-F238E27FC236}">
                <a16:creationId xmlns:a16="http://schemas.microsoft.com/office/drawing/2014/main" id="{F75EE64E-ED6F-DF51-AB75-4E01A1AAA814}"/>
              </a:ext>
            </a:extLst>
          </xdr:cNvPr>
          <xdr:cNvCxnSpPr/>
        </xdr:nvCxnSpPr>
        <xdr:spPr>
          <a:xfrm>
            <a:off x="4772017" y="18197512"/>
            <a:ext cx="110967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3" name="Straight Connector 1902">
            <a:extLst>
              <a:ext uri="{FF2B5EF4-FFF2-40B4-BE49-F238E27FC236}">
                <a16:creationId xmlns:a16="http://schemas.microsoft.com/office/drawing/2014/main" id="{9F00231C-B4E4-4A21-8C0F-7A36D69140F7}"/>
              </a:ext>
            </a:extLst>
          </xdr:cNvPr>
          <xdr:cNvCxnSpPr/>
        </xdr:nvCxnSpPr>
        <xdr:spPr>
          <a:xfrm flipH="1">
            <a:off x="5791201" y="17873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4" name="Straight Connector 1903">
            <a:extLst>
              <a:ext uri="{FF2B5EF4-FFF2-40B4-BE49-F238E27FC236}">
                <a16:creationId xmlns:a16="http://schemas.microsoft.com/office/drawing/2014/main" id="{4B804E05-9D26-44F6-B5AC-F7792DC105A1}"/>
              </a:ext>
            </a:extLst>
          </xdr:cNvPr>
          <xdr:cNvCxnSpPr/>
        </xdr:nvCxnSpPr>
        <xdr:spPr>
          <a:xfrm flipH="1">
            <a:off x="5791195" y="1816417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7" name="Straight Connector 1906">
            <a:extLst>
              <a:ext uri="{FF2B5EF4-FFF2-40B4-BE49-F238E27FC236}">
                <a16:creationId xmlns:a16="http://schemas.microsoft.com/office/drawing/2014/main" id="{15AB0D97-966E-47E3-8970-9F9EE695D416}"/>
              </a:ext>
            </a:extLst>
          </xdr:cNvPr>
          <xdr:cNvCxnSpPr/>
        </xdr:nvCxnSpPr>
        <xdr:spPr>
          <a:xfrm flipH="1">
            <a:off x="5791193" y="1915954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0" name="Straight Connector 1909">
            <a:extLst>
              <a:ext uri="{FF2B5EF4-FFF2-40B4-BE49-F238E27FC236}">
                <a16:creationId xmlns:a16="http://schemas.microsoft.com/office/drawing/2014/main" id="{AD28298C-B640-4888-8B25-48B9B9072072}"/>
              </a:ext>
            </a:extLst>
          </xdr:cNvPr>
          <xdr:cNvCxnSpPr/>
        </xdr:nvCxnSpPr>
        <xdr:spPr>
          <a:xfrm>
            <a:off x="5867401" y="18621376"/>
            <a:ext cx="3428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8" name="Arc 1917">
            <a:extLst>
              <a:ext uri="{FF2B5EF4-FFF2-40B4-BE49-F238E27FC236}">
                <a16:creationId xmlns:a16="http://schemas.microsoft.com/office/drawing/2014/main" id="{91012B1C-E41C-454D-B0DE-D3AE75935489}"/>
              </a:ext>
            </a:extLst>
          </xdr:cNvPr>
          <xdr:cNvSpPr/>
        </xdr:nvSpPr>
        <xdr:spPr>
          <a:xfrm rot="15355667">
            <a:off x="3436533" y="19657606"/>
            <a:ext cx="404034" cy="40403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19" name="Arc 1918">
            <a:extLst>
              <a:ext uri="{FF2B5EF4-FFF2-40B4-BE49-F238E27FC236}">
                <a16:creationId xmlns:a16="http://schemas.microsoft.com/office/drawing/2014/main" id="{9FC7495C-79C1-498F-9138-C5ECC66443E2}"/>
              </a:ext>
            </a:extLst>
          </xdr:cNvPr>
          <xdr:cNvSpPr/>
        </xdr:nvSpPr>
        <xdr:spPr>
          <a:xfrm rot="1294089">
            <a:off x="3579373" y="19595660"/>
            <a:ext cx="455714" cy="45571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42</xdr:col>
      <xdr:colOff>47625</xdr:colOff>
      <xdr:row>120</xdr:row>
      <xdr:rowOff>133350</xdr:rowOff>
    </xdr:from>
    <xdr:to>
      <xdr:col>67</xdr:col>
      <xdr:colOff>9525</xdr:colOff>
      <xdr:row>149</xdr:row>
      <xdr:rowOff>123825</xdr:rowOff>
    </xdr:to>
    <xdr:grpSp>
      <xdr:nvGrpSpPr>
        <xdr:cNvPr id="1936" name="Group 1935">
          <a:extLst>
            <a:ext uri="{FF2B5EF4-FFF2-40B4-BE49-F238E27FC236}">
              <a16:creationId xmlns:a16="http://schemas.microsoft.com/office/drawing/2014/main" id="{27077B16-1F49-EE84-D847-2A454363161A}"/>
            </a:ext>
          </a:extLst>
        </xdr:cNvPr>
        <xdr:cNvGrpSpPr/>
      </xdr:nvGrpSpPr>
      <xdr:grpSpPr>
        <a:xfrm>
          <a:off x="6848475" y="17754600"/>
          <a:ext cx="4010025" cy="4133850"/>
          <a:chOff x="6315075" y="1457325"/>
          <a:chExt cx="4010025" cy="4133850"/>
        </a:xfrm>
      </xdr:grpSpPr>
      <xdr:sp macro="" textlink="">
        <xdr:nvSpPr>
          <xdr:cNvPr id="1924" name="Arc 1923">
            <a:extLst>
              <a:ext uri="{FF2B5EF4-FFF2-40B4-BE49-F238E27FC236}">
                <a16:creationId xmlns:a16="http://schemas.microsoft.com/office/drawing/2014/main" id="{B05DD8A1-9D50-4A67-B523-55106B17819D}"/>
              </a:ext>
            </a:extLst>
          </xdr:cNvPr>
          <xdr:cNvSpPr/>
        </xdr:nvSpPr>
        <xdr:spPr>
          <a:xfrm>
            <a:off x="6362700" y="1628775"/>
            <a:ext cx="3962400" cy="3962400"/>
          </a:xfrm>
          <a:prstGeom prst="arc">
            <a:avLst>
              <a:gd name="adj1" fmla="val 12054284"/>
              <a:gd name="adj2" fmla="val 14371033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ECFAFD6D-4680-4BC7-9797-528684866B47}"/>
              </a:ext>
            </a:extLst>
          </xdr:cNvPr>
          <xdr:cNvSpPr/>
        </xdr:nvSpPr>
        <xdr:spPr>
          <a:xfrm>
            <a:off x="6324601" y="3052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1" name="Isosceles Triangle 1920">
            <a:extLst>
              <a:ext uri="{FF2B5EF4-FFF2-40B4-BE49-F238E27FC236}">
                <a16:creationId xmlns:a16="http://schemas.microsoft.com/office/drawing/2014/main" id="{8D6B8918-C8A2-4D78-BB9F-75B953083E64}"/>
              </a:ext>
            </a:extLst>
          </xdr:cNvPr>
          <xdr:cNvSpPr/>
        </xdr:nvSpPr>
        <xdr:spPr>
          <a:xfrm>
            <a:off x="6409183" y="2914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8B1B88BF-2BEE-4D0A-8CCE-CBE2926602DE}"/>
              </a:ext>
            </a:extLst>
          </xdr:cNvPr>
          <xdr:cNvCxnSpPr/>
        </xdr:nvCxnSpPr>
        <xdr:spPr>
          <a:xfrm>
            <a:off x="6315075" y="3047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3" name="Oval 1922">
            <a:extLst>
              <a:ext uri="{FF2B5EF4-FFF2-40B4-BE49-F238E27FC236}">
                <a16:creationId xmlns:a16="http://schemas.microsoft.com/office/drawing/2014/main" id="{AE49EE86-E05B-4EF1-BF13-CFA1B6135719}"/>
              </a:ext>
            </a:extLst>
          </xdr:cNvPr>
          <xdr:cNvSpPr/>
        </xdr:nvSpPr>
        <xdr:spPr>
          <a:xfrm>
            <a:off x="6443662" y="2857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27" name="TextBox 1926">
            <a:extLst>
              <a:ext uri="{FF2B5EF4-FFF2-40B4-BE49-F238E27FC236}">
                <a16:creationId xmlns:a16="http://schemas.microsoft.com/office/drawing/2014/main" id="{9F790BF6-4D14-4008-888C-5114A0167A02}"/>
              </a:ext>
            </a:extLst>
          </xdr:cNvPr>
          <xdr:cNvSpPr txBox="1"/>
        </xdr:nvSpPr>
        <xdr:spPr>
          <a:xfrm>
            <a:off x="7439025" y="147637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928" name="TextBox 1927">
            <a:extLst>
              <a:ext uri="{FF2B5EF4-FFF2-40B4-BE49-F238E27FC236}">
                <a16:creationId xmlns:a16="http://schemas.microsoft.com/office/drawing/2014/main" id="{25C7FFB2-B6B1-492B-9E46-FA7A0AFEC207}"/>
              </a:ext>
            </a:extLst>
          </xdr:cNvPr>
          <xdr:cNvSpPr txBox="1"/>
        </xdr:nvSpPr>
        <xdr:spPr>
          <a:xfrm>
            <a:off x="7229475" y="19907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  <xdr:sp macro="" textlink="">
        <xdr:nvSpPr>
          <xdr:cNvPr id="1929" name="TextBox 1928">
            <a:extLst>
              <a:ext uri="{FF2B5EF4-FFF2-40B4-BE49-F238E27FC236}">
                <a16:creationId xmlns:a16="http://schemas.microsoft.com/office/drawing/2014/main" id="{24C2951C-5753-4928-8551-13052FBE89D1}"/>
              </a:ext>
            </a:extLst>
          </xdr:cNvPr>
          <xdr:cNvSpPr txBox="1"/>
        </xdr:nvSpPr>
        <xdr:spPr>
          <a:xfrm>
            <a:off x="7105650" y="14573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1930" name="Arc 1929">
            <a:extLst>
              <a:ext uri="{FF2B5EF4-FFF2-40B4-BE49-F238E27FC236}">
                <a16:creationId xmlns:a16="http://schemas.microsoft.com/office/drawing/2014/main" id="{A0F6E930-1BD9-477C-BD9B-7C994B4B5CF6}"/>
              </a:ext>
            </a:extLst>
          </xdr:cNvPr>
          <xdr:cNvSpPr/>
        </xdr:nvSpPr>
        <xdr:spPr>
          <a:xfrm rot="259742">
            <a:off x="7029450" y="1714499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31" name="Straight Arrow Connector 1930">
            <a:extLst>
              <a:ext uri="{FF2B5EF4-FFF2-40B4-BE49-F238E27FC236}">
                <a16:creationId xmlns:a16="http://schemas.microsoft.com/office/drawing/2014/main" id="{4FB352E5-AD4F-4491-B35F-D8A72322B514}"/>
              </a:ext>
            </a:extLst>
          </xdr:cNvPr>
          <xdr:cNvCxnSpPr/>
        </xdr:nvCxnSpPr>
        <xdr:spPr>
          <a:xfrm>
            <a:off x="7239000" y="1752600"/>
            <a:ext cx="228600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3" name="Straight Arrow Connector 1932">
            <a:extLst>
              <a:ext uri="{FF2B5EF4-FFF2-40B4-BE49-F238E27FC236}">
                <a16:creationId xmlns:a16="http://schemas.microsoft.com/office/drawing/2014/main" id="{DDC5E05A-1B64-4459-AA7D-1EE5F5B0DCE1}"/>
              </a:ext>
            </a:extLst>
          </xdr:cNvPr>
          <xdr:cNvCxnSpPr/>
        </xdr:nvCxnSpPr>
        <xdr:spPr>
          <a:xfrm flipV="1">
            <a:off x="7372350" y="1724025"/>
            <a:ext cx="238125" cy="1619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104775</xdr:colOff>
      <xdr:row>742</xdr:row>
      <xdr:rowOff>66675</xdr:rowOff>
    </xdr:from>
    <xdr:to>
      <xdr:col>28</xdr:col>
      <xdr:colOff>66675</xdr:colOff>
      <xdr:row>742</xdr:row>
      <xdr:rowOff>66675</xdr:rowOff>
    </xdr:to>
    <xdr:cxnSp macro="">
      <xdr:nvCxnSpPr>
        <xdr:cNvPr id="2154" name="Straight Arrow Connector 2153">
          <a:extLst>
            <a:ext uri="{FF2B5EF4-FFF2-40B4-BE49-F238E27FC236}">
              <a16:creationId xmlns:a16="http://schemas.microsoft.com/office/drawing/2014/main" id="{FAE4CBD2-DA55-4D48-B08B-55D238322041}"/>
            </a:ext>
          </a:extLst>
        </xdr:cNvPr>
        <xdr:cNvCxnSpPr/>
      </xdr:nvCxnSpPr>
      <xdr:spPr>
        <a:xfrm>
          <a:off x="4314825" y="4829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743</xdr:row>
      <xdr:rowOff>66675</xdr:rowOff>
    </xdr:from>
    <xdr:to>
      <xdr:col>22</xdr:col>
      <xdr:colOff>38100</xdr:colOff>
      <xdr:row>743</xdr:row>
      <xdr:rowOff>66675</xdr:rowOff>
    </xdr:to>
    <xdr:cxnSp macro="">
      <xdr:nvCxnSpPr>
        <xdr:cNvPr id="2155" name="Straight Arrow Connector 2154">
          <a:extLst>
            <a:ext uri="{FF2B5EF4-FFF2-40B4-BE49-F238E27FC236}">
              <a16:creationId xmlns:a16="http://schemas.microsoft.com/office/drawing/2014/main" id="{3C0D4F78-35B8-4C3B-8A55-37861356E8DA}"/>
            </a:ext>
          </a:extLst>
        </xdr:cNvPr>
        <xdr:cNvCxnSpPr/>
      </xdr:nvCxnSpPr>
      <xdr:spPr>
        <a:xfrm>
          <a:off x="3314700" y="4972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744</xdr:row>
      <xdr:rowOff>66675</xdr:rowOff>
    </xdr:from>
    <xdr:to>
      <xdr:col>25</xdr:col>
      <xdr:colOff>38100</xdr:colOff>
      <xdr:row>744</xdr:row>
      <xdr:rowOff>66675</xdr:rowOff>
    </xdr:to>
    <xdr:cxnSp macro="">
      <xdr:nvCxnSpPr>
        <xdr:cNvPr id="2156" name="Straight Arrow Connector 2155">
          <a:extLst>
            <a:ext uri="{FF2B5EF4-FFF2-40B4-BE49-F238E27FC236}">
              <a16:creationId xmlns:a16="http://schemas.microsoft.com/office/drawing/2014/main" id="{E081796E-807E-456B-9E20-2AEF168D9CE7}"/>
            </a:ext>
          </a:extLst>
        </xdr:cNvPr>
        <xdr:cNvCxnSpPr/>
      </xdr:nvCxnSpPr>
      <xdr:spPr>
        <a:xfrm>
          <a:off x="3800475" y="51149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47625</xdr:colOff>
      <xdr:row>718</xdr:row>
      <xdr:rowOff>133350</xdr:rowOff>
    </xdr:from>
    <xdr:to>
      <xdr:col>61</xdr:col>
      <xdr:colOff>9525</xdr:colOff>
      <xdr:row>747</xdr:row>
      <xdr:rowOff>123825</xdr:rowOff>
    </xdr:to>
    <xdr:grpSp>
      <xdr:nvGrpSpPr>
        <xdr:cNvPr id="2165" name="Group 2164">
          <a:extLst>
            <a:ext uri="{FF2B5EF4-FFF2-40B4-BE49-F238E27FC236}">
              <a16:creationId xmlns:a16="http://schemas.microsoft.com/office/drawing/2014/main" id="{D288E2FD-86A0-4117-886A-14A0CBD2CE50}"/>
            </a:ext>
          </a:extLst>
        </xdr:cNvPr>
        <xdr:cNvGrpSpPr/>
      </xdr:nvGrpSpPr>
      <xdr:grpSpPr>
        <a:xfrm>
          <a:off x="5876925" y="103193850"/>
          <a:ext cx="4010025" cy="4133850"/>
          <a:chOff x="6315075" y="1457325"/>
          <a:chExt cx="4010025" cy="4133850"/>
        </a:xfrm>
      </xdr:grpSpPr>
      <xdr:sp macro="" textlink="">
        <xdr:nvSpPr>
          <xdr:cNvPr id="2166" name="Arc 2165">
            <a:extLst>
              <a:ext uri="{FF2B5EF4-FFF2-40B4-BE49-F238E27FC236}">
                <a16:creationId xmlns:a16="http://schemas.microsoft.com/office/drawing/2014/main" id="{52769682-45E2-48E8-7132-AFFD31E543A9}"/>
              </a:ext>
            </a:extLst>
          </xdr:cNvPr>
          <xdr:cNvSpPr/>
        </xdr:nvSpPr>
        <xdr:spPr>
          <a:xfrm>
            <a:off x="6362700" y="1628775"/>
            <a:ext cx="3962400" cy="3962400"/>
          </a:xfrm>
          <a:prstGeom prst="arc">
            <a:avLst>
              <a:gd name="adj1" fmla="val 12054284"/>
              <a:gd name="adj2" fmla="val 14371033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7F060BF8-190B-1E1C-2CB0-2B490DC95AB3}"/>
              </a:ext>
            </a:extLst>
          </xdr:cNvPr>
          <xdr:cNvSpPr/>
        </xdr:nvSpPr>
        <xdr:spPr>
          <a:xfrm>
            <a:off x="6324601" y="3052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68" name="Isosceles Triangle 2167">
            <a:extLst>
              <a:ext uri="{FF2B5EF4-FFF2-40B4-BE49-F238E27FC236}">
                <a16:creationId xmlns:a16="http://schemas.microsoft.com/office/drawing/2014/main" id="{E9C33191-3FD6-5E14-F5DC-67700F81D284}"/>
              </a:ext>
            </a:extLst>
          </xdr:cNvPr>
          <xdr:cNvSpPr/>
        </xdr:nvSpPr>
        <xdr:spPr>
          <a:xfrm>
            <a:off x="6409183" y="2914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9" name="Straight Connector 2168">
            <a:extLst>
              <a:ext uri="{FF2B5EF4-FFF2-40B4-BE49-F238E27FC236}">
                <a16:creationId xmlns:a16="http://schemas.microsoft.com/office/drawing/2014/main" id="{E610856D-2CA3-B75E-A352-274B2D2F97EB}"/>
              </a:ext>
            </a:extLst>
          </xdr:cNvPr>
          <xdr:cNvCxnSpPr/>
        </xdr:nvCxnSpPr>
        <xdr:spPr>
          <a:xfrm>
            <a:off x="6315075" y="3047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0" name="Oval 2169">
            <a:extLst>
              <a:ext uri="{FF2B5EF4-FFF2-40B4-BE49-F238E27FC236}">
                <a16:creationId xmlns:a16="http://schemas.microsoft.com/office/drawing/2014/main" id="{8FC64144-BBB5-D2F5-CABF-243B9EF6354F}"/>
              </a:ext>
            </a:extLst>
          </xdr:cNvPr>
          <xdr:cNvSpPr/>
        </xdr:nvSpPr>
        <xdr:spPr>
          <a:xfrm>
            <a:off x="6443662" y="2857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71" name="TextBox 2170">
            <a:extLst>
              <a:ext uri="{FF2B5EF4-FFF2-40B4-BE49-F238E27FC236}">
                <a16:creationId xmlns:a16="http://schemas.microsoft.com/office/drawing/2014/main" id="{95418D83-00C7-BDC0-3F1F-D8FD26E20711}"/>
              </a:ext>
            </a:extLst>
          </xdr:cNvPr>
          <xdr:cNvSpPr txBox="1"/>
        </xdr:nvSpPr>
        <xdr:spPr>
          <a:xfrm>
            <a:off x="7439025" y="147637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2172" name="TextBox 2171">
            <a:extLst>
              <a:ext uri="{FF2B5EF4-FFF2-40B4-BE49-F238E27FC236}">
                <a16:creationId xmlns:a16="http://schemas.microsoft.com/office/drawing/2014/main" id="{78B40F02-8E82-C1CA-6A5D-5C86AB743857}"/>
              </a:ext>
            </a:extLst>
          </xdr:cNvPr>
          <xdr:cNvSpPr txBox="1"/>
        </xdr:nvSpPr>
        <xdr:spPr>
          <a:xfrm>
            <a:off x="7229475" y="19907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  <xdr:sp macro="" textlink="">
        <xdr:nvSpPr>
          <xdr:cNvPr id="2173" name="TextBox 2172">
            <a:extLst>
              <a:ext uri="{FF2B5EF4-FFF2-40B4-BE49-F238E27FC236}">
                <a16:creationId xmlns:a16="http://schemas.microsoft.com/office/drawing/2014/main" id="{66F32E46-9BE0-914E-699D-B4BF15C72882}"/>
              </a:ext>
            </a:extLst>
          </xdr:cNvPr>
          <xdr:cNvSpPr txBox="1"/>
        </xdr:nvSpPr>
        <xdr:spPr>
          <a:xfrm>
            <a:off x="7105650" y="14573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2174" name="Arc 2173">
            <a:extLst>
              <a:ext uri="{FF2B5EF4-FFF2-40B4-BE49-F238E27FC236}">
                <a16:creationId xmlns:a16="http://schemas.microsoft.com/office/drawing/2014/main" id="{9A6C7619-2C6C-188B-C456-B18455C4F147}"/>
              </a:ext>
            </a:extLst>
          </xdr:cNvPr>
          <xdr:cNvSpPr/>
        </xdr:nvSpPr>
        <xdr:spPr>
          <a:xfrm rot="259742">
            <a:off x="7029450" y="1714499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75" name="Straight Arrow Connector 2174">
            <a:extLst>
              <a:ext uri="{FF2B5EF4-FFF2-40B4-BE49-F238E27FC236}">
                <a16:creationId xmlns:a16="http://schemas.microsoft.com/office/drawing/2014/main" id="{F7A3691B-1455-ECFF-4333-4CA3F7BA730E}"/>
              </a:ext>
            </a:extLst>
          </xdr:cNvPr>
          <xdr:cNvCxnSpPr/>
        </xdr:nvCxnSpPr>
        <xdr:spPr>
          <a:xfrm>
            <a:off x="7239000" y="1752600"/>
            <a:ext cx="228600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6" name="Straight Arrow Connector 2175">
            <a:extLst>
              <a:ext uri="{FF2B5EF4-FFF2-40B4-BE49-F238E27FC236}">
                <a16:creationId xmlns:a16="http://schemas.microsoft.com/office/drawing/2014/main" id="{078860FC-8C23-A397-AB58-3877932DE33F}"/>
              </a:ext>
            </a:extLst>
          </xdr:cNvPr>
          <xdr:cNvCxnSpPr/>
        </xdr:nvCxnSpPr>
        <xdr:spPr>
          <a:xfrm flipV="1">
            <a:off x="7372350" y="1724025"/>
            <a:ext cx="238125" cy="1619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85728</xdr:colOff>
      <xdr:row>716</xdr:row>
      <xdr:rowOff>109536</xdr:rowOff>
    </xdr:from>
    <xdr:to>
      <xdr:col>36</xdr:col>
      <xdr:colOff>66675</xdr:colOff>
      <xdr:row>747</xdr:row>
      <xdr:rowOff>114300</xdr:rowOff>
    </xdr:to>
    <xdr:grpSp>
      <xdr:nvGrpSpPr>
        <xdr:cNvPr id="2180" name="Group 2179">
          <a:extLst>
            <a:ext uri="{FF2B5EF4-FFF2-40B4-BE49-F238E27FC236}">
              <a16:creationId xmlns:a16="http://schemas.microsoft.com/office/drawing/2014/main" id="{10B77BF1-5977-E7A2-3E5E-48A3615AB082}"/>
            </a:ext>
          </a:extLst>
        </xdr:cNvPr>
        <xdr:cNvGrpSpPr/>
      </xdr:nvGrpSpPr>
      <xdr:grpSpPr>
        <a:xfrm>
          <a:off x="571503" y="102884286"/>
          <a:ext cx="5324472" cy="4433889"/>
          <a:chOff x="571503" y="59450286"/>
          <a:chExt cx="5324472" cy="4433889"/>
        </a:xfrm>
      </xdr:grpSpPr>
      <xdr:sp macro="" textlink="">
        <xdr:nvSpPr>
          <xdr:cNvPr id="2057" name="Arc 2056">
            <a:extLst>
              <a:ext uri="{FF2B5EF4-FFF2-40B4-BE49-F238E27FC236}">
                <a16:creationId xmlns:a16="http://schemas.microsoft.com/office/drawing/2014/main" id="{8616D5F1-FFD4-48A2-8309-99657A76A61F}"/>
              </a:ext>
            </a:extLst>
          </xdr:cNvPr>
          <xdr:cNvSpPr/>
        </xdr:nvSpPr>
        <xdr:spPr>
          <a:xfrm>
            <a:off x="1095375" y="59921775"/>
            <a:ext cx="3962400" cy="3962400"/>
          </a:xfrm>
          <a:prstGeom prst="arc">
            <a:avLst>
              <a:gd name="adj1" fmla="val 12054284"/>
              <a:gd name="adj2" fmla="val 20343441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058" name="Straight Connector 2057">
            <a:extLst>
              <a:ext uri="{FF2B5EF4-FFF2-40B4-BE49-F238E27FC236}">
                <a16:creationId xmlns:a16="http://schemas.microsoft.com/office/drawing/2014/main" id="{902D7BF6-EDFB-4553-A2C6-6B6ADBDEDEAA}"/>
              </a:ext>
            </a:extLst>
          </xdr:cNvPr>
          <xdr:cNvCxnSpPr/>
        </xdr:nvCxnSpPr>
        <xdr:spPr>
          <a:xfrm flipV="1">
            <a:off x="647701" y="59845575"/>
            <a:ext cx="0" cy="1433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Connector 2058">
            <a:extLst>
              <a:ext uri="{FF2B5EF4-FFF2-40B4-BE49-F238E27FC236}">
                <a16:creationId xmlns:a16="http://schemas.microsoft.com/office/drawing/2014/main" id="{A3350159-DA1A-4F16-A6EC-E95F364F3912}"/>
              </a:ext>
            </a:extLst>
          </xdr:cNvPr>
          <xdr:cNvCxnSpPr/>
        </xdr:nvCxnSpPr>
        <xdr:spPr>
          <a:xfrm>
            <a:off x="1628776" y="60626627"/>
            <a:ext cx="2876549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26CD6C35-7982-401F-AE71-F64F9B7B69AA}"/>
              </a:ext>
            </a:extLst>
          </xdr:cNvPr>
          <xdr:cNvSpPr/>
        </xdr:nvSpPr>
        <xdr:spPr>
          <a:xfrm>
            <a:off x="1062037" y="61345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61" name="Isosceles Triangle 2060">
            <a:extLst>
              <a:ext uri="{FF2B5EF4-FFF2-40B4-BE49-F238E27FC236}">
                <a16:creationId xmlns:a16="http://schemas.microsoft.com/office/drawing/2014/main" id="{63EFF823-E6D5-44FE-B88E-E891B4F2EDFE}"/>
              </a:ext>
            </a:extLst>
          </xdr:cNvPr>
          <xdr:cNvSpPr/>
        </xdr:nvSpPr>
        <xdr:spPr>
          <a:xfrm>
            <a:off x="1146619" y="61207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62" name="Straight Connector 2061">
            <a:extLst>
              <a:ext uri="{FF2B5EF4-FFF2-40B4-BE49-F238E27FC236}">
                <a16:creationId xmlns:a16="http://schemas.microsoft.com/office/drawing/2014/main" id="{94FB4E9F-5DDB-47AA-B162-CB373CC69889}"/>
              </a:ext>
            </a:extLst>
          </xdr:cNvPr>
          <xdr:cNvCxnSpPr/>
        </xdr:nvCxnSpPr>
        <xdr:spPr>
          <a:xfrm>
            <a:off x="1052511" y="61340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63" name="Oval 2062">
            <a:extLst>
              <a:ext uri="{FF2B5EF4-FFF2-40B4-BE49-F238E27FC236}">
                <a16:creationId xmlns:a16="http://schemas.microsoft.com/office/drawing/2014/main" id="{B4D26C79-966E-47FF-B7BB-B995C50E42C4}"/>
              </a:ext>
            </a:extLst>
          </xdr:cNvPr>
          <xdr:cNvSpPr/>
        </xdr:nvSpPr>
        <xdr:spPr>
          <a:xfrm>
            <a:off x="1181098" y="61150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64" name="Straight Arrow Connector 2063">
            <a:extLst>
              <a:ext uri="{FF2B5EF4-FFF2-40B4-BE49-F238E27FC236}">
                <a16:creationId xmlns:a16="http://schemas.microsoft.com/office/drawing/2014/main" id="{AA280C5A-06FA-4312-80CB-6120EA54E8E5}"/>
              </a:ext>
            </a:extLst>
          </xdr:cNvPr>
          <xdr:cNvCxnSpPr/>
        </xdr:nvCxnSpPr>
        <xdr:spPr>
          <a:xfrm flipV="1">
            <a:off x="1214436" y="6148387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5" name="Straight Arrow Connector 2064">
            <a:extLst>
              <a:ext uri="{FF2B5EF4-FFF2-40B4-BE49-F238E27FC236}">
                <a16:creationId xmlns:a16="http://schemas.microsoft.com/office/drawing/2014/main" id="{89F04273-2343-4A65-A395-E8BA3541DADD}"/>
              </a:ext>
            </a:extLst>
          </xdr:cNvPr>
          <xdr:cNvCxnSpPr/>
        </xdr:nvCxnSpPr>
        <xdr:spPr>
          <a:xfrm>
            <a:off x="823913" y="6119812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6" name="Straight Connector 2065">
            <a:extLst>
              <a:ext uri="{FF2B5EF4-FFF2-40B4-BE49-F238E27FC236}">
                <a16:creationId xmlns:a16="http://schemas.microsoft.com/office/drawing/2014/main" id="{DD3DDD2D-A547-42FA-BF65-1271304F0220}"/>
              </a:ext>
            </a:extLst>
          </xdr:cNvPr>
          <xdr:cNvCxnSpPr/>
        </xdr:nvCxnSpPr>
        <xdr:spPr>
          <a:xfrm flipH="1">
            <a:off x="571503" y="61198125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Connector 2066">
            <a:extLst>
              <a:ext uri="{FF2B5EF4-FFF2-40B4-BE49-F238E27FC236}">
                <a16:creationId xmlns:a16="http://schemas.microsoft.com/office/drawing/2014/main" id="{0E9CE7E6-0691-43A0-B9AF-5C56E2561B18}"/>
              </a:ext>
            </a:extLst>
          </xdr:cNvPr>
          <xdr:cNvCxnSpPr/>
        </xdr:nvCxnSpPr>
        <xdr:spPr>
          <a:xfrm flipH="1">
            <a:off x="609603" y="61164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82D93245-D9CE-4D36-BD87-23F4CC46E64E}"/>
              </a:ext>
            </a:extLst>
          </xdr:cNvPr>
          <xdr:cNvSpPr/>
        </xdr:nvSpPr>
        <xdr:spPr>
          <a:xfrm>
            <a:off x="4757734" y="61345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69" name="Isosceles Triangle 2068">
            <a:extLst>
              <a:ext uri="{FF2B5EF4-FFF2-40B4-BE49-F238E27FC236}">
                <a16:creationId xmlns:a16="http://schemas.microsoft.com/office/drawing/2014/main" id="{1DFEFB54-C259-4F1A-8196-7F12EEB5F9EF}"/>
              </a:ext>
            </a:extLst>
          </xdr:cNvPr>
          <xdr:cNvSpPr/>
        </xdr:nvSpPr>
        <xdr:spPr>
          <a:xfrm>
            <a:off x="4857741" y="61192373"/>
            <a:ext cx="123834" cy="10675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70" name="Straight Connector 2069">
            <a:extLst>
              <a:ext uri="{FF2B5EF4-FFF2-40B4-BE49-F238E27FC236}">
                <a16:creationId xmlns:a16="http://schemas.microsoft.com/office/drawing/2014/main" id="{13C5631F-8D05-41BA-9EDE-76DD415972D2}"/>
              </a:ext>
            </a:extLst>
          </xdr:cNvPr>
          <xdr:cNvCxnSpPr/>
        </xdr:nvCxnSpPr>
        <xdr:spPr>
          <a:xfrm>
            <a:off x="4748208" y="61340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71" name="Oval 2070">
            <a:extLst>
              <a:ext uri="{FF2B5EF4-FFF2-40B4-BE49-F238E27FC236}">
                <a16:creationId xmlns:a16="http://schemas.microsoft.com/office/drawing/2014/main" id="{972C6620-D722-4802-85B8-450DA31052FE}"/>
              </a:ext>
            </a:extLst>
          </xdr:cNvPr>
          <xdr:cNvSpPr/>
        </xdr:nvSpPr>
        <xdr:spPr>
          <a:xfrm>
            <a:off x="4876795" y="61150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72" name="Straight Arrow Connector 2071">
            <a:extLst>
              <a:ext uri="{FF2B5EF4-FFF2-40B4-BE49-F238E27FC236}">
                <a16:creationId xmlns:a16="http://schemas.microsoft.com/office/drawing/2014/main" id="{05EC4E3F-0B5B-4730-9134-DEB8D2F7D30B}"/>
              </a:ext>
            </a:extLst>
          </xdr:cNvPr>
          <xdr:cNvCxnSpPr/>
        </xdr:nvCxnSpPr>
        <xdr:spPr>
          <a:xfrm flipV="1">
            <a:off x="4924423" y="6148387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3" name="Straight Connector 2072">
            <a:extLst>
              <a:ext uri="{FF2B5EF4-FFF2-40B4-BE49-F238E27FC236}">
                <a16:creationId xmlns:a16="http://schemas.microsoft.com/office/drawing/2014/main" id="{17C4495A-F651-4D10-A231-B69B9C42D6B7}"/>
              </a:ext>
            </a:extLst>
          </xdr:cNvPr>
          <xdr:cNvCxnSpPr/>
        </xdr:nvCxnSpPr>
        <xdr:spPr>
          <a:xfrm>
            <a:off x="2490788" y="61912500"/>
            <a:ext cx="1281112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4" name="Straight Connector 2073">
            <a:extLst>
              <a:ext uri="{FF2B5EF4-FFF2-40B4-BE49-F238E27FC236}">
                <a16:creationId xmlns:a16="http://schemas.microsoft.com/office/drawing/2014/main" id="{A93E151D-E336-4FDF-81DC-2DDE0A988DE7}"/>
              </a:ext>
            </a:extLst>
          </xdr:cNvPr>
          <xdr:cNvCxnSpPr/>
        </xdr:nvCxnSpPr>
        <xdr:spPr>
          <a:xfrm>
            <a:off x="3076575" y="61969650"/>
            <a:ext cx="0" cy="585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5" name="Straight Connector 2074">
            <a:extLst>
              <a:ext uri="{FF2B5EF4-FFF2-40B4-BE49-F238E27FC236}">
                <a16:creationId xmlns:a16="http://schemas.microsoft.com/office/drawing/2014/main" id="{AE4EDADF-1BF1-48E7-B14A-6A288EEE63C6}"/>
              </a:ext>
            </a:extLst>
          </xdr:cNvPr>
          <xdr:cNvCxnSpPr/>
        </xdr:nvCxnSpPr>
        <xdr:spPr>
          <a:xfrm flipV="1">
            <a:off x="3076575" y="59988450"/>
            <a:ext cx="481013" cy="192405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6" name="Straight Connector 2075">
            <a:extLst>
              <a:ext uri="{FF2B5EF4-FFF2-40B4-BE49-F238E27FC236}">
                <a16:creationId xmlns:a16="http://schemas.microsoft.com/office/drawing/2014/main" id="{216B9127-3DD5-42FE-9F5A-0A78226C14BB}"/>
              </a:ext>
            </a:extLst>
          </xdr:cNvPr>
          <xdr:cNvCxnSpPr/>
        </xdr:nvCxnSpPr>
        <xdr:spPr>
          <a:xfrm flipH="1" flipV="1">
            <a:off x="1209675" y="61188031"/>
            <a:ext cx="1866900" cy="724469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7" name="Straight Connector 2076">
            <a:extLst>
              <a:ext uri="{FF2B5EF4-FFF2-40B4-BE49-F238E27FC236}">
                <a16:creationId xmlns:a16="http://schemas.microsoft.com/office/drawing/2014/main" id="{52334391-E07E-41CA-A13C-A5671CA95602}"/>
              </a:ext>
            </a:extLst>
          </xdr:cNvPr>
          <xdr:cNvCxnSpPr/>
        </xdr:nvCxnSpPr>
        <xdr:spPr>
          <a:xfrm flipH="1">
            <a:off x="3076575" y="61192754"/>
            <a:ext cx="1843088" cy="719746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78" name="Oval 2077">
            <a:extLst>
              <a:ext uri="{FF2B5EF4-FFF2-40B4-BE49-F238E27FC236}">
                <a16:creationId xmlns:a16="http://schemas.microsoft.com/office/drawing/2014/main" id="{D75FA84F-EC56-4106-842C-337027ABD40B}"/>
              </a:ext>
            </a:extLst>
          </xdr:cNvPr>
          <xdr:cNvSpPr/>
        </xdr:nvSpPr>
        <xdr:spPr>
          <a:xfrm>
            <a:off x="1576390" y="605837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79" name="Oval 2078">
            <a:extLst>
              <a:ext uri="{FF2B5EF4-FFF2-40B4-BE49-F238E27FC236}">
                <a16:creationId xmlns:a16="http://schemas.microsoft.com/office/drawing/2014/main" id="{83804505-1C42-4B0C-A599-D6DA303D5075}"/>
              </a:ext>
            </a:extLst>
          </xdr:cNvPr>
          <xdr:cNvSpPr/>
        </xdr:nvSpPr>
        <xdr:spPr>
          <a:xfrm>
            <a:off x="4467228" y="605790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80" name="Straight Connector 2079">
            <a:extLst>
              <a:ext uri="{FF2B5EF4-FFF2-40B4-BE49-F238E27FC236}">
                <a16:creationId xmlns:a16="http://schemas.microsoft.com/office/drawing/2014/main" id="{2A7F8728-F937-4D53-A72A-9A41E219EA79}"/>
              </a:ext>
            </a:extLst>
          </xdr:cNvPr>
          <xdr:cNvCxnSpPr/>
        </xdr:nvCxnSpPr>
        <xdr:spPr>
          <a:xfrm>
            <a:off x="1219200" y="59769375"/>
            <a:ext cx="3700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1" name="Straight Arrow Connector 2080">
            <a:extLst>
              <a:ext uri="{FF2B5EF4-FFF2-40B4-BE49-F238E27FC236}">
                <a16:creationId xmlns:a16="http://schemas.microsoft.com/office/drawing/2014/main" id="{A0C47874-C1E7-4D7E-B564-5D9F0C51FA9A}"/>
              </a:ext>
            </a:extLst>
          </xdr:cNvPr>
          <xdr:cNvCxnSpPr/>
        </xdr:nvCxnSpPr>
        <xdr:spPr>
          <a:xfrm>
            <a:off x="1219202" y="59564588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2" name="Straight Arrow Connector 2081">
            <a:extLst>
              <a:ext uri="{FF2B5EF4-FFF2-40B4-BE49-F238E27FC236}">
                <a16:creationId xmlns:a16="http://schemas.microsoft.com/office/drawing/2014/main" id="{949319F2-9468-421F-BA7D-810E3EA8ACDF}"/>
              </a:ext>
            </a:extLst>
          </xdr:cNvPr>
          <xdr:cNvCxnSpPr/>
        </xdr:nvCxnSpPr>
        <xdr:spPr>
          <a:xfrm>
            <a:off x="1457327" y="59564588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3" name="Straight Arrow Connector 2082">
            <a:extLst>
              <a:ext uri="{FF2B5EF4-FFF2-40B4-BE49-F238E27FC236}">
                <a16:creationId xmlns:a16="http://schemas.microsoft.com/office/drawing/2014/main" id="{D4370F6B-9AAB-4BD5-8EF1-0E1F29631918}"/>
              </a:ext>
            </a:extLst>
          </xdr:cNvPr>
          <xdr:cNvCxnSpPr/>
        </xdr:nvCxnSpPr>
        <xdr:spPr>
          <a:xfrm>
            <a:off x="1619251" y="59559825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4" name="Straight Arrow Connector 2083">
            <a:extLst>
              <a:ext uri="{FF2B5EF4-FFF2-40B4-BE49-F238E27FC236}">
                <a16:creationId xmlns:a16="http://schemas.microsoft.com/office/drawing/2014/main" id="{D4E6C220-2773-43BA-BD5E-A76AB7045748}"/>
              </a:ext>
            </a:extLst>
          </xdr:cNvPr>
          <xdr:cNvCxnSpPr/>
        </xdr:nvCxnSpPr>
        <xdr:spPr>
          <a:xfrm>
            <a:off x="1781178" y="59559826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5" name="Straight Arrow Connector 2084">
            <a:extLst>
              <a:ext uri="{FF2B5EF4-FFF2-40B4-BE49-F238E27FC236}">
                <a16:creationId xmlns:a16="http://schemas.microsoft.com/office/drawing/2014/main" id="{B3406E40-2978-42F4-871B-D6E65CE8C85F}"/>
              </a:ext>
            </a:extLst>
          </xdr:cNvPr>
          <xdr:cNvCxnSpPr/>
        </xdr:nvCxnSpPr>
        <xdr:spPr>
          <a:xfrm>
            <a:off x="1943102" y="59559826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6" name="Straight Arrow Connector 2085">
            <a:extLst>
              <a:ext uri="{FF2B5EF4-FFF2-40B4-BE49-F238E27FC236}">
                <a16:creationId xmlns:a16="http://schemas.microsoft.com/office/drawing/2014/main" id="{1B8F9DFD-2836-486C-B255-27865E4E655F}"/>
              </a:ext>
            </a:extLst>
          </xdr:cNvPr>
          <xdr:cNvCxnSpPr/>
        </xdr:nvCxnSpPr>
        <xdr:spPr>
          <a:xfrm>
            <a:off x="2105027" y="59564587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7" name="Straight Arrow Connector 2086">
            <a:extLst>
              <a:ext uri="{FF2B5EF4-FFF2-40B4-BE49-F238E27FC236}">
                <a16:creationId xmlns:a16="http://schemas.microsoft.com/office/drawing/2014/main" id="{D099397F-EC6D-41BB-A560-04FAF63DEC8D}"/>
              </a:ext>
            </a:extLst>
          </xdr:cNvPr>
          <xdr:cNvCxnSpPr/>
        </xdr:nvCxnSpPr>
        <xdr:spPr>
          <a:xfrm>
            <a:off x="2266951" y="59559824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8" name="Straight Arrow Connector 2087">
            <a:extLst>
              <a:ext uri="{FF2B5EF4-FFF2-40B4-BE49-F238E27FC236}">
                <a16:creationId xmlns:a16="http://schemas.microsoft.com/office/drawing/2014/main" id="{5CC02248-AF04-48F1-BF85-5B20BB51EE57}"/>
              </a:ext>
            </a:extLst>
          </xdr:cNvPr>
          <xdr:cNvCxnSpPr/>
        </xdr:nvCxnSpPr>
        <xdr:spPr>
          <a:xfrm>
            <a:off x="2428878" y="59559825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9" name="Straight Arrow Connector 2088">
            <a:extLst>
              <a:ext uri="{FF2B5EF4-FFF2-40B4-BE49-F238E27FC236}">
                <a16:creationId xmlns:a16="http://schemas.microsoft.com/office/drawing/2014/main" id="{7B55C37F-6DED-4421-B881-B8A10DBF67C1}"/>
              </a:ext>
            </a:extLst>
          </xdr:cNvPr>
          <xdr:cNvCxnSpPr/>
        </xdr:nvCxnSpPr>
        <xdr:spPr>
          <a:xfrm>
            <a:off x="2590802" y="59559825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0" name="Straight Arrow Connector 2089">
            <a:extLst>
              <a:ext uri="{FF2B5EF4-FFF2-40B4-BE49-F238E27FC236}">
                <a16:creationId xmlns:a16="http://schemas.microsoft.com/office/drawing/2014/main" id="{1261B20A-C686-4109-8973-D24E668E8BFB}"/>
              </a:ext>
            </a:extLst>
          </xdr:cNvPr>
          <xdr:cNvCxnSpPr/>
        </xdr:nvCxnSpPr>
        <xdr:spPr>
          <a:xfrm>
            <a:off x="2752733" y="59564589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1" name="Straight Arrow Connector 2090">
            <a:extLst>
              <a:ext uri="{FF2B5EF4-FFF2-40B4-BE49-F238E27FC236}">
                <a16:creationId xmlns:a16="http://schemas.microsoft.com/office/drawing/2014/main" id="{A732C334-1D98-4CBA-9CEF-16DC5889DEEF}"/>
              </a:ext>
            </a:extLst>
          </xdr:cNvPr>
          <xdr:cNvCxnSpPr/>
        </xdr:nvCxnSpPr>
        <xdr:spPr>
          <a:xfrm>
            <a:off x="2914657" y="59559826"/>
            <a:ext cx="0" cy="2047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2" name="Straight Arrow Connector 2091">
            <a:extLst>
              <a:ext uri="{FF2B5EF4-FFF2-40B4-BE49-F238E27FC236}">
                <a16:creationId xmlns:a16="http://schemas.microsoft.com/office/drawing/2014/main" id="{61E2D178-723D-4062-81E6-24501E09CF79}"/>
              </a:ext>
            </a:extLst>
          </xdr:cNvPr>
          <xdr:cNvCxnSpPr/>
        </xdr:nvCxnSpPr>
        <xdr:spPr>
          <a:xfrm>
            <a:off x="3076584" y="59450288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3" name="Straight Arrow Connector 2092">
            <a:extLst>
              <a:ext uri="{FF2B5EF4-FFF2-40B4-BE49-F238E27FC236}">
                <a16:creationId xmlns:a16="http://schemas.microsoft.com/office/drawing/2014/main" id="{603EF1C3-DA53-4213-8481-2F99640EE166}"/>
              </a:ext>
            </a:extLst>
          </xdr:cNvPr>
          <xdr:cNvCxnSpPr/>
        </xdr:nvCxnSpPr>
        <xdr:spPr>
          <a:xfrm>
            <a:off x="3238508" y="59450288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4" name="Straight Arrow Connector 2093">
            <a:extLst>
              <a:ext uri="{FF2B5EF4-FFF2-40B4-BE49-F238E27FC236}">
                <a16:creationId xmlns:a16="http://schemas.microsoft.com/office/drawing/2014/main" id="{CE8F6C60-2694-45E9-AB00-772F215827EF}"/>
              </a:ext>
            </a:extLst>
          </xdr:cNvPr>
          <xdr:cNvCxnSpPr/>
        </xdr:nvCxnSpPr>
        <xdr:spPr>
          <a:xfrm>
            <a:off x="3400433" y="59450288"/>
            <a:ext cx="0" cy="3190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Arrow Connector 2094">
            <a:extLst>
              <a:ext uri="{FF2B5EF4-FFF2-40B4-BE49-F238E27FC236}">
                <a16:creationId xmlns:a16="http://schemas.microsoft.com/office/drawing/2014/main" id="{5392E1B1-DBFD-4443-8067-9978B8213199}"/>
              </a:ext>
            </a:extLst>
          </xdr:cNvPr>
          <xdr:cNvCxnSpPr/>
        </xdr:nvCxnSpPr>
        <xdr:spPr>
          <a:xfrm>
            <a:off x="3562357" y="59455050"/>
            <a:ext cx="0" cy="3095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Arrow Connector 2095">
            <a:extLst>
              <a:ext uri="{FF2B5EF4-FFF2-40B4-BE49-F238E27FC236}">
                <a16:creationId xmlns:a16="http://schemas.microsoft.com/office/drawing/2014/main" id="{F2364C1B-D72E-4F2D-B152-BCE893ED20D0}"/>
              </a:ext>
            </a:extLst>
          </xdr:cNvPr>
          <xdr:cNvCxnSpPr/>
        </xdr:nvCxnSpPr>
        <xdr:spPr>
          <a:xfrm>
            <a:off x="3724284" y="59455050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Arrow Connector 2096">
            <a:extLst>
              <a:ext uri="{FF2B5EF4-FFF2-40B4-BE49-F238E27FC236}">
                <a16:creationId xmlns:a16="http://schemas.microsoft.com/office/drawing/2014/main" id="{9ECF3221-3765-4E59-A03B-A27232AED7ED}"/>
              </a:ext>
            </a:extLst>
          </xdr:cNvPr>
          <xdr:cNvCxnSpPr/>
        </xdr:nvCxnSpPr>
        <xdr:spPr>
          <a:xfrm>
            <a:off x="3886208" y="59450288"/>
            <a:ext cx="0" cy="3143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Arrow Connector 2097">
            <a:extLst>
              <a:ext uri="{FF2B5EF4-FFF2-40B4-BE49-F238E27FC236}">
                <a16:creationId xmlns:a16="http://schemas.microsoft.com/office/drawing/2014/main" id="{F356ECF1-DF17-48CE-AEEA-8E4894409208}"/>
              </a:ext>
            </a:extLst>
          </xdr:cNvPr>
          <xdr:cNvCxnSpPr/>
        </xdr:nvCxnSpPr>
        <xdr:spPr>
          <a:xfrm>
            <a:off x="4048134" y="59450288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Straight Arrow Connector 2098">
            <a:extLst>
              <a:ext uri="{FF2B5EF4-FFF2-40B4-BE49-F238E27FC236}">
                <a16:creationId xmlns:a16="http://schemas.microsoft.com/office/drawing/2014/main" id="{720626E1-3EA3-4197-BC34-23F8F530AB24}"/>
              </a:ext>
            </a:extLst>
          </xdr:cNvPr>
          <xdr:cNvCxnSpPr/>
        </xdr:nvCxnSpPr>
        <xdr:spPr>
          <a:xfrm>
            <a:off x="4210059" y="59450288"/>
            <a:ext cx="0" cy="31908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Arrow Connector 2099">
            <a:extLst>
              <a:ext uri="{FF2B5EF4-FFF2-40B4-BE49-F238E27FC236}">
                <a16:creationId xmlns:a16="http://schemas.microsoft.com/office/drawing/2014/main" id="{948DB994-C39D-408C-8433-765BBB8668AB}"/>
              </a:ext>
            </a:extLst>
          </xdr:cNvPr>
          <xdr:cNvCxnSpPr/>
        </xdr:nvCxnSpPr>
        <xdr:spPr>
          <a:xfrm>
            <a:off x="4371983" y="59450288"/>
            <a:ext cx="0" cy="3143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1" name="Straight Arrow Connector 2100">
            <a:extLst>
              <a:ext uri="{FF2B5EF4-FFF2-40B4-BE49-F238E27FC236}">
                <a16:creationId xmlns:a16="http://schemas.microsoft.com/office/drawing/2014/main" id="{79B042B3-DD5C-49EF-B8D2-380926058B82}"/>
              </a:ext>
            </a:extLst>
          </xdr:cNvPr>
          <xdr:cNvCxnSpPr/>
        </xdr:nvCxnSpPr>
        <xdr:spPr>
          <a:xfrm>
            <a:off x="4533910" y="59455050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2" name="Straight Arrow Connector 2101">
            <a:extLst>
              <a:ext uri="{FF2B5EF4-FFF2-40B4-BE49-F238E27FC236}">
                <a16:creationId xmlns:a16="http://schemas.microsoft.com/office/drawing/2014/main" id="{0557A0FD-3452-4A0A-A6A7-9EF6992D0330}"/>
              </a:ext>
            </a:extLst>
          </xdr:cNvPr>
          <xdr:cNvCxnSpPr/>
        </xdr:nvCxnSpPr>
        <xdr:spPr>
          <a:xfrm>
            <a:off x="4695834" y="59455050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3" name="Straight Arrow Connector 2102">
            <a:extLst>
              <a:ext uri="{FF2B5EF4-FFF2-40B4-BE49-F238E27FC236}">
                <a16:creationId xmlns:a16="http://schemas.microsoft.com/office/drawing/2014/main" id="{AA5FEC68-8C73-45D0-AF9A-0043D906D77D}"/>
              </a:ext>
            </a:extLst>
          </xdr:cNvPr>
          <xdr:cNvCxnSpPr/>
        </xdr:nvCxnSpPr>
        <xdr:spPr>
          <a:xfrm>
            <a:off x="4924440" y="59455050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4" name="Straight Connector 2103">
            <a:extLst>
              <a:ext uri="{FF2B5EF4-FFF2-40B4-BE49-F238E27FC236}">
                <a16:creationId xmlns:a16="http://schemas.microsoft.com/office/drawing/2014/main" id="{5A24CAF0-8C4A-4CCD-9897-FAB783AB4A60}"/>
              </a:ext>
            </a:extLst>
          </xdr:cNvPr>
          <xdr:cNvCxnSpPr/>
        </xdr:nvCxnSpPr>
        <xdr:spPr>
          <a:xfrm>
            <a:off x="1223962" y="59559824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5" name="Straight Connector 2104">
            <a:extLst>
              <a:ext uri="{FF2B5EF4-FFF2-40B4-BE49-F238E27FC236}">
                <a16:creationId xmlns:a16="http://schemas.microsoft.com/office/drawing/2014/main" id="{53E73F95-3FB6-4694-80B5-692347505070}"/>
              </a:ext>
            </a:extLst>
          </xdr:cNvPr>
          <xdr:cNvCxnSpPr/>
        </xdr:nvCxnSpPr>
        <xdr:spPr>
          <a:xfrm>
            <a:off x="3076575" y="59450286"/>
            <a:ext cx="1847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6" name="Straight Connector 2105">
            <a:extLst>
              <a:ext uri="{FF2B5EF4-FFF2-40B4-BE49-F238E27FC236}">
                <a16:creationId xmlns:a16="http://schemas.microsoft.com/office/drawing/2014/main" id="{A17975CD-C950-4E90-9069-8B74E8B9A0F6}"/>
              </a:ext>
            </a:extLst>
          </xdr:cNvPr>
          <xdr:cNvCxnSpPr/>
        </xdr:nvCxnSpPr>
        <xdr:spPr>
          <a:xfrm>
            <a:off x="576264" y="60198000"/>
            <a:ext cx="13954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7" name="Straight Connector 2106">
            <a:extLst>
              <a:ext uri="{FF2B5EF4-FFF2-40B4-BE49-F238E27FC236}">
                <a16:creationId xmlns:a16="http://schemas.microsoft.com/office/drawing/2014/main" id="{E48D3A9F-F74D-4F07-9CB2-740C94FB7E1B}"/>
              </a:ext>
            </a:extLst>
          </xdr:cNvPr>
          <xdr:cNvCxnSpPr/>
        </xdr:nvCxnSpPr>
        <xdr:spPr>
          <a:xfrm flipH="1">
            <a:off x="609602" y="6016465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8" name="Straight Connector 2107">
            <a:extLst>
              <a:ext uri="{FF2B5EF4-FFF2-40B4-BE49-F238E27FC236}">
                <a16:creationId xmlns:a16="http://schemas.microsoft.com/office/drawing/2014/main" id="{016D80B4-075D-43AD-922B-39DFE3FEADEF}"/>
              </a:ext>
            </a:extLst>
          </xdr:cNvPr>
          <xdr:cNvCxnSpPr/>
        </xdr:nvCxnSpPr>
        <xdr:spPr>
          <a:xfrm>
            <a:off x="576260" y="59912241"/>
            <a:ext cx="1433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4F2B3A91-9971-46BA-B618-724BE78201AB}"/>
              </a:ext>
            </a:extLst>
          </xdr:cNvPr>
          <xdr:cNvCxnSpPr/>
        </xdr:nvCxnSpPr>
        <xdr:spPr>
          <a:xfrm flipH="1">
            <a:off x="609598" y="5987889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Connector 2109">
            <a:extLst>
              <a:ext uri="{FF2B5EF4-FFF2-40B4-BE49-F238E27FC236}">
                <a16:creationId xmlns:a16="http://schemas.microsoft.com/office/drawing/2014/main" id="{014B30EF-37DC-43A1-AACF-E9BDC0C92308}"/>
              </a:ext>
            </a:extLst>
          </xdr:cNvPr>
          <xdr:cNvCxnSpPr/>
        </xdr:nvCxnSpPr>
        <xdr:spPr>
          <a:xfrm>
            <a:off x="2019300" y="60145613"/>
            <a:ext cx="65722" cy="10953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1" name="Straight Connector 2110">
            <a:extLst>
              <a:ext uri="{FF2B5EF4-FFF2-40B4-BE49-F238E27FC236}">
                <a16:creationId xmlns:a16="http://schemas.microsoft.com/office/drawing/2014/main" id="{8461BC3E-A078-4C35-918C-66C73273DAA9}"/>
              </a:ext>
            </a:extLst>
          </xdr:cNvPr>
          <xdr:cNvCxnSpPr/>
        </xdr:nvCxnSpPr>
        <xdr:spPr>
          <a:xfrm>
            <a:off x="3533773" y="59912251"/>
            <a:ext cx="23574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2" name="Straight Connector 2111">
            <a:extLst>
              <a:ext uri="{FF2B5EF4-FFF2-40B4-BE49-F238E27FC236}">
                <a16:creationId xmlns:a16="http://schemas.microsoft.com/office/drawing/2014/main" id="{0F216DB4-DCC8-46A5-80A3-5CE8E7F8096E}"/>
              </a:ext>
            </a:extLst>
          </xdr:cNvPr>
          <xdr:cNvCxnSpPr/>
        </xdr:nvCxnSpPr>
        <xdr:spPr>
          <a:xfrm>
            <a:off x="5505455" y="59840814"/>
            <a:ext cx="0" cy="14287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3" name="Straight Connector 2112">
            <a:extLst>
              <a:ext uri="{FF2B5EF4-FFF2-40B4-BE49-F238E27FC236}">
                <a16:creationId xmlns:a16="http://schemas.microsoft.com/office/drawing/2014/main" id="{2B74044D-1668-4D23-AA40-2DC7A892E113}"/>
              </a:ext>
            </a:extLst>
          </xdr:cNvPr>
          <xdr:cNvCxnSpPr/>
        </xdr:nvCxnSpPr>
        <xdr:spPr>
          <a:xfrm flipH="1">
            <a:off x="5467351" y="598789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4" name="Straight Connector 2113">
            <a:extLst>
              <a:ext uri="{FF2B5EF4-FFF2-40B4-BE49-F238E27FC236}">
                <a16:creationId xmlns:a16="http://schemas.microsoft.com/office/drawing/2014/main" id="{5AF59851-A921-47A0-B5B9-2B47C069F0A7}"/>
              </a:ext>
            </a:extLst>
          </xdr:cNvPr>
          <xdr:cNvCxnSpPr/>
        </xdr:nvCxnSpPr>
        <xdr:spPr>
          <a:xfrm flipH="1">
            <a:off x="5467351" y="6116954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6" name="Straight Connector 2115">
            <a:extLst>
              <a:ext uri="{FF2B5EF4-FFF2-40B4-BE49-F238E27FC236}">
                <a16:creationId xmlns:a16="http://schemas.microsoft.com/office/drawing/2014/main" id="{B3478EFB-563F-4D5F-8972-8BB91AA964D3}"/>
              </a:ext>
            </a:extLst>
          </xdr:cNvPr>
          <xdr:cNvCxnSpPr/>
        </xdr:nvCxnSpPr>
        <xdr:spPr>
          <a:xfrm flipH="1">
            <a:off x="5467350" y="605932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7" name="Straight Connector 2116">
            <a:extLst>
              <a:ext uri="{FF2B5EF4-FFF2-40B4-BE49-F238E27FC236}">
                <a16:creationId xmlns:a16="http://schemas.microsoft.com/office/drawing/2014/main" id="{36EF5A94-1C47-4A1F-BAA8-511A611CCFD1}"/>
              </a:ext>
            </a:extLst>
          </xdr:cNvPr>
          <xdr:cNvCxnSpPr/>
        </xdr:nvCxnSpPr>
        <xdr:spPr>
          <a:xfrm>
            <a:off x="4995863" y="61198126"/>
            <a:ext cx="9001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8" name="Straight Connector 2117">
            <a:extLst>
              <a:ext uri="{FF2B5EF4-FFF2-40B4-BE49-F238E27FC236}">
                <a16:creationId xmlns:a16="http://schemas.microsoft.com/office/drawing/2014/main" id="{1DC92390-F2DD-4D6D-8E47-09926C309983}"/>
              </a:ext>
            </a:extLst>
          </xdr:cNvPr>
          <xdr:cNvCxnSpPr/>
        </xdr:nvCxnSpPr>
        <xdr:spPr>
          <a:xfrm>
            <a:off x="5829300" y="59840813"/>
            <a:ext cx="0" cy="1428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9" name="Straight Connector 2118">
            <a:extLst>
              <a:ext uri="{FF2B5EF4-FFF2-40B4-BE49-F238E27FC236}">
                <a16:creationId xmlns:a16="http://schemas.microsoft.com/office/drawing/2014/main" id="{7AAC390D-9410-4564-A0A5-3CC1A02CA151}"/>
              </a:ext>
            </a:extLst>
          </xdr:cNvPr>
          <xdr:cNvCxnSpPr/>
        </xdr:nvCxnSpPr>
        <xdr:spPr>
          <a:xfrm flipH="1">
            <a:off x="5791209" y="5987891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0" name="Straight Connector 2119">
            <a:extLst>
              <a:ext uri="{FF2B5EF4-FFF2-40B4-BE49-F238E27FC236}">
                <a16:creationId xmlns:a16="http://schemas.microsoft.com/office/drawing/2014/main" id="{B5186220-5336-436E-B7D8-9F741C705ABF}"/>
              </a:ext>
            </a:extLst>
          </xdr:cNvPr>
          <xdr:cNvCxnSpPr/>
        </xdr:nvCxnSpPr>
        <xdr:spPr>
          <a:xfrm flipH="1">
            <a:off x="5791209" y="6116478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1" name="Straight Connector 2120">
            <a:extLst>
              <a:ext uri="{FF2B5EF4-FFF2-40B4-BE49-F238E27FC236}">
                <a16:creationId xmlns:a16="http://schemas.microsoft.com/office/drawing/2014/main" id="{AA678162-0551-4484-991B-F5EDADB73427}"/>
              </a:ext>
            </a:extLst>
          </xdr:cNvPr>
          <xdr:cNvCxnSpPr/>
        </xdr:nvCxnSpPr>
        <xdr:spPr>
          <a:xfrm>
            <a:off x="1214438" y="61912500"/>
            <a:ext cx="0" cy="933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2" name="Straight Connector 2121">
            <a:extLst>
              <a:ext uri="{FF2B5EF4-FFF2-40B4-BE49-F238E27FC236}">
                <a16:creationId xmlns:a16="http://schemas.microsoft.com/office/drawing/2014/main" id="{E64A3914-ABAE-44A0-87B9-B5E5F4234109}"/>
              </a:ext>
            </a:extLst>
          </xdr:cNvPr>
          <xdr:cNvCxnSpPr/>
        </xdr:nvCxnSpPr>
        <xdr:spPr>
          <a:xfrm>
            <a:off x="1142998" y="62198250"/>
            <a:ext cx="3848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3" name="Straight Connector 2122">
            <a:extLst>
              <a:ext uri="{FF2B5EF4-FFF2-40B4-BE49-F238E27FC236}">
                <a16:creationId xmlns:a16="http://schemas.microsoft.com/office/drawing/2014/main" id="{C502206D-AB7E-4BA7-B611-1CA32AB42EDC}"/>
              </a:ext>
            </a:extLst>
          </xdr:cNvPr>
          <xdr:cNvCxnSpPr/>
        </xdr:nvCxnSpPr>
        <xdr:spPr>
          <a:xfrm flipH="1">
            <a:off x="1176341" y="621649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Connector 2123">
            <a:extLst>
              <a:ext uri="{FF2B5EF4-FFF2-40B4-BE49-F238E27FC236}">
                <a16:creationId xmlns:a16="http://schemas.microsoft.com/office/drawing/2014/main" id="{F7F52D1E-04E0-424A-8750-7536D3C85E39}"/>
              </a:ext>
            </a:extLst>
          </xdr:cNvPr>
          <xdr:cNvCxnSpPr/>
        </xdr:nvCxnSpPr>
        <xdr:spPr>
          <a:xfrm>
            <a:off x="1142998" y="62484000"/>
            <a:ext cx="3848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5" name="Straight Connector 2124">
            <a:extLst>
              <a:ext uri="{FF2B5EF4-FFF2-40B4-BE49-F238E27FC236}">
                <a16:creationId xmlns:a16="http://schemas.microsoft.com/office/drawing/2014/main" id="{749CF2C6-63A8-42B2-A2AA-3E86DB50CEA2}"/>
              </a:ext>
            </a:extLst>
          </xdr:cNvPr>
          <xdr:cNvCxnSpPr/>
        </xdr:nvCxnSpPr>
        <xdr:spPr>
          <a:xfrm flipH="1">
            <a:off x="1176341" y="624506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6" name="Straight Connector 2125">
            <a:extLst>
              <a:ext uri="{FF2B5EF4-FFF2-40B4-BE49-F238E27FC236}">
                <a16:creationId xmlns:a16="http://schemas.microsoft.com/office/drawing/2014/main" id="{4C9EFB73-978F-4DB7-8956-E69C03E6564B}"/>
              </a:ext>
            </a:extLst>
          </xdr:cNvPr>
          <xdr:cNvCxnSpPr/>
        </xdr:nvCxnSpPr>
        <xdr:spPr>
          <a:xfrm>
            <a:off x="1619250" y="60726638"/>
            <a:ext cx="0" cy="1543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7" name="Straight Connector 2126">
            <a:extLst>
              <a:ext uri="{FF2B5EF4-FFF2-40B4-BE49-F238E27FC236}">
                <a16:creationId xmlns:a16="http://schemas.microsoft.com/office/drawing/2014/main" id="{D4C49BDF-5E84-409B-8E4E-E15060884DE3}"/>
              </a:ext>
            </a:extLst>
          </xdr:cNvPr>
          <xdr:cNvCxnSpPr/>
        </xdr:nvCxnSpPr>
        <xdr:spPr>
          <a:xfrm flipH="1">
            <a:off x="1581153" y="621649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8" name="Straight Connector 2127">
            <a:extLst>
              <a:ext uri="{FF2B5EF4-FFF2-40B4-BE49-F238E27FC236}">
                <a16:creationId xmlns:a16="http://schemas.microsoft.com/office/drawing/2014/main" id="{56140B3E-EC23-4A28-97FF-01927B49B059}"/>
              </a:ext>
            </a:extLst>
          </xdr:cNvPr>
          <xdr:cNvCxnSpPr/>
        </xdr:nvCxnSpPr>
        <xdr:spPr>
          <a:xfrm>
            <a:off x="4533899" y="60721878"/>
            <a:ext cx="0" cy="1543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9" name="Straight Connector 2128">
            <a:extLst>
              <a:ext uri="{FF2B5EF4-FFF2-40B4-BE49-F238E27FC236}">
                <a16:creationId xmlns:a16="http://schemas.microsoft.com/office/drawing/2014/main" id="{9ABFF9D6-2569-49A5-9297-A7FF6961F730}"/>
              </a:ext>
            </a:extLst>
          </xdr:cNvPr>
          <xdr:cNvCxnSpPr/>
        </xdr:nvCxnSpPr>
        <xdr:spPr>
          <a:xfrm flipH="1">
            <a:off x="4495802" y="6216015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0" name="Straight Connector 2129">
            <a:extLst>
              <a:ext uri="{FF2B5EF4-FFF2-40B4-BE49-F238E27FC236}">
                <a16:creationId xmlns:a16="http://schemas.microsoft.com/office/drawing/2014/main" id="{59041A6A-37D0-4AAB-A26E-8277F3BAA530}"/>
              </a:ext>
            </a:extLst>
          </xdr:cNvPr>
          <xdr:cNvCxnSpPr/>
        </xdr:nvCxnSpPr>
        <xdr:spPr>
          <a:xfrm>
            <a:off x="4924425" y="61907741"/>
            <a:ext cx="0" cy="9334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1" name="Straight Connector 2130">
            <a:extLst>
              <a:ext uri="{FF2B5EF4-FFF2-40B4-BE49-F238E27FC236}">
                <a16:creationId xmlns:a16="http://schemas.microsoft.com/office/drawing/2014/main" id="{243DD797-7819-4AC7-B669-01EFE51BE0DD}"/>
              </a:ext>
            </a:extLst>
          </xdr:cNvPr>
          <xdr:cNvCxnSpPr/>
        </xdr:nvCxnSpPr>
        <xdr:spPr>
          <a:xfrm flipH="1">
            <a:off x="4886328" y="6216015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2" name="Straight Connector 2131">
            <a:extLst>
              <a:ext uri="{FF2B5EF4-FFF2-40B4-BE49-F238E27FC236}">
                <a16:creationId xmlns:a16="http://schemas.microsoft.com/office/drawing/2014/main" id="{5E944D74-2044-49ED-84F7-5D4194F63A97}"/>
              </a:ext>
            </a:extLst>
          </xdr:cNvPr>
          <xdr:cNvCxnSpPr/>
        </xdr:nvCxnSpPr>
        <xdr:spPr>
          <a:xfrm flipH="1">
            <a:off x="4886328" y="6244590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3" name="Straight Connector 2132">
            <a:extLst>
              <a:ext uri="{FF2B5EF4-FFF2-40B4-BE49-F238E27FC236}">
                <a16:creationId xmlns:a16="http://schemas.microsoft.com/office/drawing/2014/main" id="{E2892440-2FF2-4990-B09F-73E0BBA62D48}"/>
              </a:ext>
            </a:extLst>
          </xdr:cNvPr>
          <xdr:cNvCxnSpPr/>
        </xdr:nvCxnSpPr>
        <xdr:spPr>
          <a:xfrm flipH="1">
            <a:off x="3038476" y="6216490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4" name="Straight Connector 2133">
            <a:extLst>
              <a:ext uri="{FF2B5EF4-FFF2-40B4-BE49-F238E27FC236}">
                <a16:creationId xmlns:a16="http://schemas.microsoft.com/office/drawing/2014/main" id="{9391E419-2BA5-4F2D-A9F7-576ABCBCDA57}"/>
              </a:ext>
            </a:extLst>
          </xdr:cNvPr>
          <xdr:cNvCxnSpPr/>
        </xdr:nvCxnSpPr>
        <xdr:spPr>
          <a:xfrm flipH="1" flipV="1">
            <a:off x="1604963" y="60615277"/>
            <a:ext cx="1466850" cy="1288267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Connector 2134">
            <a:extLst>
              <a:ext uri="{FF2B5EF4-FFF2-40B4-BE49-F238E27FC236}">
                <a16:creationId xmlns:a16="http://schemas.microsoft.com/office/drawing/2014/main" id="{F7A7D205-0056-4AE6-A51A-2DE6A72B45B8}"/>
              </a:ext>
            </a:extLst>
          </xdr:cNvPr>
          <xdr:cNvCxnSpPr/>
        </xdr:nvCxnSpPr>
        <xdr:spPr>
          <a:xfrm flipV="1">
            <a:off x="3071813" y="60620249"/>
            <a:ext cx="1443037" cy="1293959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36" name="Arc 2135">
            <a:extLst>
              <a:ext uri="{FF2B5EF4-FFF2-40B4-BE49-F238E27FC236}">
                <a16:creationId xmlns:a16="http://schemas.microsoft.com/office/drawing/2014/main" id="{18723EBA-DD4D-4A96-ABE6-1183AC542503}"/>
              </a:ext>
            </a:extLst>
          </xdr:cNvPr>
          <xdr:cNvSpPr/>
        </xdr:nvSpPr>
        <xdr:spPr>
          <a:xfrm rot="14175002">
            <a:off x="2628898" y="61736286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37" name="Arc 2136">
            <a:extLst>
              <a:ext uri="{FF2B5EF4-FFF2-40B4-BE49-F238E27FC236}">
                <a16:creationId xmlns:a16="http://schemas.microsoft.com/office/drawing/2014/main" id="{8C745CFB-BC1D-452F-B954-5A0002F042BE}"/>
              </a:ext>
            </a:extLst>
          </xdr:cNvPr>
          <xdr:cNvSpPr/>
        </xdr:nvSpPr>
        <xdr:spPr>
          <a:xfrm rot="2253138">
            <a:off x="3309938" y="61731526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38" name="Straight Connector 2137">
            <a:extLst>
              <a:ext uri="{FF2B5EF4-FFF2-40B4-BE49-F238E27FC236}">
                <a16:creationId xmlns:a16="http://schemas.microsoft.com/office/drawing/2014/main" id="{F6729B34-41E5-4484-8091-75B8F2D50DC1}"/>
              </a:ext>
            </a:extLst>
          </xdr:cNvPr>
          <xdr:cNvCxnSpPr/>
        </xdr:nvCxnSpPr>
        <xdr:spPr>
          <a:xfrm>
            <a:off x="1143001" y="62769750"/>
            <a:ext cx="38481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9" name="Straight Connector 2138">
            <a:extLst>
              <a:ext uri="{FF2B5EF4-FFF2-40B4-BE49-F238E27FC236}">
                <a16:creationId xmlns:a16="http://schemas.microsoft.com/office/drawing/2014/main" id="{AAEE89BE-50B1-4B83-B1B3-4FF76A58CD3C}"/>
              </a:ext>
            </a:extLst>
          </xdr:cNvPr>
          <xdr:cNvCxnSpPr/>
        </xdr:nvCxnSpPr>
        <xdr:spPr>
          <a:xfrm flipH="1">
            <a:off x="1176344" y="627364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0" name="Straight Connector 2139">
            <a:extLst>
              <a:ext uri="{FF2B5EF4-FFF2-40B4-BE49-F238E27FC236}">
                <a16:creationId xmlns:a16="http://schemas.microsoft.com/office/drawing/2014/main" id="{550D11CE-DF90-4346-8219-9F42C9988F7B}"/>
              </a:ext>
            </a:extLst>
          </xdr:cNvPr>
          <xdr:cNvCxnSpPr/>
        </xdr:nvCxnSpPr>
        <xdr:spPr>
          <a:xfrm flipH="1">
            <a:off x="4886331" y="6273165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1" name="Straight Connector 2140">
            <a:extLst>
              <a:ext uri="{FF2B5EF4-FFF2-40B4-BE49-F238E27FC236}">
                <a16:creationId xmlns:a16="http://schemas.microsoft.com/office/drawing/2014/main" id="{BD97A852-A254-407D-A1EE-D0A36E5660A9}"/>
              </a:ext>
            </a:extLst>
          </xdr:cNvPr>
          <xdr:cNvCxnSpPr/>
        </xdr:nvCxnSpPr>
        <xdr:spPr>
          <a:xfrm flipH="1">
            <a:off x="3038485" y="6245066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Straight Connector 2141">
            <a:extLst>
              <a:ext uri="{FF2B5EF4-FFF2-40B4-BE49-F238E27FC236}">
                <a16:creationId xmlns:a16="http://schemas.microsoft.com/office/drawing/2014/main" id="{1A3EAFF7-A44A-4FC7-A9FF-6FBCF6697CA9}"/>
              </a:ext>
            </a:extLst>
          </xdr:cNvPr>
          <xdr:cNvCxnSpPr/>
        </xdr:nvCxnSpPr>
        <xdr:spPr>
          <a:xfrm>
            <a:off x="2052635" y="60698063"/>
            <a:ext cx="0" cy="1343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3" name="Straight Connector 2142">
            <a:extLst>
              <a:ext uri="{FF2B5EF4-FFF2-40B4-BE49-F238E27FC236}">
                <a16:creationId xmlns:a16="http://schemas.microsoft.com/office/drawing/2014/main" id="{9BCB27D4-B2B7-457B-AC49-64ADB287BD64}"/>
              </a:ext>
            </a:extLst>
          </xdr:cNvPr>
          <xdr:cNvCxnSpPr/>
        </xdr:nvCxnSpPr>
        <xdr:spPr>
          <a:xfrm flipH="1">
            <a:off x="2014538" y="624506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4" name="Straight Connector 2143">
            <a:extLst>
              <a:ext uri="{FF2B5EF4-FFF2-40B4-BE49-F238E27FC236}">
                <a16:creationId xmlns:a16="http://schemas.microsoft.com/office/drawing/2014/main" id="{3AD89E73-7DD7-4726-956D-348897678025}"/>
              </a:ext>
            </a:extLst>
          </xdr:cNvPr>
          <xdr:cNvCxnSpPr/>
        </xdr:nvCxnSpPr>
        <xdr:spPr>
          <a:xfrm>
            <a:off x="2052638" y="602646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8" name="Straight Connector 2147">
            <a:extLst>
              <a:ext uri="{FF2B5EF4-FFF2-40B4-BE49-F238E27FC236}">
                <a16:creationId xmlns:a16="http://schemas.microsoft.com/office/drawing/2014/main" id="{51633EBA-F58A-4311-81EB-EAA360BB7BB4}"/>
              </a:ext>
            </a:extLst>
          </xdr:cNvPr>
          <xdr:cNvCxnSpPr/>
        </xdr:nvCxnSpPr>
        <xdr:spPr>
          <a:xfrm flipH="1" flipV="1">
            <a:off x="2052638" y="60202763"/>
            <a:ext cx="1023937" cy="170260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1" name="Straight Connector 2150">
            <a:extLst>
              <a:ext uri="{FF2B5EF4-FFF2-40B4-BE49-F238E27FC236}">
                <a16:creationId xmlns:a16="http://schemas.microsoft.com/office/drawing/2014/main" id="{56BD72DD-E2DE-4093-A2B9-433CAE0304B0}"/>
              </a:ext>
            </a:extLst>
          </xdr:cNvPr>
          <xdr:cNvCxnSpPr/>
        </xdr:nvCxnSpPr>
        <xdr:spPr>
          <a:xfrm>
            <a:off x="2052637" y="62260168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3" name="Oval 2152">
            <a:extLst>
              <a:ext uri="{FF2B5EF4-FFF2-40B4-BE49-F238E27FC236}">
                <a16:creationId xmlns:a16="http://schemas.microsoft.com/office/drawing/2014/main" id="{58CA4A4F-7648-43F1-A1E8-D3C8395BCAB3}"/>
              </a:ext>
            </a:extLst>
          </xdr:cNvPr>
          <xdr:cNvSpPr/>
        </xdr:nvSpPr>
        <xdr:spPr>
          <a:xfrm>
            <a:off x="3033712" y="59878913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2" name="Straight Connector 2161">
            <a:extLst>
              <a:ext uri="{FF2B5EF4-FFF2-40B4-BE49-F238E27FC236}">
                <a16:creationId xmlns:a16="http://schemas.microsoft.com/office/drawing/2014/main" id="{77725691-5BAA-45CA-BD06-407F680F67BB}"/>
              </a:ext>
            </a:extLst>
          </xdr:cNvPr>
          <xdr:cNvCxnSpPr/>
        </xdr:nvCxnSpPr>
        <xdr:spPr>
          <a:xfrm>
            <a:off x="4657725" y="60626626"/>
            <a:ext cx="9048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3" name="Arc 2162">
            <a:extLst>
              <a:ext uri="{FF2B5EF4-FFF2-40B4-BE49-F238E27FC236}">
                <a16:creationId xmlns:a16="http://schemas.microsoft.com/office/drawing/2014/main" id="{0808C006-7927-48C7-B67E-B7E9F935D002}"/>
              </a:ext>
            </a:extLst>
          </xdr:cNvPr>
          <xdr:cNvSpPr/>
        </xdr:nvSpPr>
        <xdr:spPr>
          <a:xfrm rot="15355667">
            <a:off x="2788833" y="61662856"/>
            <a:ext cx="404034" cy="40403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77" name="Straight Arrow Connector 2176">
            <a:extLst>
              <a:ext uri="{FF2B5EF4-FFF2-40B4-BE49-F238E27FC236}">
                <a16:creationId xmlns:a16="http://schemas.microsoft.com/office/drawing/2014/main" id="{16BFA14A-FF30-4650-9CC2-50B6BD9965B7}"/>
              </a:ext>
            </a:extLst>
          </xdr:cNvPr>
          <xdr:cNvCxnSpPr/>
        </xdr:nvCxnSpPr>
        <xdr:spPr>
          <a:xfrm flipV="1">
            <a:off x="1219200" y="60502800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Straight Arrow Connector 2177">
            <a:extLst>
              <a:ext uri="{FF2B5EF4-FFF2-40B4-BE49-F238E27FC236}">
                <a16:creationId xmlns:a16="http://schemas.microsoft.com/office/drawing/2014/main" id="{4EB354F0-17CD-4482-885F-580F9317DFEC}"/>
              </a:ext>
            </a:extLst>
          </xdr:cNvPr>
          <xdr:cNvCxnSpPr/>
        </xdr:nvCxnSpPr>
        <xdr:spPr>
          <a:xfrm>
            <a:off x="1219200" y="61198125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85725</xdr:colOff>
      <xdr:row>62</xdr:row>
      <xdr:rowOff>95249</xdr:rowOff>
    </xdr:from>
    <xdr:to>
      <xdr:col>37</xdr:col>
      <xdr:colOff>76198</xdr:colOff>
      <xdr:row>99</xdr:row>
      <xdr:rowOff>61913</xdr:rowOff>
    </xdr:to>
    <xdr:grpSp>
      <xdr:nvGrpSpPr>
        <xdr:cNvPr id="2265" name="Group 2264">
          <a:extLst>
            <a:ext uri="{FF2B5EF4-FFF2-40B4-BE49-F238E27FC236}">
              <a16:creationId xmlns:a16="http://schemas.microsoft.com/office/drawing/2014/main" id="{A301ED25-20A3-EB36-1EF5-4A853E80BDD9}"/>
            </a:ext>
          </a:extLst>
        </xdr:cNvPr>
        <xdr:cNvGrpSpPr/>
      </xdr:nvGrpSpPr>
      <xdr:grpSpPr>
        <a:xfrm>
          <a:off x="733425" y="9429749"/>
          <a:ext cx="5333998" cy="5253039"/>
          <a:chOff x="733425" y="1142999"/>
          <a:chExt cx="5333998" cy="5253039"/>
        </a:xfrm>
      </xdr:grpSpPr>
      <xdr:sp macro="" textlink="">
        <xdr:nvSpPr>
          <xdr:cNvPr id="1391" name="Arc 1390">
            <a:extLst>
              <a:ext uri="{FF2B5EF4-FFF2-40B4-BE49-F238E27FC236}">
                <a16:creationId xmlns:a16="http://schemas.microsoft.com/office/drawing/2014/main" id="{DA1585FA-9332-4092-B28F-D366E197C35C}"/>
              </a:ext>
            </a:extLst>
          </xdr:cNvPr>
          <xdr:cNvSpPr/>
        </xdr:nvSpPr>
        <xdr:spPr>
          <a:xfrm>
            <a:off x="1743075" y="1628775"/>
            <a:ext cx="3962400" cy="3962400"/>
          </a:xfrm>
          <a:prstGeom prst="arc">
            <a:avLst>
              <a:gd name="adj1" fmla="val 12054284"/>
              <a:gd name="adj2" fmla="val 20343441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89" name="Straight Connector 1488">
            <a:extLst>
              <a:ext uri="{FF2B5EF4-FFF2-40B4-BE49-F238E27FC236}">
                <a16:creationId xmlns:a16="http://schemas.microsoft.com/office/drawing/2014/main" id="{D7013969-766E-A423-EC13-5131CADC348C}"/>
              </a:ext>
            </a:extLst>
          </xdr:cNvPr>
          <xdr:cNvCxnSpPr/>
        </xdr:nvCxnSpPr>
        <xdr:spPr>
          <a:xfrm>
            <a:off x="1876425" y="290512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Connector 1493">
            <a:extLst>
              <a:ext uri="{FF2B5EF4-FFF2-40B4-BE49-F238E27FC236}">
                <a16:creationId xmlns:a16="http://schemas.microsoft.com/office/drawing/2014/main" id="{A1941B81-BBBA-4760-95B5-F89EAC092136}"/>
              </a:ext>
            </a:extLst>
          </xdr:cNvPr>
          <xdr:cNvCxnSpPr/>
        </xdr:nvCxnSpPr>
        <xdr:spPr>
          <a:xfrm>
            <a:off x="5572125" y="2895600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BE612546-C680-42E8-A0C7-CE0F23A1B744}"/>
              </a:ext>
            </a:extLst>
          </xdr:cNvPr>
          <xdr:cNvSpPr/>
        </xdr:nvSpPr>
        <xdr:spPr>
          <a:xfrm>
            <a:off x="1709737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93" name="Isosceles Triangle 1592">
            <a:extLst>
              <a:ext uri="{FF2B5EF4-FFF2-40B4-BE49-F238E27FC236}">
                <a16:creationId xmlns:a16="http://schemas.microsoft.com/office/drawing/2014/main" id="{6467200A-764E-4615-B151-01E5B5867930}"/>
              </a:ext>
            </a:extLst>
          </xdr:cNvPr>
          <xdr:cNvSpPr/>
        </xdr:nvSpPr>
        <xdr:spPr>
          <a:xfrm>
            <a:off x="1794319" y="5057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94" name="Straight Connector 1593">
            <a:extLst>
              <a:ext uri="{FF2B5EF4-FFF2-40B4-BE49-F238E27FC236}">
                <a16:creationId xmlns:a16="http://schemas.microsoft.com/office/drawing/2014/main" id="{92C86334-593B-4F05-8475-ECC67B90ECD0}"/>
              </a:ext>
            </a:extLst>
          </xdr:cNvPr>
          <xdr:cNvCxnSpPr/>
        </xdr:nvCxnSpPr>
        <xdr:spPr>
          <a:xfrm>
            <a:off x="1700211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6" name="Oval 1595">
            <a:extLst>
              <a:ext uri="{FF2B5EF4-FFF2-40B4-BE49-F238E27FC236}">
                <a16:creationId xmlns:a16="http://schemas.microsoft.com/office/drawing/2014/main" id="{38C556ED-B1FA-4685-A9FC-3BAD0576AF44}"/>
              </a:ext>
            </a:extLst>
          </xdr:cNvPr>
          <xdr:cNvSpPr/>
        </xdr:nvSpPr>
        <xdr:spPr>
          <a:xfrm>
            <a:off x="1828798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11" name="Straight Arrow Connector 1610">
            <a:extLst>
              <a:ext uri="{FF2B5EF4-FFF2-40B4-BE49-F238E27FC236}">
                <a16:creationId xmlns:a16="http://schemas.microsoft.com/office/drawing/2014/main" id="{0ED47439-925E-4B0B-9201-BC16400B3EF4}"/>
              </a:ext>
            </a:extLst>
          </xdr:cNvPr>
          <xdr:cNvCxnSpPr/>
        </xdr:nvCxnSpPr>
        <xdr:spPr>
          <a:xfrm flipV="1">
            <a:off x="1862136" y="53340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6" name="Straight Arrow Connector 1625">
            <a:extLst>
              <a:ext uri="{FF2B5EF4-FFF2-40B4-BE49-F238E27FC236}">
                <a16:creationId xmlns:a16="http://schemas.microsoft.com/office/drawing/2014/main" id="{63A32783-6E7F-430B-8AD4-1BCF6D536B23}"/>
              </a:ext>
            </a:extLst>
          </xdr:cNvPr>
          <xdr:cNvCxnSpPr/>
        </xdr:nvCxnSpPr>
        <xdr:spPr>
          <a:xfrm>
            <a:off x="1471613" y="5048250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7" name="Straight Connector 1626">
            <a:extLst>
              <a:ext uri="{FF2B5EF4-FFF2-40B4-BE49-F238E27FC236}">
                <a16:creationId xmlns:a16="http://schemas.microsoft.com/office/drawing/2014/main" id="{8D77805B-03DE-41EE-AE70-48B098DE9800}"/>
              </a:ext>
            </a:extLst>
          </xdr:cNvPr>
          <xdr:cNvCxnSpPr/>
        </xdr:nvCxnSpPr>
        <xdr:spPr>
          <a:xfrm flipH="1">
            <a:off x="1219203" y="5048250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8" name="Straight Connector 1627">
            <a:extLst>
              <a:ext uri="{FF2B5EF4-FFF2-40B4-BE49-F238E27FC236}">
                <a16:creationId xmlns:a16="http://schemas.microsoft.com/office/drawing/2014/main" id="{052AC9A6-52AE-4F13-8DA4-EFA0A974ABCC}"/>
              </a:ext>
            </a:extLst>
          </xdr:cNvPr>
          <xdr:cNvCxnSpPr/>
        </xdr:nvCxnSpPr>
        <xdr:spPr>
          <a:xfrm flipH="1">
            <a:off x="1257303" y="5014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ABE49C18-4B44-45F3-BBBE-E72E3B5F3919}"/>
              </a:ext>
            </a:extLst>
          </xdr:cNvPr>
          <xdr:cNvSpPr/>
        </xdr:nvSpPr>
        <xdr:spPr>
          <a:xfrm>
            <a:off x="5414962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30" name="Isosceles Triangle 1629">
            <a:extLst>
              <a:ext uri="{FF2B5EF4-FFF2-40B4-BE49-F238E27FC236}">
                <a16:creationId xmlns:a16="http://schemas.microsoft.com/office/drawing/2014/main" id="{EE5C9215-CEF7-4BCA-BBA8-179AA33D9E55}"/>
              </a:ext>
            </a:extLst>
          </xdr:cNvPr>
          <xdr:cNvSpPr/>
        </xdr:nvSpPr>
        <xdr:spPr>
          <a:xfrm>
            <a:off x="5499544" y="5057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31" name="Straight Connector 1630">
            <a:extLst>
              <a:ext uri="{FF2B5EF4-FFF2-40B4-BE49-F238E27FC236}">
                <a16:creationId xmlns:a16="http://schemas.microsoft.com/office/drawing/2014/main" id="{25FB7421-507C-4CC5-99C0-C58F5F7AD5C3}"/>
              </a:ext>
            </a:extLst>
          </xdr:cNvPr>
          <xdr:cNvCxnSpPr/>
        </xdr:nvCxnSpPr>
        <xdr:spPr>
          <a:xfrm>
            <a:off x="5405436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2" name="Oval 1631">
            <a:extLst>
              <a:ext uri="{FF2B5EF4-FFF2-40B4-BE49-F238E27FC236}">
                <a16:creationId xmlns:a16="http://schemas.microsoft.com/office/drawing/2014/main" id="{CC8FD919-5671-4A72-B74A-7381BF48DC65}"/>
              </a:ext>
            </a:extLst>
          </xdr:cNvPr>
          <xdr:cNvSpPr/>
        </xdr:nvSpPr>
        <xdr:spPr>
          <a:xfrm>
            <a:off x="5534023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35" name="Straight Arrow Connector 1634">
            <a:extLst>
              <a:ext uri="{FF2B5EF4-FFF2-40B4-BE49-F238E27FC236}">
                <a16:creationId xmlns:a16="http://schemas.microsoft.com/office/drawing/2014/main" id="{153CFCB0-00B9-4E7E-926A-8714432FD54C}"/>
              </a:ext>
            </a:extLst>
          </xdr:cNvPr>
          <xdr:cNvCxnSpPr/>
        </xdr:nvCxnSpPr>
        <xdr:spPr>
          <a:xfrm flipV="1">
            <a:off x="5576886" y="53435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Arrow Connector 1636">
            <a:extLst>
              <a:ext uri="{FF2B5EF4-FFF2-40B4-BE49-F238E27FC236}">
                <a16:creationId xmlns:a16="http://schemas.microsoft.com/office/drawing/2014/main" id="{0EF6944F-DDBC-499B-B773-C4BB14AC1A8F}"/>
              </a:ext>
            </a:extLst>
          </xdr:cNvPr>
          <xdr:cNvCxnSpPr/>
        </xdr:nvCxnSpPr>
        <xdr:spPr>
          <a:xfrm flipH="1">
            <a:off x="5662613" y="5048250"/>
            <a:ext cx="33813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Straight Connector 1658">
            <a:extLst>
              <a:ext uri="{FF2B5EF4-FFF2-40B4-BE49-F238E27FC236}">
                <a16:creationId xmlns:a16="http://schemas.microsoft.com/office/drawing/2014/main" id="{9FA1BE47-3CA2-8EC7-7E80-6285E3C822FC}"/>
              </a:ext>
            </a:extLst>
          </xdr:cNvPr>
          <xdr:cNvCxnSpPr/>
        </xdr:nvCxnSpPr>
        <xdr:spPr>
          <a:xfrm>
            <a:off x="1876425" y="1476375"/>
            <a:ext cx="3700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1" name="Straight Arrow Connector 1670">
            <a:extLst>
              <a:ext uri="{FF2B5EF4-FFF2-40B4-BE49-F238E27FC236}">
                <a16:creationId xmlns:a16="http://schemas.microsoft.com/office/drawing/2014/main" id="{7B306CEE-45B3-9487-379D-3281C91EC463}"/>
              </a:ext>
            </a:extLst>
          </xdr:cNvPr>
          <xdr:cNvCxnSpPr/>
        </xdr:nvCxnSpPr>
        <xdr:spPr>
          <a:xfrm>
            <a:off x="1876425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5" name="Straight Connector 1674">
            <a:extLst>
              <a:ext uri="{FF2B5EF4-FFF2-40B4-BE49-F238E27FC236}">
                <a16:creationId xmlns:a16="http://schemas.microsoft.com/office/drawing/2014/main" id="{BA656839-C8BE-4F6A-B0F5-F6B4CC764A9E}"/>
              </a:ext>
            </a:extLst>
          </xdr:cNvPr>
          <xdr:cNvCxnSpPr/>
        </xdr:nvCxnSpPr>
        <xdr:spPr>
          <a:xfrm>
            <a:off x="1876425" y="1266824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7" name="Straight Arrow Connector 1676">
            <a:extLst>
              <a:ext uri="{FF2B5EF4-FFF2-40B4-BE49-F238E27FC236}">
                <a16:creationId xmlns:a16="http://schemas.microsoft.com/office/drawing/2014/main" id="{776F04BA-3E60-4973-9879-2E81F9BD341B}"/>
              </a:ext>
            </a:extLst>
          </xdr:cNvPr>
          <xdr:cNvCxnSpPr/>
        </xdr:nvCxnSpPr>
        <xdr:spPr>
          <a:xfrm>
            <a:off x="2105025" y="1271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8" name="Straight Arrow Connector 1677">
            <a:extLst>
              <a:ext uri="{FF2B5EF4-FFF2-40B4-BE49-F238E27FC236}">
                <a16:creationId xmlns:a16="http://schemas.microsoft.com/office/drawing/2014/main" id="{F0FCABDA-5F35-449B-B438-7A326E2DD199}"/>
              </a:ext>
            </a:extLst>
          </xdr:cNvPr>
          <xdr:cNvCxnSpPr/>
        </xdr:nvCxnSpPr>
        <xdr:spPr>
          <a:xfrm>
            <a:off x="2266952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9" name="Straight Arrow Connector 1678">
            <a:extLst>
              <a:ext uri="{FF2B5EF4-FFF2-40B4-BE49-F238E27FC236}">
                <a16:creationId xmlns:a16="http://schemas.microsoft.com/office/drawing/2014/main" id="{884EE6BC-8470-490A-919F-15B94EFDD34B}"/>
              </a:ext>
            </a:extLst>
          </xdr:cNvPr>
          <xdr:cNvCxnSpPr/>
        </xdr:nvCxnSpPr>
        <xdr:spPr>
          <a:xfrm>
            <a:off x="2428874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0" name="Straight Arrow Connector 1679">
            <a:extLst>
              <a:ext uri="{FF2B5EF4-FFF2-40B4-BE49-F238E27FC236}">
                <a16:creationId xmlns:a16="http://schemas.microsoft.com/office/drawing/2014/main" id="{769CB69B-0B92-47EE-AC70-166E0AB7C201}"/>
              </a:ext>
            </a:extLst>
          </xdr:cNvPr>
          <xdr:cNvCxnSpPr/>
        </xdr:nvCxnSpPr>
        <xdr:spPr>
          <a:xfrm>
            <a:off x="2590801" y="127158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1" name="Straight Arrow Connector 1680">
            <a:extLst>
              <a:ext uri="{FF2B5EF4-FFF2-40B4-BE49-F238E27FC236}">
                <a16:creationId xmlns:a16="http://schemas.microsoft.com/office/drawing/2014/main" id="{A1B71623-DDC7-429F-8624-D65D587D97E8}"/>
              </a:ext>
            </a:extLst>
          </xdr:cNvPr>
          <xdr:cNvCxnSpPr/>
        </xdr:nvCxnSpPr>
        <xdr:spPr>
          <a:xfrm>
            <a:off x="2752725" y="1271586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2" name="Straight Arrow Connector 1681">
            <a:extLst>
              <a:ext uri="{FF2B5EF4-FFF2-40B4-BE49-F238E27FC236}">
                <a16:creationId xmlns:a16="http://schemas.microsoft.com/office/drawing/2014/main" id="{65CA6506-0DCE-483E-B8D0-0884925F0BEB}"/>
              </a:ext>
            </a:extLst>
          </xdr:cNvPr>
          <xdr:cNvCxnSpPr/>
        </xdr:nvCxnSpPr>
        <xdr:spPr>
          <a:xfrm>
            <a:off x="2914652" y="1271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3" name="Straight Arrow Connector 1682">
            <a:extLst>
              <a:ext uri="{FF2B5EF4-FFF2-40B4-BE49-F238E27FC236}">
                <a16:creationId xmlns:a16="http://schemas.microsoft.com/office/drawing/2014/main" id="{917C6806-DD1B-4A2F-849B-ADC2F5664131}"/>
              </a:ext>
            </a:extLst>
          </xdr:cNvPr>
          <xdr:cNvCxnSpPr/>
        </xdr:nvCxnSpPr>
        <xdr:spPr>
          <a:xfrm>
            <a:off x="3076574" y="1271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4" name="Straight Arrow Connector 1683">
            <a:extLst>
              <a:ext uri="{FF2B5EF4-FFF2-40B4-BE49-F238E27FC236}">
                <a16:creationId xmlns:a16="http://schemas.microsoft.com/office/drawing/2014/main" id="{D49AC9D8-D7D0-482D-ADE1-0CB0036DD11D}"/>
              </a:ext>
            </a:extLst>
          </xdr:cNvPr>
          <xdr:cNvCxnSpPr/>
        </xdr:nvCxnSpPr>
        <xdr:spPr>
          <a:xfrm>
            <a:off x="3238501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5" name="Straight Arrow Connector 1684">
            <a:extLst>
              <a:ext uri="{FF2B5EF4-FFF2-40B4-BE49-F238E27FC236}">
                <a16:creationId xmlns:a16="http://schemas.microsoft.com/office/drawing/2014/main" id="{3BF290DE-2AD1-4A58-8F33-54C92EDB4567}"/>
              </a:ext>
            </a:extLst>
          </xdr:cNvPr>
          <xdr:cNvCxnSpPr/>
        </xdr:nvCxnSpPr>
        <xdr:spPr>
          <a:xfrm>
            <a:off x="3400431" y="126681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6" name="Straight Arrow Connector 1685">
            <a:extLst>
              <a:ext uri="{FF2B5EF4-FFF2-40B4-BE49-F238E27FC236}">
                <a16:creationId xmlns:a16="http://schemas.microsoft.com/office/drawing/2014/main" id="{69636919-5024-4879-A413-AE67CB4350BD}"/>
              </a:ext>
            </a:extLst>
          </xdr:cNvPr>
          <xdr:cNvCxnSpPr/>
        </xdr:nvCxnSpPr>
        <xdr:spPr>
          <a:xfrm>
            <a:off x="3562358" y="1266820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7" name="Straight Arrow Connector 1686">
            <a:extLst>
              <a:ext uri="{FF2B5EF4-FFF2-40B4-BE49-F238E27FC236}">
                <a16:creationId xmlns:a16="http://schemas.microsoft.com/office/drawing/2014/main" id="{675CF553-EFDE-4A81-8FE4-B273B77B80C7}"/>
              </a:ext>
            </a:extLst>
          </xdr:cNvPr>
          <xdr:cNvCxnSpPr/>
        </xdr:nvCxnSpPr>
        <xdr:spPr>
          <a:xfrm>
            <a:off x="3724280" y="114300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8" name="Straight Arrow Connector 1687">
            <a:extLst>
              <a:ext uri="{FF2B5EF4-FFF2-40B4-BE49-F238E27FC236}">
                <a16:creationId xmlns:a16="http://schemas.microsoft.com/office/drawing/2014/main" id="{891C6B62-8FA0-4855-9670-F51C6AF3C93D}"/>
              </a:ext>
            </a:extLst>
          </xdr:cNvPr>
          <xdr:cNvCxnSpPr/>
        </xdr:nvCxnSpPr>
        <xdr:spPr>
          <a:xfrm>
            <a:off x="3886207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0" name="Straight Connector 1689">
            <a:extLst>
              <a:ext uri="{FF2B5EF4-FFF2-40B4-BE49-F238E27FC236}">
                <a16:creationId xmlns:a16="http://schemas.microsoft.com/office/drawing/2014/main" id="{210A8719-1066-4A4D-88D7-F0C61C1F3DE6}"/>
              </a:ext>
            </a:extLst>
          </xdr:cNvPr>
          <xdr:cNvCxnSpPr/>
        </xdr:nvCxnSpPr>
        <xdr:spPr>
          <a:xfrm>
            <a:off x="3724275" y="1142999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2" name="Straight Arrow Connector 1691">
            <a:extLst>
              <a:ext uri="{FF2B5EF4-FFF2-40B4-BE49-F238E27FC236}">
                <a16:creationId xmlns:a16="http://schemas.microsoft.com/office/drawing/2014/main" id="{BF2F28DF-CD77-49E5-984B-D6750395BB43}"/>
              </a:ext>
            </a:extLst>
          </xdr:cNvPr>
          <xdr:cNvCxnSpPr/>
        </xdr:nvCxnSpPr>
        <xdr:spPr>
          <a:xfrm>
            <a:off x="4048133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3" name="Straight Arrow Connector 1692">
            <a:extLst>
              <a:ext uri="{FF2B5EF4-FFF2-40B4-BE49-F238E27FC236}">
                <a16:creationId xmlns:a16="http://schemas.microsoft.com/office/drawing/2014/main" id="{EFBB9048-CCB4-4BEF-BF14-76631F0F6BE1}"/>
              </a:ext>
            </a:extLst>
          </xdr:cNvPr>
          <xdr:cNvCxnSpPr/>
        </xdr:nvCxnSpPr>
        <xdr:spPr>
          <a:xfrm>
            <a:off x="4210058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Straight Arrow Connector 1693">
            <a:extLst>
              <a:ext uri="{FF2B5EF4-FFF2-40B4-BE49-F238E27FC236}">
                <a16:creationId xmlns:a16="http://schemas.microsoft.com/office/drawing/2014/main" id="{EC2CA575-7B1F-4B6F-8081-1E0CEDAC6BDF}"/>
              </a:ext>
            </a:extLst>
          </xdr:cNvPr>
          <xdr:cNvCxnSpPr/>
        </xdr:nvCxnSpPr>
        <xdr:spPr>
          <a:xfrm>
            <a:off x="4371984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5" name="Straight Arrow Connector 1694">
            <a:extLst>
              <a:ext uri="{FF2B5EF4-FFF2-40B4-BE49-F238E27FC236}">
                <a16:creationId xmlns:a16="http://schemas.microsoft.com/office/drawing/2014/main" id="{F40E3370-1B3D-443C-B437-2929B2765B6D}"/>
              </a:ext>
            </a:extLst>
          </xdr:cNvPr>
          <xdr:cNvCxnSpPr/>
        </xdr:nvCxnSpPr>
        <xdr:spPr>
          <a:xfrm>
            <a:off x="4533905" y="114300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6" name="Straight Arrow Connector 1695">
            <a:extLst>
              <a:ext uri="{FF2B5EF4-FFF2-40B4-BE49-F238E27FC236}">
                <a16:creationId xmlns:a16="http://schemas.microsoft.com/office/drawing/2014/main" id="{10995361-2AA4-46A9-BD26-411A14E4D7B3}"/>
              </a:ext>
            </a:extLst>
          </xdr:cNvPr>
          <xdr:cNvCxnSpPr/>
        </xdr:nvCxnSpPr>
        <xdr:spPr>
          <a:xfrm>
            <a:off x="4695832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7" name="Straight Arrow Connector 1696">
            <a:extLst>
              <a:ext uri="{FF2B5EF4-FFF2-40B4-BE49-F238E27FC236}">
                <a16:creationId xmlns:a16="http://schemas.microsoft.com/office/drawing/2014/main" id="{29AF78A8-CC84-46A7-BCA8-3EA234881A4E}"/>
              </a:ext>
            </a:extLst>
          </xdr:cNvPr>
          <xdr:cNvCxnSpPr/>
        </xdr:nvCxnSpPr>
        <xdr:spPr>
          <a:xfrm>
            <a:off x="4857758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8" name="Straight Arrow Connector 1697">
            <a:extLst>
              <a:ext uri="{FF2B5EF4-FFF2-40B4-BE49-F238E27FC236}">
                <a16:creationId xmlns:a16="http://schemas.microsoft.com/office/drawing/2014/main" id="{40AE2E65-E0B2-4F59-8ACA-D773DE0C9B8C}"/>
              </a:ext>
            </a:extLst>
          </xdr:cNvPr>
          <xdr:cNvCxnSpPr/>
        </xdr:nvCxnSpPr>
        <xdr:spPr>
          <a:xfrm>
            <a:off x="5019683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9" name="Straight Arrow Connector 1698">
            <a:extLst>
              <a:ext uri="{FF2B5EF4-FFF2-40B4-BE49-F238E27FC236}">
                <a16:creationId xmlns:a16="http://schemas.microsoft.com/office/drawing/2014/main" id="{CE2F2543-074D-485C-BC35-D1E9261FE886}"/>
              </a:ext>
            </a:extLst>
          </xdr:cNvPr>
          <xdr:cNvCxnSpPr/>
        </xdr:nvCxnSpPr>
        <xdr:spPr>
          <a:xfrm>
            <a:off x="5181609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0" name="Straight Arrow Connector 1699">
            <a:extLst>
              <a:ext uri="{FF2B5EF4-FFF2-40B4-BE49-F238E27FC236}">
                <a16:creationId xmlns:a16="http://schemas.microsoft.com/office/drawing/2014/main" id="{85E4B804-E5BD-4458-9B21-A7CF346B5DD1}"/>
              </a:ext>
            </a:extLst>
          </xdr:cNvPr>
          <xdr:cNvCxnSpPr/>
        </xdr:nvCxnSpPr>
        <xdr:spPr>
          <a:xfrm>
            <a:off x="5343533" y="1147763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1" name="Straight Arrow Connector 1700">
            <a:extLst>
              <a:ext uri="{FF2B5EF4-FFF2-40B4-BE49-F238E27FC236}">
                <a16:creationId xmlns:a16="http://schemas.microsoft.com/office/drawing/2014/main" id="{69195DFC-D228-4A6C-86CB-3C20C7D15808}"/>
              </a:ext>
            </a:extLst>
          </xdr:cNvPr>
          <xdr:cNvCxnSpPr/>
        </xdr:nvCxnSpPr>
        <xdr:spPr>
          <a:xfrm>
            <a:off x="5572138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3" name="Oval 1702">
            <a:extLst>
              <a:ext uri="{FF2B5EF4-FFF2-40B4-BE49-F238E27FC236}">
                <a16:creationId xmlns:a16="http://schemas.microsoft.com/office/drawing/2014/main" id="{33B0883B-CB8F-4BC4-BC7F-32CBCA83AA5D}"/>
              </a:ext>
            </a:extLst>
          </xdr:cNvPr>
          <xdr:cNvSpPr/>
        </xdr:nvSpPr>
        <xdr:spPr>
          <a:xfrm>
            <a:off x="3681412" y="158591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5" name="Straight Connector 1704">
            <a:extLst>
              <a:ext uri="{FF2B5EF4-FFF2-40B4-BE49-F238E27FC236}">
                <a16:creationId xmlns:a16="http://schemas.microsoft.com/office/drawing/2014/main" id="{2FF152CF-9455-A5F8-8274-047E41524378}"/>
              </a:ext>
            </a:extLst>
          </xdr:cNvPr>
          <xdr:cNvCxnSpPr/>
        </xdr:nvCxnSpPr>
        <xdr:spPr>
          <a:xfrm>
            <a:off x="1295401" y="1547813"/>
            <a:ext cx="0" cy="3581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8" name="Straight Connector 1707">
            <a:extLst>
              <a:ext uri="{FF2B5EF4-FFF2-40B4-BE49-F238E27FC236}">
                <a16:creationId xmlns:a16="http://schemas.microsoft.com/office/drawing/2014/main" id="{8F30DA32-77D9-2731-55CC-C2E682089CEA}"/>
              </a:ext>
            </a:extLst>
          </xdr:cNvPr>
          <xdr:cNvCxnSpPr/>
        </xdr:nvCxnSpPr>
        <xdr:spPr>
          <a:xfrm flipH="1">
            <a:off x="1209675" y="1619251"/>
            <a:ext cx="217646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1" name="Straight Connector 1710">
            <a:extLst>
              <a:ext uri="{FF2B5EF4-FFF2-40B4-BE49-F238E27FC236}">
                <a16:creationId xmlns:a16="http://schemas.microsoft.com/office/drawing/2014/main" id="{33EC606C-5435-96C1-7697-40C142CD6687}"/>
              </a:ext>
            </a:extLst>
          </xdr:cNvPr>
          <xdr:cNvCxnSpPr/>
        </xdr:nvCxnSpPr>
        <xdr:spPr>
          <a:xfrm flipH="1">
            <a:off x="1257299" y="1585912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3" name="Straight Connector 1712">
            <a:extLst>
              <a:ext uri="{FF2B5EF4-FFF2-40B4-BE49-F238E27FC236}">
                <a16:creationId xmlns:a16="http://schemas.microsoft.com/office/drawing/2014/main" id="{6FF28E9B-D29B-4183-84FC-81550661462A}"/>
              </a:ext>
            </a:extLst>
          </xdr:cNvPr>
          <xdr:cNvCxnSpPr/>
        </xdr:nvCxnSpPr>
        <xdr:spPr>
          <a:xfrm flipH="1">
            <a:off x="1209678" y="2905127"/>
            <a:ext cx="5905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4" name="Straight Connector 1713">
            <a:extLst>
              <a:ext uri="{FF2B5EF4-FFF2-40B4-BE49-F238E27FC236}">
                <a16:creationId xmlns:a16="http://schemas.microsoft.com/office/drawing/2014/main" id="{E7534FF2-DB7C-4FB2-9747-2F0BEF5B330F}"/>
              </a:ext>
            </a:extLst>
          </xdr:cNvPr>
          <xdr:cNvCxnSpPr/>
        </xdr:nvCxnSpPr>
        <xdr:spPr>
          <a:xfrm flipH="1">
            <a:off x="1257302" y="2871788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7" name="Straight Connector 1716">
            <a:extLst>
              <a:ext uri="{FF2B5EF4-FFF2-40B4-BE49-F238E27FC236}">
                <a16:creationId xmlns:a16="http://schemas.microsoft.com/office/drawing/2014/main" id="{8584BA06-04FC-1BC9-CD83-825D800071DC}"/>
              </a:ext>
            </a:extLst>
          </xdr:cNvPr>
          <xdr:cNvCxnSpPr/>
        </xdr:nvCxnSpPr>
        <xdr:spPr>
          <a:xfrm>
            <a:off x="1857375" y="5800725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9" name="Straight Connector 1718">
            <a:extLst>
              <a:ext uri="{FF2B5EF4-FFF2-40B4-BE49-F238E27FC236}">
                <a16:creationId xmlns:a16="http://schemas.microsoft.com/office/drawing/2014/main" id="{B96C8CCD-8947-D003-8AD4-25749502679E}"/>
              </a:ext>
            </a:extLst>
          </xdr:cNvPr>
          <xdr:cNvCxnSpPr/>
        </xdr:nvCxnSpPr>
        <xdr:spPr>
          <a:xfrm>
            <a:off x="3305175" y="3609976"/>
            <a:ext cx="8667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Connector 1723">
            <a:extLst>
              <a:ext uri="{FF2B5EF4-FFF2-40B4-BE49-F238E27FC236}">
                <a16:creationId xmlns:a16="http://schemas.microsoft.com/office/drawing/2014/main" id="{A0B44B41-6FDF-410E-EC71-F1C6FFFF272D}"/>
              </a:ext>
            </a:extLst>
          </xdr:cNvPr>
          <xdr:cNvCxnSpPr/>
        </xdr:nvCxnSpPr>
        <xdr:spPr>
          <a:xfrm flipV="1">
            <a:off x="1619249" y="1547814"/>
            <a:ext cx="0" cy="14239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Connector 1726">
            <a:extLst>
              <a:ext uri="{FF2B5EF4-FFF2-40B4-BE49-F238E27FC236}">
                <a16:creationId xmlns:a16="http://schemas.microsoft.com/office/drawing/2014/main" id="{C9AD5C5E-1972-3A61-1BDB-02BB373A8D31}"/>
              </a:ext>
            </a:extLst>
          </xdr:cNvPr>
          <xdr:cNvCxnSpPr/>
        </xdr:nvCxnSpPr>
        <xdr:spPr>
          <a:xfrm flipH="1">
            <a:off x="1581151" y="15811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9" name="Straight Connector 1728">
            <a:extLst>
              <a:ext uri="{FF2B5EF4-FFF2-40B4-BE49-F238E27FC236}">
                <a16:creationId xmlns:a16="http://schemas.microsoft.com/office/drawing/2014/main" id="{8F180659-A42D-FD19-9EB3-7A0697F3C015}"/>
              </a:ext>
            </a:extLst>
          </xdr:cNvPr>
          <xdr:cNvCxnSpPr/>
        </xdr:nvCxnSpPr>
        <xdr:spPr>
          <a:xfrm>
            <a:off x="1547815" y="1985958"/>
            <a:ext cx="9905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0" name="Straight Connector 1729">
            <a:extLst>
              <a:ext uri="{FF2B5EF4-FFF2-40B4-BE49-F238E27FC236}">
                <a16:creationId xmlns:a16="http://schemas.microsoft.com/office/drawing/2014/main" id="{DF12D25E-064B-412F-8D3F-E49B3B4C0911}"/>
              </a:ext>
            </a:extLst>
          </xdr:cNvPr>
          <xdr:cNvCxnSpPr/>
        </xdr:nvCxnSpPr>
        <xdr:spPr>
          <a:xfrm flipH="1">
            <a:off x="1581150" y="194786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2" name="Straight Connector 1731">
            <a:extLst>
              <a:ext uri="{FF2B5EF4-FFF2-40B4-BE49-F238E27FC236}">
                <a16:creationId xmlns:a16="http://schemas.microsoft.com/office/drawing/2014/main" id="{3E8E4B39-1C3C-0FE6-520C-56512062B9B5}"/>
              </a:ext>
            </a:extLst>
          </xdr:cNvPr>
          <xdr:cNvCxnSpPr/>
        </xdr:nvCxnSpPr>
        <xdr:spPr>
          <a:xfrm>
            <a:off x="1038225" y="1614488"/>
            <a:ext cx="0" cy="3433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Arrow Connector 1734">
            <a:extLst>
              <a:ext uri="{FF2B5EF4-FFF2-40B4-BE49-F238E27FC236}">
                <a16:creationId xmlns:a16="http://schemas.microsoft.com/office/drawing/2014/main" id="{7ED0F176-F4E9-F907-21F1-7CCDE8786A36}"/>
              </a:ext>
            </a:extLst>
          </xdr:cNvPr>
          <xdr:cNvCxnSpPr/>
        </xdr:nvCxnSpPr>
        <xdr:spPr>
          <a:xfrm>
            <a:off x="838200" y="161925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7" name="Straight Arrow Connector 1736">
            <a:extLst>
              <a:ext uri="{FF2B5EF4-FFF2-40B4-BE49-F238E27FC236}">
                <a16:creationId xmlns:a16="http://schemas.microsoft.com/office/drawing/2014/main" id="{9754391B-FAF7-4E4A-8BCF-65F6A108101A}"/>
              </a:ext>
            </a:extLst>
          </xdr:cNvPr>
          <xdr:cNvCxnSpPr/>
        </xdr:nvCxnSpPr>
        <xdr:spPr>
          <a:xfrm>
            <a:off x="838201" y="176212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8" name="Straight Arrow Connector 1737">
            <a:extLst>
              <a:ext uri="{FF2B5EF4-FFF2-40B4-BE49-F238E27FC236}">
                <a16:creationId xmlns:a16="http://schemas.microsoft.com/office/drawing/2014/main" id="{8F15AD10-D6B0-4204-8BC4-17771B6FE76A}"/>
              </a:ext>
            </a:extLst>
          </xdr:cNvPr>
          <xdr:cNvCxnSpPr/>
        </xdr:nvCxnSpPr>
        <xdr:spPr>
          <a:xfrm>
            <a:off x="833437" y="190500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9" name="Straight Arrow Connector 1738">
            <a:extLst>
              <a:ext uri="{FF2B5EF4-FFF2-40B4-BE49-F238E27FC236}">
                <a16:creationId xmlns:a16="http://schemas.microsoft.com/office/drawing/2014/main" id="{086D6FC6-1AB9-4E44-A7CC-BE0BA67C75B2}"/>
              </a:ext>
            </a:extLst>
          </xdr:cNvPr>
          <xdr:cNvCxnSpPr/>
        </xdr:nvCxnSpPr>
        <xdr:spPr>
          <a:xfrm>
            <a:off x="833438" y="204787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0" name="Straight Arrow Connector 1739">
            <a:extLst>
              <a:ext uri="{FF2B5EF4-FFF2-40B4-BE49-F238E27FC236}">
                <a16:creationId xmlns:a16="http://schemas.microsoft.com/office/drawing/2014/main" id="{10AEB456-2E56-4E9C-A797-0A22C8C28F55}"/>
              </a:ext>
            </a:extLst>
          </xdr:cNvPr>
          <xdr:cNvCxnSpPr/>
        </xdr:nvCxnSpPr>
        <xdr:spPr>
          <a:xfrm>
            <a:off x="838197" y="219075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1" name="Straight Arrow Connector 1740">
            <a:extLst>
              <a:ext uri="{FF2B5EF4-FFF2-40B4-BE49-F238E27FC236}">
                <a16:creationId xmlns:a16="http://schemas.microsoft.com/office/drawing/2014/main" id="{85F287BA-B6E7-4C79-B498-B113D20898D0}"/>
              </a:ext>
            </a:extLst>
          </xdr:cNvPr>
          <xdr:cNvCxnSpPr/>
        </xdr:nvCxnSpPr>
        <xdr:spPr>
          <a:xfrm>
            <a:off x="838198" y="233363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2" name="Straight Arrow Connector 1741">
            <a:extLst>
              <a:ext uri="{FF2B5EF4-FFF2-40B4-BE49-F238E27FC236}">
                <a16:creationId xmlns:a16="http://schemas.microsoft.com/office/drawing/2014/main" id="{16DAF7DA-E90E-464B-BDDF-2D7748955346}"/>
              </a:ext>
            </a:extLst>
          </xdr:cNvPr>
          <xdr:cNvCxnSpPr/>
        </xdr:nvCxnSpPr>
        <xdr:spPr>
          <a:xfrm>
            <a:off x="833434" y="247650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3" name="Straight Arrow Connector 1742">
            <a:extLst>
              <a:ext uri="{FF2B5EF4-FFF2-40B4-BE49-F238E27FC236}">
                <a16:creationId xmlns:a16="http://schemas.microsoft.com/office/drawing/2014/main" id="{27E14C4F-C80B-4D3F-894D-2577D207B20B}"/>
              </a:ext>
            </a:extLst>
          </xdr:cNvPr>
          <xdr:cNvCxnSpPr/>
        </xdr:nvCxnSpPr>
        <xdr:spPr>
          <a:xfrm>
            <a:off x="833435" y="261938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4" name="Straight Arrow Connector 1743">
            <a:extLst>
              <a:ext uri="{FF2B5EF4-FFF2-40B4-BE49-F238E27FC236}">
                <a16:creationId xmlns:a16="http://schemas.microsoft.com/office/drawing/2014/main" id="{60E3C768-C1D4-4BE4-8C1A-F7384EF8C3F1}"/>
              </a:ext>
            </a:extLst>
          </xdr:cNvPr>
          <xdr:cNvCxnSpPr/>
        </xdr:nvCxnSpPr>
        <xdr:spPr>
          <a:xfrm>
            <a:off x="838200" y="276225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5" name="Straight Arrow Connector 1744">
            <a:extLst>
              <a:ext uri="{FF2B5EF4-FFF2-40B4-BE49-F238E27FC236}">
                <a16:creationId xmlns:a16="http://schemas.microsoft.com/office/drawing/2014/main" id="{4C00C449-BBF7-4811-8177-45FB1C70ECDA}"/>
              </a:ext>
            </a:extLst>
          </xdr:cNvPr>
          <xdr:cNvCxnSpPr/>
        </xdr:nvCxnSpPr>
        <xdr:spPr>
          <a:xfrm>
            <a:off x="733425" y="2905125"/>
            <a:ext cx="30480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6" name="Straight Arrow Connector 1745">
            <a:extLst>
              <a:ext uri="{FF2B5EF4-FFF2-40B4-BE49-F238E27FC236}">
                <a16:creationId xmlns:a16="http://schemas.microsoft.com/office/drawing/2014/main" id="{2477BA14-F8A2-4842-B7F1-553E954C2A37}"/>
              </a:ext>
            </a:extLst>
          </xdr:cNvPr>
          <xdr:cNvCxnSpPr/>
        </xdr:nvCxnSpPr>
        <xdr:spPr>
          <a:xfrm>
            <a:off x="738188" y="3048000"/>
            <a:ext cx="29527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7" name="Straight Arrow Connector 1746">
            <a:extLst>
              <a:ext uri="{FF2B5EF4-FFF2-40B4-BE49-F238E27FC236}">
                <a16:creationId xmlns:a16="http://schemas.microsoft.com/office/drawing/2014/main" id="{AB8A7AB8-AFBD-41C8-99EC-E66D94B94A0C}"/>
              </a:ext>
            </a:extLst>
          </xdr:cNvPr>
          <xdr:cNvCxnSpPr/>
        </xdr:nvCxnSpPr>
        <xdr:spPr>
          <a:xfrm>
            <a:off x="733425" y="3190875"/>
            <a:ext cx="30003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8" name="Straight Arrow Connector 1747">
            <a:extLst>
              <a:ext uri="{FF2B5EF4-FFF2-40B4-BE49-F238E27FC236}">
                <a16:creationId xmlns:a16="http://schemas.microsoft.com/office/drawing/2014/main" id="{93B5AA22-8944-4AFB-8C59-0B1DE63E9F32}"/>
              </a:ext>
            </a:extLst>
          </xdr:cNvPr>
          <xdr:cNvCxnSpPr/>
        </xdr:nvCxnSpPr>
        <xdr:spPr>
          <a:xfrm>
            <a:off x="742950" y="333375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9" name="Straight Arrow Connector 1748">
            <a:extLst>
              <a:ext uri="{FF2B5EF4-FFF2-40B4-BE49-F238E27FC236}">
                <a16:creationId xmlns:a16="http://schemas.microsoft.com/office/drawing/2014/main" id="{CEE8CC0B-7DA2-4B7C-913E-EF27FF423083}"/>
              </a:ext>
            </a:extLst>
          </xdr:cNvPr>
          <xdr:cNvCxnSpPr/>
        </xdr:nvCxnSpPr>
        <xdr:spPr>
          <a:xfrm>
            <a:off x="738188" y="3476632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0" name="Straight Arrow Connector 1749">
            <a:extLst>
              <a:ext uri="{FF2B5EF4-FFF2-40B4-BE49-F238E27FC236}">
                <a16:creationId xmlns:a16="http://schemas.microsoft.com/office/drawing/2014/main" id="{B7F3CCC5-4000-41EC-86EE-09E023D014F5}"/>
              </a:ext>
            </a:extLst>
          </xdr:cNvPr>
          <xdr:cNvCxnSpPr/>
        </xdr:nvCxnSpPr>
        <xdr:spPr>
          <a:xfrm>
            <a:off x="738188" y="3619507"/>
            <a:ext cx="29527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1" name="Straight Arrow Connector 1750">
            <a:extLst>
              <a:ext uri="{FF2B5EF4-FFF2-40B4-BE49-F238E27FC236}">
                <a16:creationId xmlns:a16="http://schemas.microsoft.com/office/drawing/2014/main" id="{EB62382B-0A28-4697-B7D1-A7E2A1BEFB96}"/>
              </a:ext>
            </a:extLst>
          </xdr:cNvPr>
          <xdr:cNvCxnSpPr/>
        </xdr:nvCxnSpPr>
        <xdr:spPr>
          <a:xfrm>
            <a:off x="738188" y="3762382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2" name="Straight Arrow Connector 1751">
            <a:extLst>
              <a:ext uri="{FF2B5EF4-FFF2-40B4-BE49-F238E27FC236}">
                <a16:creationId xmlns:a16="http://schemas.microsoft.com/office/drawing/2014/main" id="{B0CA6B4B-6E64-4BD2-B07D-0EB7C95FBA9F}"/>
              </a:ext>
            </a:extLst>
          </xdr:cNvPr>
          <xdr:cNvCxnSpPr/>
        </xdr:nvCxnSpPr>
        <xdr:spPr>
          <a:xfrm>
            <a:off x="738188" y="3905250"/>
            <a:ext cx="2952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3" name="Straight Arrow Connector 1752">
            <a:extLst>
              <a:ext uri="{FF2B5EF4-FFF2-40B4-BE49-F238E27FC236}">
                <a16:creationId xmlns:a16="http://schemas.microsoft.com/office/drawing/2014/main" id="{C4E1BF66-F6D4-43F9-98EB-B45DF7AC406F}"/>
              </a:ext>
            </a:extLst>
          </xdr:cNvPr>
          <xdr:cNvCxnSpPr/>
        </xdr:nvCxnSpPr>
        <xdr:spPr>
          <a:xfrm>
            <a:off x="733425" y="4048125"/>
            <a:ext cx="300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4" name="Straight Arrow Connector 1753">
            <a:extLst>
              <a:ext uri="{FF2B5EF4-FFF2-40B4-BE49-F238E27FC236}">
                <a16:creationId xmlns:a16="http://schemas.microsoft.com/office/drawing/2014/main" id="{F2DF4BD7-E330-4515-8FBE-0AF51E77CADE}"/>
              </a:ext>
            </a:extLst>
          </xdr:cNvPr>
          <xdr:cNvCxnSpPr/>
        </xdr:nvCxnSpPr>
        <xdr:spPr>
          <a:xfrm>
            <a:off x="742950" y="4191000"/>
            <a:ext cx="28575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5" name="Straight Arrow Connector 1754">
            <a:extLst>
              <a:ext uri="{FF2B5EF4-FFF2-40B4-BE49-F238E27FC236}">
                <a16:creationId xmlns:a16="http://schemas.microsoft.com/office/drawing/2014/main" id="{135703A1-D041-4EA7-87C9-86F00B6B03E7}"/>
              </a:ext>
            </a:extLst>
          </xdr:cNvPr>
          <xdr:cNvCxnSpPr/>
        </xdr:nvCxnSpPr>
        <xdr:spPr>
          <a:xfrm>
            <a:off x="738188" y="4333875"/>
            <a:ext cx="29051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6" name="Straight Arrow Connector 1755">
            <a:extLst>
              <a:ext uri="{FF2B5EF4-FFF2-40B4-BE49-F238E27FC236}">
                <a16:creationId xmlns:a16="http://schemas.microsoft.com/office/drawing/2014/main" id="{D366951E-0091-4DDF-88A8-CEEDA1383E21}"/>
              </a:ext>
            </a:extLst>
          </xdr:cNvPr>
          <xdr:cNvCxnSpPr/>
        </xdr:nvCxnSpPr>
        <xdr:spPr>
          <a:xfrm>
            <a:off x="738188" y="447675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7" name="Straight Arrow Connector 1756">
            <a:extLst>
              <a:ext uri="{FF2B5EF4-FFF2-40B4-BE49-F238E27FC236}">
                <a16:creationId xmlns:a16="http://schemas.microsoft.com/office/drawing/2014/main" id="{553EEDAE-A1CC-472E-95CB-8F2383974A81}"/>
              </a:ext>
            </a:extLst>
          </xdr:cNvPr>
          <xdr:cNvCxnSpPr/>
        </xdr:nvCxnSpPr>
        <xdr:spPr>
          <a:xfrm>
            <a:off x="742950" y="4619632"/>
            <a:ext cx="2905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8" name="Straight Arrow Connector 1757">
            <a:extLst>
              <a:ext uri="{FF2B5EF4-FFF2-40B4-BE49-F238E27FC236}">
                <a16:creationId xmlns:a16="http://schemas.microsoft.com/office/drawing/2014/main" id="{9EBB6C24-45B3-4623-B30F-F5BF34E06F49}"/>
              </a:ext>
            </a:extLst>
          </xdr:cNvPr>
          <xdr:cNvCxnSpPr/>
        </xdr:nvCxnSpPr>
        <xdr:spPr>
          <a:xfrm>
            <a:off x="738188" y="4762507"/>
            <a:ext cx="29051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9" name="Straight Arrow Connector 1758">
            <a:extLst>
              <a:ext uri="{FF2B5EF4-FFF2-40B4-BE49-F238E27FC236}">
                <a16:creationId xmlns:a16="http://schemas.microsoft.com/office/drawing/2014/main" id="{B087098B-692B-46FD-925B-D6C733C3309A}"/>
              </a:ext>
            </a:extLst>
          </xdr:cNvPr>
          <xdr:cNvCxnSpPr/>
        </xdr:nvCxnSpPr>
        <xdr:spPr>
          <a:xfrm>
            <a:off x="742950" y="4905382"/>
            <a:ext cx="2857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0" name="Straight Connector 1759">
            <a:extLst>
              <a:ext uri="{FF2B5EF4-FFF2-40B4-BE49-F238E27FC236}">
                <a16:creationId xmlns:a16="http://schemas.microsoft.com/office/drawing/2014/main" id="{9EA6A1E7-8E2B-493E-AD44-1D6492D56EF5}"/>
              </a:ext>
            </a:extLst>
          </xdr:cNvPr>
          <xdr:cNvCxnSpPr/>
        </xdr:nvCxnSpPr>
        <xdr:spPr>
          <a:xfrm>
            <a:off x="833437" y="1619252"/>
            <a:ext cx="0" cy="1290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1" name="Straight Arrow Connector 1760">
            <a:extLst>
              <a:ext uri="{FF2B5EF4-FFF2-40B4-BE49-F238E27FC236}">
                <a16:creationId xmlns:a16="http://schemas.microsoft.com/office/drawing/2014/main" id="{2635E92A-A9F1-4746-B90D-0C3B4881B942}"/>
              </a:ext>
            </a:extLst>
          </xdr:cNvPr>
          <xdr:cNvCxnSpPr/>
        </xdr:nvCxnSpPr>
        <xdr:spPr>
          <a:xfrm>
            <a:off x="733425" y="5048258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3" name="Straight Connector 1762">
            <a:extLst>
              <a:ext uri="{FF2B5EF4-FFF2-40B4-BE49-F238E27FC236}">
                <a16:creationId xmlns:a16="http://schemas.microsoft.com/office/drawing/2014/main" id="{5EB1831A-115C-4514-ADC1-602B3FF1D0C4}"/>
              </a:ext>
            </a:extLst>
          </xdr:cNvPr>
          <xdr:cNvCxnSpPr/>
        </xdr:nvCxnSpPr>
        <xdr:spPr>
          <a:xfrm flipH="1">
            <a:off x="1581149" y="28670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7" name="Straight Connector 1766">
            <a:extLst>
              <a:ext uri="{FF2B5EF4-FFF2-40B4-BE49-F238E27FC236}">
                <a16:creationId xmlns:a16="http://schemas.microsoft.com/office/drawing/2014/main" id="{838F1030-8BBF-455E-F839-1C800C363E3D}"/>
              </a:ext>
            </a:extLst>
          </xdr:cNvPr>
          <xdr:cNvCxnSpPr/>
        </xdr:nvCxnSpPr>
        <xdr:spPr>
          <a:xfrm flipH="1" flipV="1">
            <a:off x="2590800" y="1984273"/>
            <a:ext cx="1133475" cy="16257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1" name="Straight Connector 1770">
            <a:extLst>
              <a:ext uri="{FF2B5EF4-FFF2-40B4-BE49-F238E27FC236}">
                <a16:creationId xmlns:a16="http://schemas.microsoft.com/office/drawing/2014/main" id="{B426AF37-4742-5517-04EB-9D8A1C3DA2E4}"/>
              </a:ext>
            </a:extLst>
          </xdr:cNvPr>
          <xdr:cNvCxnSpPr/>
        </xdr:nvCxnSpPr>
        <xdr:spPr>
          <a:xfrm flipV="1">
            <a:off x="3724275" y="1985963"/>
            <a:ext cx="1128225" cy="16287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2" name="Straight Connector 1771">
            <a:extLst>
              <a:ext uri="{FF2B5EF4-FFF2-40B4-BE49-F238E27FC236}">
                <a16:creationId xmlns:a16="http://schemas.microsoft.com/office/drawing/2014/main" id="{C8C7D32B-6748-4DD2-8D42-5F3C90F8932A}"/>
              </a:ext>
            </a:extLst>
          </xdr:cNvPr>
          <xdr:cNvCxnSpPr/>
        </xdr:nvCxnSpPr>
        <xdr:spPr>
          <a:xfrm flipH="1">
            <a:off x="3990973" y="1619249"/>
            <a:ext cx="20526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3" name="Straight Connector 1772">
            <a:extLst>
              <a:ext uri="{FF2B5EF4-FFF2-40B4-BE49-F238E27FC236}">
                <a16:creationId xmlns:a16="http://schemas.microsoft.com/office/drawing/2014/main" id="{812C2620-5A25-4997-BBA6-A82DA85CABB1}"/>
              </a:ext>
            </a:extLst>
          </xdr:cNvPr>
          <xdr:cNvCxnSpPr/>
        </xdr:nvCxnSpPr>
        <xdr:spPr>
          <a:xfrm flipV="1">
            <a:off x="5991227" y="1547812"/>
            <a:ext cx="0" cy="14239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5" name="Straight Connector 1774">
            <a:extLst>
              <a:ext uri="{FF2B5EF4-FFF2-40B4-BE49-F238E27FC236}">
                <a16:creationId xmlns:a16="http://schemas.microsoft.com/office/drawing/2014/main" id="{F3F237B3-0654-4A63-B39D-A38882FB0D2B}"/>
              </a:ext>
            </a:extLst>
          </xdr:cNvPr>
          <xdr:cNvCxnSpPr/>
        </xdr:nvCxnSpPr>
        <xdr:spPr>
          <a:xfrm flipH="1">
            <a:off x="5953129" y="15811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7" name="Straight Connector 1776">
            <a:extLst>
              <a:ext uri="{FF2B5EF4-FFF2-40B4-BE49-F238E27FC236}">
                <a16:creationId xmlns:a16="http://schemas.microsoft.com/office/drawing/2014/main" id="{F75E0CB1-B99B-4459-978E-2E3CA74452FA}"/>
              </a:ext>
            </a:extLst>
          </xdr:cNvPr>
          <xdr:cNvCxnSpPr/>
        </xdr:nvCxnSpPr>
        <xdr:spPr>
          <a:xfrm>
            <a:off x="4953000" y="1985956"/>
            <a:ext cx="11096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1" name="Straight Connector 1780">
            <a:extLst>
              <a:ext uri="{FF2B5EF4-FFF2-40B4-BE49-F238E27FC236}">
                <a16:creationId xmlns:a16="http://schemas.microsoft.com/office/drawing/2014/main" id="{964D77E5-D3B1-41F7-86C6-6C1168569BCA}"/>
              </a:ext>
            </a:extLst>
          </xdr:cNvPr>
          <xdr:cNvCxnSpPr/>
        </xdr:nvCxnSpPr>
        <xdr:spPr>
          <a:xfrm flipH="1">
            <a:off x="5953128" y="194786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2" name="Straight Connector 1781">
            <a:extLst>
              <a:ext uri="{FF2B5EF4-FFF2-40B4-BE49-F238E27FC236}">
                <a16:creationId xmlns:a16="http://schemas.microsoft.com/office/drawing/2014/main" id="{884A4D5A-550F-44A6-8A79-313718BC4C15}"/>
              </a:ext>
            </a:extLst>
          </xdr:cNvPr>
          <xdr:cNvCxnSpPr/>
        </xdr:nvCxnSpPr>
        <xdr:spPr>
          <a:xfrm flipH="1">
            <a:off x="5953127" y="28670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8" name="Straight Connector 1787">
            <a:extLst>
              <a:ext uri="{FF2B5EF4-FFF2-40B4-BE49-F238E27FC236}">
                <a16:creationId xmlns:a16="http://schemas.microsoft.com/office/drawing/2014/main" id="{2850FF35-0F36-4E8B-B8F5-F20326183F44}"/>
              </a:ext>
            </a:extLst>
          </xdr:cNvPr>
          <xdr:cNvCxnSpPr/>
        </xdr:nvCxnSpPr>
        <xdr:spPr>
          <a:xfrm flipH="1">
            <a:off x="5657850" y="2905128"/>
            <a:ext cx="40957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4" name="Straight Connector 1793">
            <a:extLst>
              <a:ext uri="{FF2B5EF4-FFF2-40B4-BE49-F238E27FC236}">
                <a16:creationId xmlns:a16="http://schemas.microsoft.com/office/drawing/2014/main" id="{13F7A789-B739-4331-A549-B8DEB837047E}"/>
              </a:ext>
            </a:extLst>
          </xdr:cNvPr>
          <xdr:cNvCxnSpPr/>
        </xdr:nvCxnSpPr>
        <xdr:spPr>
          <a:xfrm flipH="1" flipV="1">
            <a:off x="2571750" y="1950931"/>
            <a:ext cx="44345" cy="63602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0" name="Straight Connector 1799">
            <a:extLst>
              <a:ext uri="{FF2B5EF4-FFF2-40B4-BE49-F238E27FC236}">
                <a16:creationId xmlns:a16="http://schemas.microsoft.com/office/drawing/2014/main" id="{C1512ED0-9E47-43F3-B650-2E09DB37946A}"/>
              </a:ext>
            </a:extLst>
          </xdr:cNvPr>
          <xdr:cNvCxnSpPr/>
        </xdr:nvCxnSpPr>
        <xdr:spPr>
          <a:xfrm flipV="1">
            <a:off x="4829176" y="1947863"/>
            <a:ext cx="49483" cy="71437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Straight Arrow Connector 1805">
            <a:extLst>
              <a:ext uri="{FF2B5EF4-FFF2-40B4-BE49-F238E27FC236}">
                <a16:creationId xmlns:a16="http://schemas.microsoft.com/office/drawing/2014/main" id="{C3B0E218-BC55-DA64-53E6-64CBB76DF8FC}"/>
              </a:ext>
            </a:extLst>
          </xdr:cNvPr>
          <xdr:cNvCxnSpPr/>
        </xdr:nvCxnSpPr>
        <xdr:spPr>
          <a:xfrm flipV="1">
            <a:off x="3724275" y="1690688"/>
            <a:ext cx="495300" cy="19240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0" name="Arc 1809">
            <a:extLst>
              <a:ext uri="{FF2B5EF4-FFF2-40B4-BE49-F238E27FC236}">
                <a16:creationId xmlns:a16="http://schemas.microsoft.com/office/drawing/2014/main" id="{802661B9-E449-8E99-B00F-E6481712FA7B}"/>
              </a:ext>
            </a:extLst>
          </xdr:cNvPr>
          <xdr:cNvSpPr/>
        </xdr:nvSpPr>
        <xdr:spPr>
          <a:xfrm rot="15003847">
            <a:off x="3548063" y="3462338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11" name="Arc 1810">
            <a:extLst>
              <a:ext uri="{FF2B5EF4-FFF2-40B4-BE49-F238E27FC236}">
                <a16:creationId xmlns:a16="http://schemas.microsoft.com/office/drawing/2014/main" id="{7C200635-F808-481C-8DE2-7B1CF2539D21}"/>
              </a:ext>
            </a:extLst>
          </xdr:cNvPr>
          <xdr:cNvSpPr/>
        </xdr:nvSpPr>
        <xdr:spPr>
          <a:xfrm rot="1295282">
            <a:off x="3671888" y="3457574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22" name="Straight Connector 1821">
            <a:extLst>
              <a:ext uri="{FF2B5EF4-FFF2-40B4-BE49-F238E27FC236}">
                <a16:creationId xmlns:a16="http://schemas.microsoft.com/office/drawing/2014/main" id="{FC6FD386-34EC-C25B-1300-A50D72F71BC6}"/>
              </a:ext>
            </a:extLst>
          </xdr:cNvPr>
          <xdr:cNvCxnSpPr/>
        </xdr:nvCxnSpPr>
        <xdr:spPr>
          <a:xfrm>
            <a:off x="1790701" y="6048374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1" name="Straight Connector 1830">
            <a:extLst>
              <a:ext uri="{FF2B5EF4-FFF2-40B4-BE49-F238E27FC236}">
                <a16:creationId xmlns:a16="http://schemas.microsoft.com/office/drawing/2014/main" id="{FB065CAC-1AC7-3FF7-2086-DCA5D27B60E4}"/>
              </a:ext>
            </a:extLst>
          </xdr:cNvPr>
          <xdr:cNvCxnSpPr/>
        </xdr:nvCxnSpPr>
        <xdr:spPr>
          <a:xfrm flipH="1">
            <a:off x="1824038" y="6019801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Connector 1833">
            <a:extLst>
              <a:ext uri="{FF2B5EF4-FFF2-40B4-BE49-F238E27FC236}">
                <a16:creationId xmlns:a16="http://schemas.microsoft.com/office/drawing/2014/main" id="{DE529E32-1338-4BC3-B8E8-CEA2F3C24DFF}"/>
              </a:ext>
            </a:extLst>
          </xdr:cNvPr>
          <xdr:cNvCxnSpPr/>
        </xdr:nvCxnSpPr>
        <xdr:spPr>
          <a:xfrm>
            <a:off x="1785938" y="6334122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5" name="Straight Connector 1834">
            <a:extLst>
              <a:ext uri="{FF2B5EF4-FFF2-40B4-BE49-F238E27FC236}">
                <a16:creationId xmlns:a16="http://schemas.microsoft.com/office/drawing/2014/main" id="{3F029129-8D57-468C-B9A2-82D017070C72}"/>
              </a:ext>
            </a:extLst>
          </xdr:cNvPr>
          <xdr:cNvCxnSpPr/>
        </xdr:nvCxnSpPr>
        <xdr:spPr>
          <a:xfrm flipH="1">
            <a:off x="1819275" y="6305549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6" name="Straight Connector 1835">
            <a:extLst>
              <a:ext uri="{FF2B5EF4-FFF2-40B4-BE49-F238E27FC236}">
                <a16:creationId xmlns:a16="http://schemas.microsoft.com/office/drawing/2014/main" id="{1DC01412-325E-4E81-B0B5-A28F6513B01D}"/>
              </a:ext>
            </a:extLst>
          </xdr:cNvPr>
          <xdr:cNvCxnSpPr/>
        </xdr:nvCxnSpPr>
        <xdr:spPr>
          <a:xfrm>
            <a:off x="5576887" y="5795969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0768F99F-1CD4-46BB-A929-3EF00328AE41}"/>
              </a:ext>
            </a:extLst>
          </xdr:cNvPr>
          <xdr:cNvCxnSpPr/>
        </xdr:nvCxnSpPr>
        <xdr:spPr>
          <a:xfrm flipH="1">
            <a:off x="5543550" y="6015045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F0CCBADE-7EC6-42F6-A66C-7E84E218452A}"/>
              </a:ext>
            </a:extLst>
          </xdr:cNvPr>
          <xdr:cNvCxnSpPr/>
        </xdr:nvCxnSpPr>
        <xdr:spPr>
          <a:xfrm flipH="1">
            <a:off x="5543550" y="6300793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4" name="Straight Connector 1843">
            <a:extLst>
              <a:ext uri="{FF2B5EF4-FFF2-40B4-BE49-F238E27FC236}">
                <a16:creationId xmlns:a16="http://schemas.microsoft.com/office/drawing/2014/main" id="{CC94BB50-303A-4AED-9C71-94EA2AB3EFAD}"/>
              </a:ext>
            </a:extLst>
          </xdr:cNvPr>
          <xdr:cNvCxnSpPr/>
        </xdr:nvCxnSpPr>
        <xdr:spPr>
          <a:xfrm>
            <a:off x="2590805" y="2071687"/>
            <a:ext cx="0" cy="403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Connector 1844">
            <a:extLst>
              <a:ext uri="{FF2B5EF4-FFF2-40B4-BE49-F238E27FC236}">
                <a16:creationId xmlns:a16="http://schemas.microsoft.com/office/drawing/2014/main" id="{071911FE-EBF3-4B9F-BC56-30C2A2E4C784}"/>
              </a:ext>
            </a:extLst>
          </xdr:cNvPr>
          <xdr:cNvCxnSpPr/>
        </xdr:nvCxnSpPr>
        <xdr:spPr>
          <a:xfrm flipH="1">
            <a:off x="2552705" y="601979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8" name="Straight Connector 1847">
            <a:extLst>
              <a:ext uri="{FF2B5EF4-FFF2-40B4-BE49-F238E27FC236}">
                <a16:creationId xmlns:a16="http://schemas.microsoft.com/office/drawing/2014/main" id="{F4A96E6B-4A22-45BA-BA4C-307EEB93A5EB}"/>
              </a:ext>
            </a:extLst>
          </xdr:cNvPr>
          <xdr:cNvCxnSpPr/>
        </xdr:nvCxnSpPr>
        <xdr:spPr>
          <a:xfrm>
            <a:off x="4857758" y="2071688"/>
            <a:ext cx="0" cy="403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9" name="Straight Connector 1848">
            <a:extLst>
              <a:ext uri="{FF2B5EF4-FFF2-40B4-BE49-F238E27FC236}">
                <a16:creationId xmlns:a16="http://schemas.microsoft.com/office/drawing/2014/main" id="{34EF0B39-2045-4866-B479-8B74CA527A33}"/>
              </a:ext>
            </a:extLst>
          </xdr:cNvPr>
          <xdr:cNvCxnSpPr/>
        </xdr:nvCxnSpPr>
        <xdr:spPr>
          <a:xfrm flipH="1">
            <a:off x="4819658" y="6019799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5" name="Straight Connector 1854">
            <a:extLst>
              <a:ext uri="{FF2B5EF4-FFF2-40B4-BE49-F238E27FC236}">
                <a16:creationId xmlns:a16="http://schemas.microsoft.com/office/drawing/2014/main" id="{FFAB9366-657B-4E8C-BFBA-A29EB1AD5E3F}"/>
              </a:ext>
            </a:extLst>
          </xdr:cNvPr>
          <xdr:cNvCxnSpPr/>
        </xdr:nvCxnSpPr>
        <xdr:spPr>
          <a:xfrm>
            <a:off x="3724275" y="3748088"/>
            <a:ext cx="0" cy="2357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6" name="Straight Connector 1855">
            <a:extLst>
              <a:ext uri="{FF2B5EF4-FFF2-40B4-BE49-F238E27FC236}">
                <a16:creationId xmlns:a16="http://schemas.microsoft.com/office/drawing/2014/main" id="{6ADD4293-727D-44AA-A8AC-43E6A7435F9E}"/>
              </a:ext>
            </a:extLst>
          </xdr:cNvPr>
          <xdr:cNvCxnSpPr/>
        </xdr:nvCxnSpPr>
        <xdr:spPr>
          <a:xfrm flipH="1">
            <a:off x="3686175" y="601503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Connector 1863">
            <a:extLst>
              <a:ext uri="{FF2B5EF4-FFF2-40B4-BE49-F238E27FC236}">
                <a16:creationId xmlns:a16="http://schemas.microsoft.com/office/drawing/2014/main" id="{17528FEA-8A85-46B1-A1CD-866494CD3A17}"/>
              </a:ext>
            </a:extLst>
          </xdr:cNvPr>
          <xdr:cNvCxnSpPr/>
        </xdr:nvCxnSpPr>
        <xdr:spPr>
          <a:xfrm>
            <a:off x="738187" y="2905126"/>
            <a:ext cx="0" cy="21431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104775</xdr:colOff>
      <xdr:row>101</xdr:row>
      <xdr:rowOff>66675</xdr:rowOff>
    </xdr:from>
    <xdr:to>
      <xdr:col>46</xdr:col>
      <xdr:colOff>66675</xdr:colOff>
      <xdr:row>101</xdr:row>
      <xdr:rowOff>66675</xdr:rowOff>
    </xdr:to>
    <xdr:cxnSp macro="">
      <xdr:nvCxnSpPr>
        <xdr:cNvPr id="1935" name="Straight Arrow Connector 1934">
          <a:extLst>
            <a:ext uri="{FF2B5EF4-FFF2-40B4-BE49-F238E27FC236}">
              <a16:creationId xmlns:a16="http://schemas.microsoft.com/office/drawing/2014/main" id="{30913AF6-75E4-49C9-BA1B-769F6CA1BB46}"/>
            </a:ext>
          </a:extLst>
        </xdr:cNvPr>
        <xdr:cNvCxnSpPr/>
      </xdr:nvCxnSpPr>
      <xdr:spPr>
        <a:xfrm>
          <a:off x="5772150" y="18688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102</xdr:row>
      <xdr:rowOff>66675</xdr:rowOff>
    </xdr:from>
    <xdr:to>
      <xdr:col>22</xdr:col>
      <xdr:colOff>38100</xdr:colOff>
      <xdr:row>102</xdr:row>
      <xdr:rowOff>66675</xdr:rowOff>
    </xdr:to>
    <xdr:cxnSp macro="">
      <xdr:nvCxnSpPr>
        <xdr:cNvPr id="1937" name="Straight Arrow Connector 1936">
          <a:extLst>
            <a:ext uri="{FF2B5EF4-FFF2-40B4-BE49-F238E27FC236}">
              <a16:creationId xmlns:a16="http://schemas.microsoft.com/office/drawing/2014/main" id="{16D7004D-E3E9-494C-813A-C998BCCB4CA7}"/>
            </a:ext>
          </a:extLst>
        </xdr:cNvPr>
        <xdr:cNvCxnSpPr/>
      </xdr:nvCxnSpPr>
      <xdr:spPr>
        <a:xfrm>
          <a:off x="3314700" y="188309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104775</xdr:colOff>
      <xdr:row>103</xdr:row>
      <xdr:rowOff>66675</xdr:rowOff>
    </xdr:from>
    <xdr:to>
      <xdr:col>43</xdr:col>
      <xdr:colOff>66675</xdr:colOff>
      <xdr:row>103</xdr:row>
      <xdr:rowOff>66675</xdr:rowOff>
    </xdr:to>
    <xdr:cxnSp macro="">
      <xdr:nvCxnSpPr>
        <xdr:cNvPr id="1938" name="Straight Arrow Connector 1937">
          <a:extLst>
            <a:ext uri="{FF2B5EF4-FFF2-40B4-BE49-F238E27FC236}">
              <a16:creationId xmlns:a16="http://schemas.microsoft.com/office/drawing/2014/main" id="{9E7715ED-5517-488F-856B-CFF2EF7741D4}"/>
            </a:ext>
          </a:extLst>
        </xdr:cNvPr>
        <xdr:cNvCxnSpPr/>
      </xdr:nvCxnSpPr>
      <xdr:spPr>
        <a:xfrm>
          <a:off x="5772150" y="189738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104775</xdr:colOff>
      <xdr:row>104</xdr:row>
      <xdr:rowOff>66675</xdr:rowOff>
    </xdr:from>
    <xdr:to>
      <xdr:col>25</xdr:col>
      <xdr:colOff>66675</xdr:colOff>
      <xdr:row>104</xdr:row>
      <xdr:rowOff>66675</xdr:rowOff>
    </xdr:to>
    <xdr:cxnSp macro="">
      <xdr:nvCxnSpPr>
        <xdr:cNvPr id="1939" name="Straight Arrow Connector 1938">
          <a:extLst>
            <a:ext uri="{FF2B5EF4-FFF2-40B4-BE49-F238E27FC236}">
              <a16:creationId xmlns:a16="http://schemas.microsoft.com/office/drawing/2014/main" id="{A2983F30-5370-43C1-9B97-FBD0CB8DF748}"/>
            </a:ext>
          </a:extLst>
        </xdr:cNvPr>
        <xdr:cNvCxnSpPr/>
      </xdr:nvCxnSpPr>
      <xdr:spPr>
        <a:xfrm>
          <a:off x="5286375" y="191166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147636</xdr:colOff>
      <xdr:row>65</xdr:row>
      <xdr:rowOff>38100</xdr:rowOff>
    </xdr:from>
    <xdr:to>
      <xdr:col>66</xdr:col>
      <xdr:colOff>104775</xdr:colOff>
      <xdr:row>93</xdr:row>
      <xdr:rowOff>114300</xdr:rowOff>
    </xdr:to>
    <xdr:grpSp>
      <xdr:nvGrpSpPr>
        <xdr:cNvPr id="1957" name="Group 1956">
          <a:extLst>
            <a:ext uri="{FF2B5EF4-FFF2-40B4-BE49-F238E27FC236}">
              <a16:creationId xmlns:a16="http://schemas.microsoft.com/office/drawing/2014/main" id="{E1A6606C-B38D-A8E7-B7A5-7556EE608EE3}"/>
            </a:ext>
          </a:extLst>
        </xdr:cNvPr>
        <xdr:cNvGrpSpPr/>
      </xdr:nvGrpSpPr>
      <xdr:grpSpPr>
        <a:xfrm>
          <a:off x="6786561" y="9801225"/>
          <a:ext cx="4005264" cy="4076700"/>
          <a:chOff x="7691436" y="1514475"/>
          <a:chExt cx="4005264" cy="4076700"/>
        </a:xfrm>
      </xdr:grpSpPr>
      <xdr:cxnSp macro="">
        <xdr:nvCxnSpPr>
          <xdr:cNvPr id="1946" name="Straight Connector 1945">
            <a:extLst>
              <a:ext uri="{FF2B5EF4-FFF2-40B4-BE49-F238E27FC236}">
                <a16:creationId xmlns:a16="http://schemas.microsoft.com/office/drawing/2014/main" id="{936F7D74-CC9F-4607-BF1E-B9945D459E1C}"/>
              </a:ext>
            </a:extLst>
          </xdr:cNvPr>
          <xdr:cNvCxnSpPr/>
        </xdr:nvCxnSpPr>
        <xdr:spPr>
          <a:xfrm>
            <a:off x="7867650" y="290512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20C77251-8AFE-41CD-829E-489EB299CC97}"/>
              </a:ext>
            </a:extLst>
          </xdr:cNvPr>
          <xdr:cNvSpPr/>
        </xdr:nvSpPr>
        <xdr:spPr>
          <a:xfrm>
            <a:off x="7700962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1" name="Isosceles Triangle 1940">
            <a:extLst>
              <a:ext uri="{FF2B5EF4-FFF2-40B4-BE49-F238E27FC236}">
                <a16:creationId xmlns:a16="http://schemas.microsoft.com/office/drawing/2014/main" id="{99F5175F-81AE-430C-90D9-3DF88B167E1D}"/>
              </a:ext>
            </a:extLst>
          </xdr:cNvPr>
          <xdr:cNvSpPr/>
        </xdr:nvSpPr>
        <xdr:spPr>
          <a:xfrm>
            <a:off x="7785544" y="5057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42" name="Straight Connector 1941">
            <a:extLst>
              <a:ext uri="{FF2B5EF4-FFF2-40B4-BE49-F238E27FC236}">
                <a16:creationId xmlns:a16="http://schemas.microsoft.com/office/drawing/2014/main" id="{6306EA82-5A28-409C-8AFE-EC3F0D65BEDF}"/>
              </a:ext>
            </a:extLst>
          </xdr:cNvPr>
          <xdr:cNvCxnSpPr/>
        </xdr:nvCxnSpPr>
        <xdr:spPr>
          <a:xfrm>
            <a:off x="7691436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3" name="Oval 1942">
            <a:extLst>
              <a:ext uri="{FF2B5EF4-FFF2-40B4-BE49-F238E27FC236}">
                <a16:creationId xmlns:a16="http://schemas.microsoft.com/office/drawing/2014/main" id="{87EEE6DC-5C3E-450E-BB58-19B88E569249}"/>
              </a:ext>
            </a:extLst>
          </xdr:cNvPr>
          <xdr:cNvSpPr/>
        </xdr:nvSpPr>
        <xdr:spPr>
          <a:xfrm>
            <a:off x="7820023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5" name="Arc 1944">
            <a:extLst>
              <a:ext uri="{FF2B5EF4-FFF2-40B4-BE49-F238E27FC236}">
                <a16:creationId xmlns:a16="http://schemas.microsoft.com/office/drawing/2014/main" id="{1F28FC3A-305E-4277-90A3-F20F3AE78D69}"/>
              </a:ext>
            </a:extLst>
          </xdr:cNvPr>
          <xdr:cNvSpPr/>
        </xdr:nvSpPr>
        <xdr:spPr>
          <a:xfrm>
            <a:off x="7734300" y="1628775"/>
            <a:ext cx="3962400" cy="3962400"/>
          </a:xfrm>
          <a:prstGeom prst="arc">
            <a:avLst>
              <a:gd name="adj1" fmla="val 12054284"/>
              <a:gd name="adj2" fmla="val 14134836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49" name="Arc 1948">
            <a:extLst>
              <a:ext uri="{FF2B5EF4-FFF2-40B4-BE49-F238E27FC236}">
                <a16:creationId xmlns:a16="http://schemas.microsoft.com/office/drawing/2014/main" id="{0AF36FA0-879B-4242-A641-D11CE55FC216}"/>
              </a:ext>
            </a:extLst>
          </xdr:cNvPr>
          <xdr:cNvSpPr/>
        </xdr:nvSpPr>
        <xdr:spPr>
          <a:xfrm rot="259742">
            <a:off x="8324852" y="1790699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50" name="Straight Arrow Connector 1949">
            <a:extLst>
              <a:ext uri="{FF2B5EF4-FFF2-40B4-BE49-F238E27FC236}">
                <a16:creationId xmlns:a16="http://schemas.microsoft.com/office/drawing/2014/main" id="{ECBADC86-B5B2-471A-B39E-5A3F2EB7DA34}"/>
              </a:ext>
            </a:extLst>
          </xdr:cNvPr>
          <xdr:cNvCxnSpPr/>
        </xdr:nvCxnSpPr>
        <xdr:spPr>
          <a:xfrm>
            <a:off x="8515350" y="1828801"/>
            <a:ext cx="228600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Arrow Connector 1950">
            <a:extLst>
              <a:ext uri="{FF2B5EF4-FFF2-40B4-BE49-F238E27FC236}">
                <a16:creationId xmlns:a16="http://schemas.microsoft.com/office/drawing/2014/main" id="{97FDE544-6E9B-46E1-8A77-1E899628ADD6}"/>
              </a:ext>
            </a:extLst>
          </xdr:cNvPr>
          <xdr:cNvCxnSpPr/>
        </xdr:nvCxnSpPr>
        <xdr:spPr>
          <a:xfrm flipV="1">
            <a:off x="8639175" y="1762125"/>
            <a:ext cx="285750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54" name="TextBox 1953">
            <a:extLst>
              <a:ext uri="{FF2B5EF4-FFF2-40B4-BE49-F238E27FC236}">
                <a16:creationId xmlns:a16="http://schemas.microsoft.com/office/drawing/2014/main" id="{C1F8956A-8702-4040-835B-B345A0D5399E}"/>
              </a:ext>
            </a:extLst>
          </xdr:cNvPr>
          <xdr:cNvSpPr txBox="1"/>
        </xdr:nvSpPr>
        <xdr:spPr>
          <a:xfrm>
            <a:off x="8562975" y="20764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  <xdr:sp macro="" textlink="">
        <xdr:nvSpPr>
          <xdr:cNvPr id="1955" name="TextBox 1954">
            <a:extLst>
              <a:ext uri="{FF2B5EF4-FFF2-40B4-BE49-F238E27FC236}">
                <a16:creationId xmlns:a16="http://schemas.microsoft.com/office/drawing/2014/main" id="{D43B1A71-2107-4A4A-BA8A-A4F706DEDFDE}"/>
              </a:ext>
            </a:extLst>
          </xdr:cNvPr>
          <xdr:cNvSpPr txBox="1"/>
        </xdr:nvSpPr>
        <xdr:spPr>
          <a:xfrm>
            <a:off x="8677275" y="151447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956" name="TextBox 1955">
            <a:extLst>
              <a:ext uri="{FF2B5EF4-FFF2-40B4-BE49-F238E27FC236}">
                <a16:creationId xmlns:a16="http://schemas.microsoft.com/office/drawing/2014/main" id="{362ED5EA-4147-41CD-97A4-D973E16FE9B3}"/>
              </a:ext>
            </a:extLst>
          </xdr:cNvPr>
          <xdr:cNvSpPr txBox="1"/>
        </xdr:nvSpPr>
        <xdr:spPr>
          <a:xfrm>
            <a:off x="8362950" y="15335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</xdr:grpSp>
    <xdr:clientData/>
  </xdr:twoCellAnchor>
  <xdr:twoCellAnchor>
    <xdr:from>
      <xdr:col>44</xdr:col>
      <xdr:colOff>104775</xdr:colOff>
      <xdr:row>709</xdr:row>
      <xdr:rowOff>66675</xdr:rowOff>
    </xdr:from>
    <xdr:to>
      <xdr:col>46</xdr:col>
      <xdr:colOff>66675</xdr:colOff>
      <xdr:row>709</xdr:row>
      <xdr:rowOff>66675</xdr:rowOff>
    </xdr:to>
    <xdr:cxnSp macro="">
      <xdr:nvCxnSpPr>
        <xdr:cNvPr id="2244" name="Straight Arrow Connector 2243">
          <a:extLst>
            <a:ext uri="{FF2B5EF4-FFF2-40B4-BE49-F238E27FC236}">
              <a16:creationId xmlns:a16="http://schemas.microsoft.com/office/drawing/2014/main" id="{0363BF04-B072-4F3E-BE72-C367C64156E0}"/>
            </a:ext>
          </a:extLst>
        </xdr:cNvPr>
        <xdr:cNvCxnSpPr/>
      </xdr:nvCxnSpPr>
      <xdr:spPr>
        <a:xfrm>
          <a:off x="7229475" y="6686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710</xdr:row>
      <xdr:rowOff>66675</xdr:rowOff>
    </xdr:from>
    <xdr:to>
      <xdr:col>22</xdr:col>
      <xdr:colOff>38100</xdr:colOff>
      <xdr:row>710</xdr:row>
      <xdr:rowOff>66675</xdr:rowOff>
    </xdr:to>
    <xdr:cxnSp macro="">
      <xdr:nvCxnSpPr>
        <xdr:cNvPr id="2245" name="Straight Arrow Connector 2244">
          <a:extLst>
            <a:ext uri="{FF2B5EF4-FFF2-40B4-BE49-F238E27FC236}">
              <a16:creationId xmlns:a16="http://schemas.microsoft.com/office/drawing/2014/main" id="{040E08EC-3684-426B-B91D-37391471F213}"/>
            </a:ext>
          </a:extLst>
        </xdr:cNvPr>
        <xdr:cNvCxnSpPr/>
      </xdr:nvCxnSpPr>
      <xdr:spPr>
        <a:xfrm>
          <a:off x="3314700" y="6829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104775</xdr:colOff>
      <xdr:row>711</xdr:row>
      <xdr:rowOff>66675</xdr:rowOff>
    </xdr:from>
    <xdr:to>
      <xdr:col>43</xdr:col>
      <xdr:colOff>66675</xdr:colOff>
      <xdr:row>711</xdr:row>
      <xdr:rowOff>66675</xdr:rowOff>
    </xdr:to>
    <xdr:cxnSp macro="">
      <xdr:nvCxnSpPr>
        <xdr:cNvPr id="2246" name="Straight Arrow Connector 2245">
          <a:extLst>
            <a:ext uri="{FF2B5EF4-FFF2-40B4-BE49-F238E27FC236}">
              <a16:creationId xmlns:a16="http://schemas.microsoft.com/office/drawing/2014/main" id="{ED6A8843-8926-4D5F-96D0-5A2997385E40}"/>
            </a:ext>
          </a:extLst>
        </xdr:cNvPr>
        <xdr:cNvCxnSpPr/>
      </xdr:nvCxnSpPr>
      <xdr:spPr>
        <a:xfrm>
          <a:off x="6743700" y="6972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104775</xdr:colOff>
      <xdr:row>712</xdr:row>
      <xdr:rowOff>66675</xdr:rowOff>
    </xdr:from>
    <xdr:to>
      <xdr:col>25</xdr:col>
      <xdr:colOff>66675</xdr:colOff>
      <xdr:row>712</xdr:row>
      <xdr:rowOff>66675</xdr:rowOff>
    </xdr:to>
    <xdr:cxnSp macro="">
      <xdr:nvCxnSpPr>
        <xdr:cNvPr id="2247" name="Straight Arrow Connector 2246">
          <a:extLst>
            <a:ext uri="{FF2B5EF4-FFF2-40B4-BE49-F238E27FC236}">
              <a16:creationId xmlns:a16="http://schemas.microsoft.com/office/drawing/2014/main" id="{8BBF12E9-FFA1-401E-8965-D9114126D63F}"/>
            </a:ext>
          </a:extLst>
        </xdr:cNvPr>
        <xdr:cNvCxnSpPr/>
      </xdr:nvCxnSpPr>
      <xdr:spPr>
        <a:xfrm>
          <a:off x="3829050" y="7115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61911</xdr:colOff>
      <xdr:row>679</xdr:row>
      <xdr:rowOff>0</xdr:rowOff>
    </xdr:from>
    <xdr:to>
      <xdr:col>61</xdr:col>
      <xdr:colOff>19050</xdr:colOff>
      <xdr:row>707</xdr:row>
      <xdr:rowOff>76200</xdr:rowOff>
    </xdr:to>
    <xdr:grpSp>
      <xdr:nvGrpSpPr>
        <xdr:cNvPr id="2248" name="Group 2247">
          <a:extLst>
            <a:ext uri="{FF2B5EF4-FFF2-40B4-BE49-F238E27FC236}">
              <a16:creationId xmlns:a16="http://schemas.microsoft.com/office/drawing/2014/main" id="{85BB1E2E-5904-42F8-84EA-676058BA7F29}"/>
            </a:ext>
          </a:extLst>
        </xdr:cNvPr>
        <xdr:cNvGrpSpPr/>
      </xdr:nvGrpSpPr>
      <xdr:grpSpPr>
        <a:xfrm>
          <a:off x="5891211" y="97488375"/>
          <a:ext cx="4005264" cy="4076700"/>
          <a:chOff x="7691436" y="1514475"/>
          <a:chExt cx="4005264" cy="4076700"/>
        </a:xfrm>
      </xdr:grpSpPr>
      <xdr:cxnSp macro="">
        <xdr:nvCxnSpPr>
          <xdr:cNvPr id="2249" name="Straight Connector 2248">
            <a:extLst>
              <a:ext uri="{FF2B5EF4-FFF2-40B4-BE49-F238E27FC236}">
                <a16:creationId xmlns:a16="http://schemas.microsoft.com/office/drawing/2014/main" id="{53E702F2-E0A1-4BD9-86C3-468690AF6621}"/>
              </a:ext>
            </a:extLst>
          </xdr:cNvPr>
          <xdr:cNvCxnSpPr/>
        </xdr:nvCxnSpPr>
        <xdr:spPr>
          <a:xfrm>
            <a:off x="7867650" y="290512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D806362E-97A6-BAFB-DAFC-15BA448A1424}"/>
              </a:ext>
            </a:extLst>
          </xdr:cNvPr>
          <xdr:cNvSpPr/>
        </xdr:nvSpPr>
        <xdr:spPr>
          <a:xfrm>
            <a:off x="7700962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51" name="Isosceles Triangle 2250">
            <a:extLst>
              <a:ext uri="{FF2B5EF4-FFF2-40B4-BE49-F238E27FC236}">
                <a16:creationId xmlns:a16="http://schemas.microsoft.com/office/drawing/2014/main" id="{5E426DE6-9C6A-5060-08B5-58751555C221}"/>
              </a:ext>
            </a:extLst>
          </xdr:cNvPr>
          <xdr:cNvSpPr/>
        </xdr:nvSpPr>
        <xdr:spPr>
          <a:xfrm>
            <a:off x="7785544" y="5057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52" name="Straight Connector 2251">
            <a:extLst>
              <a:ext uri="{FF2B5EF4-FFF2-40B4-BE49-F238E27FC236}">
                <a16:creationId xmlns:a16="http://schemas.microsoft.com/office/drawing/2014/main" id="{4B6A9878-BA9C-188F-A419-2AF9BA46C116}"/>
              </a:ext>
            </a:extLst>
          </xdr:cNvPr>
          <xdr:cNvCxnSpPr/>
        </xdr:nvCxnSpPr>
        <xdr:spPr>
          <a:xfrm>
            <a:off x="7691436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3" name="Oval 2252">
            <a:extLst>
              <a:ext uri="{FF2B5EF4-FFF2-40B4-BE49-F238E27FC236}">
                <a16:creationId xmlns:a16="http://schemas.microsoft.com/office/drawing/2014/main" id="{DDF64F24-67FB-56CB-B756-3AD80B1FD8A6}"/>
              </a:ext>
            </a:extLst>
          </xdr:cNvPr>
          <xdr:cNvSpPr/>
        </xdr:nvSpPr>
        <xdr:spPr>
          <a:xfrm>
            <a:off x="7820023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54" name="Arc 2253">
            <a:extLst>
              <a:ext uri="{FF2B5EF4-FFF2-40B4-BE49-F238E27FC236}">
                <a16:creationId xmlns:a16="http://schemas.microsoft.com/office/drawing/2014/main" id="{C3EF3CE6-FF42-0E82-FCEB-70A168A016E6}"/>
              </a:ext>
            </a:extLst>
          </xdr:cNvPr>
          <xdr:cNvSpPr/>
        </xdr:nvSpPr>
        <xdr:spPr>
          <a:xfrm>
            <a:off x="7734300" y="1628775"/>
            <a:ext cx="3962400" cy="3962400"/>
          </a:xfrm>
          <a:prstGeom prst="arc">
            <a:avLst>
              <a:gd name="adj1" fmla="val 12054284"/>
              <a:gd name="adj2" fmla="val 14134836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55" name="Arc 2254">
            <a:extLst>
              <a:ext uri="{FF2B5EF4-FFF2-40B4-BE49-F238E27FC236}">
                <a16:creationId xmlns:a16="http://schemas.microsoft.com/office/drawing/2014/main" id="{E5E57909-C4AA-E311-2518-BBCFD1D2FEC6}"/>
              </a:ext>
            </a:extLst>
          </xdr:cNvPr>
          <xdr:cNvSpPr/>
        </xdr:nvSpPr>
        <xdr:spPr>
          <a:xfrm rot="259742">
            <a:off x="8324852" y="1790699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56" name="Straight Arrow Connector 2255">
            <a:extLst>
              <a:ext uri="{FF2B5EF4-FFF2-40B4-BE49-F238E27FC236}">
                <a16:creationId xmlns:a16="http://schemas.microsoft.com/office/drawing/2014/main" id="{41D6C5CE-A2BB-1CDD-3691-AE6D58467D46}"/>
              </a:ext>
            </a:extLst>
          </xdr:cNvPr>
          <xdr:cNvCxnSpPr/>
        </xdr:nvCxnSpPr>
        <xdr:spPr>
          <a:xfrm>
            <a:off x="8515350" y="1828801"/>
            <a:ext cx="228600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7" name="Straight Arrow Connector 2256">
            <a:extLst>
              <a:ext uri="{FF2B5EF4-FFF2-40B4-BE49-F238E27FC236}">
                <a16:creationId xmlns:a16="http://schemas.microsoft.com/office/drawing/2014/main" id="{11D26F1F-231B-2060-68EC-4D336B181816}"/>
              </a:ext>
            </a:extLst>
          </xdr:cNvPr>
          <xdr:cNvCxnSpPr/>
        </xdr:nvCxnSpPr>
        <xdr:spPr>
          <a:xfrm flipV="1">
            <a:off x="8639175" y="1762125"/>
            <a:ext cx="285750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8" name="TextBox 2257">
            <a:extLst>
              <a:ext uri="{FF2B5EF4-FFF2-40B4-BE49-F238E27FC236}">
                <a16:creationId xmlns:a16="http://schemas.microsoft.com/office/drawing/2014/main" id="{0BDD81DC-3818-D456-265F-3EEC6DC9F643}"/>
              </a:ext>
            </a:extLst>
          </xdr:cNvPr>
          <xdr:cNvSpPr txBox="1"/>
        </xdr:nvSpPr>
        <xdr:spPr>
          <a:xfrm>
            <a:off x="8562975" y="20764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  <xdr:sp macro="" textlink="">
        <xdr:nvSpPr>
          <xdr:cNvPr id="2259" name="TextBox 2258">
            <a:extLst>
              <a:ext uri="{FF2B5EF4-FFF2-40B4-BE49-F238E27FC236}">
                <a16:creationId xmlns:a16="http://schemas.microsoft.com/office/drawing/2014/main" id="{AB1A6D7E-5171-0914-393B-90D6A11290B8}"/>
              </a:ext>
            </a:extLst>
          </xdr:cNvPr>
          <xdr:cNvSpPr txBox="1"/>
        </xdr:nvSpPr>
        <xdr:spPr>
          <a:xfrm>
            <a:off x="8677275" y="151447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2260" name="TextBox 2259">
            <a:extLst>
              <a:ext uri="{FF2B5EF4-FFF2-40B4-BE49-F238E27FC236}">
                <a16:creationId xmlns:a16="http://schemas.microsoft.com/office/drawing/2014/main" id="{EFDC9B4C-D251-0461-B735-C8BF6361473B}"/>
              </a:ext>
            </a:extLst>
          </xdr:cNvPr>
          <xdr:cNvSpPr txBox="1"/>
        </xdr:nvSpPr>
        <xdr:spPr>
          <a:xfrm>
            <a:off x="8362950" y="15335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</xdr:grpSp>
    <xdr:clientData/>
  </xdr:twoCellAnchor>
  <xdr:twoCellAnchor>
    <xdr:from>
      <xdr:col>4</xdr:col>
      <xdr:colOff>85725</xdr:colOff>
      <xdr:row>670</xdr:row>
      <xdr:rowOff>95249</xdr:rowOff>
    </xdr:from>
    <xdr:to>
      <xdr:col>37</xdr:col>
      <xdr:colOff>9525</xdr:colOff>
      <xdr:row>707</xdr:row>
      <xdr:rowOff>61913</xdr:rowOff>
    </xdr:to>
    <xdr:grpSp>
      <xdr:nvGrpSpPr>
        <xdr:cNvPr id="2264" name="Group 2263">
          <a:extLst>
            <a:ext uri="{FF2B5EF4-FFF2-40B4-BE49-F238E27FC236}">
              <a16:creationId xmlns:a16="http://schemas.microsoft.com/office/drawing/2014/main" id="{FA06FF97-CA4B-D7B4-9C64-DC8BBD25BECC}"/>
            </a:ext>
          </a:extLst>
        </xdr:cNvPr>
        <xdr:cNvGrpSpPr/>
      </xdr:nvGrpSpPr>
      <xdr:grpSpPr>
        <a:xfrm>
          <a:off x="733425" y="96297749"/>
          <a:ext cx="5267325" cy="5253039"/>
          <a:chOff x="733425" y="67151249"/>
          <a:chExt cx="5267325" cy="5253039"/>
        </a:xfrm>
      </xdr:grpSpPr>
      <xdr:sp macro="" textlink="">
        <xdr:nvSpPr>
          <xdr:cNvPr id="1958" name="Arc 1957">
            <a:extLst>
              <a:ext uri="{FF2B5EF4-FFF2-40B4-BE49-F238E27FC236}">
                <a16:creationId xmlns:a16="http://schemas.microsoft.com/office/drawing/2014/main" id="{4195600D-A652-433E-96E6-D43EE8BAD4C3}"/>
              </a:ext>
            </a:extLst>
          </xdr:cNvPr>
          <xdr:cNvSpPr/>
        </xdr:nvSpPr>
        <xdr:spPr>
          <a:xfrm>
            <a:off x="1743075" y="67637025"/>
            <a:ext cx="3962400" cy="3962400"/>
          </a:xfrm>
          <a:prstGeom prst="arc">
            <a:avLst>
              <a:gd name="adj1" fmla="val 12054284"/>
              <a:gd name="adj2" fmla="val 20343441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59" name="Straight Connector 1958">
            <a:extLst>
              <a:ext uri="{FF2B5EF4-FFF2-40B4-BE49-F238E27FC236}">
                <a16:creationId xmlns:a16="http://schemas.microsoft.com/office/drawing/2014/main" id="{5F8EB814-1AAE-464C-AE6A-8D178ADD2CC4}"/>
              </a:ext>
            </a:extLst>
          </xdr:cNvPr>
          <xdr:cNvCxnSpPr/>
        </xdr:nvCxnSpPr>
        <xdr:spPr>
          <a:xfrm>
            <a:off x="1876425" y="6891337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0" name="Straight Connector 1959">
            <a:extLst>
              <a:ext uri="{FF2B5EF4-FFF2-40B4-BE49-F238E27FC236}">
                <a16:creationId xmlns:a16="http://schemas.microsoft.com/office/drawing/2014/main" id="{4F3B928B-976B-4FDC-A26E-334B35EE2773}"/>
              </a:ext>
            </a:extLst>
          </xdr:cNvPr>
          <xdr:cNvCxnSpPr/>
        </xdr:nvCxnSpPr>
        <xdr:spPr>
          <a:xfrm>
            <a:off x="5572125" y="68903850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F9355C2F-A479-4CFB-A3DB-B077519BE7B1}"/>
              </a:ext>
            </a:extLst>
          </xdr:cNvPr>
          <xdr:cNvSpPr/>
        </xdr:nvSpPr>
        <xdr:spPr>
          <a:xfrm>
            <a:off x="1709737" y="712041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62" name="Isosceles Triangle 1961">
            <a:extLst>
              <a:ext uri="{FF2B5EF4-FFF2-40B4-BE49-F238E27FC236}">
                <a16:creationId xmlns:a16="http://schemas.microsoft.com/office/drawing/2014/main" id="{34B99891-16BC-4BB3-B3B5-849560754387}"/>
              </a:ext>
            </a:extLst>
          </xdr:cNvPr>
          <xdr:cNvSpPr/>
        </xdr:nvSpPr>
        <xdr:spPr>
          <a:xfrm>
            <a:off x="1794319" y="710660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63" name="Straight Connector 1962">
            <a:extLst>
              <a:ext uri="{FF2B5EF4-FFF2-40B4-BE49-F238E27FC236}">
                <a16:creationId xmlns:a16="http://schemas.microsoft.com/office/drawing/2014/main" id="{4C8E5768-3B19-4FBE-B2CC-1D86B752EF23}"/>
              </a:ext>
            </a:extLst>
          </xdr:cNvPr>
          <xdr:cNvCxnSpPr/>
        </xdr:nvCxnSpPr>
        <xdr:spPr>
          <a:xfrm>
            <a:off x="1700211" y="711993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4" name="Oval 1963">
            <a:extLst>
              <a:ext uri="{FF2B5EF4-FFF2-40B4-BE49-F238E27FC236}">
                <a16:creationId xmlns:a16="http://schemas.microsoft.com/office/drawing/2014/main" id="{22D771FE-BDAD-425C-AC52-AE7A9FD09DDD}"/>
              </a:ext>
            </a:extLst>
          </xdr:cNvPr>
          <xdr:cNvSpPr/>
        </xdr:nvSpPr>
        <xdr:spPr>
          <a:xfrm>
            <a:off x="1828798" y="710088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65" name="Straight Arrow Connector 1964">
            <a:extLst>
              <a:ext uri="{FF2B5EF4-FFF2-40B4-BE49-F238E27FC236}">
                <a16:creationId xmlns:a16="http://schemas.microsoft.com/office/drawing/2014/main" id="{24469F19-1F21-4E09-8601-F9EA0D47354A}"/>
              </a:ext>
            </a:extLst>
          </xdr:cNvPr>
          <xdr:cNvCxnSpPr/>
        </xdr:nvCxnSpPr>
        <xdr:spPr>
          <a:xfrm flipV="1">
            <a:off x="1862136" y="7134225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6" name="Straight Arrow Connector 1965">
            <a:extLst>
              <a:ext uri="{FF2B5EF4-FFF2-40B4-BE49-F238E27FC236}">
                <a16:creationId xmlns:a16="http://schemas.microsoft.com/office/drawing/2014/main" id="{1FA55B79-A058-4543-AB78-6C60145417A8}"/>
              </a:ext>
            </a:extLst>
          </xdr:cNvPr>
          <xdr:cNvCxnSpPr/>
        </xdr:nvCxnSpPr>
        <xdr:spPr>
          <a:xfrm>
            <a:off x="1471613" y="71056500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7" name="Straight Connector 1966">
            <a:extLst>
              <a:ext uri="{FF2B5EF4-FFF2-40B4-BE49-F238E27FC236}">
                <a16:creationId xmlns:a16="http://schemas.microsoft.com/office/drawing/2014/main" id="{BF61F9E5-6BA1-4A4A-97C1-7D07C810E34E}"/>
              </a:ext>
            </a:extLst>
          </xdr:cNvPr>
          <xdr:cNvCxnSpPr/>
        </xdr:nvCxnSpPr>
        <xdr:spPr>
          <a:xfrm flipH="1">
            <a:off x="1219203" y="71056500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8" name="Straight Connector 1967">
            <a:extLst>
              <a:ext uri="{FF2B5EF4-FFF2-40B4-BE49-F238E27FC236}">
                <a16:creationId xmlns:a16="http://schemas.microsoft.com/office/drawing/2014/main" id="{948866A4-9B6E-48BC-9FAD-2A9FEDE7E1F9}"/>
              </a:ext>
            </a:extLst>
          </xdr:cNvPr>
          <xdr:cNvCxnSpPr/>
        </xdr:nvCxnSpPr>
        <xdr:spPr>
          <a:xfrm flipH="1">
            <a:off x="1257303" y="7102316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6A908283-C71C-4D21-9640-A9C7A143F4F8}"/>
              </a:ext>
            </a:extLst>
          </xdr:cNvPr>
          <xdr:cNvSpPr/>
        </xdr:nvSpPr>
        <xdr:spPr>
          <a:xfrm>
            <a:off x="5414962" y="712041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0" name="Isosceles Triangle 1969">
            <a:extLst>
              <a:ext uri="{FF2B5EF4-FFF2-40B4-BE49-F238E27FC236}">
                <a16:creationId xmlns:a16="http://schemas.microsoft.com/office/drawing/2014/main" id="{A9019A85-1051-4EA5-9FD2-D27C7C609D35}"/>
              </a:ext>
            </a:extLst>
          </xdr:cNvPr>
          <xdr:cNvSpPr/>
        </xdr:nvSpPr>
        <xdr:spPr>
          <a:xfrm>
            <a:off x="5499544" y="710660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71" name="Straight Connector 1970">
            <a:extLst>
              <a:ext uri="{FF2B5EF4-FFF2-40B4-BE49-F238E27FC236}">
                <a16:creationId xmlns:a16="http://schemas.microsoft.com/office/drawing/2014/main" id="{67B9284F-9ED4-40E9-8B7A-417A4CFE0842}"/>
              </a:ext>
            </a:extLst>
          </xdr:cNvPr>
          <xdr:cNvCxnSpPr/>
        </xdr:nvCxnSpPr>
        <xdr:spPr>
          <a:xfrm>
            <a:off x="5405436" y="711993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72" name="Oval 1971">
            <a:extLst>
              <a:ext uri="{FF2B5EF4-FFF2-40B4-BE49-F238E27FC236}">
                <a16:creationId xmlns:a16="http://schemas.microsoft.com/office/drawing/2014/main" id="{5878742F-86E3-4BBC-B192-D1D10AA58B0C}"/>
              </a:ext>
            </a:extLst>
          </xdr:cNvPr>
          <xdr:cNvSpPr/>
        </xdr:nvSpPr>
        <xdr:spPr>
          <a:xfrm>
            <a:off x="5534023" y="710088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73" name="Straight Arrow Connector 1972">
            <a:extLst>
              <a:ext uri="{FF2B5EF4-FFF2-40B4-BE49-F238E27FC236}">
                <a16:creationId xmlns:a16="http://schemas.microsoft.com/office/drawing/2014/main" id="{5AD543C5-1D96-4F8B-95CD-0E866F5E25D7}"/>
              </a:ext>
            </a:extLst>
          </xdr:cNvPr>
          <xdr:cNvCxnSpPr/>
        </xdr:nvCxnSpPr>
        <xdr:spPr>
          <a:xfrm flipV="1">
            <a:off x="5576886" y="7135177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4" name="Straight Arrow Connector 1973">
            <a:extLst>
              <a:ext uri="{FF2B5EF4-FFF2-40B4-BE49-F238E27FC236}">
                <a16:creationId xmlns:a16="http://schemas.microsoft.com/office/drawing/2014/main" id="{3E840EC9-3D77-4497-920B-F221FEA0919F}"/>
              </a:ext>
            </a:extLst>
          </xdr:cNvPr>
          <xdr:cNvCxnSpPr/>
        </xdr:nvCxnSpPr>
        <xdr:spPr>
          <a:xfrm flipH="1">
            <a:off x="5662613" y="71056500"/>
            <a:ext cx="33813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5" name="Straight Connector 1974">
            <a:extLst>
              <a:ext uri="{FF2B5EF4-FFF2-40B4-BE49-F238E27FC236}">
                <a16:creationId xmlns:a16="http://schemas.microsoft.com/office/drawing/2014/main" id="{43EBF5BC-D937-415E-91B3-B888AA44F39C}"/>
              </a:ext>
            </a:extLst>
          </xdr:cNvPr>
          <xdr:cNvCxnSpPr/>
        </xdr:nvCxnSpPr>
        <xdr:spPr>
          <a:xfrm>
            <a:off x="1876425" y="67484625"/>
            <a:ext cx="3700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6" name="Straight Arrow Connector 1975">
            <a:extLst>
              <a:ext uri="{FF2B5EF4-FFF2-40B4-BE49-F238E27FC236}">
                <a16:creationId xmlns:a16="http://schemas.microsoft.com/office/drawing/2014/main" id="{B3169442-A1FE-4545-9DEA-612932D7136B}"/>
              </a:ext>
            </a:extLst>
          </xdr:cNvPr>
          <xdr:cNvCxnSpPr/>
        </xdr:nvCxnSpPr>
        <xdr:spPr>
          <a:xfrm>
            <a:off x="1876425" y="6727983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7" name="Straight Connector 1976">
            <a:extLst>
              <a:ext uri="{FF2B5EF4-FFF2-40B4-BE49-F238E27FC236}">
                <a16:creationId xmlns:a16="http://schemas.microsoft.com/office/drawing/2014/main" id="{4D0325FD-3C1B-4344-ACE5-C817C9A14DB4}"/>
              </a:ext>
            </a:extLst>
          </xdr:cNvPr>
          <xdr:cNvCxnSpPr/>
        </xdr:nvCxnSpPr>
        <xdr:spPr>
          <a:xfrm>
            <a:off x="1876425" y="67275074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8" name="Straight Arrow Connector 1977">
            <a:extLst>
              <a:ext uri="{FF2B5EF4-FFF2-40B4-BE49-F238E27FC236}">
                <a16:creationId xmlns:a16="http://schemas.microsoft.com/office/drawing/2014/main" id="{87102456-4C1D-41B6-83E2-C8F2EA65A258}"/>
              </a:ext>
            </a:extLst>
          </xdr:cNvPr>
          <xdr:cNvCxnSpPr/>
        </xdr:nvCxnSpPr>
        <xdr:spPr>
          <a:xfrm>
            <a:off x="2105025" y="6727983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9" name="Straight Arrow Connector 1978">
            <a:extLst>
              <a:ext uri="{FF2B5EF4-FFF2-40B4-BE49-F238E27FC236}">
                <a16:creationId xmlns:a16="http://schemas.microsoft.com/office/drawing/2014/main" id="{C3D7C4AF-B040-4AAF-8900-0B81503F6DEE}"/>
              </a:ext>
            </a:extLst>
          </xdr:cNvPr>
          <xdr:cNvCxnSpPr/>
        </xdr:nvCxnSpPr>
        <xdr:spPr>
          <a:xfrm>
            <a:off x="2266952" y="6727983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Arrow Connector 1979">
            <a:extLst>
              <a:ext uri="{FF2B5EF4-FFF2-40B4-BE49-F238E27FC236}">
                <a16:creationId xmlns:a16="http://schemas.microsoft.com/office/drawing/2014/main" id="{B8CB0DFD-F278-4C63-BF49-2E5B30892025}"/>
              </a:ext>
            </a:extLst>
          </xdr:cNvPr>
          <xdr:cNvCxnSpPr/>
        </xdr:nvCxnSpPr>
        <xdr:spPr>
          <a:xfrm>
            <a:off x="2428874" y="6727983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Arrow Connector 1980">
            <a:extLst>
              <a:ext uri="{FF2B5EF4-FFF2-40B4-BE49-F238E27FC236}">
                <a16:creationId xmlns:a16="http://schemas.microsoft.com/office/drawing/2014/main" id="{3FD2DA7B-E2B0-4F2B-99E1-B8BD9EAE2966}"/>
              </a:ext>
            </a:extLst>
          </xdr:cNvPr>
          <xdr:cNvCxnSpPr/>
        </xdr:nvCxnSpPr>
        <xdr:spPr>
          <a:xfrm>
            <a:off x="2590801" y="6727983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2" name="Straight Arrow Connector 1981">
            <a:extLst>
              <a:ext uri="{FF2B5EF4-FFF2-40B4-BE49-F238E27FC236}">
                <a16:creationId xmlns:a16="http://schemas.microsoft.com/office/drawing/2014/main" id="{DCFBF5DC-1F5C-4BCA-A1AC-C5185B76972F}"/>
              </a:ext>
            </a:extLst>
          </xdr:cNvPr>
          <xdr:cNvCxnSpPr/>
        </xdr:nvCxnSpPr>
        <xdr:spPr>
          <a:xfrm>
            <a:off x="2752725" y="67279836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Straight Arrow Connector 1982">
            <a:extLst>
              <a:ext uri="{FF2B5EF4-FFF2-40B4-BE49-F238E27FC236}">
                <a16:creationId xmlns:a16="http://schemas.microsoft.com/office/drawing/2014/main" id="{E4428C50-0438-4C3B-8A86-3EDD4A953545}"/>
              </a:ext>
            </a:extLst>
          </xdr:cNvPr>
          <xdr:cNvCxnSpPr/>
        </xdr:nvCxnSpPr>
        <xdr:spPr>
          <a:xfrm>
            <a:off x="2914652" y="6727983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8" name="Straight Arrow Connector 2047">
            <a:extLst>
              <a:ext uri="{FF2B5EF4-FFF2-40B4-BE49-F238E27FC236}">
                <a16:creationId xmlns:a16="http://schemas.microsoft.com/office/drawing/2014/main" id="{DC020BC1-7ABF-42C2-9394-5F2ED9E3B9C8}"/>
              </a:ext>
            </a:extLst>
          </xdr:cNvPr>
          <xdr:cNvCxnSpPr/>
        </xdr:nvCxnSpPr>
        <xdr:spPr>
          <a:xfrm>
            <a:off x="3076574" y="6727983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9" name="Straight Arrow Connector 2048">
            <a:extLst>
              <a:ext uri="{FF2B5EF4-FFF2-40B4-BE49-F238E27FC236}">
                <a16:creationId xmlns:a16="http://schemas.microsoft.com/office/drawing/2014/main" id="{3DA9CB4C-4688-4DB6-AF0E-78B740D33938}"/>
              </a:ext>
            </a:extLst>
          </xdr:cNvPr>
          <xdr:cNvCxnSpPr/>
        </xdr:nvCxnSpPr>
        <xdr:spPr>
          <a:xfrm>
            <a:off x="3238501" y="6727983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0" name="Straight Arrow Connector 2049">
            <a:extLst>
              <a:ext uri="{FF2B5EF4-FFF2-40B4-BE49-F238E27FC236}">
                <a16:creationId xmlns:a16="http://schemas.microsoft.com/office/drawing/2014/main" id="{668DCEA0-A590-46D6-A77B-FCC207D1651A}"/>
              </a:ext>
            </a:extLst>
          </xdr:cNvPr>
          <xdr:cNvCxnSpPr/>
        </xdr:nvCxnSpPr>
        <xdr:spPr>
          <a:xfrm>
            <a:off x="3400431" y="6727506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1" name="Straight Arrow Connector 2050">
            <a:extLst>
              <a:ext uri="{FF2B5EF4-FFF2-40B4-BE49-F238E27FC236}">
                <a16:creationId xmlns:a16="http://schemas.microsoft.com/office/drawing/2014/main" id="{2707EC5F-9A6D-4EE9-984C-088A2E39F41A}"/>
              </a:ext>
            </a:extLst>
          </xdr:cNvPr>
          <xdr:cNvCxnSpPr/>
        </xdr:nvCxnSpPr>
        <xdr:spPr>
          <a:xfrm>
            <a:off x="3562358" y="67275070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2" name="Straight Arrow Connector 2051">
            <a:extLst>
              <a:ext uri="{FF2B5EF4-FFF2-40B4-BE49-F238E27FC236}">
                <a16:creationId xmlns:a16="http://schemas.microsoft.com/office/drawing/2014/main" id="{5B13EC7F-834B-44F3-9C67-1627151C9481}"/>
              </a:ext>
            </a:extLst>
          </xdr:cNvPr>
          <xdr:cNvCxnSpPr/>
        </xdr:nvCxnSpPr>
        <xdr:spPr>
          <a:xfrm>
            <a:off x="3724280" y="6715125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Straight Arrow Connector 2052">
            <a:extLst>
              <a:ext uri="{FF2B5EF4-FFF2-40B4-BE49-F238E27FC236}">
                <a16:creationId xmlns:a16="http://schemas.microsoft.com/office/drawing/2014/main" id="{7F7C9142-7CAD-4645-8156-A19AC47A66F1}"/>
              </a:ext>
            </a:extLst>
          </xdr:cNvPr>
          <xdr:cNvCxnSpPr/>
        </xdr:nvCxnSpPr>
        <xdr:spPr>
          <a:xfrm>
            <a:off x="3886207" y="6715125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Connector 2053">
            <a:extLst>
              <a:ext uri="{FF2B5EF4-FFF2-40B4-BE49-F238E27FC236}">
                <a16:creationId xmlns:a16="http://schemas.microsoft.com/office/drawing/2014/main" id="{BC5748E4-33A4-4705-A29E-507224EF0DD6}"/>
              </a:ext>
            </a:extLst>
          </xdr:cNvPr>
          <xdr:cNvCxnSpPr/>
        </xdr:nvCxnSpPr>
        <xdr:spPr>
          <a:xfrm>
            <a:off x="3724275" y="67151249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Arrow Connector 2054">
            <a:extLst>
              <a:ext uri="{FF2B5EF4-FFF2-40B4-BE49-F238E27FC236}">
                <a16:creationId xmlns:a16="http://schemas.microsoft.com/office/drawing/2014/main" id="{09D4F340-155F-4DC2-AC90-A4879F2BC171}"/>
              </a:ext>
            </a:extLst>
          </xdr:cNvPr>
          <xdr:cNvCxnSpPr/>
        </xdr:nvCxnSpPr>
        <xdr:spPr>
          <a:xfrm>
            <a:off x="4048133" y="6715125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Arrow Connector 2055">
            <a:extLst>
              <a:ext uri="{FF2B5EF4-FFF2-40B4-BE49-F238E27FC236}">
                <a16:creationId xmlns:a16="http://schemas.microsoft.com/office/drawing/2014/main" id="{8A206DA3-F1CA-4E3D-8DB9-C9801BC70B01}"/>
              </a:ext>
            </a:extLst>
          </xdr:cNvPr>
          <xdr:cNvCxnSpPr/>
        </xdr:nvCxnSpPr>
        <xdr:spPr>
          <a:xfrm>
            <a:off x="4210058" y="6715601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5" name="Straight Arrow Connector 2114">
            <a:extLst>
              <a:ext uri="{FF2B5EF4-FFF2-40B4-BE49-F238E27FC236}">
                <a16:creationId xmlns:a16="http://schemas.microsoft.com/office/drawing/2014/main" id="{AF528533-C631-438E-A291-1B9594BC549C}"/>
              </a:ext>
            </a:extLst>
          </xdr:cNvPr>
          <xdr:cNvCxnSpPr/>
        </xdr:nvCxnSpPr>
        <xdr:spPr>
          <a:xfrm>
            <a:off x="4371984" y="6715601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5" name="Straight Arrow Connector 2144">
            <a:extLst>
              <a:ext uri="{FF2B5EF4-FFF2-40B4-BE49-F238E27FC236}">
                <a16:creationId xmlns:a16="http://schemas.microsoft.com/office/drawing/2014/main" id="{D37ABC89-1CAF-4824-AB20-3CA41E7E4D6B}"/>
              </a:ext>
            </a:extLst>
          </xdr:cNvPr>
          <xdr:cNvCxnSpPr/>
        </xdr:nvCxnSpPr>
        <xdr:spPr>
          <a:xfrm>
            <a:off x="4533905" y="6715125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6" name="Straight Arrow Connector 2145">
            <a:extLst>
              <a:ext uri="{FF2B5EF4-FFF2-40B4-BE49-F238E27FC236}">
                <a16:creationId xmlns:a16="http://schemas.microsoft.com/office/drawing/2014/main" id="{1C253C72-8B58-460F-AAE5-8DF954A11A65}"/>
              </a:ext>
            </a:extLst>
          </xdr:cNvPr>
          <xdr:cNvCxnSpPr/>
        </xdr:nvCxnSpPr>
        <xdr:spPr>
          <a:xfrm>
            <a:off x="4695832" y="6715125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7" name="Straight Arrow Connector 2146">
            <a:extLst>
              <a:ext uri="{FF2B5EF4-FFF2-40B4-BE49-F238E27FC236}">
                <a16:creationId xmlns:a16="http://schemas.microsoft.com/office/drawing/2014/main" id="{15DE1CFE-A709-41DD-B1AE-8EF42631B4DB}"/>
              </a:ext>
            </a:extLst>
          </xdr:cNvPr>
          <xdr:cNvCxnSpPr/>
        </xdr:nvCxnSpPr>
        <xdr:spPr>
          <a:xfrm>
            <a:off x="4857758" y="6715125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9" name="Straight Arrow Connector 2148">
            <a:extLst>
              <a:ext uri="{FF2B5EF4-FFF2-40B4-BE49-F238E27FC236}">
                <a16:creationId xmlns:a16="http://schemas.microsoft.com/office/drawing/2014/main" id="{02A873D9-9C60-401A-B391-80DCE02DB946}"/>
              </a:ext>
            </a:extLst>
          </xdr:cNvPr>
          <xdr:cNvCxnSpPr/>
        </xdr:nvCxnSpPr>
        <xdr:spPr>
          <a:xfrm>
            <a:off x="5019683" y="6715601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0" name="Straight Arrow Connector 2149">
            <a:extLst>
              <a:ext uri="{FF2B5EF4-FFF2-40B4-BE49-F238E27FC236}">
                <a16:creationId xmlns:a16="http://schemas.microsoft.com/office/drawing/2014/main" id="{CC279AE1-5EA8-4494-B9AB-AF2CB98E66B8}"/>
              </a:ext>
            </a:extLst>
          </xdr:cNvPr>
          <xdr:cNvCxnSpPr/>
        </xdr:nvCxnSpPr>
        <xdr:spPr>
          <a:xfrm>
            <a:off x="5181609" y="6715601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2" name="Straight Arrow Connector 2151">
            <a:extLst>
              <a:ext uri="{FF2B5EF4-FFF2-40B4-BE49-F238E27FC236}">
                <a16:creationId xmlns:a16="http://schemas.microsoft.com/office/drawing/2014/main" id="{27385D59-DD48-4DFA-9BD4-FB0E95A25CD3}"/>
              </a:ext>
            </a:extLst>
          </xdr:cNvPr>
          <xdr:cNvCxnSpPr/>
        </xdr:nvCxnSpPr>
        <xdr:spPr>
          <a:xfrm>
            <a:off x="5343533" y="67156013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7" name="Straight Arrow Connector 2156">
            <a:extLst>
              <a:ext uri="{FF2B5EF4-FFF2-40B4-BE49-F238E27FC236}">
                <a16:creationId xmlns:a16="http://schemas.microsoft.com/office/drawing/2014/main" id="{15EB528D-AD6D-42F3-A3C1-5113D1842CE5}"/>
              </a:ext>
            </a:extLst>
          </xdr:cNvPr>
          <xdr:cNvCxnSpPr/>
        </xdr:nvCxnSpPr>
        <xdr:spPr>
          <a:xfrm>
            <a:off x="5572138" y="6715601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8" name="Oval 2157">
            <a:extLst>
              <a:ext uri="{FF2B5EF4-FFF2-40B4-BE49-F238E27FC236}">
                <a16:creationId xmlns:a16="http://schemas.microsoft.com/office/drawing/2014/main" id="{F50473AF-2CDC-4EE0-A13E-8A8E735E77FB}"/>
              </a:ext>
            </a:extLst>
          </xdr:cNvPr>
          <xdr:cNvSpPr/>
        </xdr:nvSpPr>
        <xdr:spPr>
          <a:xfrm>
            <a:off x="3681412" y="675941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59" name="Straight Connector 2158">
            <a:extLst>
              <a:ext uri="{FF2B5EF4-FFF2-40B4-BE49-F238E27FC236}">
                <a16:creationId xmlns:a16="http://schemas.microsoft.com/office/drawing/2014/main" id="{40F1F751-2B5E-41F9-8394-EDC606C93F4F}"/>
              </a:ext>
            </a:extLst>
          </xdr:cNvPr>
          <xdr:cNvCxnSpPr/>
        </xdr:nvCxnSpPr>
        <xdr:spPr>
          <a:xfrm>
            <a:off x="1295401" y="67556063"/>
            <a:ext cx="0" cy="3581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Straight Connector 2159">
            <a:extLst>
              <a:ext uri="{FF2B5EF4-FFF2-40B4-BE49-F238E27FC236}">
                <a16:creationId xmlns:a16="http://schemas.microsoft.com/office/drawing/2014/main" id="{FDCF26D4-500E-4CC8-8D14-727ABC743CCA}"/>
              </a:ext>
            </a:extLst>
          </xdr:cNvPr>
          <xdr:cNvCxnSpPr/>
        </xdr:nvCxnSpPr>
        <xdr:spPr>
          <a:xfrm flipH="1">
            <a:off x="1209675" y="67627501"/>
            <a:ext cx="217646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Straight Connector 2160">
            <a:extLst>
              <a:ext uri="{FF2B5EF4-FFF2-40B4-BE49-F238E27FC236}">
                <a16:creationId xmlns:a16="http://schemas.microsoft.com/office/drawing/2014/main" id="{ACF5C510-4549-4137-BCEF-DCF5736B574D}"/>
              </a:ext>
            </a:extLst>
          </xdr:cNvPr>
          <xdr:cNvCxnSpPr/>
        </xdr:nvCxnSpPr>
        <xdr:spPr>
          <a:xfrm flipH="1">
            <a:off x="1257299" y="67594162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4" name="Straight Connector 2163">
            <a:extLst>
              <a:ext uri="{FF2B5EF4-FFF2-40B4-BE49-F238E27FC236}">
                <a16:creationId xmlns:a16="http://schemas.microsoft.com/office/drawing/2014/main" id="{CB2095C8-2058-4872-9BD1-103445C52E17}"/>
              </a:ext>
            </a:extLst>
          </xdr:cNvPr>
          <xdr:cNvCxnSpPr/>
        </xdr:nvCxnSpPr>
        <xdr:spPr>
          <a:xfrm flipH="1">
            <a:off x="1209678" y="68913377"/>
            <a:ext cx="5905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9" name="Straight Connector 2178">
            <a:extLst>
              <a:ext uri="{FF2B5EF4-FFF2-40B4-BE49-F238E27FC236}">
                <a16:creationId xmlns:a16="http://schemas.microsoft.com/office/drawing/2014/main" id="{6372C81D-F6E1-458C-BEB4-3ED21C60D33B}"/>
              </a:ext>
            </a:extLst>
          </xdr:cNvPr>
          <xdr:cNvCxnSpPr/>
        </xdr:nvCxnSpPr>
        <xdr:spPr>
          <a:xfrm flipH="1">
            <a:off x="1257302" y="68880038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2" name="Straight Connector 2181">
            <a:extLst>
              <a:ext uri="{FF2B5EF4-FFF2-40B4-BE49-F238E27FC236}">
                <a16:creationId xmlns:a16="http://schemas.microsoft.com/office/drawing/2014/main" id="{DBA3E4A8-7CC7-4C5D-A80D-09B35A730BB8}"/>
              </a:ext>
            </a:extLst>
          </xdr:cNvPr>
          <xdr:cNvCxnSpPr/>
        </xdr:nvCxnSpPr>
        <xdr:spPr>
          <a:xfrm>
            <a:off x="1857375" y="71808975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3" name="Straight Connector 2182">
            <a:extLst>
              <a:ext uri="{FF2B5EF4-FFF2-40B4-BE49-F238E27FC236}">
                <a16:creationId xmlns:a16="http://schemas.microsoft.com/office/drawing/2014/main" id="{954F86A6-A631-4640-976D-1CFCC36754A9}"/>
              </a:ext>
            </a:extLst>
          </xdr:cNvPr>
          <xdr:cNvCxnSpPr/>
        </xdr:nvCxnSpPr>
        <xdr:spPr>
          <a:xfrm>
            <a:off x="3305175" y="69618226"/>
            <a:ext cx="8667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4" name="Straight Connector 2183">
            <a:extLst>
              <a:ext uri="{FF2B5EF4-FFF2-40B4-BE49-F238E27FC236}">
                <a16:creationId xmlns:a16="http://schemas.microsoft.com/office/drawing/2014/main" id="{2A204BE1-2F2E-4717-9090-56012528BE3E}"/>
              </a:ext>
            </a:extLst>
          </xdr:cNvPr>
          <xdr:cNvCxnSpPr/>
        </xdr:nvCxnSpPr>
        <xdr:spPr>
          <a:xfrm flipV="1">
            <a:off x="1619249" y="67556064"/>
            <a:ext cx="0" cy="14239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5" name="Straight Connector 2184">
            <a:extLst>
              <a:ext uri="{FF2B5EF4-FFF2-40B4-BE49-F238E27FC236}">
                <a16:creationId xmlns:a16="http://schemas.microsoft.com/office/drawing/2014/main" id="{B377A5B1-17E4-4122-A28A-EC02EC654D5C}"/>
              </a:ext>
            </a:extLst>
          </xdr:cNvPr>
          <xdr:cNvCxnSpPr/>
        </xdr:nvCxnSpPr>
        <xdr:spPr>
          <a:xfrm flipH="1">
            <a:off x="1581151" y="675894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6" name="Straight Connector 2185">
            <a:extLst>
              <a:ext uri="{FF2B5EF4-FFF2-40B4-BE49-F238E27FC236}">
                <a16:creationId xmlns:a16="http://schemas.microsoft.com/office/drawing/2014/main" id="{38D3A64F-8823-4693-8F1B-CD3E740A71E8}"/>
              </a:ext>
            </a:extLst>
          </xdr:cNvPr>
          <xdr:cNvCxnSpPr/>
        </xdr:nvCxnSpPr>
        <xdr:spPr>
          <a:xfrm>
            <a:off x="1547815" y="67994208"/>
            <a:ext cx="9905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7" name="Straight Connector 2186">
            <a:extLst>
              <a:ext uri="{FF2B5EF4-FFF2-40B4-BE49-F238E27FC236}">
                <a16:creationId xmlns:a16="http://schemas.microsoft.com/office/drawing/2014/main" id="{437657F5-43D8-4774-99E4-482E77435C1E}"/>
              </a:ext>
            </a:extLst>
          </xdr:cNvPr>
          <xdr:cNvCxnSpPr/>
        </xdr:nvCxnSpPr>
        <xdr:spPr>
          <a:xfrm flipH="1">
            <a:off x="1581150" y="6795611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8" name="Straight Connector 2187">
            <a:extLst>
              <a:ext uri="{FF2B5EF4-FFF2-40B4-BE49-F238E27FC236}">
                <a16:creationId xmlns:a16="http://schemas.microsoft.com/office/drawing/2014/main" id="{04BCFF6D-8A1F-4FCB-AF83-02D8DED4BDE3}"/>
              </a:ext>
            </a:extLst>
          </xdr:cNvPr>
          <xdr:cNvCxnSpPr/>
        </xdr:nvCxnSpPr>
        <xdr:spPr>
          <a:xfrm>
            <a:off x="1038225" y="67622738"/>
            <a:ext cx="0" cy="3433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9" name="Straight Arrow Connector 2188">
            <a:extLst>
              <a:ext uri="{FF2B5EF4-FFF2-40B4-BE49-F238E27FC236}">
                <a16:creationId xmlns:a16="http://schemas.microsoft.com/office/drawing/2014/main" id="{DCB76DA9-702A-45BA-8220-D3638ED1B408}"/>
              </a:ext>
            </a:extLst>
          </xdr:cNvPr>
          <xdr:cNvCxnSpPr/>
        </xdr:nvCxnSpPr>
        <xdr:spPr>
          <a:xfrm>
            <a:off x="838200" y="6762750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0" name="Straight Arrow Connector 2189">
            <a:extLst>
              <a:ext uri="{FF2B5EF4-FFF2-40B4-BE49-F238E27FC236}">
                <a16:creationId xmlns:a16="http://schemas.microsoft.com/office/drawing/2014/main" id="{8BA4D5AA-4813-4965-B7E9-9602AA6B2E5C}"/>
              </a:ext>
            </a:extLst>
          </xdr:cNvPr>
          <xdr:cNvCxnSpPr/>
        </xdr:nvCxnSpPr>
        <xdr:spPr>
          <a:xfrm>
            <a:off x="838201" y="6777037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1" name="Straight Arrow Connector 2190">
            <a:extLst>
              <a:ext uri="{FF2B5EF4-FFF2-40B4-BE49-F238E27FC236}">
                <a16:creationId xmlns:a16="http://schemas.microsoft.com/office/drawing/2014/main" id="{E3C2197B-EBC6-483B-AC05-0EC6DDEDBC8B}"/>
              </a:ext>
            </a:extLst>
          </xdr:cNvPr>
          <xdr:cNvCxnSpPr/>
        </xdr:nvCxnSpPr>
        <xdr:spPr>
          <a:xfrm>
            <a:off x="833437" y="6791325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2" name="Straight Arrow Connector 2191">
            <a:extLst>
              <a:ext uri="{FF2B5EF4-FFF2-40B4-BE49-F238E27FC236}">
                <a16:creationId xmlns:a16="http://schemas.microsoft.com/office/drawing/2014/main" id="{DD8B5951-B603-457E-B0AB-84507AE57571}"/>
              </a:ext>
            </a:extLst>
          </xdr:cNvPr>
          <xdr:cNvCxnSpPr/>
        </xdr:nvCxnSpPr>
        <xdr:spPr>
          <a:xfrm>
            <a:off x="833438" y="6805612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3" name="Straight Arrow Connector 2192">
            <a:extLst>
              <a:ext uri="{FF2B5EF4-FFF2-40B4-BE49-F238E27FC236}">
                <a16:creationId xmlns:a16="http://schemas.microsoft.com/office/drawing/2014/main" id="{5F43022F-D405-47E6-B64B-882D7070AC05}"/>
              </a:ext>
            </a:extLst>
          </xdr:cNvPr>
          <xdr:cNvCxnSpPr/>
        </xdr:nvCxnSpPr>
        <xdr:spPr>
          <a:xfrm>
            <a:off x="838197" y="6819900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4" name="Straight Arrow Connector 2193">
            <a:extLst>
              <a:ext uri="{FF2B5EF4-FFF2-40B4-BE49-F238E27FC236}">
                <a16:creationId xmlns:a16="http://schemas.microsoft.com/office/drawing/2014/main" id="{27AF2DCE-889D-47B7-AE2D-E90DAF2FF311}"/>
              </a:ext>
            </a:extLst>
          </xdr:cNvPr>
          <xdr:cNvCxnSpPr/>
        </xdr:nvCxnSpPr>
        <xdr:spPr>
          <a:xfrm>
            <a:off x="838198" y="6834188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5" name="Straight Arrow Connector 2194">
            <a:extLst>
              <a:ext uri="{FF2B5EF4-FFF2-40B4-BE49-F238E27FC236}">
                <a16:creationId xmlns:a16="http://schemas.microsoft.com/office/drawing/2014/main" id="{6EAFAF59-8E01-4658-9CEB-8126266301E8}"/>
              </a:ext>
            </a:extLst>
          </xdr:cNvPr>
          <xdr:cNvCxnSpPr/>
        </xdr:nvCxnSpPr>
        <xdr:spPr>
          <a:xfrm>
            <a:off x="833434" y="6848475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6" name="Straight Arrow Connector 2195">
            <a:extLst>
              <a:ext uri="{FF2B5EF4-FFF2-40B4-BE49-F238E27FC236}">
                <a16:creationId xmlns:a16="http://schemas.microsoft.com/office/drawing/2014/main" id="{BBEDC66B-FCF9-4395-9075-F216E1C97927}"/>
              </a:ext>
            </a:extLst>
          </xdr:cNvPr>
          <xdr:cNvCxnSpPr/>
        </xdr:nvCxnSpPr>
        <xdr:spPr>
          <a:xfrm>
            <a:off x="833435" y="6862763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7" name="Straight Arrow Connector 2196">
            <a:extLst>
              <a:ext uri="{FF2B5EF4-FFF2-40B4-BE49-F238E27FC236}">
                <a16:creationId xmlns:a16="http://schemas.microsoft.com/office/drawing/2014/main" id="{7C0BFD93-78F8-49C5-9EBE-85B78F2E2522}"/>
              </a:ext>
            </a:extLst>
          </xdr:cNvPr>
          <xdr:cNvCxnSpPr/>
        </xdr:nvCxnSpPr>
        <xdr:spPr>
          <a:xfrm>
            <a:off x="838200" y="6877050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8" name="Straight Arrow Connector 2197">
            <a:extLst>
              <a:ext uri="{FF2B5EF4-FFF2-40B4-BE49-F238E27FC236}">
                <a16:creationId xmlns:a16="http://schemas.microsoft.com/office/drawing/2014/main" id="{75686C3A-616D-46EE-B70A-499D0779867D}"/>
              </a:ext>
            </a:extLst>
          </xdr:cNvPr>
          <xdr:cNvCxnSpPr/>
        </xdr:nvCxnSpPr>
        <xdr:spPr>
          <a:xfrm>
            <a:off x="733425" y="68913375"/>
            <a:ext cx="30480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9" name="Straight Arrow Connector 2198">
            <a:extLst>
              <a:ext uri="{FF2B5EF4-FFF2-40B4-BE49-F238E27FC236}">
                <a16:creationId xmlns:a16="http://schemas.microsoft.com/office/drawing/2014/main" id="{C972277D-BF36-4856-8C8D-D141D1EFE9FE}"/>
              </a:ext>
            </a:extLst>
          </xdr:cNvPr>
          <xdr:cNvCxnSpPr/>
        </xdr:nvCxnSpPr>
        <xdr:spPr>
          <a:xfrm>
            <a:off x="738188" y="69056250"/>
            <a:ext cx="29527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0" name="Straight Arrow Connector 2199">
            <a:extLst>
              <a:ext uri="{FF2B5EF4-FFF2-40B4-BE49-F238E27FC236}">
                <a16:creationId xmlns:a16="http://schemas.microsoft.com/office/drawing/2014/main" id="{632788B6-6476-4772-BE06-6E97FDB2080B}"/>
              </a:ext>
            </a:extLst>
          </xdr:cNvPr>
          <xdr:cNvCxnSpPr/>
        </xdr:nvCxnSpPr>
        <xdr:spPr>
          <a:xfrm>
            <a:off x="733425" y="69199125"/>
            <a:ext cx="30003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1" name="Straight Arrow Connector 2200">
            <a:extLst>
              <a:ext uri="{FF2B5EF4-FFF2-40B4-BE49-F238E27FC236}">
                <a16:creationId xmlns:a16="http://schemas.microsoft.com/office/drawing/2014/main" id="{7C10718C-F26D-4D39-9D44-7D9CD5C29BEF}"/>
              </a:ext>
            </a:extLst>
          </xdr:cNvPr>
          <xdr:cNvCxnSpPr/>
        </xdr:nvCxnSpPr>
        <xdr:spPr>
          <a:xfrm>
            <a:off x="742950" y="6934200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2" name="Straight Arrow Connector 2201">
            <a:extLst>
              <a:ext uri="{FF2B5EF4-FFF2-40B4-BE49-F238E27FC236}">
                <a16:creationId xmlns:a16="http://schemas.microsoft.com/office/drawing/2014/main" id="{9FEE0237-5AA9-4C53-9143-9AF816DF58C6}"/>
              </a:ext>
            </a:extLst>
          </xdr:cNvPr>
          <xdr:cNvCxnSpPr/>
        </xdr:nvCxnSpPr>
        <xdr:spPr>
          <a:xfrm>
            <a:off x="738188" y="69484882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3" name="Straight Arrow Connector 2202">
            <a:extLst>
              <a:ext uri="{FF2B5EF4-FFF2-40B4-BE49-F238E27FC236}">
                <a16:creationId xmlns:a16="http://schemas.microsoft.com/office/drawing/2014/main" id="{9B3C5097-7434-4C66-95F2-05AE93E0B461}"/>
              </a:ext>
            </a:extLst>
          </xdr:cNvPr>
          <xdr:cNvCxnSpPr/>
        </xdr:nvCxnSpPr>
        <xdr:spPr>
          <a:xfrm>
            <a:off x="738188" y="69627757"/>
            <a:ext cx="29527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4" name="Straight Arrow Connector 2203">
            <a:extLst>
              <a:ext uri="{FF2B5EF4-FFF2-40B4-BE49-F238E27FC236}">
                <a16:creationId xmlns:a16="http://schemas.microsoft.com/office/drawing/2014/main" id="{D9AA6E36-19F9-4F49-B844-C937A8BC961B}"/>
              </a:ext>
            </a:extLst>
          </xdr:cNvPr>
          <xdr:cNvCxnSpPr/>
        </xdr:nvCxnSpPr>
        <xdr:spPr>
          <a:xfrm>
            <a:off x="738188" y="69770632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5" name="Straight Arrow Connector 2204">
            <a:extLst>
              <a:ext uri="{FF2B5EF4-FFF2-40B4-BE49-F238E27FC236}">
                <a16:creationId xmlns:a16="http://schemas.microsoft.com/office/drawing/2014/main" id="{A2EA7833-7AB2-4B1B-8A8C-9991022E05AD}"/>
              </a:ext>
            </a:extLst>
          </xdr:cNvPr>
          <xdr:cNvCxnSpPr/>
        </xdr:nvCxnSpPr>
        <xdr:spPr>
          <a:xfrm>
            <a:off x="738188" y="69913500"/>
            <a:ext cx="2952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6" name="Straight Arrow Connector 2205">
            <a:extLst>
              <a:ext uri="{FF2B5EF4-FFF2-40B4-BE49-F238E27FC236}">
                <a16:creationId xmlns:a16="http://schemas.microsoft.com/office/drawing/2014/main" id="{BCC34631-5CED-49E7-BCC7-DD169A5988BC}"/>
              </a:ext>
            </a:extLst>
          </xdr:cNvPr>
          <xdr:cNvCxnSpPr/>
        </xdr:nvCxnSpPr>
        <xdr:spPr>
          <a:xfrm>
            <a:off x="733425" y="70056375"/>
            <a:ext cx="300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7" name="Straight Arrow Connector 2206">
            <a:extLst>
              <a:ext uri="{FF2B5EF4-FFF2-40B4-BE49-F238E27FC236}">
                <a16:creationId xmlns:a16="http://schemas.microsoft.com/office/drawing/2014/main" id="{CD4363CE-A12A-4298-8E2A-39879680F892}"/>
              </a:ext>
            </a:extLst>
          </xdr:cNvPr>
          <xdr:cNvCxnSpPr/>
        </xdr:nvCxnSpPr>
        <xdr:spPr>
          <a:xfrm>
            <a:off x="742950" y="70199250"/>
            <a:ext cx="28575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8" name="Straight Arrow Connector 2207">
            <a:extLst>
              <a:ext uri="{FF2B5EF4-FFF2-40B4-BE49-F238E27FC236}">
                <a16:creationId xmlns:a16="http://schemas.microsoft.com/office/drawing/2014/main" id="{7603D423-7583-4B00-A4A0-4C521B40B358}"/>
              </a:ext>
            </a:extLst>
          </xdr:cNvPr>
          <xdr:cNvCxnSpPr/>
        </xdr:nvCxnSpPr>
        <xdr:spPr>
          <a:xfrm>
            <a:off x="738188" y="70342125"/>
            <a:ext cx="29051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9" name="Straight Arrow Connector 2208">
            <a:extLst>
              <a:ext uri="{FF2B5EF4-FFF2-40B4-BE49-F238E27FC236}">
                <a16:creationId xmlns:a16="http://schemas.microsoft.com/office/drawing/2014/main" id="{1406E1A9-9157-4F1C-8AF3-E768D6151AEA}"/>
              </a:ext>
            </a:extLst>
          </xdr:cNvPr>
          <xdr:cNvCxnSpPr/>
        </xdr:nvCxnSpPr>
        <xdr:spPr>
          <a:xfrm>
            <a:off x="738188" y="7048500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0" name="Straight Arrow Connector 2209">
            <a:extLst>
              <a:ext uri="{FF2B5EF4-FFF2-40B4-BE49-F238E27FC236}">
                <a16:creationId xmlns:a16="http://schemas.microsoft.com/office/drawing/2014/main" id="{0E13ECCF-8FD9-4D2A-9182-E060848316FF}"/>
              </a:ext>
            </a:extLst>
          </xdr:cNvPr>
          <xdr:cNvCxnSpPr/>
        </xdr:nvCxnSpPr>
        <xdr:spPr>
          <a:xfrm>
            <a:off x="742950" y="70627882"/>
            <a:ext cx="2905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" name="Straight Arrow Connector 2210">
            <a:extLst>
              <a:ext uri="{FF2B5EF4-FFF2-40B4-BE49-F238E27FC236}">
                <a16:creationId xmlns:a16="http://schemas.microsoft.com/office/drawing/2014/main" id="{3CB1B93B-03CE-43E0-9004-0D62E6869292}"/>
              </a:ext>
            </a:extLst>
          </xdr:cNvPr>
          <xdr:cNvCxnSpPr/>
        </xdr:nvCxnSpPr>
        <xdr:spPr>
          <a:xfrm>
            <a:off x="738188" y="70770757"/>
            <a:ext cx="29051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2" name="Straight Arrow Connector 2211">
            <a:extLst>
              <a:ext uri="{FF2B5EF4-FFF2-40B4-BE49-F238E27FC236}">
                <a16:creationId xmlns:a16="http://schemas.microsoft.com/office/drawing/2014/main" id="{20522333-AB66-4AEA-BCBB-D02EB0DC7BEF}"/>
              </a:ext>
            </a:extLst>
          </xdr:cNvPr>
          <xdr:cNvCxnSpPr/>
        </xdr:nvCxnSpPr>
        <xdr:spPr>
          <a:xfrm>
            <a:off x="742950" y="70913632"/>
            <a:ext cx="2857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3" name="Straight Connector 2212">
            <a:extLst>
              <a:ext uri="{FF2B5EF4-FFF2-40B4-BE49-F238E27FC236}">
                <a16:creationId xmlns:a16="http://schemas.microsoft.com/office/drawing/2014/main" id="{B8F004F5-719E-4F18-AF01-889B5F41BE06}"/>
              </a:ext>
            </a:extLst>
          </xdr:cNvPr>
          <xdr:cNvCxnSpPr/>
        </xdr:nvCxnSpPr>
        <xdr:spPr>
          <a:xfrm>
            <a:off x="833437" y="67627502"/>
            <a:ext cx="0" cy="1290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4" name="Straight Arrow Connector 2213">
            <a:extLst>
              <a:ext uri="{FF2B5EF4-FFF2-40B4-BE49-F238E27FC236}">
                <a16:creationId xmlns:a16="http://schemas.microsoft.com/office/drawing/2014/main" id="{448A2F41-F0B6-49BD-8984-35D3E842C5C4}"/>
              </a:ext>
            </a:extLst>
          </xdr:cNvPr>
          <xdr:cNvCxnSpPr/>
        </xdr:nvCxnSpPr>
        <xdr:spPr>
          <a:xfrm>
            <a:off x="733425" y="71056508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5" name="Straight Connector 2214">
            <a:extLst>
              <a:ext uri="{FF2B5EF4-FFF2-40B4-BE49-F238E27FC236}">
                <a16:creationId xmlns:a16="http://schemas.microsoft.com/office/drawing/2014/main" id="{245D84F1-CE81-4270-B39F-CACC9EC241A9}"/>
              </a:ext>
            </a:extLst>
          </xdr:cNvPr>
          <xdr:cNvCxnSpPr/>
        </xdr:nvCxnSpPr>
        <xdr:spPr>
          <a:xfrm flipH="1">
            <a:off x="1581149" y="688752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6" name="Straight Connector 2215">
            <a:extLst>
              <a:ext uri="{FF2B5EF4-FFF2-40B4-BE49-F238E27FC236}">
                <a16:creationId xmlns:a16="http://schemas.microsoft.com/office/drawing/2014/main" id="{B42D0B53-608A-48CD-892F-D7B9E303F32C}"/>
              </a:ext>
            </a:extLst>
          </xdr:cNvPr>
          <xdr:cNvCxnSpPr/>
        </xdr:nvCxnSpPr>
        <xdr:spPr>
          <a:xfrm flipH="1" flipV="1">
            <a:off x="2590800" y="67992523"/>
            <a:ext cx="1133475" cy="16257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5" name="Straight Connector 2224">
            <a:extLst>
              <a:ext uri="{FF2B5EF4-FFF2-40B4-BE49-F238E27FC236}">
                <a16:creationId xmlns:a16="http://schemas.microsoft.com/office/drawing/2014/main" id="{C8DE118F-B850-468B-8F2C-6A4A950A13E3}"/>
              </a:ext>
            </a:extLst>
          </xdr:cNvPr>
          <xdr:cNvCxnSpPr/>
        </xdr:nvCxnSpPr>
        <xdr:spPr>
          <a:xfrm flipH="1" flipV="1">
            <a:off x="2571750" y="67959181"/>
            <a:ext cx="44345" cy="63602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7" name="Straight Arrow Connector 2226">
            <a:extLst>
              <a:ext uri="{FF2B5EF4-FFF2-40B4-BE49-F238E27FC236}">
                <a16:creationId xmlns:a16="http://schemas.microsoft.com/office/drawing/2014/main" id="{5C1F2728-639D-4C8F-A7B3-4EEE2ED1EED9}"/>
              </a:ext>
            </a:extLst>
          </xdr:cNvPr>
          <xdr:cNvCxnSpPr/>
        </xdr:nvCxnSpPr>
        <xdr:spPr>
          <a:xfrm flipV="1">
            <a:off x="3724275" y="67698938"/>
            <a:ext cx="495300" cy="19240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8" name="Arc 2227">
            <a:extLst>
              <a:ext uri="{FF2B5EF4-FFF2-40B4-BE49-F238E27FC236}">
                <a16:creationId xmlns:a16="http://schemas.microsoft.com/office/drawing/2014/main" id="{C43B0EC2-71F1-4F04-869F-C8548B5D1EF5}"/>
              </a:ext>
            </a:extLst>
          </xdr:cNvPr>
          <xdr:cNvSpPr/>
        </xdr:nvSpPr>
        <xdr:spPr>
          <a:xfrm rot="15003847">
            <a:off x="3548063" y="69470588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30" name="Straight Connector 2229">
            <a:extLst>
              <a:ext uri="{FF2B5EF4-FFF2-40B4-BE49-F238E27FC236}">
                <a16:creationId xmlns:a16="http://schemas.microsoft.com/office/drawing/2014/main" id="{FE58CDD6-09CA-49EE-AAB4-A0DD52A65F3E}"/>
              </a:ext>
            </a:extLst>
          </xdr:cNvPr>
          <xdr:cNvCxnSpPr/>
        </xdr:nvCxnSpPr>
        <xdr:spPr>
          <a:xfrm>
            <a:off x="1790701" y="72056624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1" name="Straight Connector 2230">
            <a:extLst>
              <a:ext uri="{FF2B5EF4-FFF2-40B4-BE49-F238E27FC236}">
                <a16:creationId xmlns:a16="http://schemas.microsoft.com/office/drawing/2014/main" id="{8C90BBBA-4FE4-470A-8208-A8460D38EB9C}"/>
              </a:ext>
            </a:extLst>
          </xdr:cNvPr>
          <xdr:cNvCxnSpPr/>
        </xdr:nvCxnSpPr>
        <xdr:spPr>
          <a:xfrm flipH="1">
            <a:off x="1824038" y="72028051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2" name="Straight Connector 2231">
            <a:extLst>
              <a:ext uri="{FF2B5EF4-FFF2-40B4-BE49-F238E27FC236}">
                <a16:creationId xmlns:a16="http://schemas.microsoft.com/office/drawing/2014/main" id="{BF61D59B-D93C-4622-8F07-25CD2EC6F8F0}"/>
              </a:ext>
            </a:extLst>
          </xdr:cNvPr>
          <xdr:cNvCxnSpPr/>
        </xdr:nvCxnSpPr>
        <xdr:spPr>
          <a:xfrm>
            <a:off x="1785938" y="72342372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3" name="Straight Connector 2232">
            <a:extLst>
              <a:ext uri="{FF2B5EF4-FFF2-40B4-BE49-F238E27FC236}">
                <a16:creationId xmlns:a16="http://schemas.microsoft.com/office/drawing/2014/main" id="{56CD1A7C-02D1-42E4-B508-4FFFD165ECC2}"/>
              </a:ext>
            </a:extLst>
          </xdr:cNvPr>
          <xdr:cNvCxnSpPr/>
        </xdr:nvCxnSpPr>
        <xdr:spPr>
          <a:xfrm flipH="1">
            <a:off x="1819275" y="72313799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4" name="Straight Connector 2233">
            <a:extLst>
              <a:ext uri="{FF2B5EF4-FFF2-40B4-BE49-F238E27FC236}">
                <a16:creationId xmlns:a16="http://schemas.microsoft.com/office/drawing/2014/main" id="{2B37891A-99D2-48D8-935E-69C96CF4BE53}"/>
              </a:ext>
            </a:extLst>
          </xdr:cNvPr>
          <xdr:cNvCxnSpPr/>
        </xdr:nvCxnSpPr>
        <xdr:spPr>
          <a:xfrm>
            <a:off x="5576887" y="71804219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5" name="Straight Connector 2234">
            <a:extLst>
              <a:ext uri="{FF2B5EF4-FFF2-40B4-BE49-F238E27FC236}">
                <a16:creationId xmlns:a16="http://schemas.microsoft.com/office/drawing/2014/main" id="{A135BC24-18E4-42D7-BC65-622B5FA02A4A}"/>
              </a:ext>
            </a:extLst>
          </xdr:cNvPr>
          <xdr:cNvCxnSpPr/>
        </xdr:nvCxnSpPr>
        <xdr:spPr>
          <a:xfrm flipH="1">
            <a:off x="5543550" y="72023295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6" name="Straight Connector 2235">
            <a:extLst>
              <a:ext uri="{FF2B5EF4-FFF2-40B4-BE49-F238E27FC236}">
                <a16:creationId xmlns:a16="http://schemas.microsoft.com/office/drawing/2014/main" id="{E56FFFF5-EAD5-42C6-9417-10D99AAC3A60}"/>
              </a:ext>
            </a:extLst>
          </xdr:cNvPr>
          <xdr:cNvCxnSpPr/>
        </xdr:nvCxnSpPr>
        <xdr:spPr>
          <a:xfrm flipH="1">
            <a:off x="5543550" y="72309043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7" name="Straight Connector 2236">
            <a:extLst>
              <a:ext uri="{FF2B5EF4-FFF2-40B4-BE49-F238E27FC236}">
                <a16:creationId xmlns:a16="http://schemas.microsoft.com/office/drawing/2014/main" id="{B0A733A2-95AF-4041-8D49-3E6A4B8C4C0E}"/>
              </a:ext>
            </a:extLst>
          </xdr:cNvPr>
          <xdr:cNvCxnSpPr/>
        </xdr:nvCxnSpPr>
        <xdr:spPr>
          <a:xfrm>
            <a:off x="2590805" y="68079937"/>
            <a:ext cx="0" cy="403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8" name="Straight Connector 2237">
            <a:extLst>
              <a:ext uri="{FF2B5EF4-FFF2-40B4-BE49-F238E27FC236}">
                <a16:creationId xmlns:a16="http://schemas.microsoft.com/office/drawing/2014/main" id="{9CAC6465-D86B-43AC-9F8E-EDC240BD82A6}"/>
              </a:ext>
            </a:extLst>
          </xdr:cNvPr>
          <xdr:cNvCxnSpPr/>
        </xdr:nvCxnSpPr>
        <xdr:spPr>
          <a:xfrm flipH="1">
            <a:off x="2552705" y="7202804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1" name="Straight Connector 2240">
            <a:extLst>
              <a:ext uri="{FF2B5EF4-FFF2-40B4-BE49-F238E27FC236}">
                <a16:creationId xmlns:a16="http://schemas.microsoft.com/office/drawing/2014/main" id="{A27F731C-ABA2-4D0D-94D5-3DEA53BC3A9E}"/>
              </a:ext>
            </a:extLst>
          </xdr:cNvPr>
          <xdr:cNvCxnSpPr/>
        </xdr:nvCxnSpPr>
        <xdr:spPr>
          <a:xfrm>
            <a:off x="3724275" y="69756338"/>
            <a:ext cx="0" cy="2357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2" name="Straight Connector 2241">
            <a:extLst>
              <a:ext uri="{FF2B5EF4-FFF2-40B4-BE49-F238E27FC236}">
                <a16:creationId xmlns:a16="http://schemas.microsoft.com/office/drawing/2014/main" id="{2389D1D3-29F6-4518-977E-4AE942D9A65C}"/>
              </a:ext>
            </a:extLst>
          </xdr:cNvPr>
          <xdr:cNvCxnSpPr/>
        </xdr:nvCxnSpPr>
        <xdr:spPr>
          <a:xfrm flipH="1">
            <a:off x="3686175" y="7202328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3" name="Straight Connector 2242">
            <a:extLst>
              <a:ext uri="{FF2B5EF4-FFF2-40B4-BE49-F238E27FC236}">
                <a16:creationId xmlns:a16="http://schemas.microsoft.com/office/drawing/2014/main" id="{4948E8F1-3637-4504-A108-014F4CCA5952}"/>
              </a:ext>
            </a:extLst>
          </xdr:cNvPr>
          <xdr:cNvCxnSpPr/>
        </xdr:nvCxnSpPr>
        <xdr:spPr>
          <a:xfrm>
            <a:off x="738187" y="68913376"/>
            <a:ext cx="0" cy="21431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1" name="Straight Arrow Connector 2260">
            <a:extLst>
              <a:ext uri="{FF2B5EF4-FFF2-40B4-BE49-F238E27FC236}">
                <a16:creationId xmlns:a16="http://schemas.microsoft.com/office/drawing/2014/main" id="{524B14EF-9BE2-4764-B642-28817BC5EBD0}"/>
              </a:ext>
            </a:extLst>
          </xdr:cNvPr>
          <xdr:cNvCxnSpPr/>
        </xdr:nvCxnSpPr>
        <xdr:spPr>
          <a:xfrm flipV="1">
            <a:off x="1876425" y="68218050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2" name="Straight Arrow Connector 2261">
            <a:extLst>
              <a:ext uri="{FF2B5EF4-FFF2-40B4-BE49-F238E27FC236}">
                <a16:creationId xmlns:a16="http://schemas.microsoft.com/office/drawing/2014/main" id="{1D53DFC4-E7B4-4BDF-8800-F0757B7B4D30}"/>
              </a:ext>
            </a:extLst>
          </xdr:cNvPr>
          <xdr:cNvCxnSpPr/>
        </xdr:nvCxnSpPr>
        <xdr:spPr>
          <a:xfrm>
            <a:off x="1876425" y="68913375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104775</xdr:colOff>
      <xdr:row>43</xdr:row>
      <xdr:rowOff>66675</xdr:rowOff>
    </xdr:from>
    <xdr:to>
      <xdr:col>46</xdr:col>
      <xdr:colOff>66675</xdr:colOff>
      <xdr:row>43</xdr:row>
      <xdr:rowOff>66675</xdr:rowOff>
    </xdr:to>
    <xdr:cxnSp macro="">
      <xdr:nvCxnSpPr>
        <xdr:cNvPr id="2181" name="Straight Arrow Connector 2180">
          <a:extLst>
            <a:ext uri="{FF2B5EF4-FFF2-40B4-BE49-F238E27FC236}">
              <a16:creationId xmlns:a16="http://schemas.microsoft.com/office/drawing/2014/main" id="{F1172CA6-B6CA-44F0-92D8-05A57EBF1BD7}"/>
            </a:ext>
          </a:extLst>
        </xdr:cNvPr>
        <xdr:cNvCxnSpPr/>
      </xdr:nvCxnSpPr>
      <xdr:spPr>
        <a:xfrm>
          <a:off x="7229475" y="145446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44</xdr:row>
      <xdr:rowOff>66675</xdr:rowOff>
    </xdr:from>
    <xdr:to>
      <xdr:col>22</xdr:col>
      <xdr:colOff>38100</xdr:colOff>
      <xdr:row>44</xdr:row>
      <xdr:rowOff>66675</xdr:rowOff>
    </xdr:to>
    <xdr:cxnSp macro="">
      <xdr:nvCxnSpPr>
        <xdr:cNvPr id="2217" name="Straight Arrow Connector 2216">
          <a:extLst>
            <a:ext uri="{FF2B5EF4-FFF2-40B4-BE49-F238E27FC236}">
              <a16:creationId xmlns:a16="http://schemas.microsoft.com/office/drawing/2014/main" id="{18B54767-6661-48CD-991B-0FF3C77302AA}"/>
            </a:ext>
          </a:extLst>
        </xdr:cNvPr>
        <xdr:cNvCxnSpPr/>
      </xdr:nvCxnSpPr>
      <xdr:spPr>
        <a:xfrm>
          <a:off x="3314700" y="14687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104775</xdr:colOff>
      <xdr:row>46</xdr:row>
      <xdr:rowOff>66675</xdr:rowOff>
    </xdr:from>
    <xdr:to>
      <xdr:col>49</xdr:col>
      <xdr:colOff>66675</xdr:colOff>
      <xdr:row>46</xdr:row>
      <xdr:rowOff>66675</xdr:rowOff>
    </xdr:to>
    <xdr:cxnSp macro="">
      <xdr:nvCxnSpPr>
        <xdr:cNvPr id="2218" name="Straight Arrow Connector 2217">
          <a:extLst>
            <a:ext uri="{FF2B5EF4-FFF2-40B4-BE49-F238E27FC236}">
              <a16:creationId xmlns:a16="http://schemas.microsoft.com/office/drawing/2014/main" id="{FA8A2195-EB9C-4409-B1EF-FA78C8DB4097}"/>
            </a:ext>
          </a:extLst>
        </xdr:cNvPr>
        <xdr:cNvCxnSpPr/>
      </xdr:nvCxnSpPr>
      <xdr:spPr>
        <a:xfrm>
          <a:off x="6743700" y="14830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80961</xdr:colOff>
      <xdr:row>7</xdr:row>
      <xdr:rowOff>38100</xdr:rowOff>
    </xdr:from>
    <xdr:to>
      <xdr:col>72</xdr:col>
      <xdr:colOff>38100</xdr:colOff>
      <xdr:row>35</xdr:row>
      <xdr:rowOff>114300</xdr:rowOff>
    </xdr:to>
    <xdr:grpSp>
      <xdr:nvGrpSpPr>
        <xdr:cNvPr id="2220" name="Group 2219">
          <a:extLst>
            <a:ext uri="{FF2B5EF4-FFF2-40B4-BE49-F238E27FC236}">
              <a16:creationId xmlns:a16="http://schemas.microsoft.com/office/drawing/2014/main" id="{B6123D3D-85E2-4358-8940-079BD49B90D2}"/>
            </a:ext>
          </a:extLst>
        </xdr:cNvPr>
        <xdr:cNvGrpSpPr/>
      </xdr:nvGrpSpPr>
      <xdr:grpSpPr>
        <a:xfrm>
          <a:off x="7691436" y="1514475"/>
          <a:ext cx="4005264" cy="4076700"/>
          <a:chOff x="7691436" y="1514475"/>
          <a:chExt cx="4005264" cy="4076700"/>
        </a:xfrm>
      </xdr:grpSpPr>
      <xdr:cxnSp macro="">
        <xdr:nvCxnSpPr>
          <xdr:cNvPr id="2221" name="Straight Connector 2220">
            <a:extLst>
              <a:ext uri="{FF2B5EF4-FFF2-40B4-BE49-F238E27FC236}">
                <a16:creationId xmlns:a16="http://schemas.microsoft.com/office/drawing/2014/main" id="{14A26EC1-033F-15BC-D727-9462BEC4C0E8}"/>
              </a:ext>
            </a:extLst>
          </xdr:cNvPr>
          <xdr:cNvCxnSpPr/>
        </xdr:nvCxnSpPr>
        <xdr:spPr>
          <a:xfrm>
            <a:off x="7867650" y="290512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59B2D1D2-00EF-FA62-6744-267177FF3892}"/>
              </a:ext>
            </a:extLst>
          </xdr:cNvPr>
          <xdr:cNvSpPr/>
        </xdr:nvSpPr>
        <xdr:spPr>
          <a:xfrm>
            <a:off x="7700962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23" name="Isosceles Triangle 2222">
            <a:extLst>
              <a:ext uri="{FF2B5EF4-FFF2-40B4-BE49-F238E27FC236}">
                <a16:creationId xmlns:a16="http://schemas.microsoft.com/office/drawing/2014/main" id="{BBFAFF06-8EB9-06BE-E03A-88BBA68896CE}"/>
              </a:ext>
            </a:extLst>
          </xdr:cNvPr>
          <xdr:cNvSpPr/>
        </xdr:nvSpPr>
        <xdr:spPr>
          <a:xfrm>
            <a:off x="7785544" y="5057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24" name="Straight Connector 2223">
            <a:extLst>
              <a:ext uri="{FF2B5EF4-FFF2-40B4-BE49-F238E27FC236}">
                <a16:creationId xmlns:a16="http://schemas.microsoft.com/office/drawing/2014/main" id="{5AB69104-EA87-F23A-BD02-EF15BA9BF68E}"/>
              </a:ext>
            </a:extLst>
          </xdr:cNvPr>
          <xdr:cNvCxnSpPr/>
        </xdr:nvCxnSpPr>
        <xdr:spPr>
          <a:xfrm>
            <a:off x="7691436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6" name="Oval 2225">
            <a:extLst>
              <a:ext uri="{FF2B5EF4-FFF2-40B4-BE49-F238E27FC236}">
                <a16:creationId xmlns:a16="http://schemas.microsoft.com/office/drawing/2014/main" id="{E762B74C-A468-6680-4E76-0061E22498C8}"/>
              </a:ext>
            </a:extLst>
          </xdr:cNvPr>
          <xdr:cNvSpPr/>
        </xdr:nvSpPr>
        <xdr:spPr>
          <a:xfrm>
            <a:off x="7820023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29" name="Arc 2228">
            <a:extLst>
              <a:ext uri="{FF2B5EF4-FFF2-40B4-BE49-F238E27FC236}">
                <a16:creationId xmlns:a16="http://schemas.microsoft.com/office/drawing/2014/main" id="{8DC1B6FD-6BD7-AF75-ADC5-747AC86BA022}"/>
              </a:ext>
            </a:extLst>
          </xdr:cNvPr>
          <xdr:cNvSpPr/>
        </xdr:nvSpPr>
        <xdr:spPr>
          <a:xfrm>
            <a:off x="7734300" y="1628775"/>
            <a:ext cx="3962400" cy="3962400"/>
          </a:xfrm>
          <a:prstGeom prst="arc">
            <a:avLst>
              <a:gd name="adj1" fmla="val 12054284"/>
              <a:gd name="adj2" fmla="val 14134836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39" name="Arc 2238">
            <a:extLst>
              <a:ext uri="{FF2B5EF4-FFF2-40B4-BE49-F238E27FC236}">
                <a16:creationId xmlns:a16="http://schemas.microsoft.com/office/drawing/2014/main" id="{DAE81F49-E670-B227-A658-83F51004F57B}"/>
              </a:ext>
            </a:extLst>
          </xdr:cNvPr>
          <xdr:cNvSpPr/>
        </xdr:nvSpPr>
        <xdr:spPr>
          <a:xfrm rot="259742">
            <a:off x="8324852" y="1790699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40" name="Straight Arrow Connector 2239">
            <a:extLst>
              <a:ext uri="{FF2B5EF4-FFF2-40B4-BE49-F238E27FC236}">
                <a16:creationId xmlns:a16="http://schemas.microsoft.com/office/drawing/2014/main" id="{BECE403C-FC43-ED9F-64EA-10DFC69108FC}"/>
              </a:ext>
            </a:extLst>
          </xdr:cNvPr>
          <xdr:cNvCxnSpPr/>
        </xdr:nvCxnSpPr>
        <xdr:spPr>
          <a:xfrm>
            <a:off x="8515350" y="1828801"/>
            <a:ext cx="228600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3" name="Straight Arrow Connector 2262">
            <a:extLst>
              <a:ext uri="{FF2B5EF4-FFF2-40B4-BE49-F238E27FC236}">
                <a16:creationId xmlns:a16="http://schemas.microsoft.com/office/drawing/2014/main" id="{069A04C1-4CD3-F0B9-5B5E-6A6E598C4180}"/>
              </a:ext>
            </a:extLst>
          </xdr:cNvPr>
          <xdr:cNvCxnSpPr/>
        </xdr:nvCxnSpPr>
        <xdr:spPr>
          <a:xfrm flipV="1">
            <a:off x="8639175" y="1762125"/>
            <a:ext cx="285750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6" name="TextBox 2265">
            <a:extLst>
              <a:ext uri="{FF2B5EF4-FFF2-40B4-BE49-F238E27FC236}">
                <a16:creationId xmlns:a16="http://schemas.microsoft.com/office/drawing/2014/main" id="{731C02D7-9BB2-FFE6-70C2-6C3C430DECD3}"/>
              </a:ext>
            </a:extLst>
          </xdr:cNvPr>
          <xdr:cNvSpPr txBox="1"/>
        </xdr:nvSpPr>
        <xdr:spPr>
          <a:xfrm>
            <a:off x="8562975" y="20764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  <xdr:sp macro="" textlink="">
        <xdr:nvSpPr>
          <xdr:cNvPr id="2267" name="TextBox 2266">
            <a:extLst>
              <a:ext uri="{FF2B5EF4-FFF2-40B4-BE49-F238E27FC236}">
                <a16:creationId xmlns:a16="http://schemas.microsoft.com/office/drawing/2014/main" id="{18E6493A-4BAC-9A8F-CCB0-32329511F1F5}"/>
              </a:ext>
            </a:extLst>
          </xdr:cNvPr>
          <xdr:cNvSpPr txBox="1"/>
        </xdr:nvSpPr>
        <xdr:spPr>
          <a:xfrm>
            <a:off x="8677275" y="151447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2268" name="TextBox 2267">
            <a:extLst>
              <a:ext uri="{FF2B5EF4-FFF2-40B4-BE49-F238E27FC236}">
                <a16:creationId xmlns:a16="http://schemas.microsoft.com/office/drawing/2014/main" id="{7768182D-FC44-10CA-AFCB-129BD99CFA3D}"/>
              </a:ext>
            </a:extLst>
          </xdr:cNvPr>
          <xdr:cNvSpPr txBox="1"/>
        </xdr:nvSpPr>
        <xdr:spPr>
          <a:xfrm>
            <a:off x="8362950" y="15335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</xdr:grpSp>
    <xdr:clientData/>
  </xdr:twoCellAnchor>
  <xdr:twoCellAnchor>
    <xdr:from>
      <xdr:col>17</xdr:col>
      <xdr:colOff>76200</xdr:colOff>
      <xdr:row>45</xdr:row>
      <xdr:rowOff>66675</xdr:rowOff>
    </xdr:from>
    <xdr:to>
      <xdr:col>19</xdr:col>
      <xdr:colOff>38100</xdr:colOff>
      <xdr:row>45</xdr:row>
      <xdr:rowOff>66675</xdr:rowOff>
    </xdr:to>
    <xdr:cxnSp macro="">
      <xdr:nvCxnSpPr>
        <xdr:cNvPr id="2275" name="Straight Arrow Connector 2274">
          <a:extLst>
            <a:ext uri="{FF2B5EF4-FFF2-40B4-BE49-F238E27FC236}">
              <a16:creationId xmlns:a16="http://schemas.microsoft.com/office/drawing/2014/main" id="{9DBAD567-2732-4FA6-9FD7-2DC7653627A7}"/>
            </a:ext>
          </a:extLst>
        </xdr:cNvPr>
        <xdr:cNvCxnSpPr/>
      </xdr:nvCxnSpPr>
      <xdr:spPr>
        <a:xfrm>
          <a:off x="3314700" y="6829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104775</xdr:colOff>
      <xdr:row>659</xdr:row>
      <xdr:rowOff>66675</xdr:rowOff>
    </xdr:from>
    <xdr:to>
      <xdr:col>46</xdr:col>
      <xdr:colOff>66675</xdr:colOff>
      <xdr:row>659</xdr:row>
      <xdr:rowOff>66675</xdr:rowOff>
    </xdr:to>
    <xdr:cxnSp macro="">
      <xdr:nvCxnSpPr>
        <xdr:cNvPr id="2395" name="Straight Arrow Connector 2394">
          <a:extLst>
            <a:ext uri="{FF2B5EF4-FFF2-40B4-BE49-F238E27FC236}">
              <a16:creationId xmlns:a16="http://schemas.microsoft.com/office/drawing/2014/main" id="{FD1EF448-3115-4057-A896-51D4BDF526F3}"/>
            </a:ext>
          </a:extLst>
        </xdr:cNvPr>
        <xdr:cNvCxnSpPr/>
      </xdr:nvCxnSpPr>
      <xdr:spPr>
        <a:xfrm>
          <a:off x="7229475" y="92983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119061</xdr:colOff>
      <xdr:row>628</xdr:row>
      <xdr:rowOff>114300</xdr:rowOff>
    </xdr:from>
    <xdr:to>
      <xdr:col>61</xdr:col>
      <xdr:colOff>76200</xdr:colOff>
      <xdr:row>657</xdr:row>
      <xdr:rowOff>47625</xdr:rowOff>
    </xdr:to>
    <xdr:grpSp>
      <xdr:nvGrpSpPr>
        <xdr:cNvPr id="2399" name="Group 2398">
          <a:extLst>
            <a:ext uri="{FF2B5EF4-FFF2-40B4-BE49-F238E27FC236}">
              <a16:creationId xmlns:a16="http://schemas.microsoft.com/office/drawing/2014/main" id="{913D29E8-2723-4540-B0A4-8C5B55ABB414}"/>
            </a:ext>
          </a:extLst>
        </xdr:cNvPr>
        <xdr:cNvGrpSpPr/>
      </xdr:nvGrpSpPr>
      <xdr:grpSpPr>
        <a:xfrm>
          <a:off x="5948361" y="90316050"/>
          <a:ext cx="4005264" cy="4076700"/>
          <a:chOff x="7691436" y="1514475"/>
          <a:chExt cx="4005264" cy="4076700"/>
        </a:xfrm>
      </xdr:grpSpPr>
      <xdr:cxnSp macro="">
        <xdr:nvCxnSpPr>
          <xdr:cNvPr id="2400" name="Straight Connector 2399">
            <a:extLst>
              <a:ext uri="{FF2B5EF4-FFF2-40B4-BE49-F238E27FC236}">
                <a16:creationId xmlns:a16="http://schemas.microsoft.com/office/drawing/2014/main" id="{EBEFE7E5-BD63-BA0A-65CE-E2608D3A5164}"/>
              </a:ext>
            </a:extLst>
          </xdr:cNvPr>
          <xdr:cNvCxnSpPr/>
        </xdr:nvCxnSpPr>
        <xdr:spPr>
          <a:xfrm>
            <a:off x="7867650" y="290512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D96BF487-0EDC-D9F9-7337-3ECCE0519C9F}"/>
              </a:ext>
            </a:extLst>
          </xdr:cNvPr>
          <xdr:cNvSpPr/>
        </xdr:nvSpPr>
        <xdr:spPr>
          <a:xfrm>
            <a:off x="7700962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02" name="Isosceles Triangle 2401">
            <a:extLst>
              <a:ext uri="{FF2B5EF4-FFF2-40B4-BE49-F238E27FC236}">
                <a16:creationId xmlns:a16="http://schemas.microsoft.com/office/drawing/2014/main" id="{66B6C101-7136-A08F-F288-A84A411F2281}"/>
              </a:ext>
            </a:extLst>
          </xdr:cNvPr>
          <xdr:cNvSpPr/>
        </xdr:nvSpPr>
        <xdr:spPr>
          <a:xfrm>
            <a:off x="7785544" y="5057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03" name="Straight Connector 2402">
            <a:extLst>
              <a:ext uri="{FF2B5EF4-FFF2-40B4-BE49-F238E27FC236}">
                <a16:creationId xmlns:a16="http://schemas.microsoft.com/office/drawing/2014/main" id="{98DDFAA0-38B2-7DEE-26A5-7D253D9A1B53}"/>
              </a:ext>
            </a:extLst>
          </xdr:cNvPr>
          <xdr:cNvCxnSpPr/>
        </xdr:nvCxnSpPr>
        <xdr:spPr>
          <a:xfrm>
            <a:off x="7691436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4" name="Oval 2403">
            <a:extLst>
              <a:ext uri="{FF2B5EF4-FFF2-40B4-BE49-F238E27FC236}">
                <a16:creationId xmlns:a16="http://schemas.microsoft.com/office/drawing/2014/main" id="{DC9F0A7E-59B2-93DC-DD17-3E309153E141}"/>
              </a:ext>
            </a:extLst>
          </xdr:cNvPr>
          <xdr:cNvSpPr/>
        </xdr:nvSpPr>
        <xdr:spPr>
          <a:xfrm>
            <a:off x="7820023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05" name="Arc 2404">
            <a:extLst>
              <a:ext uri="{FF2B5EF4-FFF2-40B4-BE49-F238E27FC236}">
                <a16:creationId xmlns:a16="http://schemas.microsoft.com/office/drawing/2014/main" id="{BFBE10A8-A384-7BB7-73D4-E6D89ACAC5EB}"/>
              </a:ext>
            </a:extLst>
          </xdr:cNvPr>
          <xdr:cNvSpPr/>
        </xdr:nvSpPr>
        <xdr:spPr>
          <a:xfrm>
            <a:off x="7734300" y="1628775"/>
            <a:ext cx="3962400" cy="3962400"/>
          </a:xfrm>
          <a:prstGeom prst="arc">
            <a:avLst>
              <a:gd name="adj1" fmla="val 12054284"/>
              <a:gd name="adj2" fmla="val 14134836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06" name="Arc 2405">
            <a:extLst>
              <a:ext uri="{FF2B5EF4-FFF2-40B4-BE49-F238E27FC236}">
                <a16:creationId xmlns:a16="http://schemas.microsoft.com/office/drawing/2014/main" id="{47DDCA91-A79A-41CC-1B5B-524EC734EFC6}"/>
              </a:ext>
            </a:extLst>
          </xdr:cNvPr>
          <xdr:cNvSpPr/>
        </xdr:nvSpPr>
        <xdr:spPr>
          <a:xfrm rot="259742">
            <a:off x="8324852" y="1790699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07" name="Straight Arrow Connector 2406">
            <a:extLst>
              <a:ext uri="{FF2B5EF4-FFF2-40B4-BE49-F238E27FC236}">
                <a16:creationId xmlns:a16="http://schemas.microsoft.com/office/drawing/2014/main" id="{17D2EAD0-9783-7712-5767-C6C0A9BC483D}"/>
              </a:ext>
            </a:extLst>
          </xdr:cNvPr>
          <xdr:cNvCxnSpPr/>
        </xdr:nvCxnSpPr>
        <xdr:spPr>
          <a:xfrm>
            <a:off x="8515350" y="1828801"/>
            <a:ext cx="228600" cy="2857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8" name="Straight Arrow Connector 2407">
            <a:extLst>
              <a:ext uri="{FF2B5EF4-FFF2-40B4-BE49-F238E27FC236}">
                <a16:creationId xmlns:a16="http://schemas.microsoft.com/office/drawing/2014/main" id="{FEE550EC-DDEE-1A79-DA03-FE8BFE57620A}"/>
              </a:ext>
            </a:extLst>
          </xdr:cNvPr>
          <xdr:cNvCxnSpPr/>
        </xdr:nvCxnSpPr>
        <xdr:spPr>
          <a:xfrm flipV="1">
            <a:off x="8639175" y="1762125"/>
            <a:ext cx="285750" cy="17145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9" name="TextBox 2408">
            <a:extLst>
              <a:ext uri="{FF2B5EF4-FFF2-40B4-BE49-F238E27FC236}">
                <a16:creationId xmlns:a16="http://schemas.microsoft.com/office/drawing/2014/main" id="{95179347-FFEA-EB8F-DEDE-0EFB9703D3C3}"/>
              </a:ext>
            </a:extLst>
          </xdr:cNvPr>
          <xdr:cNvSpPr txBox="1"/>
        </xdr:nvSpPr>
        <xdr:spPr>
          <a:xfrm>
            <a:off x="8562975" y="207645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  <xdr:sp macro="" textlink="">
        <xdr:nvSpPr>
          <xdr:cNvPr id="2410" name="TextBox 2409">
            <a:extLst>
              <a:ext uri="{FF2B5EF4-FFF2-40B4-BE49-F238E27FC236}">
                <a16:creationId xmlns:a16="http://schemas.microsoft.com/office/drawing/2014/main" id="{4FFE9897-0649-82C8-323F-68F328E83C23}"/>
              </a:ext>
            </a:extLst>
          </xdr:cNvPr>
          <xdr:cNvSpPr txBox="1"/>
        </xdr:nvSpPr>
        <xdr:spPr>
          <a:xfrm>
            <a:off x="8677275" y="151447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2411" name="TextBox 2410">
            <a:extLst>
              <a:ext uri="{FF2B5EF4-FFF2-40B4-BE49-F238E27FC236}">
                <a16:creationId xmlns:a16="http://schemas.microsoft.com/office/drawing/2014/main" id="{26AE5880-C8DA-81A0-D728-A430E2727C90}"/>
              </a:ext>
            </a:extLst>
          </xdr:cNvPr>
          <xdr:cNvSpPr txBox="1"/>
        </xdr:nvSpPr>
        <xdr:spPr>
          <a:xfrm>
            <a:off x="8362950" y="1533525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</xdr:grpSp>
    <xdr:clientData/>
  </xdr:twoCellAnchor>
  <xdr:twoCellAnchor>
    <xdr:from>
      <xdr:col>47</xdr:col>
      <xdr:colOff>104775</xdr:colOff>
      <xdr:row>662</xdr:row>
      <xdr:rowOff>66675</xdr:rowOff>
    </xdr:from>
    <xdr:to>
      <xdr:col>49</xdr:col>
      <xdr:colOff>66675</xdr:colOff>
      <xdr:row>662</xdr:row>
      <xdr:rowOff>66675</xdr:rowOff>
    </xdr:to>
    <xdr:cxnSp macro="">
      <xdr:nvCxnSpPr>
        <xdr:cNvPr id="2520" name="Straight Arrow Connector 2519">
          <a:extLst>
            <a:ext uri="{FF2B5EF4-FFF2-40B4-BE49-F238E27FC236}">
              <a16:creationId xmlns:a16="http://schemas.microsoft.com/office/drawing/2014/main" id="{DA6E7A52-2261-4711-B2C9-50307A3E485E}"/>
            </a:ext>
          </a:extLst>
        </xdr:cNvPr>
        <xdr:cNvCxnSpPr/>
      </xdr:nvCxnSpPr>
      <xdr:spPr>
        <a:xfrm>
          <a:off x="7715250" y="7115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114300</xdr:colOff>
      <xdr:row>423</xdr:row>
      <xdr:rowOff>133350</xdr:rowOff>
    </xdr:from>
    <xdr:to>
      <xdr:col>70</xdr:col>
      <xdr:colOff>85725</xdr:colOff>
      <xdr:row>467</xdr:row>
      <xdr:rowOff>28575</xdr:rowOff>
    </xdr:to>
    <xdr:grpSp>
      <xdr:nvGrpSpPr>
        <xdr:cNvPr id="2219" name="Group 2218">
          <a:extLst>
            <a:ext uri="{FF2B5EF4-FFF2-40B4-BE49-F238E27FC236}">
              <a16:creationId xmlns:a16="http://schemas.microsoft.com/office/drawing/2014/main" id="{5B4CE527-E610-497C-873F-C3DCF0AE3954}"/>
            </a:ext>
          </a:extLst>
        </xdr:cNvPr>
        <xdr:cNvGrpSpPr/>
      </xdr:nvGrpSpPr>
      <xdr:grpSpPr>
        <a:xfrm>
          <a:off x="7239000" y="61045725"/>
          <a:ext cx="4181475" cy="6181725"/>
          <a:chOff x="8296275" y="19850100"/>
          <a:chExt cx="4181475" cy="6181725"/>
        </a:xfrm>
      </xdr:grpSpPr>
      <xdr:sp macro="" textlink="">
        <xdr:nvSpPr>
          <xdr:cNvPr id="2271" name="Arc 2270">
            <a:extLst>
              <a:ext uri="{FF2B5EF4-FFF2-40B4-BE49-F238E27FC236}">
                <a16:creationId xmlns:a16="http://schemas.microsoft.com/office/drawing/2014/main" id="{E1A5D569-7DF6-4F62-B5CC-C4F1EDF11978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0731B710-88FF-922C-BB20-99B24CC5F105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76" name="Isosceles Triangle 2275">
            <a:extLst>
              <a:ext uri="{FF2B5EF4-FFF2-40B4-BE49-F238E27FC236}">
                <a16:creationId xmlns:a16="http://schemas.microsoft.com/office/drawing/2014/main" id="{76B638F8-6FB7-CDF7-DAC5-504EC25EE993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77" name="Straight Connector 2276">
            <a:extLst>
              <a:ext uri="{FF2B5EF4-FFF2-40B4-BE49-F238E27FC236}">
                <a16:creationId xmlns:a16="http://schemas.microsoft.com/office/drawing/2014/main" id="{6FC13EC8-0C11-ACDB-ABD5-DE77A445A6AA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8" name="Oval 2277">
            <a:extLst>
              <a:ext uri="{FF2B5EF4-FFF2-40B4-BE49-F238E27FC236}">
                <a16:creationId xmlns:a16="http://schemas.microsoft.com/office/drawing/2014/main" id="{B46EE913-A383-E0AD-E9C9-9CB3078BEA33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79" name="Straight Arrow Connector 2278">
            <a:extLst>
              <a:ext uri="{FF2B5EF4-FFF2-40B4-BE49-F238E27FC236}">
                <a16:creationId xmlns:a16="http://schemas.microsoft.com/office/drawing/2014/main" id="{08579400-6223-1D32-67BD-B7E1520E18E0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0" name="Straight Arrow Connector 2279">
            <a:extLst>
              <a:ext uri="{FF2B5EF4-FFF2-40B4-BE49-F238E27FC236}">
                <a16:creationId xmlns:a16="http://schemas.microsoft.com/office/drawing/2014/main" id="{653186FF-7630-5349-F414-3918FA4C0F3C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81" name="Arc 2280">
            <a:extLst>
              <a:ext uri="{FF2B5EF4-FFF2-40B4-BE49-F238E27FC236}">
                <a16:creationId xmlns:a16="http://schemas.microsoft.com/office/drawing/2014/main" id="{1D903EA3-F090-F916-E084-4FD6DA8149DD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2" name="TextBox 2281">
            <a:extLst>
              <a:ext uri="{FF2B5EF4-FFF2-40B4-BE49-F238E27FC236}">
                <a16:creationId xmlns:a16="http://schemas.microsoft.com/office/drawing/2014/main" id="{E790714C-1458-6258-8DDB-3AB1B7D890B5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2283" name="TextBox 2282">
            <a:extLst>
              <a:ext uri="{FF2B5EF4-FFF2-40B4-BE49-F238E27FC236}">
                <a16:creationId xmlns:a16="http://schemas.microsoft.com/office/drawing/2014/main" id="{BF54C112-6FCF-BB85-4FB4-9A703180212A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2284" name="TextBox 2283">
            <a:extLst>
              <a:ext uri="{FF2B5EF4-FFF2-40B4-BE49-F238E27FC236}">
                <a16:creationId xmlns:a16="http://schemas.microsoft.com/office/drawing/2014/main" id="{0DA3C1B5-57C3-3305-E375-A0BDFA109857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19</xdr:col>
      <xdr:colOff>104775</xdr:colOff>
      <xdr:row>453</xdr:row>
      <xdr:rowOff>66675</xdr:rowOff>
    </xdr:from>
    <xdr:to>
      <xdr:col>21</xdr:col>
      <xdr:colOff>66675</xdr:colOff>
      <xdr:row>453</xdr:row>
      <xdr:rowOff>66675</xdr:rowOff>
    </xdr:to>
    <xdr:cxnSp macro="">
      <xdr:nvCxnSpPr>
        <xdr:cNvPr id="2285" name="Straight Arrow Connector 2284">
          <a:extLst>
            <a:ext uri="{FF2B5EF4-FFF2-40B4-BE49-F238E27FC236}">
              <a16:creationId xmlns:a16="http://schemas.microsoft.com/office/drawing/2014/main" id="{273670F9-1394-4395-8542-A5C6F4740C96}"/>
            </a:ext>
          </a:extLst>
        </xdr:cNvPr>
        <xdr:cNvCxnSpPr/>
      </xdr:nvCxnSpPr>
      <xdr:spPr>
        <a:xfrm>
          <a:off x="3505200" y="656939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454</xdr:row>
      <xdr:rowOff>66675</xdr:rowOff>
    </xdr:from>
    <xdr:to>
      <xdr:col>21</xdr:col>
      <xdr:colOff>66675</xdr:colOff>
      <xdr:row>454</xdr:row>
      <xdr:rowOff>66675</xdr:rowOff>
    </xdr:to>
    <xdr:cxnSp macro="">
      <xdr:nvCxnSpPr>
        <xdr:cNvPr id="2286" name="Straight Arrow Connector 2285">
          <a:extLst>
            <a:ext uri="{FF2B5EF4-FFF2-40B4-BE49-F238E27FC236}">
              <a16:creationId xmlns:a16="http://schemas.microsoft.com/office/drawing/2014/main" id="{58C791C0-9E5C-4382-B758-315FD6C5D750}"/>
            </a:ext>
          </a:extLst>
        </xdr:cNvPr>
        <xdr:cNvCxnSpPr/>
      </xdr:nvCxnSpPr>
      <xdr:spPr>
        <a:xfrm>
          <a:off x="3505200" y="658368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104775</xdr:colOff>
      <xdr:row>456</xdr:row>
      <xdr:rowOff>66675</xdr:rowOff>
    </xdr:from>
    <xdr:to>
      <xdr:col>38</xdr:col>
      <xdr:colOff>66675</xdr:colOff>
      <xdr:row>456</xdr:row>
      <xdr:rowOff>66675</xdr:rowOff>
    </xdr:to>
    <xdr:cxnSp macro="">
      <xdr:nvCxnSpPr>
        <xdr:cNvPr id="2287" name="Straight Arrow Connector 2286">
          <a:extLst>
            <a:ext uri="{FF2B5EF4-FFF2-40B4-BE49-F238E27FC236}">
              <a16:creationId xmlns:a16="http://schemas.microsoft.com/office/drawing/2014/main" id="{46FFA295-F664-4109-9DBE-F6EE31F87A95}"/>
            </a:ext>
          </a:extLst>
        </xdr:cNvPr>
        <xdr:cNvCxnSpPr/>
      </xdr:nvCxnSpPr>
      <xdr:spPr>
        <a:xfrm>
          <a:off x="5772150" y="66122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457</xdr:row>
      <xdr:rowOff>66675</xdr:rowOff>
    </xdr:from>
    <xdr:to>
      <xdr:col>23</xdr:col>
      <xdr:colOff>38100</xdr:colOff>
      <xdr:row>457</xdr:row>
      <xdr:rowOff>66675</xdr:rowOff>
    </xdr:to>
    <xdr:cxnSp macro="">
      <xdr:nvCxnSpPr>
        <xdr:cNvPr id="2288" name="Straight Arrow Connector 2287">
          <a:extLst>
            <a:ext uri="{FF2B5EF4-FFF2-40B4-BE49-F238E27FC236}">
              <a16:creationId xmlns:a16="http://schemas.microsoft.com/office/drawing/2014/main" id="{A50091AA-067F-4FF5-9B4E-744B525CD57C}"/>
            </a:ext>
          </a:extLst>
        </xdr:cNvPr>
        <xdr:cNvCxnSpPr/>
      </xdr:nvCxnSpPr>
      <xdr:spPr>
        <a:xfrm>
          <a:off x="3314700" y="66265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458</xdr:row>
      <xdr:rowOff>66675</xdr:rowOff>
    </xdr:from>
    <xdr:to>
      <xdr:col>14</xdr:col>
      <xdr:colOff>66675</xdr:colOff>
      <xdr:row>458</xdr:row>
      <xdr:rowOff>66675</xdr:rowOff>
    </xdr:to>
    <xdr:cxnSp macro="">
      <xdr:nvCxnSpPr>
        <xdr:cNvPr id="2289" name="Straight Arrow Connector 2288">
          <a:extLst>
            <a:ext uri="{FF2B5EF4-FFF2-40B4-BE49-F238E27FC236}">
              <a16:creationId xmlns:a16="http://schemas.microsoft.com/office/drawing/2014/main" id="{1E3417D1-3224-4A7E-B3E7-602322FDC752}"/>
            </a:ext>
          </a:extLst>
        </xdr:cNvPr>
        <xdr:cNvCxnSpPr/>
      </xdr:nvCxnSpPr>
      <xdr:spPr>
        <a:xfrm>
          <a:off x="5772150" y="66408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459</xdr:row>
      <xdr:rowOff>66675</xdr:rowOff>
    </xdr:from>
    <xdr:to>
      <xdr:col>26</xdr:col>
      <xdr:colOff>66675</xdr:colOff>
      <xdr:row>459</xdr:row>
      <xdr:rowOff>66675</xdr:rowOff>
    </xdr:to>
    <xdr:cxnSp macro="">
      <xdr:nvCxnSpPr>
        <xdr:cNvPr id="2290" name="Straight Arrow Connector 2289">
          <a:extLst>
            <a:ext uri="{FF2B5EF4-FFF2-40B4-BE49-F238E27FC236}">
              <a16:creationId xmlns:a16="http://schemas.microsoft.com/office/drawing/2014/main" id="{2CE6D60A-003C-43B6-AEA4-A51F5D0628FC}"/>
            </a:ext>
          </a:extLst>
        </xdr:cNvPr>
        <xdr:cNvCxnSpPr/>
      </xdr:nvCxnSpPr>
      <xdr:spPr>
        <a:xfrm>
          <a:off x="5286375" y="66551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128569</xdr:colOff>
      <xdr:row>420</xdr:row>
      <xdr:rowOff>138113</xdr:rowOff>
    </xdr:from>
    <xdr:to>
      <xdr:col>41</xdr:col>
      <xdr:colOff>85725</xdr:colOff>
      <xdr:row>467</xdr:row>
      <xdr:rowOff>28575</xdr:rowOff>
    </xdr:to>
    <xdr:grpSp>
      <xdr:nvGrpSpPr>
        <xdr:cNvPr id="2798" name="Group 2797">
          <a:extLst>
            <a:ext uri="{FF2B5EF4-FFF2-40B4-BE49-F238E27FC236}">
              <a16:creationId xmlns:a16="http://schemas.microsoft.com/office/drawing/2014/main" id="{204417A7-225B-6764-3FAE-E53B56F90381}"/>
            </a:ext>
          </a:extLst>
        </xdr:cNvPr>
        <xdr:cNvGrpSpPr/>
      </xdr:nvGrpSpPr>
      <xdr:grpSpPr>
        <a:xfrm>
          <a:off x="776269" y="60621863"/>
          <a:ext cx="5948381" cy="6605587"/>
          <a:chOff x="776269" y="54335363"/>
          <a:chExt cx="5948381" cy="6605587"/>
        </a:xfrm>
      </xdr:grpSpPr>
      <xdr:cxnSp macro="">
        <xdr:nvCxnSpPr>
          <xdr:cNvPr id="2570" name="Straight Connector 2569">
            <a:extLst>
              <a:ext uri="{FF2B5EF4-FFF2-40B4-BE49-F238E27FC236}">
                <a16:creationId xmlns:a16="http://schemas.microsoft.com/office/drawing/2014/main" id="{3A0853FB-7A5C-85EF-E530-36C2509394CB}"/>
              </a:ext>
            </a:extLst>
          </xdr:cNvPr>
          <xdr:cNvCxnSpPr/>
        </xdr:nvCxnSpPr>
        <xdr:spPr>
          <a:xfrm>
            <a:off x="2252663" y="55768877"/>
            <a:ext cx="2957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2" name="Arc 2291">
            <a:extLst>
              <a:ext uri="{FF2B5EF4-FFF2-40B4-BE49-F238E27FC236}">
                <a16:creationId xmlns:a16="http://schemas.microsoft.com/office/drawing/2014/main" id="{53A20C70-E339-53D0-5E04-D26A22D14223}"/>
              </a:ext>
            </a:extLst>
          </xdr:cNvPr>
          <xdr:cNvSpPr/>
        </xdr:nvSpPr>
        <xdr:spPr>
          <a:xfrm>
            <a:off x="1638300" y="54759225"/>
            <a:ext cx="4181475" cy="6181725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10B24D05-6A57-513B-B5F8-022BEA84077E}"/>
              </a:ext>
            </a:extLst>
          </xdr:cNvPr>
          <xdr:cNvSpPr/>
        </xdr:nvSpPr>
        <xdr:spPr>
          <a:xfrm>
            <a:off x="1704971" y="56630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4" name="Isosceles Triangle 2293">
            <a:extLst>
              <a:ext uri="{FF2B5EF4-FFF2-40B4-BE49-F238E27FC236}">
                <a16:creationId xmlns:a16="http://schemas.microsoft.com/office/drawing/2014/main" id="{1166E5B3-E383-5D07-F31D-A80DB80F4CCC}"/>
              </a:ext>
            </a:extLst>
          </xdr:cNvPr>
          <xdr:cNvSpPr/>
        </xdr:nvSpPr>
        <xdr:spPr>
          <a:xfrm>
            <a:off x="1789553" y="56492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5" name="Straight Connector 2294">
            <a:extLst>
              <a:ext uri="{FF2B5EF4-FFF2-40B4-BE49-F238E27FC236}">
                <a16:creationId xmlns:a16="http://schemas.microsoft.com/office/drawing/2014/main" id="{6BA0D413-1E0A-5A8E-C063-78587DFFC76B}"/>
              </a:ext>
            </a:extLst>
          </xdr:cNvPr>
          <xdr:cNvCxnSpPr/>
        </xdr:nvCxnSpPr>
        <xdr:spPr>
          <a:xfrm>
            <a:off x="1695445" y="56626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6" name="Oval 2295">
            <a:extLst>
              <a:ext uri="{FF2B5EF4-FFF2-40B4-BE49-F238E27FC236}">
                <a16:creationId xmlns:a16="http://schemas.microsoft.com/office/drawing/2014/main" id="{E3E60809-B2B2-C054-5946-0A086E6FD35F}"/>
              </a:ext>
            </a:extLst>
          </xdr:cNvPr>
          <xdr:cNvSpPr/>
        </xdr:nvSpPr>
        <xdr:spPr>
          <a:xfrm>
            <a:off x="1824032" y="56435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97" name="Straight Arrow Connector 2296">
            <a:extLst>
              <a:ext uri="{FF2B5EF4-FFF2-40B4-BE49-F238E27FC236}">
                <a16:creationId xmlns:a16="http://schemas.microsoft.com/office/drawing/2014/main" id="{C74433CB-3B4C-98C3-CCB2-E4B2A0200D4F}"/>
              </a:ext>
            </a:extLst>
          </xdr:cNvPr>
          <xdr:cNvCxnSpPr/>
        </xdr:nvCxnSpPr>
        <xdr:spPr>
          <a:xfrm flipV="1">
            <a:off x="1857370" y="567690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479C8717-AFB5-11B3-9463-236CFADC075F}"/>
              </a:ext>
            </a:extLst>
          </xdr:cNvPr>
          <xdr:cNvSpPr/>
        </xdr:nvSpPr>
        <xdr:spPr>
          <a:xfrm>
            <a:off x="5434022" y="56626137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99" name="Isosceles Triangle 2298">
            <a:extLst>
              <a:ext uri="{FF2B5EF4-FFF2-40B4-BE49-F238E27FC236}">
                <a16:creationId xmlns:a16="http://schemas.microsoft.com/office/drawing/2014/main" id="{F07969DD-89A8-6DDF-C3EE-518BB6F42F35}"/>
              </a:ext>
            </a:extLst>
          </xdr:cNvPr>
          <xdr:cNvSpPr/>
        </xdr:nvSpPr>
        <xdr:spPr>
          <a:xfrm>
            <a:off x="5534042" y="56477522"/>
            <a:ext cx="123808" cy="10673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00" name="Straight Connector 2299">
            <a:extLst>
              <a:ext uri="{FF2B5EF4-FFF2-40B4-BE49-F238E27FC236}">
                <a16:creationId xmlns:a16="http://schemas.microsoft.com/office/drawing/2014/main" id="{CE2202BD-FC1A-59D8-CDF1-5E4914E4E235}"/>
              </a:ext>
            </a:extLst>
          </xdr:cNvPr>
          <xdr:cNvCxnSpPr/>
        </xdr:nvCxnSpPr>
        <xdr:spPr>
          <a:xfrm>
            <a:off x="5424496" y="56621373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1" name="Oval 2300">
            <a:extLst>
              <a:ext uri="{FF2B5EF4-FFF2-40B4-BE49-F238E27FC236}">
                <a16:creationId xmlns:a16="http://schemas.microsoft.com/office/drawing/2014/main" id="{8190D254-D8AF-CCEB-444F-1EE9EEE1091E}"/>
              </a:ext>
            </a:extLst>
          </xdr:cNvPr>
          <xdr:cNvSpPr/>
        </xdr:nvSpPr>
        <xdr:spPr>
          <a:xfrm>
            <a:off x="5553083" y="5643087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02" name="Straight Arrow Connector 2301">
            <a:extLst>
              <a:ext uri="{FF2B5EF4-FFF2-40B4-BE49-F238E27FC236}">
                <a16:creationId xmlns:a16="http://schemas.microsoft.com/office/drawing/2014/main" id="{DCE34081-6DB3-00EB-BEE6-897C899A3470}"/>
              </a:ext>
            </a:extLst>
          </xdr:cNvPr>
          <xdr:cNvCxnSpPr/>
        </xdr:nvCxnSpPr>
        <xdr:spPr>
          <a:xfrm flipV="1">
            <a:off x="5586421" y="56764249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3" name="Oval 2302">
            <a:extLst>
              <a:ext uri="{FF2B5EF4-FFF2-40B4-BE49-F238E27FC236}">
                <a16:creationId xmlns:a16="http://schemas.microsoft.com/office/drawing/2014/main" id="{D1B06570-635D-7E4C-6AF5-FE500FFA95CD}"/>
              </a:ext>
            </a:extLst>
          </xdr:cNvPr>
          <xdr:cNvSpPr/>
        </xdr:nvSpPr>
        <xdr:spPr>
          <a:xfrm>
            <a:off x="3681413" y="547163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68" name="Straight Connector 2367">
            <a:extLst>
              <a:ext uri="{FF2B5EF4-FFF2-40B4-BE49-F238E27FC236}">
                <a16:creationId xmlns:a16="http://schemas.microsoft.com/office/drawing/2014/main" id="{C843AF34-02D1-7FDD-4BF4-81B4B9C1821B}"/>
              </a:ext>
            </a:extLst>
          </xdr:cNvPr>
          <xdr:cNvCxnSpPr/>
        </xdr:nvCxnSpPr>
        <xdr:spPr>
          <a:xfrm>
            <a:off x="1876422" y="54625875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9" name="Straight Arrow Connector 2368">
            <a:extLst>
              <a:ext uri="{FF2B5EF4-FFF2-40B4-BE49-F238E27FC236}">
                <a16:creationId xmlns:a16="http://schemas.microsoft.com/office/drawing/2014/main" id="{D5519847-ADA6-58D7-B6F9-7E132F88C9CF}"/>
              </a:ext>
            </a:extLst>
          </xdr:cNvPr>
          <xdr:cNvCxnSpPr/>
        </xdr:nvCxnSpPr>
        <xdr:spPr>
          <a:xfrm>
            <a:off x="1876418" y="5443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0" name="Straight Arrow Connector 2369">
            <a:extLst>
              <a:ext uri="{FF2B5EF4-FFF2-40B4-BE49-F238E27FC236}">
                <a16:creationId xmlns:a16="http://schemas.microsoft.com/office/drawing/2014/main" id="{5439B462-A207-5DF5-73B2-59044E6950C3}"/>
              </a:ext>
            </a:extLst>
          </xdr:cNvPr>
          <xdr:cNvCxnSpPr/>
        </xdr:nvCxnSpPr>
        <xdr:spPr>
          <a:xfrm>
            <a:off x="2105017" y="5443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1" name="Straight Arrow Connector 2370">
            <a:extLst>
              <a:ext uri="{FF2B5EF4-FFF2-40B4-BE49-F238E27FC236}">
                <a16:creationId xmlns:a16="http://schemas.microsoft.com/office/drawing/2014/main" id="{9E21E3C6-5341-7C4A-E5D7-B3956E4B781B}"/>
              </a:ext>
            </a:extLst>
          </xdr:cNvPr>
          <xdr:cNvCxnSpPr/>
        </xdr:nvCxnSpPr>
        <xdr:spPr>
          <a:xfrm>
            <a:off x="2266943" y="5443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2" name="Straight Arrow Connector 2371">
            <a:extLst>
              <a:ext uri="{FF2B5EF4-FFF2-40B4-BE49-F238E27FC236}">
                <a16:creationId xmlns:a16="http://schemas.microsoft.com/office/drawing/2014/main" id="{25B5E9A2-E003-A9D3-0F70-D72BCB4DD9C9}"/>
              </a:ext>
            </a:extLst>
          </xdr:cNvPr>
          <xdr:cNvCxnSpPr/>
        </xdr:nvCxnSpPr>
        <xdr:spPr>
          <a:xfrm>
            <a:off x="2428862" y="5443537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3" name="Straight Arrow Connector 2372">
            <a:extLst>
              <a:ext uri="{FF2B5EF4-FFF2-40B4-BE49-F238E27FC236}">
                <a16:creationId xmlns:a16="http://schemas.microsoft.com/office/drawing/2014/main" id="{A465CB4E-7E12-D662-2D46-90E11D4AB94A}"/>
              </a:ext>
            </a:extLst>
          </xdr:cNvPr>
          <xdr:cNvCxnSpPr/>
        </xdr:nvCxnSpPr>
        <xdr:spPr>
          <a:xfrm>
            <a:off x="2590793" y="544353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4" name="Straight Arrow Connector 2373">
            <a:extLst>
              <a:ext uri="{FF2B5EF4-FFF2-40B4-BE49-F238E27FC236}">
                <a16:creationId xmlns:a16="http://schemas.microsoft.com/office/drawing/2014/main" id="{6836B97F-8E02-7504-D542-25D81C6A7198}"/>
              </a:ext>
            </a:extLst>
          </xdr:cNvPr>
          <xdr:cNvCxnSpPr/>
        </xdr:nvCxnSpPr>
        <xdr:spPr>
          <a:xfrm>
            <a:off x="2752719" y="544353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5" name="Straight Arrow Connector 2374">
            <a:extLst>
              <a:ext uri="{FF2B5EF4-FFF2-40B4-BE49-F238E27FC236}">
                <a16:creationId xmlns:a16="http://schemas.microsoft.com/office/drawing/2014/main" id="{B3B7E3DD-7554-ABA7-8159-0D3E0400C451}"/>
              </a:ext>
            </a:extLst>
          </xdr:cNvPr>
          <xdr:cNvCxnSpPr/>
        </xdr:nvCxnSpPr>
        <xdr:spPr>
          <a:xfrm>
            <a:off x="2914638" y="5443537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6" name="Straight Arrow Connector 2375">
            <a:extLst>
              <a:ext uri="{FF2B5EF4-FFF2-40B4-BE49-F238E27FC236}">
                <a16:creationId xmlns:a16="http://schemas.microsoft.com/office/drawing/2014/main" id="{608256A9-BA3D-5BE1-BC7B-883B2598DE2B}"/>
              </a:ext>
            </a:extLst>
          </xdr:cNvPr>
          <xdr:cNvCxnSpPr/>
        </xdr:nvCxnSpPr>
        <xdr:spPr>
          <a:xfrm>
            <a:off x="3076575" y="544353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7" name="Straight Arrow Connector 2376">
            <a:extLst>
              <a:ext uri="{FF2B5EF4-FFF2-40B4-BE49-F238E27FC236}">
                <a16:creationId xmlns:a16="http://schemas.microsoft.com/office/drawing/2014/main" id="{210CE1BE-758B-ED27-5746-80B046BA2B41}"/>
              </a:ext>
            </a:extLst>
          </xdr:cNvPr>
          <xdr:cNvCxnSpPr/>
        </xdr:nvCxnSpPr>
        <xdr:spPr>
          <a:xfrm>
            <a:off x="3238501" y="544353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8" name="Straight Arrow Connector 2377">
            <a:extLst>
              <a:ext uri="{FF2B5EF4-FFF2-40B4-BE49-F238E27FC236}">
                <a16:creationId xmlns:a16="http://schemas.microsoft.com/office/drawing/2014/main" id="{03D7FD0B-D37A-3F78-4846-67CD10307172}"/>
              </a:ext>
            </a:extLst>
          </xdr:cNvPr>
          <xdr:cNvCxnSpPr/>
        </xdr:nvCxnSpPr>
        <xdr:spPr>
          <a:xfrm>
            <a:off x="3400420" y="5443537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9" name="Straight Arrow Connector 2378">
            <a:extLst>
              <a:ext uri="{FF2B5EF4-FFF2-40B4-BE49-F238E27FC236}">
                <a16:creationId xmlns:a16="http://schemas.microsoft.com/office/drawing/2014/main" id="{2D14C516-728A-BED4-AE8F-9BC553F1CF1F}"/>
              </a:ext>
            </a:extLst>
          </xdr:cNvPr>
          <xdr:cNvCxnSpPr/>
        </xdr:nvCxnSpPr>
        <xdr:spPr>
          <a:xfrm>
            <a:off x="3562351" y="5443537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0" name="Straight Arrow Connector 2379">
            <a:extLst>
              <a:ext uri="{FF2B5EF4-FFF2-40B4-BE49-F238E27FC236}">
                <a16:creationId xmlns:a16="http://schemas.microsoft.com/office/drawing/2014/main" id="{4A7D56A1-9511-CE4F-2C8C-D886ED15088E}"/>
              </a:ext>
            </a:extLst>
          </xdr:cNvPr>
          <xdr:cNvCxnSpPr/>
        </xdr:nvCxnSpPr>
        <xdr:spPr>
          <a:xfrm>
            <a:off x="3724277" y="54340125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1" name="Straight Arrow Connector 2380">
            <a:extLst>
              <a:ext uri="{FF2B5EF4-FFF2-40B4-BE49-F238E27FC236}">
                <a16:creationId xmlns:a16="http://schemas.microsoft.com/office/drawing/2014/main" id="{2A01D0CB-686C-E72C-9D75-75A242B07DD0}"/>
              </a:ext>
            </a:extLst>
          </xdr:cNvPr>
          <xdr:cNvCxnSpPr/>
        </xdr:nvCxnSpPr>
        <xdr:spPr>
          <a:xfrm>
            <a:off x="3886196" y="54340125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2" name="Straight Arrow Connector 2381">
            <a:extLst>
              <a:ext uri="{FF2B5EF4-FFF2-40B4-BE49-F238E27FC236}">
                <a16:creationId xmlns:a16="http://schemas.microsoft.com/office/drawing/2014/main" id="{E2771887-4CE0-FEFE-FDD7-4A0E8A816850}"/>
              </a:ext>
            </a:extLst>
          </xdr:cNvPr>
          <xdr:cNvCxnSpPr/>
        </xdr:nvCxnSpPr>
        <xdr:spPr>
          <a:xfrm>
            <a:off x="4048125" y="54344888"/>
            <a:ext cx="0" cy="2762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3" name="Straight Arrow Connector 2382">
            <a:extLst>
              <a:ext uri="{FF2B5EF4-FFF2-40B4-BE49-F238E27FC236}">
                <a16:creationId xmlns:a16="http://schemas.microsoft.com/office/drawing/2014/main" id="{E5E6FF52-BE2A-E5BF-D199-A02431E9BF7F}"/>
              </a:ext>
            </a:extLst>
          </xdr:cNvPr>
          <xdr:cNvCxnSpPr/>
        </xdr:nvCxnSpPr>
        <xdr:spPr>
          <a:xfrm>
            <a:off x="4210051" y="54344888"/>
            <a:ext cx="0" cy="2762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4" name="Straight Arrow Connector 2383">
            <a:extLst>
              <a:ext uri="{FF2B5EF4-FFF2-40B4-BE49-F238E27FC236}">
                <a16:creationId xmlns:a16="http://schemas.microsoft.com/office/drawing/2014/main" id="{A1D010E7-52D1-FC6C-9E57-F902EDB8A61B}"/>
              </a:ext>
            </a:extLst>
          </xdr:cNvPr>
          <xdr:cNvCxnSpPr/>
        </xdr:nvCxnSpPr>
        <xdr:spPr>
          <a:xfrm>
            <a:off x="4371970" y="54344888"/>
            <a:ext cx="0" cy="2762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5" name="Straight Arrow Connector 2384">
            <a:extLst>
              <a:ext uri="{FF2B5EF4-FFF2-40B4-BE49-F238E27FC236}">
                <a16:creationId xmlns:a16="http://schemas.microsoft.com/office/drawing/2014/main" id="{360825C6-C998-D4BD-D447-294BD9757398}"/>
              </a:ext>
            </a:extLst>
          </xdr:cNvPr>
          <xdr:cNvCxnSpPr/>
        </xdr:nvCxnSpPr>
        <xdr:spPr>
          <a:xfrm>
            <a:off x="4533901" y="54344888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6" name="Straight Arrow Connector 2385">
            <a:extLst>
              <a:ext uri="{FF2B5EF4-FFF2-40B4-BE49-F238E27FC236}">
                <a16:creationId xmlns:a16="http://schemas.microsoft.com/office/drawing/2014/main" id="{0D9CDEC6-BEDF-0ECB-6832-C1F24B5F67E6}"/>
              </a:ext>
            </a:extLst>
          </xdr:cNvPr>
          <xdr:cNvCxnSpPr/>
        </xdr:nvCxnSpPr>
        <xdr:spPr>
          <a:xfrm>
            <a:off x="4695827" y="5434012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7" name="Straight Arrow Connector 2386">
            <a:extLst>
              <a:ext uri="{FF2B5EF4-FFF2-40B4-BE49-F238E27FC236}">
                <a16:creationId xmlns:a16="http://schemas.microsoft.com/office/drawing/2014/main" id="{02749481-F5A4-BA86-ADFC-A2F8C2F80084}"/>
              </a:ext>
            </a:extLst>
          </xdr:cNvPr>
          <xdr:cNvCxnSpPr/>
        </xdr:nvCxnSpPr>
        <xdr:spPr>
          <a:xfrm>
            <a:off x="4857746" y="5434012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8" name="Straight Arrow Connector 2387">
            <a:extLst>
              <a:ext uri="{FF2B5EF4-FFF2-40B4-BE49-F238E27FC236}">
                <a16:creationId xmlns:a16="http://schemas.microsoft.com/office/drawing/2014/main" id="{65846026-4D6F-2B1E-6BAE-E663743E2598}"/>
              </a:ext>
            </a:extLst>
          </xdr:cNvPr>
          <xdr:cNvCxnSpPr/>
        </xdr:nvCxnSpPr>
        <xdr:spPr>
          <a:xfrm>
            <a:off x="5019683" y="5434012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9" name="Straight Arrow Connector 2388">
            <a:extLst>
              <a:ext uri="{FF2B5EF4-FFF2-40B4-BE49-F238E27FC236}">
                <a16:creationId xmlns:a16="http://schemas.microsoft.com/office/drawing/2014/main" id="{7C94D38C-387F-8996-6A54-5DCB857F3C78}"/>
              </a:ext>
            </a:extLst>
          </xdr:cNvPr>
          <xdr:cNvCxnSpPr/>
        </xdr:nvCxnSpPr>
        <xdr:spPr>
          <a:xfrm>
            <a:off x="5181609" y="5434012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0" name="Straight Arrow Connector 2389">
            <a:extLst>
              <a:ext uri="{FF2B5EF4-FFF2-40B4-BE49-F238E27FC236}">
                <a16:creationId xmlns:a16="http://schemas.microsoft.com/office/drawing/2014/main" id="{BEED6A79-D763-6893-E382-1937D337DA06}"/>
              </a:ext>
            </a:extLst>
          </xdr:cNvPr>
          <xdr:cNvCxnSpPr/>
        </xdr:nvCxnSpPr>
        <xdr:spPr>
          <a:xfrm>
            <a:off x="5343528" y="5434012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1" name="Straight Arrow Connector 2390">
            <a:extLst>
              <a:ext uri="{FF2B5EF4-FFF2-40B4-BE49-F238E27FC236}">
                <a16:creationId xmlns:a16="http://schemas.microsoft.com/office/drawing/2014/main" id="{062E53BD-C89D-5373-83C0-7FA496E559CE}"/>
              </a:ext>
            </a:extLst>
          </xdr:cNvPr>
          <xdr:cNvCxnSpPr/>
        </xdr:nvCxnSpPr>
        <xdr:spPr>
          <a:xfrm>
            <a:off x="5572141" y="54335363"/>
            <a:ext cx="0" cy="28575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2" name="Straight Connector 2391">
            <a:extLst>
              <a:ext uri="{FF2B5EF4-FFF2-40B4-BE49-F238E27FC236}">
                <a16:creationId xmlns:a16="http://schemas.microsoft.com/office/drawing/2014/main" id="{287F3C60-0F50-C391-0F59-888D31FE9EB6}"/>
              </a:ext>
            </a:extLst>
          </xdr:cNvPr>
          <xdr:cNvCxnSpPr/>
        </xdr:nvCxnSpPr>
        <xdr:spPr>
          <a:xfrm>
            <a:off x="1876420" y="54435369"/>
            <a:ext cx="184309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4" name="Straight Connector 2393">
            <a:extLst>
              <a:ext uri="{FF2B5EF4-FFF2-40B4-BE49-F238E27FC236}">
                <a16:creationId xmlns:a16="http://schemas.microsoft.com/office/drawing/2014/main" id="{5796AB8F-7A06-3B50-200D-F69600CAA834}"/>
              </a:ext>
            </a:extLst>
          </xdr:cNvPr>
          <xdr:cNvCxnSpPr/>
        </xdr:nvCxnSpPr>
        <xdr:spPr>
          <a:xfrm>
            <a:off x="1857375" y="57216675"/>
            <a:ext cx="0" cy="77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7" name="Straight Connector 2396">
            <a:extLst>
              <a:ext uri="{FF2B5EF4-FFF2-40B4-BE49-F238E27FC236}">
                <a16:creationId xmlns:a16="http://schemas.microsoft.com/office/drawing/2014/main" id="{313F9432-DB58-20C8-4628-7D64D921923C}"/>
              </a:ext>
            </a:extLst>
          </xdr:cNvPr>
          <xdr:cNvCxnSpPr/>
        </xdr:nvCxnSpPr>
        <xdr:spPr>
          <a:xfrm>
            <a:off x="1781174" y="57626249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8" name="Straight Connector 2397">
            <a:extLst>
              <a:ext uri="{FF2B5EF4-FFF2-40B4-BE49-F238E27FC236}">
                <a16:creationId xmlns:a16="http://schemas.microsoft.com/office/drawing/2014/main" id="{CB76A557-0A1D-175A-13ED-80B0890CC01B}"/>
              </a:ext>
            </a:extLst>
          </xdr:cNvPr>
          <xdr:cNvCxnSpPr/>
        </xdr:nvCxnSpPr>
        <xdr:spPr>
          <a:xfrm flipH="1">
            <a:off x="1819275" y="575929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2" name="Straight Connector 2411">
            <a:extLst>
              <a:ext uri="{FF2B5EF4-FFF2-40B4-BE49-F238E27FC236}">
                <a16:creationId xmlns:a16="http://schemas.microsoft.com/office/drawing/2014/main" id="{5A2A7000-6E82-3D97-6C41-2825FBCB6EFC}"/>
              </a:ext>
            </a:extLst>
          </xdr:cNvPr>
          <xdr:cNvCxnSpPr/>
        </xdr:nvCxnSpPr>
        <xdr:spPr>
          <a:xfrm>
            <a:off x="1781170" y="57912003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9" name="Straight Connector 2428">
            <a:extLst>
              <a:ext uri="{FF2B5EF4-FFF2-40B4-BE49-F238E27FC236}">
                <a16:creationId xmlns:a16="http://schemas.microsoft.com/office/drawing/2014/main" id="{C04C449E-E681-8009-56B4-4609C9745614}"/>
              </a:ext>
            </a:extLst>
          </xdr:cNvPr>
          <xdr:cNvCxnSpPr/>
        </xdr:nvCxnSpPr>
        <xdr:spPr>
          <a:xfrm flipH="1">
            <a:off x="1819271" y="578786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6" name="Straight Connector 2515">
            <a:extLst>
              <a:ext uri="{FF2B5EF4-FFF2-40B4-BE49-F238E27FC236}">
                <a16:creationId xmlns:a16="http://schemas.microsoft.com/office/drawing/2014/main" id="{42984BDA-232E-5AAA-A555-9DBF0CA70826}"/>
              </a:ext>
            </a:extLst>
          </xdr:cNvPr>
          <xdr:cNvCxnSpPr/>
        </xdr:nvCxnSpPr>
        <xdr:spPr>
          <a:xfrm>
            <a:off x="5586414" y="57188100"/>
            <a:ext cx="0" cy="8048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8" name="Straight Connector 2517">
            <a:extLst>
              <a:ext uri="{FF2B5EF4-FFF2-40B4-BE49-F238E27FC236}">
                <a16:creationId xmlns:a16="http://schemas.microsoft.com/office/drawing/2014/main" id="{C1A39FA3-7F72-B0CA-D1A2-B3BD40E10B1F}"/>
              </a:ext>
            </a:extLst>
          </xdr:cNvPr>
          <xdr:cNvCxnSpPr/>
        </xdr:nvCxnSpPr>
        <xdr:spPr>
          <a:xfrm flipH="1">
            <a:off x="5548314" y="5759291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1" name="Straight Connector 2520">
            <a:extLst>
              <a:ext uri="{FF2B5EF4-FFF2-40B4-BE49-F238E27FC236}">
                <a16:creationId xmlns:a16="http://schemas.microsoft.com/office/drawing/2014/main" id="{CAB4AF66-AF85-5395-84B8-EE232C48A82D}"/>
              </a:ext>
            </a:extLst>
          </xdr:cNvPr>
          <xdr:cNvCxnSpPr/>
        </xdr:nvCxnSpPr>
        <xdr:spPr>
          <a:xfrm flipH="1">
            <a:off x="5557835" y="5787867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3" name="Straight Connector 2522">
            <a:extLst>
              <a:ext uri="{FF2B5EF4-FFF2-40B4-BE49-F238E27FC236}">
                <a16:creationId xmlns:a16="http://schemas.microsoft.com/office/drawing/2014/main" id="{2A66C9B1-9252-B138-34AB-ED437EE2E83B}"/>
              </a:ext>
            </a:extLst>
          </xdr:cNvPr>
          <xdr:cNvCxnSpPr/>
        </xdr:nvCxnSpPr>
        <xdr:spPr>
          <a:xfrm>
            <a:off x="2590800" y="573976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4" name="Straight Connector 2523">
            <a:extLst>
              <a:ext uri="{FF2B5EF4-FFF2-40B4-BE49-F238E27FC236}">
                <a16:creationId xmlns:a16="http://schemas.microsoft.com/office/drawing/2014/main" id="{CE24F2E1-6BDA-F8C4-BCF1-AF64297557AC}"/>
              </a:ext>
            </a:extLst>
          </xdr:cNvPr>
          <xdr:cNvCxnSpPr/>
        </xdr:nvCxnSpPr>
        <xdr:spPr>
          <a:xfrm flipH="1">
            <a:off x="2552696" y="575929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5" name="Straight Connector 2524">
            <a:extLst>
              <a:ext uri="{FF2B5EF4-FFF2-40B4-BE49-F238E27FC236}">
                <a16:creationId xmlns:a16="http://schemas.microsoft.com/office/drawing/2014/main" id="{6696E3B6-57E9-7109-CDA5-A5D9AED416BD}"/>
              </a:ext>
            </a:extLst>
          </xdr:cNvPr>
          <xdr:cNvCxnSpPr/>
        </xdr:nvCxnSpPr>
        <xdr:spPr>
          <a:xfrm>
            <a:off x="2547938" y="55206900"/>
            <a:ext cx="85725" cy="904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6" name="Straight Connector 2525">
            <a:extLst>
              <a:ext uri="{FF2B5EF4-FFF2-40B4-BE49-F238E27FC236}">
                <a16:creationId xmlns:a16="http://schemas.microsoft.com/office/drawing/2014/main" id="{518FBBF8-9591-87A3-0F97-1B93737855A0}"/>
              </a:ext>
            </a:extLst>
          </xdr:cNvPr>
          <xdr:cNvCxnSpPr/>
        </xdr:nvCxnSpPr>
        <xdr:spPr>
          <a:xfrm flipH="1">
            <a:off x="4824413" y="55216425"/>
            <a:ext cx="76200" cy="76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7" name="Straight Connector 2526">
            <a:extLst>
              <a:ext uri="{FF2B5EF4-FFF2-40B4-BE49-F238E27FC236}">
                <a16:creationId xmlns:a16="http://schemas.microsoft.com/office/drawing/2014/main" id="{D90BB328-D927-920A-4418-BEB817E69BA3}"/>
              </a:ext>
            </a:extLst>
          </xdr:cNvPr>
          <xdr:cNvCxnSpPr/>
        </xdr:nvCxnSpPr>
        <xdr:spPr>
          <a:xfrm>
            <a:off x="4857749" y="573976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8" name="Straight Connector 2527">
            <a:extLst>
              <a:ext uri="{FF2B5EF4-FFF2-40B4-BE49-F238E27FC236}">
                <a16:creationId xmlns:a16="http://schemas.microsoft.com/office/drawing/2014/main" id="{D7FA8605-99DF-E375-061D-AE213E866A1D}"/>
              </a:ext>
            </a:extLst>
          </xdr:cNvPr>
          <xdr:cNvCxnSpPr/>
        </xdr:nvCxnSpPr>
        <xdr:spPr>
          <a:xfrm flipH="1">
            <a:off x="4819645" y="5759292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9" name="Straight Connector 2528">
            <a:extLst>
              <a:ext uri="{FF2B5EF4-FFF2-40B4-BE49-F238E27FC236}">
                <a16:creationId xmlns:a16="http://schemas.microsoft.com/office/drawing/2014/main" id="{3E830EB6-DD92-C744-6560-39B6F45EB18E}"/>
              </a:ext>
            </a:extLst>
          </xdr:cNvPr>
          <xdr:cNvCxnSpPr/>
        </xdr:nvCxnSpPr>
        <xdr:spPr>
          <a:xfrm>
            <a:off x="4081461" y="54768751"/>
            <a:ext cx="26336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0" name="Straight Connector 2529">
            <a:extLst>
              <a:ext uri="{FF2B5EF4-FFF2-40B4-BE49-F238E27FC236}">
                <a16:creationId xmlns:a16="http://schemas.microsoft.com/office/drawing/2014/main" id="{34FDEF4F-97F1-7C9F-C7B3-1A35AA08136C}"/>
              </a:ext>
            </a:extLst>
          </xdr:cNvPr>
          <xdr:cNvCxnSpPr/>
        </xdr:nvCxnSpPr>
        <xdr:spPr>
          <a:xfrm>
            <a:off x="5705475" y="56483250"/>
            <a:ext cx="1019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2" name="Straight Connector 2531">
            <a:extLst>
              <a:ext uri="{FF2B5EF4-FFF2-40B4-BE49-F238E27FC236}">
                <a16:creationId xmlns:a16="http://schemas.microsoft.com/office/drawing/2014/main" id="{843D13BA-8B78-6E91-DC77-1B842959FEFC}"/>
              </a:ext>
            </a:extLst>
          </xdr:cNvPr>
          <xdr:cNvCxnSpPr/>
        </xdr:nvCxnSpPr>
        <xdr:spPr>
          <a:xfrm flipV="1">
            <a:off x="6315076" y="54697312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3" name="Straight Connector 2532">
            <a:extLst>
              <a:ext uri="{FF2B5EF4-FFF2-40B4-BE49-F238E27FC236}">
                <a16:creationId xmlns:a16="http://schemas.microsoft.com/office/drawing/2014/main" id="{525DE7DE-15A2-03D6-98C8-270C88E27B17}"/>
              </a:ext>
            </a:extLst>
          </xdr:cNvPr>
          <xdr:cNvCxnSpPr/>
        </xdr:nvCxnSpPr>
        <xdr:spPr>
          <a:xfrm flipH="1">
            <a:off x="6281738" y="547354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4" name="Straight Connector 2533">
            <a:extLst>
              <a:ext uri="{FF2B5EF4-FFF2-40B4-BE49-F238E27FC236}">
                <a16:creationId xmlns:a16="http://schemas.microsoft.com/office/drawing/2014/main" id="{B3EB2F06-3A6E-5A08-6C96-C141D2F7F55A}"/>
              </a:ext>
            </a:extLst>
          </xdr:cNvPr>
          <xdr:cNvCxnSpPr/>
        </xdr:nvCxnSpPr>
        <xdr:spPr>
          <a:xfrm flipH="1">
            <a:off x="6281737" y="564499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5" name="Straight Connector 2534">
            <a:extLst>
              <a:ext uri="{FF2B5EF4-FFF2-40B4-BE49-F238E27FC236}">
                <a16:creationId xmlns:a16="http://schemas.microsoft.com/office/drawing/2014/main" id="{8D2AAC3F-5C81-6BCA-78B2-16FC8C6435E3}"/>
              </a:ext>
            </a:extLst>
          </xdr:cNvPr>
          <xdr:cNvCxnSpPr/>
        </xdr:nvCxnSpPr>
        <xdr:spPr>
          <a:xfrm flipV="1">
            <a:off x="6638927" y="54697311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6" name="Straight Connector 2535">
            <a:extLst>
              <a:ext uri="{FF2B5EF4-FFF2-40B4-BE49-F238E27FC236}">
                <a16:creationId xmlns:a16="http://schemas.microsoft.com/office/drawing/2014/main" id="{334F7DB0-DDE0-7886-32E2-F306B10DDF4B}"/>
              </a:ext>
            </a:extLst>
          </xdr:cNvPr>
          <xdr:cNvCxnSpPr/>
        </xdr:nvCxnSpPr>
        <xdr:spPr>
          <a:xfrm flipH="1">
            <a:off x="6605589" y="547354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7" name="Straight Connector 2536">
            <a:extLst>
              <a:ext uri="{FF2B5EF4-FFF2-40B4-BE49-F238E27FC236}">
                <a16:creationId xmlns:a16="http://schemas.microsoft.com/office/drawing/2014/main" id="{090F16F5-493F-9C4A-63BB-CFA42D0036AB}"/>
              </a:ext>
            </a:extLst>
          </xdr:cNvPr>
          <xdr:cNvCxnSpPr/>
        </xdr:nvCxnSpPr>
        <xdr:spPr>
          <a:xfrm flipH="1">
            <a:off x="6605588" y="564499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8" name="Straight Connector 2537">
            <a:extLst>
              <a:ext uri="{FF2B5EF4-FFF2-40B4-BE49-F238E27FC236}">
                <a16:creationId xmlns:a16="http://schemas.microsoft.com/office/drawing/2014/main" id="{26E91C12-6742-4630-172D-12BB0F6EF135}"/>
              </a:ext>
            </a:extLst>
          </xdr:cNvPr>
          <xdr:cNvCxnSpPr/>
        </xdr:nvCxnSpPr>
        <xdr:spPr>
          <a:xfrm>
            <a:off x="4938713" y="55259294"/>
            <a:ext cx="8524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9" name="Straight Connector 2538">
            <a:extLst>
              <a:ext uri="{FF2B5EF4-FFF2-40B4-BE49-F238E27FC236}">
                <a16:creationId xmlns:a16="http://schemas.microsoft.com/office/drawing/2014/main" id="{617D5FC6-6E25-98AA-D858-C0ADD78E45E8}"/>
              </a:ext>
            </a:extLst>
          </xdr:cNvPr>
          <xdr:cNvCxnSpPr/>
        </xdr:nvCxnSpPr>
        <xdr:spPr>
          <a:xfrm flipH="1">
            <a:off x="6281738" y="5522595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0" name="Straight Connector 2539">
            <a:extLst>
              <a:ext uri="{FF2B5EF4-FFF2-40B4-BE49-F238E27FC236}">
                <a16:creationId xmlns:a16="http://schemas.microsoft.com/office/drawing/2014/main" id="{FF265ADE-B9CC-B2F5-9360-1B585962AA30}"/>
              </a:ext>
            </a:extLst>
          </xdr:cNvPr>
          <xdr:cNvCxnSpPr/>
        </xdr:nvCxnSpPr>
        <xdr:spPr>
          <a:xfrm>
            <a:off x="1223963" y="54768749"/>
            <a:ext cx="21669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1" name="Straight Arrow Connector 2540">
            <a:extLst>
              <a:ext uri="{FF2B5EF4-FFF2-40B4-BE49-F238E27FC236}">
                <a16:creationId xmlns:a16="http://schemas.microsoft.com/office/drawing/2014/main" id="{C66D1C47-64C9-8D3D-B735-3BDD1193FC6E}"/>
              </a:ext>
            </a:extLst>
          </xdr:cNvPr>
          <xdr:cNvCxnSpPr/>
        </xdr:nvCxnSpPr>
        <xdr:spPr>
          <a:xfrm>
            <a:off x="1471613" y="56483250"/>
            <a:ext cx="323850" cy="0"/>
          </a:xfrm>
          <a:prstGeom prst="straightConnector1">
            <a:avLst/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2" name="Straight Connector 2541">
            <a:extLst>
              <a:ext uri="{FF2B5EF4-FFF2-40B4-BE49-F238E27FC236}">
                <a16:creationId xmlns:a16="http://schemas.microsoft.com/office/drawing/2014/main" id="{AA3739AE-4FFA-B1EE-1DEF-FADA2E4E55C5}"/>
              </a:ext>
            </a:extLst>
          </xdr:cNvPr>
          <xdr:cNvCxnSpPr/>
        </xdr:nvCxnSpPr>
        <xdr:spPr>
          <a:xfrm flipH="1">
            <a:off x="1233488" y="56483250"/>
            <a:ext cx="190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3" name="Straight Connector 2542">
            <a:extLst>
              <a:ext uri="{FF2B5EF4-FFF2-40B4-BE49-F238E27FC236}">
                <a16:creationId xmlns:a16="http://schemas.microsoft.com/office/drawing/2014/main" id="{16114F39-F7FB-07A1-C7B9-36126D961716}"/>
              </a:ext>
            </a:extLst>
          </xdr:cNvPr>
          <xdr:cNvCxnSpPr/>
        </xdr:nvCxnSpPr>
        <xdr:spPr>
          <a:xfrm flipH="1">
            <a:off x="1257304" y="56449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4" name="Straight Connector 2543">
            <a:extLst>
              <a:ext uri="{FF2B5EF4-FFF2-40B4-BE49-F238E27FC236}">
                <a16:creationId xmlns:a16="http://schemas.microsoft.com/office/drawing/2014/main" id="{EC54A200-5D68-CE5C-271B-0D1FE48544F5}"/>
              </a:ext>
            </a:extLst>
          </xdr:cNvPr>
          <xdr:cNvCxnSpPr/>
        </xdr:nvCxnSpPr>
        <xdr:spPr>
          <a:xfrm>
            <a:off x="1295401" y="54697313"/>
            <a:ext cx="0" cy="18573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5" name="Straight Connector 2544">
            <a:extLst>
              <a:ext uri="{FF2B5EF4-FFF2-40B4-BE49-F238E27FC236}">
                <a16:creationId xmlns:a16="http://schemas.microsoft.com/office/drawing/2014/main" id="{DDCD8DAE-70A3-CA48-8E4F-69E149AC87B5}"/>
              </a:ext>
            </a:extLst>
          </xdr:cNvPr>
          <xdr:cNvCxnSpPr/>
        </xdr:nvCxnSpPr>
        <xdr:spPr>
          <a:xfrm flipH="1">
            <a:off x="1262061" y="5473541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6" name="Straight Connector 2545">
            <a:extLst>
              <a:ext uri="{FF2B5EF4-FFF2-40B4-BE49-F238E27FC236}">
                <a16:creationId xmlns:a16="http://schemas.microsoft.com/office/drawing/2014/main" id="{9614F11F-BD9F-53C0-6B73-342035224871}"/>
              </a:ext>
            </a:extLst>
          </xdr:cNvPr>
          <xdr:cNvCxnSpPr/>
        </xdr:nvCxnSpPr>
        <xdr:spPr>
          <a:xfrm>
            <a:off x="1223963" y="55254524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7" name="Straight Connector 2546">
            <a:extLst>
              <a:ext uri="{FF2B5EF4-FFF2-40B4-BE49-F238E27FC236}">
                <a16:creationId xmlns:a16="http://schemas.microsoft.com/office/drawing/2014/main" id="{E3BB3580-00B3-0A23-6323-9AA93CC9B835}"/>
              </a:ext>
            </a:extLst>
          </xdr:cNvPr>
          <xdr:cNvCxnSpPr/>
        </xdr:nvCxnSpPr>
        <xdr:spPr>
          <a:xfrm flipH="1">
            <a:off x="1262060" y="5522118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8" name="Straight Connector 2547">
            <a:extLst>
              <a:ext uri="{FF2B5EF4-FFF2-40B4-BE49-F238E27FC236}">
                <a16:creationId xmlns:a16="http://schemas.microsoft.com/office/drawing/2014/main" id="{83949B64-1144-59A2-23BF-DDAC490AF4E5}"/>
              </a:ext>
            </a:extLst>
          </xdr:cNvPr>
          <xdr:cNvCxnSpPr/>
        </xdr:nvCxnSpPr>
        <xdr:spPr>
          <a:xfrm>
            <a:off x="3724279" y="55835550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9" name="Straight Connector 2548">
            <a:extLst>
              <a:ext uri="{FF2B5EF4-FFF2-40B4-BE49-F238E27FC236}">
                <a16:creationId xmlns:a16="http://schemas.microsoft.com/office/drawing/2014/main" id="{EC7FE6A9-2E02-2652-BE54-3BFC6239C9B4}"/>
              </a:ext>
            </a:extLst>
          </xdr:cNvPr>
          <xdr:cNvCxnSpPr/>
        </xdr:nvCxnSpPr>
        <xdr:spPr>
          <a:xfrm flipH="1">
            <a:off x="3686175" y="5758815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0" name="Straight Arrow Connector 2549">
            <a:extLst>
              <a:ext uri="{FF2B5EF4-FFF2-40B4-BE49-F238E27FC236}">
                <a16:creationId xmlns:a16="http://schemas.microsoft.com/office/drawing/2014/main" id="{308297E8-7758-83AD-7784-DFC58093C843}"/>
              </a:ext>
            </a:extLst>
          </xdr:cNvPr>
          <xdr:cNvCxnSpPr/>
        </xdr:nvCxnSpPr>
        <xdr:spPr>
          <a:xfrm flipV="1">
            <a:off x="1857375" y="5578792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1" name="Straight Arrow Connector 2550">
            <a:extLst>
              <a:ext uri="{FF2B5EF4-FFF2-40B4-BE49-F238E27FC236}">
                <a16:creationId xmlns:a16="http://schemas.microsoft.com/office/drawing/2014/main" id="{B141145F-8E1E-4B39-DFD0-866C4AF18738}"/>
              </a:ext>
            </a:extLst>
          </xdr:cNvPr>
          <xdr:cNvCxnSpPr/>
        </xdr:nvCxnSpPr>
        <xdr:spPr>
          <a:xfrm>
            <a:off x="1857375" y="56483250"/>
            <a:ext cx="55245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2" name="Straight Connector 2551">
            <a:extLst>
              <a:ext uri="{FF2B5EF4-FFF2-40B4-BE49-F238E27FC236}">
                <a16:creationId xmlns:a16="http://schemas.microsoft.com/office/drawing/2014/main" id="{5DAB8FD6-ADA5-9B39-43C0-0E4B1E442FCB}"/>
              </a:ext>
            </a:extLst>
          </xdr:cNvPr>
          <xdr:cNvCxnSpPr/>
        </xdr:nvCxnSpPr>
        <xdr:spPr>
          <a:xfrm>
            <a:off x="971550" y="54768750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3" name="Straight Arrow Connector 2552">
            <a:extLst>
              <a:ext uri="{FF2B5EF4-FFF2-40B4-BE49-F238E27FC236}">
                <a16:creationId xmlns:a16="http://schemas.microsoft.com/office/drawing/2014/main" id="{6DC8F785-BBAF-B76E-5C0E-F33380FE25DE}"/>
              </a:ext>
            </a:extLst>
          </xdr:cNvPr>
          <xdr:cNvCxnSpPr/>
        </xdr:nvCxnSpPr>
        <xdr:spPr>
          <a:xfrm>
            <a:off x="781050" y="5476875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4" name="Straight Arrow Connector 2553">
            <a:extLst>
              <a:ext uri="{FF2B5EF4-FFF2-40B4-BE49-F238E27FC236}">
                <a16:creationId xmlns:a16="http://schemas.microsoft.com/office/drawing/2014/main" id="{798DD754-3F32-1349-CEC0-660A4F3629CD}"/>
              </a:ext>
            </a:extLst>
          </xdr:cNvPr>
          <xdr:cNvCxnSpPr/>
        </xdr:nvCxnSpPr>
        <xdr:spPr>
          <a:xfrm>
            <a:off x="776282" y="5491162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5" name="Straight Arrow Connector 2554">
            <a:extLst>
              <a:ext uri="{FF2B5EF4-FFF2-40B4-BE49-F238E27FC236}">
                <a16:creationId xmlns:a16="http://schemas.microsoft.com/office/drawing/2014/main" id="{5D26C2C9-D9A0-6F9C-AAA7-52E13881672F}"/>
              </a:ext>
            </a:extLst>
          </xdr:cNvPr>
          <xdr:cNvCxnSpPr/>
        </xdr:nvCxnSpPr>
        <xdr:spPr>
          <a:xfrm>
            <a:off x="781048" y="5505450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6" name="Straight Arrow Connector 2555">
            <a:extLst>
              <a:ext uri="{FF2B5EF4-FFF2-40B4-BE49-F238E27FC236}">
                <a16:creationId xmlns:a16="http://schemas.microsoft.com/office/drawing/2014/main" id="{D7169CA4-7D9B-E780-B042-857CC8B30960}"/>
              </a:ext>
            </a:extLst>
          </xdr:cNvPr>
          <xdr:cNvCxnSpPr/>
        </xdr:nvCxnSpPr>
        <xdr:spPr>
          <a:xfrm>
            <a:off x="776280" y="5519737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7" name="Straight Arrow Connector 2556">
            <a:extLst>
              <a:ext uri="{FF2B5EF4-FFF2-40B4-BE49-F238E27FC236}">
                <a16:creationId xmlns:a16="http://schemas.microsoft.com/office/drawing/2014/main" id="{E771E3EC-91C0-5CD8-7EFF-41DF60177D24}"/>
              </a:ext>
            </a:extLst>
          </xdr:cNvPr>
          <xdr:cNvCxnSpPr/>
        </xdr:nvCxnSpPr>
        <xdr:spPr>
          <a:xfrm>
            <a:off x="781045" y="55340259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8" name="Straight Arrow Connector 2557">
            <a:extLst>
              <a:ext uri="{FF2B5EF4-FFF2-40B4-BE49-F238E27FC236}">
                <a16:creationId xmlns:a16="http://schemas.microsoft.com/office/drawing/2014/main" id="{A380F32E-6DE3-F2D2-C14F-02358C88124F}"/>
              </a:ext>
            </a:extLst>
          </xdr:cNvPr>
          <xdr:cNvCxnSpPr/>
        </xdr:nvCxnSpPr>
        <xdr:spPr>
          <a:xfrm>
            <a:off x="776277" y="5548313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9" name="Straight Arrow Connector 2558">
            <a:extLst>
              <a:ext uri="{FF2B5EF4-FFF2-40B4-BE49-F238E27FC236}">
                <a16:creationId xmlns:a16="http://schemas.microsoft.com/office/drawing/2014/main" id="{8B982945-C06F-440A-EC60-15CC41481366}"/>
              </a:ext>
            </a:extLst>
          </xdr:cNvPr>
          <xdr:cNvCxnSpPr/>
        </xdr:nvCxnSpPr>
        <xdr:spPr>
          <a:xfrm>
            <a:off x="781043" y="5562601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0" name="Straight Arrow Connector 2559">
            <a:extLst>
              <a:ext uri="{FF2B5EF4-FFF2-40B4-BE49-F238E27FC236}">
                <a16:creationId xmlns:a16="http://schemas.microsoft.com/office/drawing/2014/main" id="{F0A37C65-E5A2-2E44-B3D2-8C144955DE52}"/>
              </a:ext>
            </a:extLst>
          </xdr:cNvPr>
          <xdr:cNvCxnSpPr/>
        </xdr:nvCxnSpPr>
        <xdr:spPr>
          <a:xfrm>
            <a:off x="776275" y="5576888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1" name="Straight Arrow Connector 2560">
            <a:extLst>
              <a:ext uri="{FF2B5EF4-FFF2-40B4-BE49-F238E27FC236}">
                <a16:creationId xmlns:a16="http://schemas.microsoft.com/office/drawing/2014/main" id="{E6372883-194D-C22F-093F-AA34F6DF4293}"/>
              </a:ext>
            </a:extLst>
          </xdr:cNvPr>
          <xdr:cNvCxnSpPr/>
        </xdr:nvCxnSpPr>
        <xdr:spPr>
          <a:xfrm>
            <a:off x="781039" y="5591176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2" name="Straight Arrow Connector 2561">
            <a:extLst>
              <a:ext uri="{FF2B5EF4-FFF2-40B4-BE49-F238E27FC236}">
                <a16:creationId xmlns:a16="http://schemas.microsoft.com/office/drawing/2014/main" id="{F41BE641-BE4E-2A01-EB1F-CC71FD8615CE}"/>
              </a:ext>
            </a:extLst>
          </xdr:cNvPr>
          <xdr:cNvCxnSpPr/>
        </xdr:nvCxnSpPr>
        <xdr:spPr>
          <a:xfrm>
            <a:off x="776271" y="5605464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3" name="Straight Arrow Connector 2562">
            <a:extLst>
              <a:ext uri="{FF2B5EF4-FFF2-40B4-BE49-F238E27FC236}">
                <a16:creationId xmlns:a16="http://schemas.microsoft.com/office/drawing/2014/main" id="{27AEE50C-F5E6-F2BA-FCB2-58DF03197228}"/>
              </a:ext>
            </a:extLst>
          </xdr:cNvPr>
          <xdr:cNvCxnSpPr/>
        </xdr:nvCxnSpPr>
        <xdr:spPr>
          <a:xfrm>
            <a:off x="781037" y="56197520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4" name="Straight Arrow Connector 2563">
            <a:extLst>
              <a:ext uri="{FF2B5EF4-FFF2-40B4-BE49-F238E27FC236}">
                <a16:creationId xmlns:a16="http://schemas.microsoft.com/office/drawing/2014/main" id="{23C42584-5898-FC16-A8E4-E6DEE593407B}"/>
              </a:ext>
            </a:extLst>
          </xdr:cNvPr>
          <xdr:cNvCxnSpPr/>
        </xdr:nvCxnSpPr>
        <xdr:spPr>
          <a:xfrm>
            <a:off x="776269" y="56340394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Straight Connector 2564">
            <a:extLst>
              <a:ext uri="{FF2B5EF4-FFF2-40B4-BE49-F238E27FC236}">
                <a16:creationId xmlns:a16="http://schemas.microsoft.com/office/drawing/2014/main" id="{7DB67AC7-443F-6BDC-EA97-A8AB3B197520}"/>
              </a:ext>
            </a:extLst>
          </xdr:cNvPr>
          <xdr:cNvCxnSpPr/>
        </xdr:nvCxnSpPr>
        <xdr:spPr>
          <a:xfrm>
            <a:off x="776287" y="54768750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6" name="Straight Arrow Connector 2565">
            <a:extLst>
              <a:ext uri="{FF2B5EF4-FFF2-40B4-BE49-F238E27FC236}">
                <a16:creationId xmlns:a16="http://schemas.microsoft.com/office/drawing/2014/main" id="{6B83E73F-243B-F172-35F2-5F74C3D63C14}"/>
              </a:ext>
            </a:extLst>
          </xdr:cNvPr>
          <xdr:cNvCxnSpPr/>
        </xdr:nvCxnSpPr>
        <xdr:spPr>
          <a:xfrm>
            <a:off x="776288" y="5648325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67" name="Oval 2566">
            <a:extLst>
              <a:ext uri="{FF2B5EF4-FFF2-40B4-BE49-F238E27FC236}">
                <a16:creationId xmlns:a16="http://schemas.microsoft.com/office/drawing/2014/main" id="{072D1527-A702-4998-A086-8634EFAB94A0}"/>
              </a:ext>
            </a:extLst>
          </xdr:cNvPr>
          <xdr:cNvSpPr/>
        </xdr:nvSpPr>
        <xdr:spPr>
          <a:xfrm>
            <a:off x="2209801" y="5572601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68" name="Oval 2567">
            <a:extLst>
              <a:ext uri="{FF2B5EF4-FFF2-40B4-BE49-F238E27FC236}">
                <a16:creationId xmlns:a16="http://schemas.microsoft.com/office/drawing/2014/main" id="{3C9B89D2-94EE-4DC9-9C6F-18EC1F59DD34}"/>
              </a:ext>
            </a:extLst>
          </xdr:cNvPr>
          <xdr:cNvSpPr/>
        </xdr:nvSpPr>
        <xdr:spPr>
          <a:xfrm>
            <a:off x="5172075" y="55726013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72" name="Straight Connector 2571">
            <a:extLst>
              <a:ext uri="{FF2B5EF4-FFF2-40B4-BE49-F238E27FC236}">
                <a16:creationId xmlns:a16="http://schemas.microsoft.com/office/drawing/2014/main" id="{C0DB2F39-78D7-4907-A238-3A3B3E2485A1}"/>
              </a:ext>
            </a:extLst>
          </xdr:cNvPr>
          <xdr:cNvCxnSpPr/>
        </xdr:nvCxnSpPr>
        <xdr:spPr>
          <a:xfrm flipH="1">
            <a:off x="5957895" y="547354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3" name="Straight Connector 2572">
            <a:extLst>
              <a:ext uri="{FF2B5EF4-FFF2-40B4-BE49-F238E27FC236}">
                <a16:creationId xmlns:a16="http://schemas.microsoft.com/office/drawing/2014/main" id="{9E279437-AD63-4959-97B6-75BF4C28569A}"/>
              </a:ext>
            </a:extLst>
          </xdr:cNvPr>
          <xdr:cNvCxnSpPr/>
        </xdr:nvCxnSpPr>
        <xdr:spPr>
          <a:xfrm flipH="1">
            <a:off x="5957894" y="5644991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4" name="Straight Connector 2573">
            <a:extLst>
              <a:ext uri="{FF2B5EF4-FFF2-40B4-BE49-F238E27FC236}">
                <a16:creationId xmlns:a16="http://schemas.microsoft.com/office/drawing/2014/main" id="{5E53E6C4-13D3-4662-8524-3EE8E9C0DE4E}"/>
              </a:ext>
            </a:extLst>
          </xdr:cNvPr>
          <xdr:cNvCxnSpPr/>
        </xdr:nvCxnSpPr>
        <xdr:spPr>
          <a:xfrm>
            <a:off x="5338763" y="55768894"/>
            <a:ext cx="690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5" name="Straight Connector 2574">
            <a:extLst>
              <a:ext uri="{FF2B5EF4-FFF2-40B4-BE49-F238E27FC236}">
                <a16:creationId xmlns:a16="http://schemas.microsoft.com/office/drawing/2014/main" id="{65539C27-9006-4D44-B4EF-7AD816170671}"/>
              </a:ext>
            </a:extLst>
          </xdr:cNvPr>
          <xdr:cNvCxnSpPr/>
        </xdr:nvCxnSpPr>
        <xdr:spPr>
          <a:xfrm flipH="1">
            <a:off x="5957895" y="5573555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7" name="Straight Connector 2576">
            <a:extLst>
              <a:ext uri="{FF2B5EF4-FFF2-40B4-BE49-F238E27FC236}">
                <a16:creationId xmlns:a16="http://schemas.microsoft.com/office/drawing/2014/main" id="{72DA5A5A-A0ED-4051-8A19-6D6C1F748DEE}"/>
              </a:ext>
            </a:extLst>
          </xdr:cNvPr>
          <xdr:cNvCxnSpPr/>
        </xdr:nvCxnSpPr>
        <xdr:spPr>
          <a:xfrm flipV="1">
            <a:off x="5991224" y="54702075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0" name="Straight Connector 2579">
            <a:extLst>
              <a:ext uri="{FF2B5EF4-FFF2-40B4-BE49-F238E27FC236}">
                <a16:creationId xmlns:a16="http://schemas.microsoft.com/office/drawing/2014/main" id="{A4B52331-111B-89D2-C08B-82D091183C50}"/>
              </a:ext>
            </a:extLst>
          </xdr:cNvPr>
          <xdr:cNvCxnSpPr/>
        </xdr:nvCxnSpPr>
        <xdr:spPr>
          <a:xfrm>
            <a:off x="6015038" y="55259287"/>
            <a:ext cx="36671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4" name="Straight Connector 2583">
            <a:extLst>
              <a:ext uri="{FF2B5EF4-FFF2-40B4-BE49-F238E27FC236}">
                <a16:creationId xmlns:a16="http://schemas.microsoft.com/office/drawing/2014/main" id="{D3688BAC-D9E2-43C2-AF58-56F8AC38DE8B}"/>
              </a:ext>
            </a:extLst>
          </xdr:cNvPr>
          <xdr:cNvCxnSpPr/>
        </xdr:nvCxnSpPr>
        <xdr:spPr>
          <a:xfrm>
            <a:off x="3724275" y="54340125"/>
            <a:ext cx="184309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7" name="Straight Connector 2636">
            <a:extLst>
              <a:ext uri="{FF2B5EF4-FFF2-40B4-BE49-F238E27FC236}">
                <a16:creationId xmlns:a16="http://schemas.microsoft.com/office/drawing/2014/main" id="{0DE50231-D951-4A69-B53D-25A5757F6019}"/>
              </a:ext>
            </a:extLst>
          </xdr:cNvPr>
          <xdr:cNvCxnSpPr/>
        </xdr:nvCxnSpPr>
        <xdr:spPr>
          <a:xfrm>
            <a:off x="1781175" y="57340498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8" name="Straight Connector 2637">
            <a:extLst>
              <a:ext uri="{FF2B5EF4-FFF2-40B4-BE49-F238E27FC236}">
                <a16:creationId xmlns:a16="http://schemas.microsoft.com/office/drawing/2014/main" id="{B5AD9FDA-52D0-4DB7-BFD5-CC6591585134}"/>
              </a:ext>
            </a:extLst>
          </xdr:cNvPr>
          <xdr:cNvCxnSpPr/>
        </xdr:nvCxnSpPr>
        <xdr:spPr>
          <a:xfrm flipH="1">
            <a:off x="1819276" y="573071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9" name="Straight Connector 2638">
            <a:extLst>
              <a:ext uri="{FF2B5EF4-FFF2-40B4-BE49-F238E27FC236}">
                <a16:creationId xmlns:a16="http://schemas.microsoft.com/office/drawing/2014/main" id="{B8C43DD9-C197-426A-AAA9-34C9F7253E1F}"/>
              </a:ext>
            </a:extLst>
          </xdr:cNvPr>
          <xdr:cNvCxnSpPr/>
        </xdr:nvCxnSpPr>
        <xdr:spPr>
          <a:xfrm flipH="1">
            <a:off x="5548315" y="573071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0" name="Straight Connector 2639">
            <a:extLst>
              <a:ext uri="{FF2B5EF4-FFF2-40B4-BE49-F238E27FC236}">
                <a16:creationId xmlns:a16="http://schemas.microsoft.com/office/drawing/2014/main" id="{22AA7F07-D894-4AC2-9DC8-A824B4DD4FB1}"/>
              </a:ext>
            </a:extLst>
          </xdr:cNvPr>
          <xdr:cNvCxnSpPr/>
        </xdr:nvCxnSpPr>
        <xdr:spPr>
          <a:xfrm>
            <a:off x="2243138" y="55845075"/>
            <a:ext cx="0" cy="1576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1" name="Straight Connector 2640">
            <a:extLst>
              <a:ext uri="{FF2B5EF4-FFF2-40B4-BE49-F238E27FC236}">
                <a16:creationId xmlns:a16="http://schemas.microsoft.com/office/drawing/2014/main" id="{B52158E7-4469-4940-99C3-085DEDB727F5}"/>
              </a:ext>
            </a:extLst>
          </xdr:cNvPr>
          <xdr:cNvCxnSpPr/>
        </xdr:nvCxnSpPr>
        <xdr:spPr>
          <a:xfrm flipH="1">
            <a:off x="2214558" y="573071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3" name="Straight Connector 2642">
            <a:extLst>
              <a:ext uri="{FF2B5EF4-FFF2-40B4-BE49-F238E27FC236}">
                <a16:creationId xmlns:a16="http://schemas.microsoft.com/office/drawing/2014/main" id="{CC3DD4A6-0F3A-4A48-8FBD-C224B0233C24}"/>
              </a:ext>
            </a:extLst>
          </xdr:cNvPr>
          <xdr:cNvCxnSpPr/>
        </xdr:nvCxnSpPr>
        <xdr:spPr>
          <a:xfrm>
            <a:off x="5229233" y="55840315"/>
            <a:ext cx="0" cy="1576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4" name="Straight Connector 2643">
            <a:extLst>
              <a:ext uri="{FF2B5EF4-FFF2-40B4-BE49-F238E27FC236}">
                <a16:creationId xmlns:a16="http://schemas.microsoft.com/office/drawing/2014/main" id="{6E6CE16E-92D9-470C-A864-15DEC72CC286}"/>
              </a:ext>
            </a:extLst>
          </xdr:cNvPr>
          <xdr:cNvCxnSpPr/>
        </xdr:nvCxnSpPr>
        <xdr:spPr>
          <a:xfrm flipH="1">
            <a:off x="5191129" y="5730240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7" name="Straight Connector 2646">
            <a:extLst>
              <a:ext uri="{FF2B5EF4-FFF2-40B4-BE49-F238E27FC236}">
                <a16:creationId xmlns:a16="http://schemas.microsoft.com/office/drawing/2014/main" id="{EA780A4B-9B51-493A-98D4-7D3EBFDBDA4E}"/>
              </a:ext>
            </a:extLst>
          </xdr:cNvPr>
          <xdr:cNvCxnSpPr/>
        </xdr:nvCxnSpPr>
        <xdr:spPr>
          <a:xfrm>
            <a:off x="2590799" y="55859363"/>
            <a:ext cx="0" cy="1338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8" name="Straight Connector 2647">
            <a:extLst>
              <a:ext uri="{FF2B5EF4-FFF2-40B4-BE49-F238E27FC236}">
                <a16:creationId xmlns:a16="http://schemas.microsoft.com/office/drawing/2014/main" id="{E25007E0-0FDD-465A-ADBD-EA991A75B3A6}"/>
              </a:ext>
            </a:extLst>
          </xdr:cNvPr>
          <xdr:cNvCxnSpPr/>
        </xdr:nvCxnSpPr>
        <xdr:spPr>
          <a:xfrm>
            <a:off x="4857748" y="55835550"/>
            <a:ext cx="0" cy="1362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2" name="Straight Connector 2651">
            <a:extLst>
              <a:ext uri="{FF2B5EF4-FFF2-40B4-BE49-F238E27FC236}">
                <a16:creationId xmlns:a16="http://schemas.microsoft.com/office/drawing/2014/main" id="{2A3903AC-E9D6-B8F5-53FD-4D99E85D6F43}"/>
              </a:ext>
            </a:extLst>
          </xdr:cNvPr>
          <xdr:cNvCxnSpPr/>
        </xdr:nvCxnSpPr>
        <xdr:spPr>
          <a:xfrm>
            <a:off x="2590801" y="55335488"/>
            <a:ext cx="0" cy="352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5" name="Straight Connector 2654">
            <a:extLst>
              <a:ext uri="{FF2B5EF4-FFF2-40B4-BE49-F238E27FC236}">
                <a16:creationId xmlns:a16="http://schemas.microsoft.com/office/drawing/2014/main" id="{EF9DD49E-1B8A-40CA-919E-111F36107E15}"/>
              </a:ext>
            </a:extLst>
          </xdr:cNvPr>
          <xdr:cNvCxnSpPr/>
        </xdr:nvCxnSpPr>
        <xdr:spPr>
          <a:xfrm>
            <a:off x="4857752" y="55345012"/>
            <a:ext cx="0" cy="352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3" name="Straight Connector 2662">
            <a:extLst>
              <a:ext uri="{FF2B5EF4-FFF2-40B4-BE49-F238E27FC236}">
                <a16:creationId xmlns:a16="http://schemas.microsoft.com/office/drawing/2014/main" id="{14900A21-2B6F-4D67-8BEC-30F65BF7BF85}"/>
              </a:ext>
            </a:extLst>
          </xdr:cNvPr>
          <xdr:cNvCxnSpPr/>
        </xdr:nvCxnSpPr>
        <xdr:spPr>
          <a:xfrm>
            <a:off x="3724275" y="54911625"/>
            <a:ext cx="0" cy="723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7" name="Straight Connector 2666">
            <a:extLst>
              <a:ext uri="{FF2B5EF4-FFF2-40B4-BE49-F238E27FC236}">
                <a16:creationId xmlns:a16="http://schemas.microsoft.com/office/drawing/2014/main" id="{A815D16E-AA3F-4444-9B29-AFCB7CEF2F55}"/>
              </a:ext>
            </a:extLst>
          </xdr:cNvPr>
          <xdr:cNvCxnSpPr/>
        </xdr:nvCxnSpPr>
        <xdr:spPr>
          <a:xfrm flipH="1">
            <a:off x="3690938" y="5730240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28575</xdr:colOff>
      <xdr:row>980</xdr:row>
      <xdr:rowOff>38100</xdr:rowOff>
    </xdr:from>
    <xdr:to>
      <xdr:col>63</xdr:col>
      <xdr:colOff>0</xdr:colOff>
      <xdr:row>1023</xdr:row>
      <xdr:rowOff>76200</xdr:rowOff>
    </xdr:to>
    <xdr:grpSp>
      <xdr:nvGrpSpPr>
        <xdr:cNvPr id="2669" name="Group 2668">
          <a:extLst>
            <a:ext uri="{FF2B5EF4-FFF2-40B4-BE49-F238E27FC236}">
              <a16:creationId xmlns:a16="http://schemas.microsoft.com/office/drawing/2014/main" id="{D71CD170-3B7C-4C65-A8BD-B76FC23AD75A}"/>
            </a:ext>
          </a:extLst>
        </xdr:cNvPr>
        <xdr:cNvGrpSpPr/>
      </xdr:nvGrpSpPr>
      <xdr:grpSpPr>
        <a:xfrm>
          <a:off x="6019800" y="140531850"/>
          <a:ext cx="4181475" cy="6181725"/>
          <a:chOff x="8296275" y="19850100"/>
          <a:chExt cx="4181475" cy="6181725"/>
        </a:xfrm>
      </xdr:grpSpPr>
      <xdr:sp macro="" textlink="">
        <xdr:nvSpPr>
          <xdr:cNvPr id="2670" name="Arc 2669">
            <a:extLst>
              <a:ext uri="{FF2B5EF4-FFF2-40B4-BE49-F238E27FC236}">
                <a16:creationId xmlns:a16="http://schemas.microsoft.com/office/drawing/2014/main" id="{7358E869-0183-1CDE-F9E6-D3D8F0FE899B}"/>
              </a:ext>
            </a:extLst>
          </xdr:cNvPr>
          <xdr:cNvSpPr/>
        </xdr:nvSpPr>
        <xdr:spPr>
          <a:xfrm>
            <a:off x="8296275" y="19850100"/>
            <a:ext cx="4181475" cy="6181725"/>
          </a:xfrm>
          <a:prstGeom prst="arc">
            <a:avLst>
              <a:gd name="adj1" fmla="val 12953407"/>
              <a:gd name="adj2" fmla="val 1480269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6D6BDB70-4807-D23B-3A76-845077C62861}"/>
              </a:ext>
            </a:extLst>
          </xdr:cNvPr>
          <xdr:cNvSpPr/>
        </xdr:nvSpPr>
        <xdr:spPr>
          <a:xfrm>
            <a:off x="8343896" y="21721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72" name="Isosceles Triangle 2671">
            <a:extLst>
              <a:ext uri="{FF2B5EF4-FFF2-40B4-BE49-F238E27FC236}">
                <a16:creationId xmlns:a16="http://schemas.microsoft.com/office/drawing/2014/main" id="{F57B7F6E-A232-F5B4-96BE-612D1118A5A5}"/>
              </a:ext>
            </a:extLst>
          </xdr:cNvPr>
          <xdr:cNvSpPr/>
        </xdr:nvSpPr>
        <xdr:spPr>
          <a:xfrm>
            <a:off x="8428478" y="21583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73" name="Straight Connector 2672">
            <a:extLst>
              <a:ext uri="{FF2B5EF4-FFF2-40B4-BE49-F238E27FC236}">
                <a16:creationId xmlns:a16="http://schemas.microsoft.com/office/drawing/2014/main" id="{BC5402C6-FE24-0CC0-12D5-351634C0BDAD}"/>
              </a:ext>
            </a:extLst>
          </xdr:cNvPr>
          <xdr:cNvCxnSpPr/>
        </xdr:nvCxnSpPr>
        <xdr:spPr>
          <a:xfrm>
            <a:off x="8334370" y="21716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4" name="Oval 2673">
            <a:extLst>
              <a:ext uri="{FF2B5EF4-FFF2-40B4-BE49-F238E27FC236}">
                <a16:creationId xmlns:a16="http://schemas.microsoft.com/office/drawing/2014/main" id="{D06F9186-0F34-7B61-6024-43E509FEDF99}"/>
              </a:ext>
            </a:extLst>
          </xdr:cNvPr>
          <xdr:cNvSpPr/>
        </xdr:nvSpPr>
        <xdr:spPr>
          <a:xfrm>
            <a:off x="8462957" y="21526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75" name="Straight Arrow Connector 2674">
            <a:extLst>
              <a:ext uri="{FF2B5EF4-FFF2-40B4-BE49-F238E27FC236}">
                <a16:creationId xmlns:a16="http://schemas.microsoft.com/office/drawing/2014/main" id="{05F1FB48-D5DE-651B-EF10-934FFED10CC4}"/>
              </a:ext>
            </a:extLst>
          </xdr:cNvPr>
          <xdr:cNvCxnSpPr/>
        </xdr:nvCxnSpPr>
        <xdr:spPr>
          <a:xfrm flipV="1">
            <a:off x="9282112" y="20107275"/>
            <a:ext cx="290513" cy="21431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6" name="Straight Arrow Connector 2675">
            <a:extLst>
              <a:ext uri="{FF2B5EF4-FFF2-40B4-BE49-F238E27FC236}">
                <a16:creationId xmlns:a16="http://schemas.microsoft.com/office/drawing/2014/main" id="{32C2338A-071D-B69A-2C07-35080A701CB9}"/>
              </a:ext>
            </a:extLst>
          </xdr:cNvPr>
          <xdr:cNvCxnSpPr/>
        </xdr:nvCxnSpPr>
        <xdr:spPr>
          <a:xfrm>
            <a:off x="9182100" y="20212049"/>
            <a:ext cx="218135" cy="252414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7" name="Arc 2676">
            <a:extLst>
              <a:ext uri="{FF2B5EF4-FFF2-40B4-BE49-F238E27FC236}">
                <a16:creationId xmlns:a16="http://schemas.microsoft.com/office/drawing/2014/main" id="{B5B831FE-57EE-3077-CC59-40C9FCF4C496}"/>
              </a:ext>
            </a:extLst>
          </xdr:cNvPr>
          <xdr:cNvSpPr/>
        </xdr:nvSpPr>
        <xdr:spPr>
          <a:xfrm rot="787210">
            <a:off x="8972550" y="20164424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78" name="TextBox 2677">
            <a:extLst>
              <a:ext uri="{FF2B5EF4-FFF2-40B4-BE49-F238E27FC236}">
                <a16:creationId xmlns:a16="http://schemas.microsoft.com/office/drawing/2014/main" id="{AE20E05B-CAA3-0397-AABD-A0C3E238D662}"/>
              </a:ext>
            </a:extLst>
          </xdr:cNvPr>
          <xdr:cNvSpPr txBox="1"/>
        </xdr:nvSpPr>
        <xdr:spPr>
          <a:xfrm>
            <a:off x="9486901" y="19950112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2679" name="TextBox 2678">
            <a:extLst>
              <a:ext uri="{FF2B5EF4-FFF2-40B4-BE49-F238E27FC236}">
                <a16:creationId xmlns:a16="http://schemas.microsoft.com/office/drawing/2014/main" id="{2C6E447F-8F48-CCDF-2B45-5CEE3F4EED15}"/>
              </a:ext>
            </a:extLst>
          </xdr:cNvPr>
          <xdr:cNvSpPr txBox="1"/>
        </xdr:nvSpPr>
        <xdr:spPr>
          <a:xfrm>
            <a:off x="9115426" y="199263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2680" name="TextBox 2679">
            <a:extLst>
              <a:ext uri="{FF2B5EF4-FFF2-40B4-BE49-F238E27FC236}">
                <a16:creationId xmlns:a16="http://schemas.microsoft.com/office/drawing/2014/main" id="{6BEB1D07-9C34-5056-CE0D-3F6D1562F745}"/>
              </a:ext>
            </a:extLst>
          </xdr:cNvPr>
          <xdr:cNvSpPr txBox="1"/>
        </xdr:nvSpPr>
        <xdr:spPr>
          <a:xfrm>
            <a:off x="9201150" y="20440649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36</xdr:col>
      <xdr:colOff>104775</xdr:colOff>
      <xdr:row>998</xdr:row>
      <xdr:rowOff>66675</xdr:rowOff>
    </xdr:from>
    <xdr:to>
      <xdr:col>38</xdr:col>
      <xdr:colOff>66675</xdr:colOff>
      <xdr:row>998</xdr:row>
      <xdr:rowOff>66675</xdr:rowOff>
    </xdr:to>
    <xdr:cxnSp macro="">
      <xdr:nvCxnSpPr>
        <xdr:cNvPr id="2683" name="Straight Arrow Connector 2682">
          <a:extLst>
            <a:ext uri="{FF2B5EF4-FFF2-40B4-BE49-F238E27FC236}">
              <a16:creationId xmlns:a16="http://schemas.microsoft.com/office/drawing/2014/main" id="{92CF38C5-EB57-4503-8071-802720FA7020}"/>
            </a:ext>
          </a:extLst>
        </xdr:cNvPr>
        <xdr:cNvCxnSpPr/>
      </xdr:nvCxnSpPr>
      <xdr:spPr>
        <a:xfrm>
          <a:off x="5934075" y="59407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999</xdr:row>
      <xdr:rowOff>66675</xdr:rowOff>
    </xdr:from>
    <xdr:to>
      <xdr:col>23</xdr:col>
      <xdr:colOff>38100</xdr:colOff>
      <xdr:row>999</xdr:row>
      <xdr:rowOff>66675</xdr:rowOff>
    </xdr:to>
    <xdr:cxnSp macro="">
      <xdr:nvCxnSpPr>
        <xdr:cNvPr id="2684" name="Straight Arrow Connector 2683">
          <a:extLst>
            <a:ext uri="{FF2B5EF4-FFF2-40B4-BE49-F238E27FC236}">
              <a16:creationId xmlns:a16="http://schemas.microsoft.com/office/drawing/2014/main" id="{2EF38E23-E9AB-458A-B91A-8BCC53C03875}"/>
            </a:ext>
          </a:extLst>
        </xdr:cNvPr>
        <xdr:cNvCxnSpPr/>
      </xdr:nvCxnSpPr>
      <xdr:spPr>
        <a:xfrm>
          <a:off x="3476625" y="59550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1000</xdr:row>
      <xdr:rowOff>66675</xdr:rowOff>
    </xdr:from>
    <xdr:to>
      <xdr:col>14</xdr:col>
      <xdr:colOff>66675</xdr:colOff>
      <xdr:row>1000</xdr:row>
      <xdr:rowOff>66675</xdr:rowOff>
    </xdr:to>
    <xdr:cxnSp macro="">
      <xdr:nvCxnSpPr>
        <xdr:cNvPr id="2685" name="Straight Arrow Connector 2684">
          <a:extLst>
            <a:ext uri="{FF2B5EF4-FFF2-40B4-BE49-F238E27FC236}">
              <a16:creationId xmlns:a16="http://schemas.microsoft.com/office/drawing/2014/main" id="{E5E71207-6B9B-45A2-870A-D3CE8AE0542F}"/>
            </a:ext>
          </a:extLst>
        </xdr:cNvPr>
        <xdr:cNvCxnSpPr/>
      </xdr:nvCxnSpPr>
      <xdr:spPr>
        <a:xfrm>
          <a:off x="2047875" y="59693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1001</xdr:row>
      <xdr:rowOff>66675</xdr:rowOff>
    </xdr:from>
    <xdr:to>
      <xdr:col>26</xdr:col>
      <xdr:colOff>66675</xdr:colOff>
      <xdr:row>1001</xdr:row>
      <xdr:rowOff>66675</xdr:rowOff>
    </xdr:to>
    <xdr:cxnSp macro="">
      <xdr:nvCxnSpPr>
        <xdr:cNvPr id="2686" name="Straight Arrow Connector 2685">
          <a:extLst>
            <a:ext uri="{FF2B5EF4-FFF2-40B4-BE49-F238E27FC236}">
              <a16:creationId xmlns:a16="http://schemas.microsoft.com/office/drawing/2014/main" id="{A4093E4F-322C-4980-B832-650F67D1C089}"/>
            </a:ext>
          </a:extLst>
        </xdr:cNvPr>
        <xdr:cNvCxnSpPr/>
      </xdr:nvCxnSpPr>
      <xdr:spPr>
        <a:xfrm>
          <a:off x="3990975" y="598360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128569</xdr:colOff>
      <xdr:row>966</xdr:row>
      <xdr:rowOff>138113</xdr:rowOff>
    </xdr:from>
    <xdr:to>
      <xdr:col>39</xdr:col>
      <xdr:colOff>76200</xdr:colOff>
      <xdr:row>1013</xdr:row>
      <xdr:rowOff>47625</xdr:rowOff>
    </xdr:to>
    <xdr:grpSp>
      <xdr:nvGrpSpPr>
        <xdr:cNvPr id="2802" name="Group 2801">
          <a:extLst>
            <a:ext uri="{FF2B5EF4-FFF2-40B4-BE49-F238E27FC236}">
              <a16:creationId xmlns:a16="http://schemas.microsoft.com/office/drawing/2014/main" id="{B708DAF4-DFE8-B2D7-9148-50662F2E4D65}"/>
            </a:ext>
          </a:extLst>
        </xdr:cNvPr>
        <xdr:cNvGrpSpPr/>
      </xdr:nvGrpSpPr>
      <xdr:grpSpPr>
        <a:xfrm>
          <a:off x="776269" y="138631613"/>
          <a:ext cx="5615006" cy="6624637"/>
          <a:chOff x="776269" y="127201613"/>
          <a:chExt cx="5615006" cy="6624637"/>
        </a:xfrm>
      </xdr:grpSpPr>
      <xdr:cxnSp macro="">
        <xdr:nvCxnSpPr>
          <xdr:cNvPr id="2668" name="Straight Connector 2667">
            <a:extLst>
              <a:ext uri="{FF2B5EF4-FFF2-40B4-BE49-F238E27FC236}">
                <a16:creationId xmlns:a16="http://schemas.microsoft.com/office/drawing/2014/main" id="{9E3270D8-F339-4F96-BEC1-91BC0DE76FA3}"/>
              </a:ext>
            </a:extLst>
          </xdr:cNvPr>
          <xdr:cNvCxnSpPr/>
        </xdr:nvCxnSpPr>
        <xdr:spPr>
          <a:xfrm>
            <a:off x="2252663" y="128635127"/>
            <a:ext cx="2957512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87" name="Arc 2686">
            <a:extLst>
              <a:ext uri="{FF2B5EF4-FFF2-40B4-BE49-F238E27FC236}">
                <a16:creationId xmlns:a16="http://schemas.microsoft.com/office/drawing/2014/main" id="{D91590D2-2E8D-48E5-9834-427C02519E15}"/>
              </a:ext>
            </a:extLst>
          </xdr:cNvPr>
          <xdr:cNvSpPr/>
        </xdr:nvSpPr>
        <xdr:spPr>
          <a:xfrm>
            <a:off x="1638300" y="127644525"/>
            <a:ext cx="4181475" cy="6181725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D21F5914-2841-403A-9CAF-D3E765B2B411}"/>
              </a:ext>
            </a:extLst>
          </xdr:cNvPr>
          <xdr:cNvSpPr/>
        </xdr:nvSpPr>
        <xdr:spPr>
          <a:xfrm>
            <a:off x="1704971" y="1294971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89" name="Isosceles Triangle 2688">
            <a:extLst>
              <a:ext uri="{FF2B5EF4-FFF2-40B4-BE49-F238E27FC236}">
                <a16:creationId xmlns:a16="http://schemas.microsoft.com/office/drawing/2014/main" id="{A72595C1-1906-4F74-BD8F-98A72DF0B1FB}"/>
              </a:ext>
            </a:extLst>
          </xdr:cNvPr>
          <xdr:cNvSpPr/>
        </xdr:nvSpPr>
        <xdr:spPr>
          <a:xfrm>
            <a:off x="1789553" y="1293590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90" name="Straight Connector 2689">
            <a:extLst>
              <a:ext uri="{FF2B5EF4-FFF2-40B4-BE49-F238E27FC236}">
                <a16:creationId xmlns:a16="http://schemas.microsoft.com/office/drawing/2014/main" id="{0E089255-6FA8-4D9B-91FA-35C17CA4C91B}"/>
              </a:ext>
            </a:extLst>
          </xdr:cNvPr>
          <xdr:cNvCxnSpPr/>
        </xdr:nvCxnSpPr>
        <xdr:spPr>
          <a:xfrm>
            <a:off x="1695445" y="1294923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1" name="Oval 2690">
            <a:extLst>
              <a:ext uri="{FF2B5EF4-FFF2-40B4-BE49-F238E27FC236}">
                <a16:creationId xmlns:a16="http://schemas.microsoft.com/office/drawing/2014/main" id="{AD31F630-469E-4BD7-8374-F3D7E074DC4F}"/>
              </a:ext>
            </a:extLst>
          </xdr:cNvPr>
          <xdr:cNvSpPr/>
        </xdr:nvSpPr>
        <xdr:spPr>
          <a:xfrm>
            <a:off x="1824032" y="1293018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92" name="Straight Arrow Connector 2691">
            <a:extLst>
              <a:ext uri="{FF2B5EF4-FFF2-40B4-BE49-F238E27FC236}">
                <a16:creationId xmlns:a16="http://schemas.microsoft.com/office/drawing/2014/main" id="{75BE7275-D63B-4DD6-B258-224042AE2489}"/>
              </a:ext>
            </a:extLst>
          </xdr:cNvPr>
          <xdr:cNvCxnSpPr/>
        </xdr:nvCxnSpPr>
        <xdr:spPr>
          <a:xfrm flipV="1">
            <a:off x="1857370" y="12963525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F60E35A6-D3C4-4293-A255-A59791F8F632}"/>
              </a:ext>
            </a:extLst>
          </xdr:cNvPr>
          <xdr:cNvSpPr/>
        </xdr:nvSpPr>
        <xdr:spPr>
          <a:xfrm>
            <a:off x="5434022" y="129492387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94" name="Isosceles Triangle 2693">
            <a:extLst>
              <a:ext uri="{FF2B5EF4-FFF2-40B4-BE49-F238E27FC236}">
                <a16:creationId xmlns:a16="http://schemas.microsoft.com/office/drawing/2014/main" id="{7C8E2DF3-7A91-4D9C-9C20-D5EA46D907D8}"/>
              </a:ext>
            </a:extLst>
          </xdr:cNvPr>
          <xdr:cNvSpPr/>
        </xdr:nvSpPr>
        <xdr:spPr>
          <a:xfrm>
            <a:off x="5534042" y="129343772"/>
            <a:ext cx="123808" cy="10673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95" name="Straight Connector 2694">
            <a:extLst>
              <a:ext uri="{FF2B5EF4-FFF2-40B4-BE49-F238E27FC236}">
                <a16:creationId xmlns:a16="http://schemas.microsoft.com/office/drawing/2014/main" id="{73AF43A0-AFB7-4E3A-BDB3-B11C1606B4C2}"/>
              </a:ext>
            </a:extLst>
          </xdr:cNvPr>
          <xdr:cNvCxnSpPr/>
        </xdr:nvCxnSpPr>
        <xdr:spPr>
          <a:xfrm>
            <a:off x="5424496" y="129487623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6" name="Oval 2695">
            <a:extLst>
              <a:ext uri="{FF2B5EF4-FFF2-40B4-BE49-F238E27FC236}">
                <a16:creationId xmlns:a16="http://schemas.microsoft.com/office/drawing/2014/main" id="{46C3567A-6810-4565-A17D-B2F682533F79}"/>
              </a:ext>
            </a:extLst>
          </xdr:cNvPr>
          <xdr:cNvSpPr/>
        </xdr:nvSpPr>
        <xdr:spPr>
          <a:xfrm>
            <a:off x="5553083" y="12929712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97" name="Straight Arrow Connector 2696">
            <a:extLst>
              <a:ext uri="{FF2B5EF4-FFF2-40B4-BE49-F238E27FC236}">
                <a16:creationId xmlns:a16="http://schemas.microsoft.com/office/drawing/2014/main" id="{A72C59CB-C35D-4EE2-AD97-E70F8EEBA5B4}"/>
              </a:ext>
            </a:extLst>
          </xdr:cNvPr>
          <xdr:cNvCxnSpPr/>
        </xdr:nvCxnSpPr>
        <xdr:spPr>
          <a:xfrm flipV="1">
            <a:off x="5586421" y="129630499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8" name="Oval 2697">
            <a:extLst>
              <a:ext uri="{FF2B5EF4-FFF2-40B4-BE49-F238E27FC236}">
                <a16:creationId xmlns:a16="http://schemas.microsoft.com/office/drawing/2014/main" id="{2155A51B-6B77-4168-8CFE-BFDC4D5DDB80}"/>
              </a:ext>
            </a:extLst>
          </xdr:cNvPr>
          <xdr:cNvSpPr/>
        </xdr:nvSpPr>
        <xdr:spPr>
          <a:xfrm>
            <a:off x="3681413" y="1276016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99" name="Straight Connector 2698">
            <a:extLst>
              <a:ext uri="{FF2B5EF4-FFF2-40B4-BE49-F238E27FC236}">
                <a16:creationId xmlns:a16="http://schemas.microsoft.com/office/drawing/2014/main" id="{D686B3F2-46C9-4043-8E00-554C75295846}"/>
              </a:ext>
            </a:extLst>
          </xdr:cNvPr>
          <xdr:cNvCxnSpPr/>
        </xdr:nvCxnSpPr>
        <xdr:spPr>
          <a:xfrm>
            <a:off x="1876422" y="127492125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0" name="Straight Arrow Connector 2699">
            <a:extLst>
              <a:ext uri="{FF2B5EF4-FFF2-40B4-BE49-F238E27FC236}">
                <a16:creationId xmlns:a16="http://schemas.microsoft.com/office/drawing/2014/main" id="{271847DE-762B-4876-B6C6-6273BBC1C369}"/>
              </a:ext>
            </a:extLst>
          </xdr:cNvPr>
          <xdr:cNvCxnSpPr/>
        </xdr:nvCxnSpPr>
        <xdr:spPr>
          <a:xfrm>
            <a:off x="1876418" y="127301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1" name="Straight Arrow Connector 2700">
            <a:extLst>
              <a:ext uri="{FF2B5EF4-FFF2-40B4-BE49-F238E27FC236}">
                <a16:creationId xmlns:a16="http://schemas.microsoft.com/office/drawing/2014/main" id="{325058DF-FCC2-4F1C-A86D-248864DECD13}"/>
              </a:ext>
            </a:extLst>
          </xdr:cNvPr>
          <xdr:cNvCxnSpPr/>
        </xdr:nvCxnSpPr>
        <xdr:spPr>
          <a:xfrm>
            <a:off x="2105017" y="127301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2" name="Straight Arrow Connector 2701">
            <a:extLst>
              <a:ext uri="{FF2B5EF4-FFF2-40B4-BE49-F238E27FC236}">
                <a16:creationId xmlns:a16="http://schemas.microsoft.com/office/drawing/2014/main" id="{4A60EC22-C7F4-41B6-8CA8-A77E4DB44606}"/>
              </a:ext>
            </a:extLst>
          </xdr:cNvPr>
          <xdr:cNvCxnSpPr/>
        </xdr:nvCxnSpPr>
        <xdr:spPr>
          <a:xfrm>
            <a:off x="2266943" y="127301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3" name="Straight Arrow Connector 2702">
            <a:extLst>
              <a:ext uri="{FF2B5EF4-FFF2-40B4-BE49-F238E27FC236}">
                <a16:creationId xmlns:a16="http://schemas.microsoft.com/office/drawing/2014/main" id="{138D6BA4-EFC6-4D08-878E-DD033B4DFB02}"/>
              </a:ext>
            </a:extLst>
          </xdr:cNvPr>
          <xdr:cNvCxnSpPr/>
        </xdr:nvCxnSpPr>
        <xdr:spPr>
          <a:xfrm>
            <a:off x="2428862" y="127301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4" name="Straight Arrow Connector 2703">
            <a:extLst>
              <a:ext uri="{FF2B5EF4-FFF2-40B4-BE49-F238E27FC236}">
                <a16:creationId xmlns:a16="http://schemas.microsoft.com/office/drawing/2014/main" id="{5AEAFCD0-FD97-47F8-AB5A-CF5B5F267618}"/>
              </a:ext>
            </a:extLst>
          </xdr:cNvPr>
          <xdr:cNvCxnSpPr/>
        </xdr:nvCxnSpPr>
        <xdr:spPr>
          <a:xfrm>
            <a:off x="2590793" y="127301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5" name="Straight Arrow Connector 2704">
            <a:extLst>
              <a:ext uri="{FF2B5EF4-FFF2-40B4-BE49-F238E27FC236}">
                <a16:creationId xmlns:a16="http://schemas.microsoft.com/office/drawing/2014/main" id="{2DB10382-E8EC-4B1B-BD92-53F11FC645D3}"/>
              </a:ext>
            </a:extLst>
          </xdr:cNvPr>
          <xdr:cNvCxnSpPr/>
        </xdr:nvCxnSpPr>
        <xdr:spPr>
          <a:xfrm>
            <a:off x="2752719" y="127301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6" name="Straight Arrow Connector 2705">
            <a:extLst>
              <a:ext uri="{FF2B5EF4-FFF2-40B4-BE49-F238E27FC236}">
                <a16:creationId xmlns:a16="http://schemas.microsoft.com/office/drawing/2014/main" id="{5AC89298-AB2E-45D1-B043-6D125BF8A41D}"/>
              </a:ext>
            </a:extLst>
          </xdr:cNvPr>
          <xdr:cNvCxnSpPr/>
        </xdr:nvCxnSpPr>
        <xdr:spPr>
          <a:xfrm>
            <a:off x="2914638" y="127301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7" name="Straight Arrow Connector 2706">
            <a:extLst>
              <a:ext uri="{FF2B5EF4-FFF2-40B4-BE49-F238E27FC236}">
                <a16:creationId xmlns:a16="http://schemas.microsoft.com/office/drawing/2014/main" id="{921E773B-1258-4879-BE5B-3F3F08EAF9BD}"/>
              </a:ext>
            </a:extLst>
          </xdr:cNvPr>
          <xdr:cNvCxnSpPr/>
        </xdr:nvCxnSpPr>
        <xdr:spPr>
          <a:xfrm>
            <a:off x="3076575" y="127301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8" name="Straight Arrow Connector 2707">
            <a:extLst>
              <a:ext uri="{FF2B5EF4-FFF2-40B4-BE49-F238E27FC236}">
                <a16:creationId xmlns:a16="http://schemas.microsoft.com/office/drawing/2014/main" id="{1C90EB22-DC5C-4570-86BC-2CAB6CE6DBD7}"/>
              </a:ext>
            </a:extLst>
          </xdr:cNvPr>
          <xdr:cNvCxnSpPr/>
        </xdr:nvCxnSpPr>
        <xdr:spPr>
          <a:xfrm>
            <a:off x="3238501" y="127301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9" name="Straight Arrow Connector 2708">
            <a:extLst>
              <a:ext uri="{FF2B5EF4-FFF2-40B4-BE49-F238E27FC236}">
                <a16:creationId xmlns:a16="http://schemas.microsoft.com/office/drawing/2014/main" id="{923A9F09-0477-45F0-98B1-DC4E983850D2}"/>
              </a:ext>
            </a:extLst>
          </xdr:cNvPr>
          <xdr:cNvCxnSpPr/>
        </xdr:nvCxnSpPr>
        <xdr:spPr>
          <a:xfrm>
            <a:off x="3400420" y="127301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0" name="Straight Arrow Connector 2709">
            <a:extLst>
              <a:ext uri="{FF2B5EF4-FFF2-40B4-BE49-F238E27FC236}">
                <a16:creationId xmlns:a16="http://schemas.microsoft.com/office/drawing/2014/main" id="{B8252D1D-192F-4677-B0F5-608FCD7B440F}"/>
              </a:ext>
            </a:extLst>
          </xdr:cNvPr>
          <xdr:cNvCxnSpPr/>
        </xdr:nvCxnSpPr>
        <xdr:spPr>
          <a:xfrm>
            <a:off x="3562351" y="127301627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1" name="Straight Arrow Connector 2710">
            <a:extLst>
              <a:ext uri="{FF2B5EF4-FFF2-40B4-BE49-F238E27FC236}">
                <a16:creationId xmlns:a16="http://schemas.microsoft.com/office/drawing/2014/main" id="{46A5055A-09B0-4267-BC7D-AC93A3F039E8}"/>
              </a:ext>
            </a:extLst>
          </xdr:cNvPr>
          <xdr:cNvCxnSpPr/>
        </xdr:nvCxnSpPr>
        <xdr:spPr>
          <a:xfrm>
            <a:off x="3724277" y="127206375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2" name="Straight Arrow Connector 2711">
            <a:extLst>
              <a:ext uri="{FF2B5EF4-FFF2-40B4-BE49-F238E27FC236}">
                <a16:creationId xmlns:a16="http://schemas.microsoft.com/office/drawing/2014/main" id="{1D12154C-E353-40C0-8E48-DBCF4097E562}"/>
              </a:ext>
            </a:extLst>
          </xdr:cNvPr>
          <xdr:cNvCxnSpPr/>
        </xdr:nvCxnSpPr>
        <xdr:spPr>
          <a:xfrm>
            <a:off x="3886196" y="127206375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3" name="Straight Arrow Connector 2712">
            <a:extLst>
              <a:ext uri="{FF2B5EF4-FFF2-40B4-BE49-F238E27FC236}">
                <a16:creationId xmlns:a16="http://schemas.microsoft.com/office/drawing/2014/main" id="{05902798-4597-44B2-BFF9-6B73024D39ED}"/>
              </a:ext>
            </a:extLst>
          </xdr:cNvPr>
          <xdr:cNvCxnSpPr/>
        </xdr:nvCxnSpPr>
        <xdr:spPr>
          <a:xfrm>
            <a:off x="4048125" y="127211138"/>
            <a:ext cx="0" cy="2762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4" name="Straight Arrow Connector 2713">
            <a:extLst>
              <a:ext uri="{FF2B5EF4-FFF2-40B4-BE49-F238E27FC236}">
                <a16:creationId xmlns:a16="http://schemas.microsoft.com/office/drawing/2014/main" id="{B2D5900E-E617-47CF-82D3-4B6D9F9C0D53}"/>
              </a:ext>
            </a:extLst>
          </xdr:cNvPr>
          <xdr:cNvCxnSpPr/>
        </xdr:nvCxnSpPr>
        <xdr:spPr>
          <a:xfrm>
            <a:off x="4210051" y="127211138"/>
            <a:ext cx="0" cy="2762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5" name="Straight Arrow Connector 2714">
            <a:extLst>
              <a:ext uri="{FF2B5EF4-FFF2-40B4-BE49-F238E27FC236}">
                <a16:creationId xmlns:a16="http://schemas.microsoft.com/office/drawing/2014/main" id="{904491D3-DD88-44B1-8427-FA4ED4710000}"/>
              </a:ext>
            </a:extLst>
          </xdr:cNvPr>
          <xdr:cNvCxnSpPr/>
        </xdr:nvCxnSpPr>
        <xdr:spPr>
          <a:xfrm>
            <a:off x="4371970" y="127211138"/>
            <a:ext cx="0" cy="2762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6" name="Straight Arrow Connector 2715">
            <a:extLst>
              <a:ext uri="{FF2B5EF4-FFF2-40B4-BE49-F238E27FC236}">
                <a16:creationId xmlns:a16="http://schemas.microsoft.com/office/drawing/2014/main" id="{A6A7741E-74D5-4B57-BED5-D98B47910C53}"/>
              </a:ext>
            </a:extLst>
          </xdr:cNvPr>
          <xdr:cNvCxnSpPr/>
        </xdr:nvCxnSpPr>
        <xdr:spPr>
          <a:xfrm>
            <a:off x="4533901" y="127211138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7" name="Straight Arrow Connector 2716">
            <a:extLst>
              <a:ext uri="{FF2B5EF4-FFF2-40B4-BE49-F238E27FC236}">
                <a16:creationId xmlns:a16="http://schemas.microsoft.com/office/drawing/2014/main" id="{501B4586-E9C0-49D7-917D-731A52635C77}"/>
              </a:ext>
            </a:extLst>
          </xdr:cNvPr>
          <xdr:cNvCxnSpPr/>
        </xdr:nvCxnSpPr>
        <xdr:spPr>
          <a:xfrm>
            <a:off x="4695827" y="12720637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8" name="Straight Arrow Connector 2717">
            <a:extLst>
              <a:ext uri="{FF2B5EF4-FFF2-40B4-BE49-F238E27FC236}">
                <a16:creationId xmlns:a16="http://schemas.microsoft.com/office/drawing/2014/main" id="{0D8B44D7-8C9B-4921-B608-68C8F0AB5B1C}"/>
              </a:ext>
            </a:extLst>
          </xdr:cNvPr>
          <xdr:cNvCxnSpPr/>
        </xdr:nvCxnSpPr>
        <xdr:spPr>
          <a:xfrm>
            <a:off x="4857746" y="12720637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9" name="Straight Arrow Connector 2718">
            <a:extLst>
              <a:ext uri="{FF2B5EF4-FFF2-40B4-BE49-F238E27FC236}">
                <a16:creationId xmlns:a16="http://schemas.microsoft.com/office/drawing/2014/main" id="{8FED7E28-7A77-4E9D-937C-A7141B1558CF}"/>
              </a:ext>
            </a:extLst>
          </xdr:cNvPr>
          <xdr:cNvCxnSpPr/>
        </xdr:nvCxnSpPr>
        <xdr:spPr>
          <a:xfrm>
            <a:off x="5019683" y="12720637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0" name="Straight Arrow Connector 2719">
            <a:extLst>
              <a:ext uri="{FF2B5EF4-FFF2-40B4-BE49-F238E27FC236}">
                <a16:creationId xmlns:a16="http://schemas.microsoft.com/office/drawing/2014/main" id="{1F963D45-A206-43CA-B40C-7019BBDE1CEC}"/>
              </a:ext>
            </a:extLst>
          </xdr:cNvPr>
          <xdr:cNvCxnSpPr/>
        </xdr:nvCxnSpPr>
        <xdr:spPr>
          <a:xfrm>
            <a:off x="5181609" y="12720637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1" name="Straight Arrow Connector 2720">
            <a:extLst>
              <a:ext uri="{FF2B5EF4-FFF2-40B4-BE49-F238E27FC236}">
                <a16:creationId xmlns:a16="http://schemas.microsoft.com/office/drawing/2014/main" id="{B3079ED3-A181-41A8-B0A6-B14BC4F06E56}"/>
              </a:ext>
            </a:extLst>
          </xdr:cNvPr>
          <xdr:cNvCxnSpPr/>
        </xdr:nvCxnSpPr>
        <xdr:spPr>
          <a:xfrm>
            <a:off x="5343528" y="12720637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2" name="Straight Arrow Connector 2721">
            <a:extLst>
              <a:ext uri="{FF2B5EF4-FFF2-40B4-BE49-F238E27FC236}">
                <a16:creationId xmlns:a16="http://schemas.microsoft.com/office/drawing/2014/main" id="{2A1BCAC4-FCD1-4E62-939F-9177A41C01CA}"/>
              </a:ext>
            </a:extLst>
          </xdr:cNvPr>
          <xdr:cNvCxnSpPr/>
        </xdr:nvCxnSpPr>
        <xdr:spPr>
          <a:xfrm>
            <a:off x="5572141" y="127201613"/>
            <a:ext cx="0" cy="28575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3" name="Straight Connector 2722">
            <a:extLst>
              <a:ext uri="{FF2B5EF4-FFF2-40B4-BE49-F238E27FC236}">
                <a16:creationId xmlns:a16="http://schemas.microsoft.com/office/drawing/2014/main" id="{283D0555-FA34-4B23-986D-6A276688B752}"/>
              </a:ext>
            </a:extLst>
          </xdr:cNvPr>
          <xdr:cNvCxnSpPr/>
        </xdr:nvCxnSpPr>
        <xdr:spPr>
          <a:xfrm>
            <a:off x="1876420" y="127301619"/>
            <a:ext cx="184309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4" name="Straight Connector 2723">
            <a:extLst>
              <a:ext uri="{FF2B5EF4-FFF2-40B4-BE49-F238E27FC236}">
                <a16:creationId xmlns:a16="http://schemas.microsoft.com/office/drawing/2014/main" id="{DABE2866-1DE5-4B2A-BC92-4774C34E5244}"/>
              </a:ext>
            </a:extLst>
          </xdr:cNvPr>
          <xdr:cNvCxnSpPr/>
        </xdr:nvCxnSpPr>
        <xdr:spPr>
          <a:xfrm>
            <a:off x="1857375" y="130082925"/>
            <a:ext cx="0" cy="77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5" name="Straight Connector 2724">
            <a:extLst>
              <a:ext uri="{FF2B5EF4-FFF2-40B4-BE49-F238E27FC236}">
                <a16:creationId xmlns:a16="http://schemas.microsoft.com/office/drawing/2014/main" id="{C4955476-E230-49EF-B016-CEC77E1FA4B9}"/>
              </a:ext>
            </a:extLst>
          </xdr:cNvPr>
          <xdr:cNvCxnSpPr/>
        </xdr:nvCxnSpPr>
        <xdr:spPr>
          <a:xfrm>
            <a:off x="1781174" y="130492499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6" name="Straight Connector 2725">
            <a:extLst>
              <a:ext uri="{FF2B5EF4-FFF2-40B4-BE49-F238E27FC236}">
                <a16:creationId xmlns:a16="http://schemas.microsoft.com/office/drawing/2014/main" id="{C1AF6252-8BC0-44EA-8D13-2A4BBC6753C7}"/>
              </a:ext>
            </a:extLst>
          </xdr:cNvPr>
          <xdr:cNvCxnSpPr/>
        </xdr:nvCxnSpPr>
        <xdr:spPr>
          <a:xfrm flipH="1">
            <a:off x="1819275" y="130459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7" name="Straight Connector 2726">
            <a:extLst>
              <a:ext uri="{FF2B5EF4-FFF2-40B4-BE49-F238E27FC236}">
                <a16:creationId xmlns:a16="http://schemas.microsoft.com/office/drawing/2014/main" id="{6A2E2F2B-0443-4870-BB1D-E3C0173C105A}"/>
              </a:ext>
            </a:extLst>
          </xdr:cNvPr>
          <xdr:cNvCxnSpPr/>
        </xdr:nvCxnSpPr>
        <xdr:spPr>
          <a:xfrm>
            <a:off x="1781170" y="130778253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8" name="Straight Connector 2727">
            <a:extLst>
              <a:ext uri="{FF2B5EF4-FFF2-40B4-BE49-F238E27FC236}">
                <a16:creationId xmlns:a16="http://schemas.microsoft.com/office/drawing/2014/main" id="{88E93579-490C-4374-88E5-FA264BBB3AD3}"/>
              </a:ext>
            </a:extLst>
          </xdr:cNvPr>
          <xdr:cNvCxnSpPr/>
        </xdr:nvCxnSpPr>
        <xdr:spPr>
          <a:xfrm flipH="1">
            <a:off x="1819271" y="1307449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9" name="Straight Connector 2728">
            <a:extLst>
              <a:ext uri="{FF2B5EF4-FFF2-40B4-BE49-F238E27FC236}">
                <a16:creationId xmlns:a16="http://schemas.microsoft.com/office/drawing/2014/main" id="{C58D6E86-3DB4-439C-A99E-D3A7D54681AA}"/>
              </a:ext>
            </a:extLst>
          </xdr:cNvPr>
          <xdr:cNvCxnSpPr/>
        </xdr:nvCxnSpPr>
        <xdr:spPr>
          <a:xfrm>
            <a:off x="5586414" y="130054350"/>
            <a:ext cx="0" cy="8048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0" name="Straight Connector 2729">
            <a:extLst>
              <a:ext uri="{FF2B5EF4-FFF2-40B4-BE49-F238E27FC236}">
                <a16:creationId xmlns:a16="http://schemas.microsoft.com/office/drawing/2014/main" id="{38C74A3F-EC29-457B-970D-F18F93355B58}"/>
              </a:ext>
            </a:extLst>
          </xdr:cNvPr>
          <xdr:cNvCxnSpPr/>
        </xdr:nvCxnSpPr>
        <xdr:spPr>
          <a:xfrm flipH="1">
            <a:off x="5548314" y="13045916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1" name="Straight Connector 2730">
            <a:extLst>
              <a:ext uri="{FF2B5EF4-FFF2-40B4-BE49-F238E27FC236}">
                <a16:creationId xmlns:a16="http://schemas.microsoft.com/office/drawing/2014/main" id="{914712D1-6F44-4C91-AC4C-B7E089DD23E4}"/>
              </a:ext>
            </a:extLst>
          </xdr:cNvPr>
          <xdr:cNvCxnSpPr/>
        </xdr:nvCxnSpPr>
        <xdr:spPr>
          <a:xfrm flipH="1">
            <a:off x="5557835" y="13074492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2" name="Straight Connector 2731">
            <a:extLst>
              <a:ext uri="{FF2B5EF4-FFF2-40B4-BE49-F238E27FC236}">
                <a16:creationId xmlns:a16="http://schemas.microsoft.com/office/drawing/2014/main" id="{2664DB0B-CBBA-4EE6-AA50-C8C0237B173A}"/>
              </a:ext>
            </a:extLst>
          </xdr:cNvPr>
          <xdr:cNvCxnSpPr/>
        </xdr:nvCxnSpPr>
        <xdr:spPr>
          <a:xfrm>
            <a:off x="2590800" y="13026390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3" name="Straight Connector 2732">
            <a:extLst>
              <a:ext uri="{FF2B5EF4-FFF2-40B4-BE49-F238E27FC236}">
                <a16:creationId xmlns:a16="http://schemas.microsoft.com/office/drawing/2014/main" id="{D2C878B7-A90A-4D80-8643-F058643AC30A}"/>
              </a:ext>
            </a:extLst>
          </xdr:cNvPr>
          <xdr:cNvCxnSpPr/>
        </xdr:nvCxnSpPr>
        <xdr:spPr>
          <a:xfrm flipH="1">
            <a:off x="2552696" y="1304591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4" name="Straight Connector 2733">
            <a:extLst>
              <a:ext uri="{FF2B5EF4-FFF2-40B4-BE49-F238E27FC236}">
                <a16:creationId xmlns:a16="http://schemas.microsoft.com/office/drawing/2014/main" id="{1042C49E-6AB8-4E6D-8F94-4CAA7CBDFB81}"/>
              </a:ext>
            </a:extLst>
          </xdr:cNvPr>
          <xdr:cNvCxnSpPr/>
        </xdr:nvCxnSpPr>
        <xdr:spPr>
          <a:xfrm>
            <a:off x="2547938" y="128073150"/>
            <a:ext cx="85725" cy="904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8" name="Straight Connector 2737">
            <a:extLst>
              <a:ext uri="{FF2B5EF4-FFF2-40B4-BE49-F238E27FC236}">
                <a16:creationId xmlns:a16="http://schemas.microsoft.com/office/drawing/2014/main" id="{283D2A3E-0D55-4922-BBEC-362652D592BD}"/>
              </a:ext>
            </a:extLst>
          </xdr:cNvPr>
          <xdr:cNvCxnSpPr/>
        </xdr:nvCxnSpPr>
        <xdr:spPr>
          <a:xfrm>
            <a:off x="4081461" y="127635001"/>
            <a:ext cx="23098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9" name="Straight Connector 2738">
            <a:extLst>
              <a:ext uri="{FF2B5EF4-FFF2-40B4-BE49-F238E27FC236}">
                <a16:creationId xmlns:a16="http://schemas.microsoft.com/office/drawing/2014/main" id="{E31BC94B-57F6-41C6-A2D7-1D74583BED09}"/>
              </a:ext>
            </a:extLst>
          </xdr:cNvPr>
          <xdr:cNvCxnSpPr/>
        </xdr:nvCxnSpPr>
        <xdr:spPr>
          <a:xfrm>
            <a:off x="5705475" y="129349500"/>
            <a:ext cx="676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3" name="Straight Connector 2742">
            <a:extLst>
              <a:ext uri="{FF2B5EF4-FFF2-40B4-BE49-F238E27FC236}">
                <a16:creationId xmlns:a16="http://schemas.microsoft.com/office/drawing/2014/main" id="{A5616C17-26B9-462A-BC0D-6B479D65BCCF}"/>
              </a:ext>
            </a:extLst>
          </xdr:cNvPr>
          <xdr:cNvCxnSpPr/>
        </xdr:nvCxnSpPr>
        <xdr:spPr>
          <a:xfrm flipV="1">
            <a:off x="6315077" y="127563561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4" name="Straight Connector 2743">
            <a:extLst>
              <a:ext uri="{FF2B5EF4-FFF2-40B4-BE49-F238E27FC236}">
                <a16:creationId xmlns:a16="http://schemas.microsoft.com/office/drawing/2014/main" id="{AA6AC808-E0E8-43E4-B101-6DD440A77084}"/>
              </a:ext>
            </a:extLst>
          </xdr:cNvPr>
          <xdr:cNvCxnSpPr/>
        </xdr:nvCxnSpPr>
        <xdr:spPr>
          <a:xfrm flipH="1">
            <a:off x="6281739" y="12760166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5" name="Straight Connector 2744">
            <a:extLst>
              <a:ext uri="{FF2B5EF4-FFF2-40B4-BE49-F238E27FC236}">
                <a16:creationId xmlns:a16="http://schemas.microsoft.com/office/drawing/2014/main" id="{BDA1B781-6B06-41DC-B578-D0CE3010429B}"/>
              </a:ext>
            </a:extLst>
          </xdr:cNvPr>
          <xdr:cNvCxnSpPr/>
        </xdr:nvCxnSpPr>
        <xdr:spPr>
          <a:xfrm flipH="1">
            <a:off x="6281738" y="1293161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8" name="Straight Connector 2747">
            <a:extLst>
              <a:ext uri="{FF2B5EF4-FFF2-40B4-BE49-F238E27FC236}">
                <a16:creationId xmlns:a16="http://schemas.microsoft.com/office/drawing/2014/main" id="{F4A287E4-C3BA-4EEF-B516-4FC9E296B93F}"/>
              </a:ext>
            </a:extLst>
          </xdr:cNvPr>
          <xdr:cNvCxnSpPr/>
        </xdr:nvCxnSpPr>
        <xdr:spPr>
          <a:xfrm>
            <a:off x="1223963" y="127634999"/>
            <a:ext cx="21669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9" name="Straight Arrow Connector 2748">
            <a:extLst>
              <a:ext uri="{FF2B5EF4-FFF2-40B4-BE49-F238E27FC236}">
                <a16:creationId xmlns:a16="http://schemas.microsoft.com/office/drawing/2014/main" id="{E709DA6E-1356-44D2-81CB-414C013E6CC9}"/>
              </a:ext>
            </a:extLst>
          </xdr:cNvPr>
          <xdr:cNvCxnSpPr/>
        </xdr:nvCxnSpPr>
        <xdr:spPr>
          <a:xfrm>
            <a:off x="1471613" y="129349500"/>
            <a:ext cx="323850" cy="0"/>
          </a:xfrm>
          <a:prstGeom prst="straightConnector1">
            <a:avLst/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0" name="Straight Connector 2749">
            <a:extLst>
              <a:ext uri="{FF2B5EF4-FFF2-40B4-BE49-F238E27FC236}">
                <a16:creationId xmlns:a16="http://schemas.microsoft.com/office/drawing/2014/main" id="{CBA546B4-2511-4B92-A27E-F005F90F4D3E}"/>
              </a:ext>
            </a:extLst>
          </xdr:cNvPr>
          <xdr:cNvCxnSpPr/>
        </xdr:nvCxnSpPr>
        <xdr:spPr>
          <a:xfrm flipH="1">
            <a:off x="1233488" y="129349500"/>
            <a:ext cx="190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1" name="Straight Connector 2750">
            <a:extLst>
              <a:ext uri="{FF2B5EF4-FFF2-40B4-BE49-F238E27FC236}">
                <a16:creationId xmlns:a16="http://schemas.microsoft.com/office/drawing/2014/main" id="{AABA91DA-BDF2-40C2-89AB-CAD4A1DB666A}"/>
              </a:ext>
            </a:extLst>
          </xdr:cNvPr>
          <xdr:cNvCxnSpPr/>
        </xdr:nvCxnSpPr>
        <xdr:spPr>
          <a:xfrm flipH="1">
            <a:off x="1257304" y="12931616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2" name="Straight Connector 2751">
            <a:extLst>
              <a:ext uri="{FF2B5EF4-FFF2-40B4-BE49-F238E27FC236}">
                <a16:creationId xmlns:a16="http://schemas.microsoft.com/office/drawing/2014/main" id="{8244E328-E787-43B2-83D3-0EC2F5B997AE}"/>
              </a:ext>
            </a:extLst>
          </xdr:cNvPr>
          <xdr:cNvCxnSpPr/>
        </xdr:nvCxnSpPr>
        <xdr:spPr>
          <a:xfrm>
            <a:off x="1295401" y="127563563"/>
            <a:ext cx="0" cy="18573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3" name="Straight Connector 2752">
            <a:extLst>
              <a:ext uri="{FF2B5EF4-FFF2-40B4-BE49-F238E27FC236}">
                <a16:creationId xmlns:a16="http://schemas.microsoft.com/office/drawing/2014/main" id="{7715432D-4DDB-44DF-B1C8-D798503E7F48}"/>
              </a:ext>
            </a:extLst>
          </xdr:cNvPr>
          <xdr:cNvCxnSpPr/>
        </xdr:nvCxnSpPr>
        <xdr:spPr>
          <a:xfrm flipH="1">
            <a:off x="1262061" y="12760166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4" name="Straight Connector 2753">
            <a:extLst>
              <a:ext uri="{FF2B5EF4-FFF2-40B4-BE49-F238E27FC236}">
                <a16:creationId xmlns:a16="http://schemas.microsoft.com/office/drawing/2014/main" id="{1D91DCB1-0081-48A6-8E95-1909D057D05B}"/>
              </a:ext>
            </a:extLst>
          </xdr:cNvPr>
          <xdr:cNvCxnSpPr/>
        </xdr:nvCxnSpPr>
        <xdr:spPr>
          <a:xfrm>
            <a:off x="1223963" y="128120774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5" name="Straight Connector 2754">
            <a:extLst>
              <a:ext uri="{FF2B5EF4-FFF2-40B4-BE49-F238E27FC236}">
                <a16:creationId xmlns:a16="http://schemas.microsoft.com/office/drawing/2014/main" id="{9CC07516-982F-498A-A825-AB9EF1471E4D}"/>
              </a:ext>
            </a:extLst>
          </xdr:cNvPr>
          <xdr:cNvCxnSpPr/>
        </xdr:nvCxnSpPr>
        <xdr:spPr>
          <a:xfrm flipH="1">
            <a:off x="1262060" y="12808743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6" name="Straight Connector 2755">
            <a:extLst>
              <a:ext uri="{FF2B5EF4-FFF2-40B4-BE49-F238E27FC236}">
                <a16:creationId xmlns:a16="http://schemas.microsoft.com/office/drawing/2014/main" id="{FD54B295-73F5-4743-A031-E28666E57770}"/>
              </a:ext>
            </a:extLst>
          </xdr:cNvPr>
          <xdr:cNvCxnSpPr/>
        </xdr:nvCxnSpPr>
        <xdr:spPr>
          <a:xfrm>
            <a:off x="3724279" y="128701800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7" name="Straight Connector 2756">
            <a:extLst>
              <a:ext uri="{FF2B5EF4-FFF2-40B4-BE49-F238E27FC236}">
                <a16:creationId xmlns:a16="http://schemas.microsoft.com/office/drawing/2014/main" id="{3F322876-16DD-4707-843F-7684C78849A7}"/>
              </a:ext>
            </a:extLst>
          </xdr:cNvPr>
          <xdr:cNvCxnSpPr/>
        </xdr:nvCxnSpPr>
        <xdr:spPr>
          <a:xfrm flipH="1">
            <a:off x="3686175" y="13045440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8" name="Straight Arrow Connector 2757">
            <a:extLst>
              <a:ext uri="{FF2B5EF4-FFF2-40B4-BE49-F238E27FC236}">
                <a16:creationId xmlns:a16="http://schemas.microsoft.com/office/drawing/2014/main" id="{F7447F51-7A3B-45B2-BB1B-DEEAFC40FCA7}"/>
              </a:ext>
            </a:extLst>
          </xdr:cNvPr>
          <xdr:cNvCxnSpPr/>
        </xdr:nvCxnSpPr>
        <xdr:spPr>
          <a:xfrm flipV="1">
            <a:off x="1857375" y="12865417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9" name="Straight Arrow Connector 2758">
            <a:extLst>
              <a:ext uri="{FF2B5EF4-FFF2-40B4-BE49-F238E27FC236}">
                <a16:creationId xmlns:a16="http://schemas.microsoft.com/office/drawing/2014/main" id="{A83A7021-0641-4188-8CBC-8388CCCFC42D}"/>
              </a:ext>
            </a:extLst>
          </xdr:cNvPr>
          <xdr:cNvCxnSpPr/>
        </xdr:nvCxnSpPr>
        <xdr:spPr>
          <a:xfrm>
            <a:off x="1857375" y="129349500"/>
            <a:ext cx="55245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0" name="Straight Connector 2759">
            <a:extLst>
              <a:ext uri="{FF2B5EF4-FFF2-40B4-BE49-F238E27FC236}">
                <a16:creationId xmlns:a16="http://schemas.microsoft.com/office/drawing/2014/main" id="{6A5EC74B-5446-40BF-9E90-C27532FA772E}"/>
              </a:ext>
            </a:extLst>
          </xdr:cNvPr>
          <xdr:cNvCxnSpPr/>
        </xdr:nvCxnSpPr>
        <xdr:spPr>
          <a:xfrm>
            <a:off x="971550" y="127635000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1" name="Straight Arrow Connector 2760">
            <a:extLst>
              <a:ext uri="{FF2B5EF4-FFF2-40B4-BE49-F238E27FC236}">
                <a16:creationId xmlns:a16="http://schemas.microsoft.com/office/drawing/2014/main" id="{487AE4BA-8F39-420B-8A5B-853D2DA33CB4}"/>
              </a:ext>
            </a:extLst>
          </xdr:cNvPr>
          <xdr:cNvCxnSpPr/>
        </xdr:nvCxnSpPr>
        <xdr:spPr>
          <a:xfrm>
            <a:off x="781050" y="1276350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2" name="Straight Arrow Connector 2761">
            <a:extLst>
              <a:ext uri="{FF2B5EF4-FFF2-40B4-BE49-F238E27FC236}">
                <a16:creationId xmlns:a16="http://schemas.microsoft.com/office/drawing/2014/main" id="{7430E027-A230-4754-869B-9707BF255DB2}"/>
              </a:ext>
            </a:extLst>
          </xdr:cNvPr>
          <xdr:cNvCxnSpPr/>
        </xdr:nvCxnSpPr>
        <xdr:spPr>
          <a:xfrm>
            <a:off x="776282" y="12777787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3" name="Straight Arrow Connector 2762">
            <a:extLst>
              <a:ext uri="{FF2B5EF4-FFF2-40B4-BE49-F238E27FC236}">
                <a16:creationId xmlns:a16="http://schemas.microsoft.com/office/drawing/2014/main" id="{7C88926D-7C3E-46ED-AF90-9E8063A67D45}"/>
              </a:ext>
            </a:extLst>
          </xdr:cNvPr>
          <xdr:cNvCxnSpPr/>
        </xdr:nvCxnSpPr>
        <xdr:spPr>
          <a:xfrm>
            <a:off x="781048" y="12792075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4" name="Straight Arrow Connector 2763">
            <a:extLst>
              <a:ext uri="{FF2B5EF4-FFF2-40B4-BE49-F238E27FC236}">
                <a16:creationId xmlns:a16="http://schemas.microsoft.com/office/drawing/2014/main" id="{B1E2BF9F-10CF-412E-9D02-E89B33BCFA31}"/>
              </a:ext>
            </a:extLst>
          </xdr:cNvPr>
          <xdr:cNvCxnSpPr/>
        </xdr:nvCxnSpPr>
        <xdr:spPr>
          <a:xfrm>
            <a:off x="776280" y="12806362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5" name="Straight Arrow Connector 2764">
            <a:extLst>
              <a:ext uri="{FF2B5EF4-FFF2-40B4-BE49-F238E27FC236}">
                <a16:creationId xmlns:a16="http://schemas.microsoft.com/office/drawing/2014/main" id="{7CB3C449-EBFE-46E7-8711-2D57DD41C666}"/>
              </a:ext>
            </a:extLst>
          </xdr:cNvPr>
          <xdr:cNvCxnSpPr/>
        </xdr:nvCxnSpPr>
        <xdr:spPr>
          <a:xfrm>
            <a:off x="781045" y="128206509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6" name="Straight Arrow Connector 2765">
            <a:extLst>
              <a:ext uri="{FF2B5EF4-FFF2-40B4-BE49-F238E27FC236}">
                <a16:creationId xmlns:a16="http://schemas.microsoft.com/office/drawing/2014/main" id="{A36A9CA9-4D69-46CC-932C-83A39F0EB818}"/>
              </a:ext>
            </a:extLst>
          </xdr:cNvPr>
          <xdr:cNvCxnSpPr/>
        </xdr:nvCxnSpPr>
        <xdr:spPr>
          <a:xfrm>
            <a:off x="776277" y="12834938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7" name="Straight Arrow Connector 2766">
            <a:extLst>
              <a:ext uri="{FF2B5EF4-FFF2-40B4-BE49-F238E27FC236}">
                <a16:creationId xmlns:a16="http://schemas.microsoft.com/office/drawing/2014/main" id="{FF6E404B-64BC-4919-BBFC-7332CDB12A08}"/>
              </a:ext>
            </a:extLst>
          </xdr:cNvPr>
          <xdr:cNvCxnSpPr/>
        </xdr:nvCxnSpPr>
        <xdr:spPr>
          <a:xfrm>
            <a:off x="781043" y="12849226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8" name="Straight Arrow Connector 2767">
            <a:extLst>
              <a:ext uri="{FF2B5EF4-FFF2-40B4-BE49-F238E27FC236}">
                <a16:creationId xmlns:a16="http://schemas.microsoft.com/office/drawing/2014/main" id="{E2134EFF-FD09-4DAE-9A71-C293F1ED80A0}"/>
              </a:ext>
            </a:extLst>
          </xdr:cNvPr>
          <xdr:cNvCxnSpPr/>
        </xdr:nvCxnSpPr>
        <xdr:spPr>
          <a:xfrm>
            <a:off x="776275" y="12863513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9" name="Straight Arrow Connector 2768">
            <a:extLst>
              <a:ext uri="{FF2B5EF4-FFF2-40B4-BE49-F238E27FC236}">
                <a16:creationId xmlns:a16="http://schemas.microsoft.com/office/drawing/2014/main" id="{A105A9E7-71CC-4786-BBD6-E94A9B0CC7BE}"/>
              </a:ext>
            </a:extLst>
          </xdr:cNvPr>
          <xdr:cNvCxnSpPr/>
        </xdr:nvCxnSpPr>
        <xdr:spPr>
          <a:xfrm>
            <a:off x="781039" y="12877801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0" name="Straight Arrow Connector 2769">
            <a:extLst>
              <a:ext uri="{FF2B5EF4-FFF2-40B4-BE49-F238E27FC236}">
                <a16:creationId xmlns:a16="http://schemas.microsoft.com/office/drawing/2014/main" id="{E32116F8-EDF8-4A6B-868B-42640EE5F29C}"/>
              </a:ext>
            </a:extLst>
          </xdr:cNvPr>
          <xdr:cNvCxnSpPr/>
        </xdr:nvCxnSpPr>
        <xdr:spPr>
          <a:xfrm>
            <a:off x="776271" y="12892089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1" name="Straight Arrow Connector 2770">
            <a:extLst>
              <a:ext uri="{FF2B5EF4-FFF2-40B4-BE49-F238E27FC236}">
                <a16:creationId xmlns:a16="http://schemas.microsoft.com/office/drawing/2014/main" id="{D11259B3-A928-45C5-A75B-8AB918EE2357}"/>
              </a:ext>
            </a:extLst>
          </xdr:cNvPr>
          <xdr:cNvCxnSpPr/>
        </xdr:nvCxnSpPr>
        <xdr:spPr>
          <a:xfrm>
            <a:off x="781037" y="129063770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2" name="Straight Arrow Connector 2771">
            <a:extLst>
              <a:ext uri="{FF2B5EF4-FFF2-40B4-BE49-F238E27FC236}">
                <a16:creationId xmlns:a16="http://schemas.microsoft.com/office/drawing/2014/main" id="{22F29A97-51D2-41FF-B9C2-507EEACB2F2F}"/>
              </a:ext>
            </a:extLst>
          </xdr:cNvPr>
          <xdr:cNvCxnSpPr/>
        </xdr:nvCxnSpPr>
        <xdr:spPr>
          <a:xfrm>
            <a:off x="776269" y="129206644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3" name="Straight Connector 2772">
            <a:extLst>
              <a:ext uri="{FF2B5EF4-FFF2-40B4-BE49-F238E27FC236}">
                <a16:creationId xmlns:a16="http://schemas.microsoft.com/office/drawing/2014/main" id="{5F32219E-38DF-4F7A-9087-07EB38101E97}"/>
              </a:ext>
            </a:extLst>
          </xdr:cNvPr>
          <xdr:cNvCxnSpPr/>
        </xdr:nvCxnSpPr>
        <xdr:spPr>
          <a:xfrm>
            <a:off x="776287" y="127635000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4" name="Straight Arrow Connector 2773">
            <a:extLst>
              <a:ext uri="{FF2B5EF4-FFF2-40B4-BE49-F238E27FC236}">
                <a16:creationId xmlns:a16="http://schemas.microsoft.com/office/drawing/2014/main" id="{6742FE3F-9D99-4990-BD1B-8594BBB859A8}"/>
              </a:ext>
            </a:extLst>
          </xdr:cNvPr>
          <xdr:cNvCxnSpPr/>
        </xdr:nvCxnSpPr>
        <xdr:spPr>
          <a:xfrm>
            <a:off x="776288" y="1293495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75" name="Oval 2774">
            <a:extLst>
              <a:ext uri="{FF2B5EF4-FFF2-40B4-BE49-F238E27FC236}">
                <a16:creationId xmlns:a16="http://schemas.microsoft.com/office/drawing/2014/main" id="{BAB0CD92-0899-44A6-806C-873B3D290EB9}"/>
              </a:ext>
            </a:extLst>
          </xdr:cNvPr>
          <xdr:cNvSpPr/>
        </xdr:nvSpPr>
        <xdr:spPr>
          <a:xfrm>
            <a:off x="2209801" y="1285922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76" name="Oval 2775">
            <a:extLst>
              <a:ext uri="{FF2B5EF4-FFF2-40B4-BE49-F238E27FC236}">
                <a16:creationId xmlns:a16="http://schemas.microsoft.com/office/drawing/2014/main" id="{39BC4684-DD3C-4180-B420-0103ED06DFC7}"/>
              </a:ext>
            </a:extLst>
          </xdr:cNvPr>
          <xdr:cNvSpPr/>
        </xdr:nvSpPr>
        <xdr:spPr>
          <a:xfrm>
            <a:off x="5172075" y="128592263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77" name="Straight Connector 2776">
            <a:extLst>
              <a:ext uri="{FF2B5EF4-FFF2-40B4-BE49-F238E27FC236}">
                <a16:creationId xmlns:a16="http://schemas.microsoft.com/office/drawing/2014/main" id="{5AA9367B-26ED-4417-B743-8E3418BAC9EB}"/>
              </a:ext>
            </a:extLst>
          </xdr:cNvPr>
          <xdr:cNvCxnSpPr/>
        </xdr:nvCxnSpPr>
        <xdr:spPr>
          <a:xfrm flipH="1">
            <a:off x="5957895" y="1276016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8" name="Straight Connector 2777">
            <a:extLst>
              <a:ext uri="{FF2B5EF4-FFF2-40B4-BE49-F238E27FC236}">
                <a16:creationId xmlns:a16="http://schemas.microsoft.com/office/drawing/2014/main" id="{EB88DBEF-4C0E-47D5-98AF-F32B459DF00A}"/>
              </a:ext>
            </a:extLst>
          </xdr:cNvPr>
          <xdr:cNvCxnSpPr/>
        </xdr:nvCxnSpPr>
        <xdr:spPr>
          <a:xfrm flipH="1">
            <a:off x="5957894" y="1293161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9" name="Straight Connector 2778">
            <a:extLst>
              <a:ext uri="{FF2B5EF4-FFF2-40B4-BE49-F238E27FC236}">
                <a16:creationId xmlns:a16="http://schemas.microsoft.com/office/drawing/2014/main" id="{C9DFD237-A8FE-4E67-B402-E94C7DE76D7B}"/>
              </a:ext>
            </a:extLst>
          </xdr:cNvPr>
          <xdr:cNvCxnSpPr/>
        </xdr:nvCxnSpPr>
        <xdr:spPr>
          <a:xfrm>
            <a:off x="5338763" y="128635144"/>
            <a:ext cx="690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0" name="Straight Connector 2779">
            <a:extLst>
              <a:ext uri="{FF2B5EF4-FFF2-40B4-BE49-F238E27FC236}">
                <a16:creationId xmlns:a16="http://schemas.microsoft.com/office/drawing/2014/main" id="{FE3F8D23-B91A-4F7C-9FBF-FAA27FA3EE6B}"/>
              </a:ext>
            </a:extLst>
          </xdr:cNvPr>
          <xdr:cNvCxnSpPr/>
        </xdr:nvCxnSpPr>
        <xdr:spPr>
          <a:xfrm flipH="1">
            <a:off x="5957895" y="12860180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1" name="Straight Connector 2780">
            <a:extLst>
              <a:ext uri="{FF2B5EF4-FFF2-40B4-BE49-F238E27FC236}">
                <a16:creationId xmlns:a16="http://schemas.microsoft.com/office/drawing/2014/main" id="{880E6F52-FBD9-471F-9F2F-B166B149C218}"/>
              </a:ext>
            </a:extLst>
          </xdr:cNvPr>
          <xdr:cNvCxnSpPr/>
        </xdr:nvCxnSpPr>
        <xdr:spPr>
          <a:xfrm flipV="1">
            <a:off x="5991224" y="127568325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3" name="Straight Connector 2782">
            <a:extLst>
              <a:ext uri="{FF2B5EF4-FFF2-40B4-BE49-F238E27FC236}">
                <a16:creationId xmlns:a16="http://schemas.microsoft.com/office/drawing/2014/main" id="{4C66729C-F6E3-4330-BE1E-182F799FC83C}"/>
              </a:ext>
            </a:extLst>
          </xdr:cNvPr>
          <xdr:cNvCxnSpPr/>
        </xdr:nvCxnSpPr>
        <xdr:spPr>
          <a:xfrm>
            <a:off x="3724275" y="127206375"/>
            <a:ext cx="184309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4" name="Straight Connector 2783">
            <a:extLst>
              <a:ext uri="{FF2B5EF4-FFF2-40B4-BE49-F238E27FC236}">
                <a16:creationId xmlns:a16="http://schemas.microsoft.com/office/drawing/2014/main" id="{0999F40E-E2B4-455E-91B0-E365D73EF871}"/>
              </a:ext>
            </a:extLst>
          </xdr:cNvPr>
          <xdr:cNvCxnSpPr/>
        </xdr:nvCxnSpPr>
        <xdr:spPr>
          <a:xfrm>
            <a:off x="1781175" y="130206748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5" name="Straight Connector 2784">
            <a:extLst>
              <a:ext uri="{FF2B5EF4-FFF2-40B4-BE49-F238E27FC236}">
                <a16:creationId xmlns:a16="http://schemas.microsoft.com/office/drawing/2014/main" id="{F148F493-C0E3-4C80-B79B-39E2B86AF171}"/>
              </a:ext>
            </a:extLst>
          </xdr:cNvPr>
          <xdr:cNvCxnSpPr/>
        </xdr:nvCxnSpPr>
        <xdr:spPr>
          <a:xfrm flipH="1">
            <a:off x="1819276" y="1301734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6" name="Straight Connector 2785">
            <a:extLst>
              <a:ext uri="{FF2B5EF4-FFF2-40B4-BE49-F238E27FC236}">
                <a16:creationId xmlns:a16="http://schemas.microsoft.com/office/drawing/2014/main" id="{BD3D5DC5-F627-4D9B-BFD3-BCC1E522B359}"/>
              </a:ext>
            </a:extLst>
          </xdr:cNvPr>
          <xdr:cNvCxnSpPr/>
        </xdr:nvCxnSpPr>
        <xdr:spPr>
          <a:xfrm flipH="1">
            <a:off x="5548315" y="1301734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7" name="Straight Connector 2786">
            <a:extLst>
              <a:ext uri="{FF2B5EF4-FFF2-40B4-BE49-F238E27FC236}">
                <a16:creationId xmlns:a16="http://schemas.microsoft.com/office/drawing/2014/main" id="{332DA1F0-E7FF-4178-A4D3-685F5D62B1D1}"/>
              </a:ext>
            </a:extLst>
          </xdr:cNvPr>
          <xdr:cNvCxnSpPr/>
        </xdr:nvCxnSpPr>
        <xdr:spPr>
          <a:xfrm>
            <a:off x="2243138" y="128711325"/>
            <a:ext cx="0" cy="1576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8" name="Straight Connector 2787">
            <a:extLst>
              <a:ext uri="{FF2B5EF4-FFF2-40B4-BE49-F238E27FC236}">
                <a16:creationId xmlns:a16="http://schemas.microsoft.com/office/drawing/2014/main" id="{F4E3258B-8B69-410D-92C4-7DD675AF9D7B}"/>
              </a:ext>
            </a:extLst>
          </xdr:cNvPr>
          <xdr:cNvCxnSpPr/>
        </xdr:nvCxnSpPr>
        <xdr:spPr>
          <a:xfrm flipH="1">
            <a:off x="2214558" y="1301734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9" name="Straight Connector 2788">
            <a:extLst>
              <a:ext uri="{FF2B5EF4-FFF2-40B4-BE49-F238E27FC236}">
                <a16:creationId xmlns:a16="http://schemas.microsoft.com/office/drawing/2014/main" id="{37BDBC66-F914-4AB1-8AA0-2CE78D4E1FC6}"/>
              </a:ext>
            </a:extLst>
          </xdr:cNvPr>
          <xdr:cNvCxnSpPr/>
        </xdr:nvCxnSpPr>
        <xdr:spPr>
          <a:xfrm>
            <a:off x="5229233" y="128706565"/>
            <a:ext cx="0" cy="1576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0" name="Straight Connector 2789">
            <a:extLst>
              <a:ext uri="{FF2B5EF4-FFF2-40B4-BE49-F238E27FC236}">
                <a16:creationId xmlns:a16="http://schemas.microsoft.com/office/drawing/2014/main" id="{BA35A88F-C17F-46D5-A39E-576BD1004489}"/>
              </a:ext>
            </a:extLst>
          </xdr:cNvPr>
          <xdr:cNvCxnSpPr/>
        </xdr:nvCxnSpPr>
        <xdr:spPr>
          <a:xfrm flipH="1">
            <a:off x="5191129" y="13016865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1" name="Straight Connector 2790">
            <a:extLst>
              <a:ext uri="{FF2B5EF4-FFF2-40B4-BE49-F238E27FC236}">
                <a16:creationId xmlns:a16="http://schemas.microsoft.com/office/drawing/2014/main" id="{CB1E1DCA-409C-4B3A-8650-2B9D8C2884DE}"/>
              </a:ext>
            </a:extLst>
          </xdr:cNvPr>
          <xdr:cNvCxnSpPr/>
        </xdr:nvCxnSpPr>
        <xdr:spPr>
          <a:xfrm>
            <a:off x="2590799" y="128725613"/>
            <a:ext cx="0" cy="1338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3" name="Straight Connector 2792">
            <a:extLst>
              <a:ext uri="{FF2B5EF4-FFF2-40B4-BE49-F238E27FC236}">
                <a16:creationId xmlns:a16="http://schemas.microsoft.com/office/drawing/2014/main" id="{3AE3737D-44B4-472B-B9BE-6A042AF7E1EA}"/>
              </a:ext>
            </a:extLst>
          </xdr:cNvPr>
          <xdr:cNvCxnSpPr/>
        </xdr:nvCxnSpPr>
        <xdr:spPr>
          <a:xfrm>
            <a:off x="2590801" y="128201738"/>
            <a:ext cx="0" cy="352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5" name="Straight Connector 2794">
            <a:extLst>
              <a:ext uri="{FF2B5EF4-FFF2-40B4-BE49-F238E27FC236}">
                <a16:creationId xmlns:a16="http://schemas.microsoft.com/office/drawing/2014/main" id="{37136D16-3DF1-462B-86F4-B5BF8EF2E7EC}"/>
              </a:ext>
            </a:extLst>
          </xdr:cNvPr>
          <xdr:cNvCxnSpPr/>
        </xdr:nvCxnSpPr>
        <xdr:spPr>
          <a:xfrm>
            <a:off x="3724275" y="127777875"/>
            <a:ext cx="0" cy="723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6" name="Straight Connector 2795">
            <a:extLst>
              <a:ext uri="{FF2B5EF4-FFF2-40B4-BE49-F238E27FC236}">
                <a16:creationId xmlns:a16="http://schemas.microsoft.com/office/drawing/2014/main" id="{A843304F-BFF6-41BC-9225-D8BB6045CFE2}"/>
              </a:ext>
            </a:extLst>
          </xdr:cNvPr>
          <xdr:cNvCxnSpPr/>
        </xdr:nvCxnSpPr>
        <xdr:spPr>
          <a:xfrm flipH="1">
            <a:off x="3690938" y="13016865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119078</xdr:colOff>
      <xdr:row>202</xdr:row>
      <xdr:rowOff>138113</xdr:rowOff>
    </xdr:from>
    <xdr:to>
      <xdr:col>42</xdr:col>
      <xdr:colOff>66675</xdr:colOff>
      <xdr:row>231</xdr:row>
      <xdr:rowOff>133350</xdr:rowOff>
    </xdr:to>
    <xdr:grpSp>
      <xdr:nvGrpSpPr>
        <xdr:cNvPr id="3003" name="Group 3002">
          <a:extLst>
            <a:ext uri="{FF2B5EF4-FFF2-40B4-BE49-F238E27FC236}">
              <a16:creationId xmlns:a16="http://schemas.microsoft.com/office/drawing/2014/main" id="{29A97014-5F52-EC40-D330-980B84164767}"/>
            </a:ext>
          </a:extLst>
        </xdr:cNvPr>
        <xdr:cNvGrpSpPr/>
      </xdr:nvGrpSpPr>
      <xdr:grpSpPr>
        <a:xfrm>
          <a:off x="766778" y="29475113"/>
          <a:ext cx="6100747" cy="4138612"/>
          <a:chOff x="766778" y="23188613"/>
          <a:chExt cx="6100747" cy="4138612"/>
        </a:xfrm>
      </xdr:grpSpPr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012A5B94-4BBB-7214-5BAB-218A09B556D3}"/>
              </a:ext>
            </a:extLst>
          </xdr:cNvPr>
          <xdr:cNvSpPr/>
        </xdr:nvSpPr>
        <xdr:spPr>
          <a:xfrm>
            <a:off x="1709737" y="256270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03" name="Arc 1002">
            <a:extLst>
              <a:ext uri="{FF2B5EF4-FFF2-40B4-BE49-F238E27FC236}">
                <a16:creationId xmlns:a16="http://schemas.microsoft.com/office/drawing/2014/main" id="{28E9E5F2-13C3-930C-63EB-755410AB4996}"/>
              </a:ext>
            </a:extLst>
          </xdr:cNvPr>
          <xdr:cNvSpPr/>
        </xdr:nvSpPr>
        <xdr:spPr>
          <a:xfrm>
            <a:off x="1876424" y="23631525"/>
            <a:ext cx="3695700" cy="3695700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04" name="Isosceles Triangle 1003">
            <a:extLst>
              <a:ext uri="{FF2B5EF4-FFF2-40B4-BE49-F238E27FC236}">
                <a16:creationId xmlns:a16="http://schemas.microsoft.com/office/drawing/2014/main" id="{2391EB28-6EB6-AC25-D301-0E0CE4CBF647}"/>
              </a:ext>
            </a:extLst>
          </xdr:cNvPr>
          <xdr:cNvSpPr/>
        </xdr:nvSpPr>
        <xdr:spPr>
          <a:xfrm>
            <a:off x="1794319" y="2548890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3" name="Straight Connector 1012">
            <a:extLst>
              <a:ext uri="{FF2B5EF4-FFF2-40B4-BE49-F238E27FC236}">
                <a16:creationId xmlns:a16="http://schemas.microsoft.com/office/drawing/2014/main" id="{7A710614-FE9F-A133-0D4C-1DE8F137D501}"/>
              </a:ext>
            </a:extLst>
          </xdr:cNvPr>
          <xdr:cNvCxnSpPr/>
        </xdr:nvCxnSpPr>
        <xdr:spPr>
          <a:xfrm>
            <a:off x="1700211" y="256222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6" name="Oval 1015">
            <a:extLst>
              <a:ext uri="{FF2B5EF4-FFF2-40B4-BE49-F238E27FC236}">
                <a16:creationId xmlns:a16="http://schemas.microsoft.com/office/drawing/2014/main" id="{CD97C3E2-4D6F-1211-978A-743FBC4DFD52}"/>
              </a:ext>
            </a:extLst>
          </xdr:cNvPr>
          <xdr:cNvSpPr/>
        </xdr:nvSpPr>
        <xdr:spPr>
          <a:xfrm>
            <a:off x="1828798" y="254317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E7F50E45-04F7-A111-FE99-CAF1D98F93B5}"/>
              </a:ext>
            </a:extLst>
          </xdr:cNvPr>
          <xdr:cNvSpPr/>
        </xdr:nvSpPr>
        <xdr:spPr>
          <a:xfrm>
            <a:off x="5405434" y="256270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8" name="Isosceles Triangle 1017">
            <a:extLst>
              <a:ext uri="{FF2B5EF4-FFF2-40B4-BE49-F238E27FC236}">
                <a16:creationId xmlns:a16="http://schemas.microsoft.com/office/drawing/2014/main" id="{02448207-8FCD-86FF-92A6-75EFA96F8BA1}"/>
              </a:ext>
            </a:extLst>
          </xdr:cNvPr>
          <xdr:cNvSpPr/>
        </xdr:nvSpPr>
        <xdr:spPr>
          <a:xfrm>
            <a:off x="5490016" y="2548890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9" name="Straight Connector 1018">
            <a:extLst>
              <a:ext uri="{FF2B5EF4-FFF2-40B4-BE49-F238E27FC236}">
                <a16:creationId xmlns:a16="http://schemas.microsoft.com/office/drawing/2014/main" id="{7B4773F8-4FE7-CD21-C91D-3AF765B9E60B}"/>
              </a:ext>
            </a:extLst>
          </xdr:cNvPr>
          <xdr:cNvCxnSpPr/>
        </xdr:nvCxnSpPr>
        <xdr:spPr>
          <a:xfrm>
            <a:off x="5395908" y="256222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0" name="Oval 1019">
            <a:extLst>
              <a:ext uri="{FF2B5EF4-FFF2-40B4-BE49-F238E27FC236}">
                <a16:creationId xmlns:a16="http://schemas.microsoft.com/office/drawing/2014/main" id="{1081A46F-D2F4-5F9C-D96E-14991A2C21F4}"/>
              </a:ext>
            </a:extLst>
          </xdr:cNvPr>
          <xdr:cNvSpPr/>
        </xdr:nvSpPr>
        <xdr:spPr>
          <a:xfrm>
            <a:off x="5524495" y="254317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1" name="Straight Arrow Connector 1020">
            <a:extLst>
              <a:ext uri="{FF2B5EF4-FFF2-40B4-BE49-F238E27FC236}">
                <a16:creationId xmlns:a16="http://schemas.microsoft.com/office/drawing/2014/main" id="{51419103-68BC-9D19-D0A0-361928752B36}"/>
              </a:ext>
            </a:extLst>
          </xdr:cNvPr>
          <xdr:cNvCxnSpPr/>
        </xdr:nvCxnSpPr>
        <xdr:spPr>
          <a:xfrm flipV="1">
            <a:off x="1862136" y="257651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Arrow Connector 1021">
            <a:extLst>
              <a:ext uri="{FF2B5EF4-FFF2-40B4-BE49-F238E27FC236}">
                <a16:creationId xmlns:a16="http://schemas.microsoft.com/office/drawing/2014/main" id="{59A59E45-B2E8-98EC-33FC-341C91495135}"/>
              </a:ext>
            </a:extLst>
          </xdr:cNvPr>
          <xdr:cNvCxnSpPr/>
        </xdr:nvCxnSpPr>
        <xdr:spPr>
          <a:xfrm flipV="1">
            <a:off x="5572123" y="2576512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3" name="Oval 1022">
            <a:extLst>
              <a:ext uri="{FF2B5EF4-FFF2-40B4-BE49-F238E27FC236}">
                <a16:creationId xmlns:a16="http://schemas.microsoft.com/office/drawing/2014/main" id="{3DC5C9DB-5C7E-F6D1-4063-0C2322398CF4}"/>
              </a:ext>
            </a:extLst>
          </xdr:cNvPr>
          <xdr:cNvSpPr/>
        </xdr:nvSpPr>
        <xdr:spPr>
          <a:xfrm>
            <a:off x="3681413" y="235886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88" name="Straight Connector 1087">
            <a:extLst>
              <a:ext uri="{FF2B5EF4-FFF2-40B4-BE49-F238E27FC236}">
                <a16:creationId xmlns:a16="http://schemas.microsoft.com/office/drawing/2014/main" id="{A003095A-2921-15DB-81D3-967D93CDE81F}"/>
              </a:ext>
            </a:extLst>
          </xdr:cNvPr>
          <xdr:cNvCxnSpPr/>
        </xdr:nvCxnSpPr>
        <xdr:spPr>
          <a:xfrm>
            <a:off x="1795465" y="26336626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Connector 1088">
            <a:extLst>
              <a:ext uri="{FF2B5EF4-FFF2-40B4-BE49-F238E27FC236}">
                <a16:creationId xmlns:a16="http://schemas.microsoft.com/office/drawing/2014/main" id="{A818C1D9-8F27-023E-C30A-93140EA3A7CB}"/>
              </a:ext>
            </a:extLst>
          </xdr:cNvPr>
          <xdr:cNvCxnSpPr/>
        </xdr:nvCxnSpPr>
        <xdr:spPr>
          <a:xfrm>
            <a:off x="1862138" y="26203281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Connector 1089">
            <a:extLst>
              <a:ext uri="{FF2B5EF4-FFF2-40B4-BE49-F238E27FC236}">
                <a16:creationId xmlns:a16="http://schemas.microsoft.com/office/drawing/2014/main" id="{FEC5BECA-7923-8E5A-F569-F14A512B3820}"/>
              </a:ext>
            </a:extLst>
          </xdr:cNvPr>
          <xdr:cNvCxnSpPr/>
        </xdr:nvCxnSpPr>
        <xdr:spPr>
          <a:xfrm flipH="1">
            <a:off x="1824037" y="26303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1" name="Straight Connector 1090">
            <a:extLst>
              <a:ext uri="{FF2B5EF4-FFF2-40B4-BE49-F238E27FC236}">
                <a16:creationId xmlns:a16="http://schemas.microsoft.com/office/drawing/2014/main" id="{B2044DE5-18E4-6E18-F470-0A6DD5AAAB0E}"/>
              </a:ext>
            </a:extLst>
          </xdr:cNvPr>
          <xdr:cNvCxnSpPr/>
        </xdr:nvCxnSpPr>
        <xdr:spPr>
          <a:xfrm>
            <a:off x="1795463" y="26622382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Straight Connector 1091">
            <a:extLst>
              <a:ext uri="{FF2B5EF4-FFF2-40B4-BE49-F238E27FC236}">
                <a16:creationId xmlns:a16="http://schemas.microsoft.com/office/drawing/2014/main" id="{8EDC33CB-E6BC-87D5-890E-A941F0B0CB44}"/>
              </a:ext>
            </a:extLst>
          </xdr:cNvPr>
          <xdr:cNvCxnSpPr/>
        </xdr:nvCxnSpPr>
        <xdr:spPr>
          <a:xfrm flipH="1">
            <a:off x="1824035" y="265890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Connector 1092">
            <a:extLst>
              <a:ext uri="{FF2B5EF4-FFF2-40B4-BE49-F238E27FC236}">
                <a16:creationId xmlns:a16="http://schemas.microsoft.com/office/drawing/2014/main" id="{421707E4-1A97-5175-DFC1-C6605C85EC29}"/>
              </a:ext>
            </a:extLst>
          </xdr:cNvPr>
          <xdr:cNvCxnSpPr/>
        </xdr:nvCxnSpPr>
        <xdr:spPr>
          <a:xfrm>
            <a:off x="5572132" y="26203276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Connector 1093">
            <a:extLst>
              <a:ext uri="{FF2B5EF4-FFF2-40B4-BE49-F238E27FC236}">
                <a16:creationId xmlns:a16="http://schemas.microsoft.com/office/drawing/2014/main" id="{1F8F0E67-DE55-D9F7-1578-93BBE1473F0B}"/>
              </a:ext>
            </a:extLst>
          </xdr:cNvPr>
          <xdr:cNvCxnSpPr/>
        </xdr:nvCxnSpPr>
        <xdr:spPr>
          <a:xfrm flipH="1">
            <a:off x="5534031" y="2630328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Connector 1094">
            <a:extLst>
              <a:ext uri="{FF2B5EF4-FFF2-40B4-BE49-F238E27FC236}">
                <a16:creationId xmlns:a16="http://schemas.microsoft.com/office/drawing/2014/main" id="{5E751EB3-A941-04E5-0619-3D5F5E4ADB7F}"/>
              </a:ext>
            </a:extLst>
          </xdr:cNvPr>
          <xdr:cNvCxnSpPr/>
        </xdr:nvCxnSpPr>
        <xdr:spPr>
          <a:xfrm flipH="1">
            <a:off x="5534029" y="26589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Connector 1095">
            <a:extLst>
              <a:ext uri="{FF2B5EF4-FFF2-40B4-BE49-F238E27FC236}">
                <a16:creationId xmlns:a16="http://schemas.microsoft.com/office/drawing/2014/main" id="{90C89167-5592-47F4-C853-6585D699EFB6}"/>
              </a:ext>
            </a:extLst>
          </xdr:cNvPr>
          <xdr:cNvCxnSpPr/>
        </xdr:nvCxnSpPr>
        <xdr:spPr>
          <a:xfrm>
            <a:off x="2428870" y="24236363"/>
            <a:ext cx="0" cy="2176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Connector 1108">
            <a:extLst>
              <a:ext uri="{FF2B5EF4-FFF2-40B4-BE49-F238E27FC236}">
                <a16:creationId xmlns:a16="http://schemas.microsoft.com/office/drawing/2014/main" id="{67639BF7-F1FD-41BD-0331-0A38CCE40B8D}"/>
              </a:ext>
            </a:extLst>
          </xdr:cNvPr>
          <xdr:cNvCxnSpPr/>
        </xdr:nvCxnSpPr>
        <xdr:spPr>
          <a:xfrm flipH="1">
            <a:off x="2390772" y="26303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Connector 1171">
            <a:extLst>
              <a:ext uri="{FF2B5EF4-FFF2-40B4-BE49-F238E27FC236}">
                <a16:creationId xmlns:a16="http://schemas.microsoft.com/office/drawing/2014/main" id="{A37589CA-20CB-445F-0F55-D7B0D8E37288}"/>
              </a:ext>
            </a:extLst>
          </xdr:cNvPr>
          <xdr:cNvCxnSpPr/>
        </xdr:nvCxnSpPr>
        <xdr:spPr>
          <a:xfrm>
            <a:off x="5019684" y="24255413"/>
            <a:ext cx="0" cy="21574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Connector 1172">
            <a:extLst>
              <a:ext uri="{FF2B5EF4-FFF2-40B4-BE49-F238E27FC236}">
                <a16:creationId xmlns:a16="http://schemas.microsoft.com/office/drawing/2014/main" id="{E8CDFA79-3170-169B-63F7-042D9CC2A13F}"/>
              </a:ext>
            </a:extLst>
          </xdr:cNvPr>
          <xdr:cNvCxnSpPr/>
        </xdr:nvCxnSpPr>
        <xdr:spPr>
          <a:xfrm flipH="1">
            <a:off x="4981586" y="263032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Connector 1180">
            <a:extLst>
              <a:ext uri="{FF2B5EF4-FFF2-40B4-BE49-F238E27FC236}">
                <a16:creationId xmlns:a16="http://schemas.microsoft.com/office/drawing/2014/main" id="{D51480A0-F93D-5286-B84A-17EE690FA1DA}"/>
              </a:ext>
            </a:extLst>
          </xdr:cNvPr>
          <xdr:cNvCxnSpPr/>
        </xdr:nvCxnSpPr>
        <xdr:spPr>
          <a:xfrm flipH="1" flipV="1">
            <a:off x="2390777" y="24117303"/>
            <a:ext cx="83925" cy="8572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Connector 1181">
            <a:extLst>
              <a:ext uri="{FF2B5EF4-FFF2-40B4-BE49-F238E27FC236}">
                <a16:creationId xmlns:a16="http://schemas.microsoft.com/office/drawing/2014/main" id="{B7DA3308-6408-A0DD-C511-754DFC686BA5}"/>
              </a:ext>
            </a:extLst>
          </xdr:cNvPr>
          <xdr:cNvCxnSpPr/>
        </xdr:nvCxnSpPr>
        <xdr:spPr>
          <a:xfrm flipV="1">
            <a:off x="4986338" y="24126825"/>
            <a:ext cx="71437" cy="7246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Connector 1182">
            <a:extLst>
              <a:ext uri="{FF2B5EF4-FFF2-40B4-BE49-F238E27FC236}">
                <a16:creationId xmlns:a16="http://schemas.microsoft.com/office/drawing/2014/main" id="{4F399A5D-3048-54AF-B26C-B7F9E0B36BE3}"/>
              </a:ext>
            </a:extLst>
          </xdr:cNvPr>
          <xdr:cNvCxnSpPr/>
        </xdr:nvCxnSpPr>
        <xdr:spPr>
          <a:xfrm>
            <a:off x="3724276" y="25612725"/>
            <a:ext cx="0" cy="7953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388996B7-0A79-C154-C174-93A2BE843A0A}"/>
              </a:ext>
            </a:extLst>
          </xdr:cNvPr>
          <xdr:cNvCxnSpPr/>
        </xdr:nvCxnSpPr>
        <xdr:spPr>
          <a:xfrm flipH="1">
            <a:off x="3686177" y="26303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3272C6A3-27FE-BFA6-F866-712E3DE333BF}"/>
              </a:ext>
            </a:extLst>
          </xdr:cNvPr>
          <xdr:cNvCxnSpPr/>
        </xdr:nvCxnSpPr>
        <xdr:spPr>
          <a:xfrm>
            <a:off x="1876422" y="23479125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Arrow Connector 1185">
            <a:extLst>
              <a:ext uri="{FF2B5EF4-FFF2-40B4-BE49-F238E27FC236}">
                <a16:creationId xmlns:a16="http://schemas.microsoft.com/office/drawing/2014/main" id="{2704C6FC-D217-1ABF-23DC-39EA6A7F1990}"/>
              </a:ext>
            </a:extLst>
          </xdr:cNvPr>
          <xdr:cNvCxnSpPr/>
        </xdr:nvCxnSpPr>
        <xdr:spPr>
          <a:xfrm>
            <a:off x="1876418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Arrow Connector 1186">
            <a:extLst>
              <a:ext uri="{FF2B5EF4-FFF2-40B4-BE49-F238E27FC236}">
                <a16:creationId xmlns:a16="http://schemas.microsoft.com/office/drawing/2014/main" id="{2E6D70F1-841D-8648-4FE0-509837CE867A}"/>
              </a:ext>
            </a:extLst>
          </xdr:cNvPr>
          <xdr:cNvCxnSpPr/>
        </xdr:nvCxnSpPr>
        <xdr:spPr>
          <a:xfrm>
            <a:off x="2105017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Arrow Connector 1187">
            <a:extLst>
              <a:ext uri="{FF2B5EF4-FFF2-40B4-BE49-F238E27FC236}">
                <a16:creationId xmlns:a16="http://schemas.microsoft.com/office/drawing/2014/main" id="{6C98D673-BC70-E739-7470-D15DB3488BC4}"/>
              </a:ext>
            </a:extLst>
          </xdr:cNvPr>
          <xdr:cNvCxnSpPr/>
        </xdr:nvCxnSpPr>
        <xdr:spPr>
          <a:xfrm>
            <a:off x="2266943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Arrow Connector 1188">
            <a:extLst>
              <a:ext uri="{FF2B5EF4-FFF2-40B4-BE49-F238E27FC236}">
                <a16:creationId xmlns:a16="http://schemas.microsoft.com/office/drawing/2014/main" id="{B5D468EB-63B9-799B-D689-E3D6AB04E6C1}"/>
              </a:ext>
            </a:extLst>
          </xdr:cNvPr>
          <xdr:cNvCxnSpPr/>
        </xdr:nvCxnSpPr>
        <xdr:spPr>
          <a:xfrm>
            <a:off x="2428862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Arrow Connector 1189">
            <a:extLst>
              <a:ext uri="{FF2B5EF4-FFF2-40B4-BE49-F238E27FC236}">
                <a16:creationId xmlns:a16="http://schemas.microsoft.com/office/drawing/2014/main" id="{55129961-F5FD-FEC6-5FD0-66AF29649A5D}"/>
              </a:ext>
            </a:extLst>
          </xdr:cNvPr>
          <xdr:cNvCxnSpPr/>
        </xdr:nvCxnSpPr>
        <xdr:spPr>
          <a:xfrm>
            <a:off x="2590793" y="23288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Arrow Connector 1190">
            <a:extLst>
              <a:ext uri="{FF2B5EF4-FFF2-40B4-BE49-F238E27FC236}">
                <a16:creationId xmlns:a16="http://schemas.microsoft.com/office/drawing/2014/main" id="{E8A13482-30D6-19FD-36BC-92DF4322E3CC}"/>
              </a:ext>
            </a:extLst>
          </xdr:cNvPr>
          <xdr:cNvCxnSpPr/>
        </xdr:nvCxnSpPr>
        <xdr:spPr>
          <a:xfrm>
            <a:off x="2752719" y="23288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Arrow Connector 1191">
            <a:extLst>
              <a:ext uri="{FF2B5EF4-FFF2-40B4-BE49-F238E27FC236}">
                <a16:creationId xmlns:a16="http://schemas.microsoft.com/office/drawing/2014/main" id="{FA91984C-DE78-C1DF-6196-146B39465EDF}"/>
              </a:ext>
            </a:extLst>
          </xdr:cNvPr>
          <xdr:cNvCxnSpPr/>
        </xdr:nvCxnSpPr>
        <xdr:spPr>
          <a:xfrm>
            <a:off x="2914638" y="23288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Arrow Connector 1192">
            <a:extLst>
              <a:ext uri="{FF2B5EF4-FFF2-40B4-BE49-F238E27FC236}">
                <a16:creationId xmlns:a16="http://schemas.microsoft.com/office/drawing/2014/main" id="{A7AB4A2F-2160-6670-07A4-542F99B59194}"/>
              </a:ext>
            </a:extLst>
          </xdr:cNvPr>
          <xdr:cNvCxnSpPr/>
        </xdr:nvCxnSpPr>
        <xdr:spPr>
          <a:xfrm>
            <a:off x="3076575" y="23288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Arrow Connector 1193">
            <a:extLst>
              <a:ext uri="{FF2B5EF4-FFF2-40B4-BE49-F238E27FC236}">
                <a16:creationId xmlns:a16="http://schemas.microsoft.com/office/drawing/2014/main" id="{8BBDCAE8-32A2-4596-FA85-B52401C42A13}"/>
              </a:ext>
            </a:extLst>
          </xdr:cNvPr>
          <xdr:cNvCxnSpPr/>
        </xdr:nvCxnSpPr>
        <xdr:spPr>
          <a:xfrm>
            <a:off x="3238501" y="23288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Arrow Connector 1194">
            <a:extLst>
              <a:ext uri="{FF2B5EF4-FFF2-40B4-BE49-F238E27FC236}">
                <a16:creationId xmlns:a16="http://schemas.microsoft.com/office/drawing/2014/main" id="{F74601AC-8EC0-5E10-4A6D-7F22EA099A66}"/>
              </a:ext>
            </a:extLst>
          </xdr:cNvPr>
          <xdr:cNvCxnSpPr/>
        </xdr:nvCxnSpPr>
        <xdr:spPr>
          <a:xfrm>
            <a:off x="3400420" y="23288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6" name="Straight Arrow Connector 1195">
            <a:extLst>
              <a:ext uri="{FF2B5EF4-FFF2-40B4-BE49-F238E27FC236}">
                <a16:creationId xmlns:a16="http://schemas.microsoft.com/office/drawing/2014/main" id="{4FB2FF86-4CBF-EDAF-6975-50DE1F1718C4}"/>
              </a:ext>
            </a:extLst>
          </xdr:cNvPr>
          <xdr:cNvCxnSpPr/>
        </xdr:nvCxnSpPr>
        <xdr:spPr>
          <a:xfrm>
            <a:off x="3562351" y="23288625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7" name="Straight Arrow Connector 1196">
            <a:extLst>
              <a:ext uri="{FF2B5EF4-FFF2-40B4-BE49-F238E27FC236}">
                <a16:creationId xmlns:a16="http://schemas.microsoft.com/office/drawing/2014/main" id="{028F5180-9072-CFF8-C92B-C6AF1B5AB8B9}"/>
              </a:ext>
            </a:extLst>
          </xdr:cNvPr>
          <xdr:cNvCxnSpPr/>
        </xdr:nvCxnSpPr>
        <xdr:spPr>
          <a:xfrm>
            <a:off x="3724277" y="23193375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8" name="Straight Arrow Connector 1197">
            <a:extLst>
              <a:ext uri="{FF2B5EF4-FFF2-40B4-BE49-F238E27FC236}">
                <a16:creationId xmlns:a16="http://schemas.microsoft.com/office/drawing/2014/main" id="{D7038C25-03E7-B519-BCFC-6BB50C367598}"/>
              </a:ext>
            </a:extLst>
          </xdr:cNvPr>
          <xdr:cNvCxnSpPr/>
        </xdr:nvCxnSpPr>
        <xdr:spPr>
          <a:xfrm>
            <a:off x="3886196" y="23198138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9" name="Straight Arrow Connector 1198">
            <a:extLst>
              <a:ext uri="{FF2B5EF4-FFF2-40B4-BE49-F238E27FC236}">
                <a16:creationId xmlns:a16="http://schemas.microsoft.com/office/drawing/2014/main" id="{3FFF9BEA-8A83-C93B-C1B2-53146A4085F8}"/>
              </a:ext>
            </a:extLst>
          </xdr:cNvPr>
          <xdr:cNvCxnSpPr/>
        </xdr:nvCxnSpPr>
        <xdr:spPr>
          <a:xfrm>
            <a:off x="4048125" y="23188613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0" name="Straight Arrow Connector 1199">
            <a:extLst>
              <a:ext uri="{FF2B5EF4-FFF2-40B4-BE49-F238E27FC236}">
                <a16:creationId xmlns:a16="http://schemas.microsoft.com/office/drawing/2014/main" id="{D1316976-3581-E6E8-E5C3-29A4DCB3EB99}"/>
              </a:ext>
            </a:extLst>
          </xdr:cNvPr>
          <xdr:cNvCxnSpPr/>
        </xdr:nvCxnSpPr>
        <xdr:spPr>
          <a:xfrm>
            <a:off x="4210051" y="23193375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Straight Arrow Connector 1200">
            <a:extLst>
              <a:ext uri="{FF2B5EF4-FFF2-40B4-BE49-F238E27FC236}">
                <a16:creationId xmlns:a16="http://schemas.microsoft.com/office/drawing/2014/main" id="{78696554-0242-5361-4F38-D2C32323078F}"/>
              </a:ext>
            </a:extLst>
          </xdr:cNvPr>
          <xdr:cNvCxnSpPr/>
        </xdr:nvCxnSpPr>
        <xdr:spPr>
          <a:xfrm>
            <a:off x="4371970" y="23193375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Arrow Connector 1201">
            <a:extLst>
              <a:ext uri="{FF2B5EF4-FFF2-40B4-BE49-F238E27FC236}">
                <a16:creationId xmlns:a16="http://schemas.microsoft.com/office/drawing/2014/main" id="{0AC62625-BEC1-EE55-B0B3-4504D2CB5086}"/>
              </a:ext>
            </a:extLst>
          </xdr:cNvPr>
          <xdr:cNvCxnSpPr/>
        </xdr:nvCxnSpPr>
        <xdr:spPr>
          <a:xfrm>
            <a:off x="4533901" y="23198138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3" name="Straight Arrow Connector 1202">
            <a:extLst>
              <a:ext uri="{FF2B5EF4-FFF2-40B4-BE49-F238E27FC236}">
                <a16:creationId xmlns:a16="http://schemas.microsoft.com/office/drawing/2014/main" id="{04F19D8F-59C5-63C4-629F-E40F94AFCEBB}"/>
              </a:ext>
            </a:extLst>
          </xdr:cNvPr>
          <xdr:cNvCxnSpPr/>
        </xdr:nvCxnSpPr>
        <xdr:spPr>
          <a:xfrm>
            <a:off x="4695827" y="2319337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4" name="Straight Arrow Connector 1203">
            <a:extLst>
              <a:ext uri="{FF2B5EF4-FFF2-40B4-BE49-F238E27FC236}">
                <a16:creationId xmlns:a16="http://schemas.microsoft.com/office/drawing/2014/main" id="{4B9A6F34-9074-4002-C569-87E9210703FF}"/>
              </a:ext>
            </a:extLst>
          </xdr:cNvPr>
          <xdr:cNvCxnSpPr/>
        </xdr:nvCxnSpPr>
        <xdr:spPr>
          <a:xfrm>
            <a:off x="4857746" y="2319337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Arrow Connector 1204">
            <a:extLst>
              <a:ext uri="{FF2B5EF4-FFF2-40B4-BE49-F238E27FC236}">
                <a16:creationId xmlns:a16="http://schemas.microsoft.com/office/drawing/2014/main" id="{42B18D10-D35B-3767-A1D7-71231B1BEF57}"/>
              </a:ext>
            </a:extLst>
          </xdr:cNvPr>
          <xdr:cNvCxnSpPr/>
        </xdr:nvCxnSpPr>
        <xdr:spPr>
          <a:xfrm>
            <a:off x="5019683" y="2319337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Arrow Connector 1205">
            <a:extLst>
              <a:ext uri="{FF2B5EF4-FFF2-40B4-BE49-F238E27FC236}">
                <a16:creationId xmlns:a16="http://schemas.microsoft.com/office/drawing/2014/main" id="{27AF3AA0-3533-E0E7-9849-A9408DAD0F7D}"/>
              </a:ext>
            </a:extLst>
          </xdr:cNvPr>
          <xdr:cNvCxnSpPr/>
        </xdr:nvCxnSpPr>
        <xdr:spPr>
          <a:xfrm>
            <a:off x="5181609" y="2319337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Arrow Connector 1206">
            <a:extLst>
              <a:ext uri="{FF2B5EF4-FFF2-40B4-BE49-F238E27FC236}">
                <a16:creationId xmlns:a16="http://schemas.microsoft.com/office/drawing/2014/main" id="{C412CFAB-A376-416B-AD02-2A3FE5428B50}"/>
              </a:ext>
            </a:extLst>
          </xdr:cNvPr>
          <xdr:cNvCxnSpPr/>
        </xdr:nvCxnSpPr>
        <xdr:spPr>
          <a:xfrm>
            <a:off x="5343528" y="23188613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8" name="Straight Arrow Connector 1207">
            <a:extLst>
              <a:ext uri="{FF2B5EF4-FFF2-40B4-BE49-F238E27FC236}">
                <a16:creationId xmlns:a16="http://schemas.microsoft.com/office/drawing/2014/main" id="{5AF2EA34-4829-ABC2-86D7-B96D3DB07B55}"/>
              </a:ext>
            </a:extLst>
          </xdr:cNvPr>
          <xdr:cNvCxnSpPr/>
        </xdr:nvCxnSpPr>
        <xdr:spPr>
          <a:xfrm>
            <a:off x="5572141" y="23193375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Connector 1208">
            <a:extLst>
              <a:ext uri="{FF2B5EF4-FFF2-40B4-BE49-F238E27FC236}">
                <a16:creationId xmlns:a16="http://schemas.microsoft.com/office/drawing/2014/main" id="{004D3747-D51E-392C-964D-405657539A82}"/>
              </a:ext>
            </a:extLst>
          </xdr:cNvPr>
          <xdr:cNvCxnSpPr/>
        </xdr:nvCxnSpPr>
        <xdr:spPr>
          <a:xfrm>
            <a:off x="1876420" y="23288619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0" name="Straight Connector 1209">
            <a:extLst>
              <a:ext uri="{FF2B5EF4-FFF2-40B4-BE49-F238E27FC236}">
                <a16:creationId xmlns:a16="http://schemas.microsoft.com/office/drawing/2014/main" id="{34B910AD-B44E-B989-F702-A1834A029601}"/>
              </a:ext>
            </a:extLst>
          </xdr:cNvPr>
          <xdr:cNvCxnSpPr/>
        </xdr:nvCxnSpPr>
        <xdr:spPr>
          <a:xfrm>
            <a:off x="4086225" y="23622000"/>
            <a:ext cx="2781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Connector 1210">
            <a:extLst>
              <a:ext uri="{FF2B5EF4-FFF2-40B4-BE49-F238E27FC236}">
                <a16:creationId xmlns:a16="http://schemas.microsoft.com/office/drawing/2014/main" id="{C5038B8F-4C37-4187-FA85-F15871B69704}"/>
              </a:ext>
            </a:extLst>
          </xdr:cNvPr>
          <xdr:cNvCxnSpPr/>
        </xdr:nvCxnSpPr>
        <xdr:spPr>
          <a:xfrm>
            <a:off x="5067300" y="24164931"/>
            <a:ext cx="1476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9D456E1D-C419-5757-BA88-A4C9C3C09D44}"/>
              </a:ext>
            </a:extLst>
          </xdr:cNvPr>
          <xdr:cNvCxnSpPr/>
        </xdr:nvCxnSpPr>
        <xdr:spPr>
          <a:xfrm>
            <a:off x="6477001" y="23555325"/>
            <a:ext cx="0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Arrow Connector 1212">
            <a:extLst>
              <a:ext uri="{FF2B5EF4-FFF2-40B4-BE49-F238E27FC236}">
                <a16:creationId xmlns:a16="http://schemas.microsoft.com/office/drawing/2014/main" id="{BE187765-2D18-BDA8-2DC6-C95FC9FE6786}"/>
              </a:ext>
            </a:extLst>
          </xdr:cNvPr>
          <xdr:cNvCxnSpPr/>
        </xdr:nvCxnSpPr>
        <xdr:spPr>
          <a:xfrm flipH="1">
            <a:off x="5643563" y="25484137"/>
            <a:ext cx="35718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Connector 1213">
            <a:extLst>
              <a:ext uri="{FF2B5EF4-FFF2-40B4-BE49-F238E27FC236}">
                <a16:creationId xmlns:a16="http://schemas.microsoft.com/office/drawing/2014/main" id="{C898E775-09A7-9205-0C0D-A30D81940403}"/>
              </a:ext>
            </a:extLst>
          </xdr:cNvPr>
          <xdr:cNvCxnSpPr/>
        </xdr:nvCxnSpPr>
        <xdr:spPr>
          <a:xfrm flipH="1">
            <a:off x="6438899" y="2358866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5" name="Straight Connector 1214">
            <a:extLst>
              <a:ext uri="{FF2B5EF4-FFF2-40B4-BE49-F238E27FC236}">
                <a16:creationId xmlns:a16="http://schemas.microsoft.com/office/drawing/2014/main" id="{937C3A01-FDA4-CDA3-C6BA-1B3DB459CD10}"/>
              </a:ext>
            </a:extLst>
          </xdr:cNvPr>
          <xdr:cNvCxnSpPr/>
        </xdr:nvCxnSpPr>
        <xdr:spPr>
          <a:xfrm flipH="1">
            <a:off x="6438895" y="2413160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6" name="Straight Connector 1215">
            <a:extLst>
              <a:ext uri="{FF2B5EF4-FFF2-40B4-BE49-F238E27FC236}">
                <a16:creationId xmlns:a16="http://schemas.microsoft.com/office/drawing/2014/main" id="{49A7BEDB-4B49-949B-D69F-DCD50D66C445}"/>
              </a:ext>
            </a:extLst>
          </xdr:cNvPr>
          <xdr:cNvCxnSpPr/>
        </xdr:nvCxnSpPr>
        <xdr:spPr>
          <a:xfrm>
            <a:off x="6086475" y="25479387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Connector 1216">
            <a:extLst>
              <a:ext uri="{FF2B5EF4-FFF2-40B4-BE49-F238E27FC236}">
                <a16:creationId xmlns:a16="http://schemas.microsoft.com/office/drawing/2014/main" id="{7C01778C-ABFD-65F2-3FBA-267C32A3B088}"/>
              </a:ext>
            </a:extLst>
          </xdr:cNvPr>
          <xdr:cNvCxnSpPr/>
        </xdr:nvCxnSpPr>
        <xdr:spPr>
          <a:xfrm flipH="1">
            <a:off x="6438892" y="254460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8" name="Straight Connector 1217">
            <a:extLst>
              <a:ext uri="{FF2B5EF4-FFF2-40B4-BE49-F238E27FC236}">
                <a16:creationId xmlns:a16="http://schemas.microsoft.com/office/drawing/2014/main" id="{880F8D9A-BAA6-62BB-BDD7-ACEF690A375B}"/>
              </a:ext>
            </a:extLst>
          </xdr:cNvPr>
          <xdr:cNvCxnSpPr/>
        </xdr:nvCxnSpPr>
        <xdr:spPr>
          <a:xfrm>
            <a:off x="6800851" y="23560088"/>
            <a:ext cx="0" cy="1985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9" name="Straight Connector 1218">
            <a:extLst>
              <a:ext uri="{FF2B5EF4-FFF2-40B4-BE49-F238E27FC236}">
                <a16:creationId xmlns:a16="http://schemas.microsoft.com/office/drawing/2014/main" id="{C4ECE088-541C-1924-1D51-D82E99B98741}"/>
              </a:ext>
            </a:extLst>
          </xdr:cNvPr>
          <xdr:cNvCxnSpPr/>
        </xdr:nvCxnSpPr>
        <xdr:spPr>
          <a:xfrm flipH="1">
            <a:off x="6762749" y="2358866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Connector 1219">
            <a:extLst>
              <a:ext uri="{FF2B5EF4-FFF2-40B4-BE49-F238E27FC236}">
                <a16:creationId xmlns:a16="http://schemas.microsoft.com/office/drawing/2014/main" id="{BB8CAEF4-D5D6-EE25-D0B1-5CC7223231E7}"/>
              </a:ext>
            </a:extLst>
          </xdr:cNvPr>
          <xdr:cNvCxnSpPr/>
        </xdr:nvCxnSpPr>
        <xdr:spPr>
          <a:xfrm flipH="1">
            <a:off x="6762742" y="254460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Arrow Connector 1220">
            <a:extLst>
              <a:ext uri="{FF2B5EF4-FFF2-40B4-BE49-F238E27FC236}">
                <a16:creationId xmlns:a16="http://schemas.microsoft.com/office/drawing/2014/main" id="{0883FA58-C4EE-5C85-050C-77FF544AE54F}"/>
              </a:ext>
            </a:extLst>
          </xdr:cNvPr>
          <xdr:cNvCxnSpPr/>
        </xdr:nvCxnSpPr>
        <xdr:spPr>
          <a:xfrm flipV="1">
            <a:off x="3724276" y="23774400"/>
            <a:ext cx="685799" cy="170497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2" name="Straight Arrow Connector 1221">
            <a:extLst>
              <a:ext uri="{FF2B5EF4-FFF2-40B4-BE49-F238E27FC236}">
                <a16:creationId xmlns:a16="http://schemas.microsoft.com/office/drawing/2014/main" id="{CF11DD85-4EDC-0499-B12C-97624A909222}"/>
              </a:ext>
            </a:extLst>
          </xdr:cNvPr>
          <xdr:cNvCxnSpPr/>
        </xdr:nvCxnSpPr>
        <xdr:spPr>
          <a:xfrm>
            <a:off x="1471613" y="2547937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Arrow Connector 1222">
            <a:extLst>
              <a:ext uri="{FF2B5EF4-FFF2-40B4-BE49-F238E27FC236}">
                <a16:creationId xmlns:a16="http://schemas.microsoft.com/office/drawing/2014/main" id="{70CBF4B5-F04F-A129-F0F2-D9ACA05B3D66}"/>
              </a:ext>
            </a:extLst>
          </xdr:cNvPr>
          <xdr:cNvCxnSpPr/>
        </xdr:nvCxnSpPr>
        <xdr:spPr>
          <a:xfrm>
            <a:off x="5019675" y="23779163"/>
            <a:ext cx="0" cy="32385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Connector 1223">
            <a:extLst>
              <a:ext uri="{FF2B5EF4-FFF2-40B4-BE49-F238E27FC236}">
                <a16:creationId xmlns:a16="http://schemas.microsoft.com/office/drawing/2014/main" id="{464B37DB-8F33-A665-7D4A-BA5C4378C696}"/>
              </a:ext>
            </a:extLst>
          </xdr:cNvPr>
          <xdr:cNvCxnSpPr/>
        </xdr:nvCxnSpPr>
        <xdr:spPr>
          <a:xfrm>
            <a:off x="1223963" y="23622002"/>
            <a:ext cx="22859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5" name="Straight Connector 1224">
            <a:extLst>
              <a:ext uri="{FF2B5EF4-FFF2-40B4-BE49-F238E27FC236}">
                <a16:creationId xmlns:a16="http://schemas.microsoft.com/office/drawing/2014/main" id="{B301DEF6-1AA8-AE9E-1FC8-B3E51999EAA4}"/>
              </a:ext>
            </a:extLst>
          </xdr:cNvPr>
          <xdr:cNvCxnSpPr/>
        </xdr:nvCxnSpPr>
        <xdr:spPr>
          <a:xfrm>
            <a:off x="1295399" y="23550563"/>
            <a:ext cx="0" cy="2005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Connector 1225">
            <a:extLst>
              <a:ext uri="{FF2B5EF4-FFF2-40B4-BE49-F238E27FC236}">
                <a16:creationId xmlns:a16="http://schemas.microsoft.com/office/drawing/2014/main" id="{0FCC812B-68DF-BD6D-C2A3-243E42589884}"/>
              </a:ext>
            </a:extLst>
          </xdr:cNvPr>
          <xdr:cNvCxnSpPr/>
        </xdr:nvCxnSpPr>
        <xdr:spPr>
          <a:xfrm flipH="1">
            <a:off x="1219203" y="25479375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Connector 1226">
            <a:extLst>
              <a:ext uri="{FF2B5EF4-FFF2-40B4-BE49-F238E27FC236}">
                <a16:creationId xmlns:a16="http://schemas.microsoft.com/office/drawing/2014/main" id="{2F98592B-403E-A127-9DCA-44E79559AFCD}"/>
              </a:ext>
            </a:extLst>
          </xdr:cNvPr>
          <xdr:cNvCxnSpPr/>
        </xdr:nvCxnSpPr>
        <xdr:spPr>
          <a:xfrm flipH="1">
            <a:off x="1257297" y="235886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Connector 1227">
            <a:extLst>
              <a:ext uri="{FF2B5EF4-FFF2-40B4-BE49-F238E27FC236}">
                <a16:creationId xmlns:a16="http://schemas.microsoft.com/office/drawing/2014/main" id="{25CDA434-30B9-375C-5E7E-675A91CF8F5E}"/>
              </a:ext>
            </a:extLst>
          </xdr:cNvPr>
          <xdr:cNvCxnSpPr/>
        </xdr:nvCxnSpPr>
        <xdr:spPr>
          <a:xfrm flipH="1">
            <a:off x="1257303" y="25446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Connector 1228">
            <a:extLst>
              <a:ext uri="{FF2B5EF4-FFF2-40B4-BE49-F238E27FC236}">
                <a16:creationId xmlns:a16="http://schemas.microsoft.com/office/drawing/2014/main" id="{ECAAFD3D-0897-3C26-E552-8875304D8AA7}"/>
              </a:ext>
            </a:extLst>
          </xdr:cNvPr>
          <xdr:cNvCxnSpPr/>
        </xdr:nvCxnSpPr>
        <xdr:spPr>
          <a:xfrm>
            <a:off x="1233488" y="24164913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F3FA7041-3602-A704-619E-398ED7CBE051}"/>
              </a:ext>
            </a:extLst>
          </xdr:cNvPr>
          <xdr:cNvCxnSpPr/>
        </xdr:nvCxnSpPr>
        <xdr:spPr>
          <a:xfrm flipH="1">
            <a:off x="1257296" y="241315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Arrow Connector 1230">
            <a:extLst>
              <a:ext uri="{FF2B5EF4-FFF2-40B4-BE49-F238E27FC236}">
                <a16:creationId xmlns:a16="http://schemas.microsoft.com/office/drawing/2014/main" id="{F07327F1-92E4-0F7F-8176-FD245E575139}"/>
              </a:ext>
            </a:extLst>
          </xdr:cNvPr>
          <xdr:cNvCxnSpPr/>
        </xdr:nvCxnSpPr>
        <xdr:spPr>
          <a:xfrm flipH="1" flipV="1">
            <a:off x="2438400" y="24160163"/>
            <a:ext cx="1290638" cy="1328737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Arrow Connector 1231">
            <a:extLst>
              <a:ext uri="{FF2B5EF4-FFF2-40B4-BE49-F238E27FC236}">
                <a16:creationId xmlns:a16="http://schemas.microsoft.com/office/drawing/2014/main" id="{5C9B6EB3-B5A7-132F-CCFB-3FF20FF9EA09}"/>
              </a:ext>
            </a:extLst>
          </xdr:cNvPr>
          <xdr:cNvCxnSpPr/>
        </xdr:nvCxnSpPr>
        <xdr:spPr>
          <a:xfrm flipV="1">
            <a:off x="3719513" y="24169688"/>
            <a:ext cx="1290637" cy="13144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Connector 1232">
            <a:extLst>
              <a:ext uri="{FF2B5EF4-FFF2-40B4-BE49-F238E27FC236}">
                <a16:creationId xmlns:a16="http://schemas.microsoft.com/office/drawing/2014/main" id="{1F7C2CBA-5345-4239-8CC1-2C4AF7F8D1FC}"/>
              </a:ext>
            </a:extLst>
          </xdr:cNvPr>
          <xdr:cNvCxnSpPr/>
        </xdr:nvCxnSpPr>
        <xdr:spPr>
          <a:xfrm>
            <a:off x="3276600" y="25479376"/>
            <a:ext cx="9429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4" name="Arc 1233">
            <a:extLst>
              <a:ext uri="{FF2B5EF4-FFF2-40B4-BE49-F238E27FC236}">
                <a16:creationId xmlns:a16="http://schemas.microsoft.com/office/drawing/2014/main" id="{2D6B77A2-F55C-D9FC-D4B8-50F5EA516C0E}"/>
              </a:ext>
            </a:extLst>
          </xdr:cNvPr>
          <xdr:cNvSpPr/>
        </xdr:nvSpPr>
        <xdr:spPr>
          <a:xfrm rot="14662438">
            <a:off x="3467101" y="25284114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35" name="Arc 1234">
            <a:extLst>
              <a:ext uri="{FF2B5EF4-FFF2-40B4-BE49-F238E27FC236}">
                <a16:creationId xmlns:a16="http://schemas.microsoft.com/office/drawing/2014/main" id="{D1CADB78-3126-739F-FCA2-9B8BE6CDDE73}"/>
              </a:ext>
            </a:extLst>
          </xdr:cNvPr>
          <xdr:cNvSpPr/>
        </xdr:nvSpPr>
        <xdr:spPr>
          <a:xfrm rot="1806329">
            <a:off x="3700462" y="25279350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53" name="Straight Connector 1252">
            <a:extLst>
              <a:ext uri="{FF2B5EF4-FFF2-40B4-BE49-F238E27FC236}">
                <a16:creationId xmlns:a16="http://schemas.microsoft.com/office/drawing/2014/main" id="{E666D15F-5B49-CAB8-D715-45BE129641F9}"/>
              </a:ext>
            </a:extLst>
          </xdr:cNvPr>
          <xdr:cNvCxnSpPr/>
        </xdr:nvCxnSpPr>
        <xdr:spPr>
          <a:xfrm>
            <a:off x="971558" y="23617238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Arrow Connector 1254">
            <a:extLst>
              <a:ext uri="{FF2B5EF4-FFF2-40B4-BE49-F238E27FC236}">
                <a16:creationId xmlns:a16="http://schemas.microsoft.com/office/drawing/2014/main" id="{645E9F16-E577-CF54-6ED3-BA8970823005}"/>
              </a:ext>
            </a:extLst>
          </xdr:cNvPr>
          <xdr:cNvCxnSpPr/>
        </xdr:nvCxnSpPr>
        <xdr:spPr>
          <a:xfrm>
            <a:off x="776296" y="236220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Straight Arrow Connector 1257">
            <a:extLst>
              <a:ext uri="{FF2B5EF4-FFF2-40B4-BE49-F238E27FC236}">
                <a16:creationId xmlns:a16="http://schemas.microsoft.com/office/drawing/2014/main" id="{01F91654-2312-4EFC-A02E-F0566F703502}"/>
              </a:ext>
            </a:extLst>
          </xdr:cNvPr>
          <xdr:cNvCxnSpPr/>
        </xdr:nvCxnSpPr>
        <xdr:spPr>
          <a:xfrm>
            <a:off x="781057" y="2376487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Arrow Connector 1258">
            <a:extLst>
              <a:ext uri="{FF2B5EF4-FFF2-40B4-BE49-F238E27FC236}">
                <a16:creationId xmlns:a16="http://schemas.microsoft.com/office/drawing/2014/main" id="{8DED1E03-B52C-46AD-96CF-417AAE956CB8}"/>
              </a:ext>
            </a:extLst>
          </xdr:cNvPr>
          <xdr:cNvCxnSpPr/>
        </xdr:nvCxnSpPr>
        <xdr:spPr>
          <a:xfrm>
            <a:off x="771527" y="2390775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0" name="Straight Arrow Connector 1259">
            <a:extLst>
              <a:ext uri="{FF2B5EF4-FFF2-40B4-BE49-F238E27FC236}">
                <a16:creationId xmlns:a16="http://schemas.microsoft.com/office/drawing/2014/main" id="{6CB34EB7-09A1-44C4-8CF2-1BDBB044F780}"/>
              </a:ext>
            </a:extLst>
          </xdr:cNvPr>
          <xdr:cNvCxnSpPr/>
        </xdr:nvCxnSpPr>
        <xdr:spPr>
          <a:xfrm>
            <a:off x="776288" y="24050629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Straight Arrow Connector 1260">
            <a:extLst>
              <a:ext uri="{FF2B5EF4-FFF2-40B4-BE49-F238E27FC236}">
                <a16:creationId xmlns:a16="http://schemas.microsoft.com/office/drawing/2014/main" id="{6B05A905-DAEC-458B-B91B-C0D0788B183A}"/>
              </a:ext>
            </a:extLst>
          </xdr:cNvPr>
          <xdr:cNvCxnSpPr/>
        </xdr:nvCxnSpPr>
        <xdr:spPr>
          <a:xfrm>
            <a:off x="776291" y="2419827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2" name="Straight Arrow Connector 1261">
            <a:extLst>
              <a:ext uri="{FF2B5EF4-FFF2-40B4-BE49-F238E27FC236}">
                <a16:creationId xmlns:a16="http://schemas.microsoft.com/office/drawing/2014/main" id="{8DFEC960-D387-4583-AA92-1AA5C92DF810}"/>
              </a:ext>
            </a:extLst>
          </xdr:cNvPr>
          <xdr:cNvCxnSpPr/>
        </xdr:nvCxnSpPr>
        <xdr:spPr>
          <a:xfrm>
            <a:off x="781052" y="24341149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3" name="Straight Arrow Connector 1262">
            <a:extLst>
              <a:ext uri="{FF2B5EF4-FFF2-40B4-BE49-F238E27FC236}">
                <a16:creationId xmlns:a16="http://schemas.microsoft.com/office/drawing/2014/main" id="{B1D47DEB-7931-4DAA-8C01-A0DE2BA98B0C}"/>
              </a:ext>
            </a:extLst>
          </xdr:cNvPr>
          <xdr:cNvCxnSpPr/>
        </xdr:nvCxnSpPr>
        <xdr:spPr>
          <a:xfrm>
            <a:off x="771522" y="2448402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4" name="Straight Arrow Connector 1263">
            <a:extLst>
              <a:ext uri="{FF2B5EF4-FFF2-40B4-BE49-F238E27FC236}">
                <a16:creationId xmlns:a16="http://schemas.microsoft.com/office/drawing/2014/main" id="{481536D4-2659-4A4A-A35A-1A0C6B9283B8}"/>
              </a:ext>
            </a:extLst>
          </xdr:cNvPr>
          <xdr:cNvCxnSpPr/>
        </xdr:nvCxnSpPr>
        <xdr:spPr>
          <a:xfrm>
            <a:off x="776283" y="246269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5" name="Straight Arrow Connector 1264">
            <a:extLst>
              <a:ext uri="{FF2B5EF4-FFF2-40B4-BE49-F238E27FC236}">
                <a16:creationId xmlns:a16="http://schemas.microsoft.com/office/drawing/2014/main" id="{A561193C-0A11-4C0E-81BA-E671DBF4BCB0}"/>
              </a:ext>
            </a:extLst>
          </xdr:cNvPr>
          <xdr:cNvCxnSpPr/>
        </xdr:nvCxnSpPr>
        <xdr:spPr>
          <a:xfrm>
            <a:off x="771547" y="24765000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Straight Arrow Connector 1265">
            <a:extLst>
              <a:ext uri="{FF2B5EF4-FFF2-40B4-BE49-F238E27FC236}">
                <a16:creationId xmlns:a16="http://schemas.microsoft.com/office/drawing/2014/main" id="{87E83908-2BB5-44CD-8090-F53FC7A2C0E5}"/>
              </a:ext>
            </a:extLst>
          </xdr:cNvPr>
          <xdr:cNvCxnSpPr/>
        </xdr:nvCxnSpPr>
        <xdr:spPr>
          <a:xfrm>
            <a:off x="776308" y="24907876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Straight Arrow Connector 1266">
            <a:extLst>
              <a:ext uri="{FF2B5EF4-FFF2-40B4-BE49-F238E27FC236}">
                <a16:creationId xmlns:a16="http://schemas.microsoft.com/office/drawing/2014/main" id="{B77C21E5-5FD4-4C82-BCC0-427526256E49}"/>
              </a:ext>
            </a:extLst>
          </xdr:cNvPr>
          <xdr:cNvCxnSpPr/>
        </xdr:nvCxnSpPr>
        <xdr:spPr>
          <a:xfrm>
            <a:off x="766778" y="2505075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8" name="Straight Arrow Connector 1267">
            <a:extLst>
              <a:ext uri="{FF2B5EF4-FFF2-40B4-BE49-F238E27FC236}">
                <a16:creationId xmlns:a16="http://schemas.microsoft.com/office/drawing/2014/main" id="{FFEA9A00-CD55-4C3F-87F5-6E12A6AA543C}"/>
              </a:ext>
            </a:extLst>
          </xdr:cNvPr>
          <xdr:cNvCxnSpPr/>
        </xdr:nvCxnSpPr>
        <xdr:spPr>
          <a:xfrm>
            <a:off x="771539" y="2519362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9" name="Straight Arrow Connector 1268">
            <a:extLst>
              <a:ext uri="{FF2B5EF4-FFF2-40B4-BE49-F238E27FC236}">
                <a16:creationId xmlns:a16="http://schemas.microsoft.com/office/drawing/2014/main" id="{FAE834D0-54F1-45BA-A462-872066CEF324}"/>
              </a:ext>
            </a:extLst>
          </xdr:cNvPr>
          <xdr:cNvCxnSpPr/>
        </xdr:nvCxnSpPr>
        <xdr:spPr>
          <a:xfrm>
            <a:off x="771542" y="2534127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0" name="Straight Arrow Connector 1269">
            <a:extLst>
              <a:ext uri="{FF2B5EF4-FFF2-40B4-BE49-F238E27FC236}">
                <a16:creationId xmlns:a16="http://schemas.microsoft.com/office/drawing/2014/main" id="{903DC4EF-D24F-43B0-91E0-208626EAD8B9}"/>
              </a:ext>
            </a:extLst>
          </xdr:cNvPr>
          <xdr:cNvCxnSpPr/>
        </xdr:nvCxnSpPr>
        <xdr:spPr>
          <a:xfrm>
            <a:off x="776303" y="2548414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39FF2E6F-83C3-4F03-8549-01D9C8B4E35F}"/>
              </a:ext>
            </a:extLst>
          </xdr:cNvPr>
          <xdr:cNvCxnSpPr/>
        </xdr:nvCxnSpPr>
        <xdr:spPr>
          <a:xfrm>
            <a:off x="771533" y="23622001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4" name="Straight Connector 2793">
            <a:extLst>
              <a:ext uri="{FF2B5EF4-FFF2-40B4-BE49-F238E27FC236}">
                <a16:creationId xmlns:a16="http://schemas.microsoft.com/office/drawing/2014/main" id="{0EE5AC46-B89C-41FE-923A-E1EA8DEAE622}"/>
              </a:ext>
            </a:extLst>
          </xdr:cNvPr>
          <xdr:cNvCxnSpPr/>
        </xdr:nvCxnSpPr>
        <xdr:spPr>
          <a:xfrm>
            <a:off x="3724278" y="23193368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114311</xdr:colOff>
      <xdr:row>788</xdr:row>
      <xdr:rowOff>0</xdr:rowOff>
    </xdr:from>
    <xdr:to>
      <xdr:col>41</xdr:col>
      <xdr:colOff>66675</xdr:colOff>
      <xdr:row>816</xdr:row>
      <xdr:rowOff>133174</xdr:rowOff>
    </xdr:to>
    <xdr:grpSp>
      <xdr:nvGrpSpPr>
        <xdr:cNvPr id="2998" name="Group 2997">
          <a:extLst>
            <a:ext uri="{FF2B5EF4-FFF2-40B4-BE49-F238E27FC236}">
              <a16:creationId xmlns:a16="http://schemas.microsoft.com/office/drawing/2014/main" id="{E27A1A40-6550-C5D1-EEEE-FB22C4AC34AA}"/>
            </a:ext>
          </a:extLst>
        </xdr:cNvPr>
        <xdr:cNvGrpSpPr/>
      </xdr:nvGrpSpPr>
      <xdr:grpSpPr>
        <a:xfrm>
          <a:off x="600086" y="113061750"/>
          <a:ext cx="6105514" cy="4133674"/>
          <a:chOff x="600086" y="101631750"/>
          <a:chExt cx="6105514" cy="4133674"/>
        </a:xfrm>
      </xdr:grpSpPr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D8A4B615-67FA-C36E-39C2-1E678FC533B5}"/>
              </a:ext>
            </a:extLst>
          </xdr:cNvPr>
          <xdr:cNvSpPr/>
        </xdr:nvSpPr>
        <xdr:spPr>
          <a:xfrm>
            <a:off x="1547812" y="104061276"/>
            <a:ext cx="338137" cy="143206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2" name="Arc 471">
            <a:extLst>
              <a:ext uri="{FF2B5EF4-FFF2-40B4-BE49-F238E27FC236}">
                <a16:creationId xmlns:a16="http://schemas.microsoft.com/office/drawing/2014/main" id="{E986F0D3-8F9C-DBAE-AA33-A0047AD4DFCF}"/>
              </a:ext>
            </a:extLst>
          </xdr:cNvPr>
          <xdr:cNvSpPr/>
        </xdr:nvSpPr>
        <xdr:spPr>
          <a:xfrm>
            <a:off x="1714499" y="102061169"/>
            <a:ext cx="3695700" cy="3704255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3" name="Isosceles Triangle 472">
            <a:extLst>
              <a:ext uri="{FF2B5EF4-FFF2-40B4-BE49-F238E27FC236}">
                <a16:creationId xmlns:a16="http://schemas.microsoft.com/office/drawing/2014/main" id="{269F9A95-612B-4FA3-B80B-0E8EE69E6E68}"/>
              </a:ext>
            </a:extLst>
          </xdr:cNvPr>
          <xdr:cNvSpPr/>
        </xdr:nvSpPr>
        <xdr:spPr>
          <a:xfrm>
            <a:off x="1632394" y="103922846"/>
            <a:ext cx="154684" cy="133657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27259DD2-14E1-17CA-8A28-BF2704F2B845}"/>
              </a:ext>
            </a:extLst>
          </xdr:cNvPr>
          <xdr:cNvCxnSpPr/>
        </xdr:nvCxnSpPr>
        <xdr:spPr>
          <a:xfrm>
            <a:off x="1538286" y="104056501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5" name="Oval 504">
            <a:extLst>
              <a:ext uri="{FF2B5EF4-FFF2-40B4-BE49-F238E27FC236}">
                <a16:creationId xmlns:a16="http://schemas.microsoft.com/office/drawing/2014/main" id="{439F8934-53B0-4D35-6512-A7276248B4D7}"/>
              </a:ext>
            </a:extLst>
          </xdr:cNvPr>
          <xdr:cNvSpPr/>
        </xdr:nvSpPr>
        <xdr:spPr>
          <a:xfrm>
            <a:off x="1666873" y="103865561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6E6FA4D2-E2AB-DF54-8F0C-C5ED9560E17D}"/>
              </a:ext>
            </a:extLst>
          </xdr:cNvPr>
          <xdr:cNvSpPr/>
        </xdr:nvSpPr>
        <xdr:spPr>
          <a:xfrm>
            <a:off x="5243509" y="104061276"/>
            <a:ext cx="338137" cy="143206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1" name="Isosceles Triangle 510">
            <a:extLst>
              <a:ext uri="{FF2B5EF4-FFF2-40B4-BE49-F238E27FC236}">
                <a16:creationId xmlns:a16="http://schemas.microsoft.com/office/drawing/2014/main" id="{8C3716E2-36AB-73D8-21CA-1ED5DBFD49A5}"/>
              </a:ext>
            </a:extLst>
          </xdr:cNvPr>
          <xdr:cNvSpPr/>
        </xdr:nvSpPr>
        <xdr:spPr>
          <a:xfrm>
            <a:off x="5328091" y="103922846"/>
            <a:ext cx="154684" cy="133657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42BB9184-5775-5000-5B8E-7FAC0709112F}"/>
              </a:ext>
            </a:extLst>
          </xdr:cNvPr>
          <xdr:cNvCxnSpPr/>
        </xdr:nvCxnSpPr>
        <xdr:spPr>
          <a:xfrm>
            <a:off x="5233983" y="104056501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3" name="Oval 512">
            <a:extLst>
              <a:ext uri="{FF2B5EF4-FFF2-40B4-BE49-F238E27FC236}">
                <a16:creationId xmlns:a16="http://schemas.microsoft.com/office/drawing/2014/main" id="{2A0F4118-A07B-270D-2D5B-00DB721159F8}"/>
              </a:ext>
            </a:extLst>
          </xdr:cNvPr>
          <xdr:cNvSpPr/>
        </xdr:nvSpPr>
        <xdr:spPr>
          <a:xfrm>
            <a:off x="5362570" y="103865561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71" name="Straight Arrow Connector 570">
            <a:extLst>
              <a:ext uri="{FF2B5EF4-FFF2-40B4-BE49-F238E27FC236}">
                <a16:creationId xmlns:a16="http://schemas.microsoft.com/office/drawing/2014/main" id="{FB6390BA-D63B-1C53-47C9-E093692E6D2E}"/>
              </a:ext>
            </a:extLst>
          </xdr:cNvPr>
          <xdr:cNvCxnSpPr/>
        </xdr:nvCxnSpPr>
        <xdr:spPr>
          <a:xfrm flipV="1">
            <a:off x="1700211" y="104199708"/>
            <a:ext cx="0" cy="295959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Arrow Connector 571">
            <a:extLst>
              <a:ext uri="{FF2B5EF4-FFF2-40B4-BE49-F238E27FC236}">
                <a16:creationId xmlns:a16="http://schemas.microsoft.com/office/drawing/2014/main" id="{648618A8-865B-5618-8D81-F0644483F087}"/>
              </a:ext>
            </a:extLst>
          </xdr:cNvPr>
          <xdr:cNvCxnSpPr/>
        </xdr:nvCxnSpPr>
        <xdr:spPr>
          <a:xfrm flipV="1">
            <a:off x="5410198" y="104199707"/>
            <a:ext cx="0" cy="295959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3" name="Oval 572">
            <a:extLst>
              <a:ext uri="{FF2B5EF4-FFF2-40B4-BE49-F238E27FC236}">
                <a16:creationId xmlns:a16="http://schemas.microsoft.com/office/drawing/2014/main" id="{9D25D40A-EE9C-B302-CFC4-8B6CA26CE3C5}"/>
              </a:ext>
            </a:extLst>
          </xdr:cNvPr>
          <xdr:cNvSpPr/>
        </xdr:nvSpPr>
        <xdr:spPr>
          <a:xfrm>
            <a:off x="3519488" y="102018207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1D43E11C-A0ED-0C27-3261-AFBBF646C406}"/>
              </a:ext>
            </a:extLst>
          </xdr:cNvPr>
          <xdr:cNvCxnSpPr/>
        </xdr:nvCxnSpPr>
        <xdr:spPr>
          <a:xfrm>
            <a:off x="1633540" y="104772532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DB88D714-FDCA-324E-D952-3E4E7808E604}"/>
              </a:ext>
            </a:extLst>
          </xdr:cNvPr>
          <xdr:cNvCxnSpPr/>
        </xdr:nvCxnSpPr>
        <xdr:spPr>
          <a:xfrm>
            <a:off x="1700213" y="104638878"/>
            <a:ext cx="0" cy="49166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AB99B921-BD80-2D78-EE5A-6F58017BAF19}"/>
              </a:ext>
            </a:extLst>
          </xdr:cNvPr>
          <xdr:cNvCxnSpPr/>
        </xdr:nvCxnSpPr>
        <xdr:spPr>
          <a:xfrm flipH="1">
            <a:off x="1662112" y="10473911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17AACA96-F5F4-B74E-62F3-4D325F958191}"/>
              </a:ext>
            </a:extLst>
          </xdr:cNvPr>
          <xdr:cNvCxnSpPr/>
        </xdr:nvCxnSpPr>
        <xdr:spPr>
          <a:xfrm>
            <a:off x="1633538" y="105058949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E0828911-4BC4-4B8D-C581-A28A16BA8479}"/>
              </a:ext>
            </a:extLst>
          </xdr:cNvPr>
          <xdr:cNvCxnSpPr/>
        </xdr:nvCxnSpPr>
        <xdr:spPr>
          <a:xfrm flipH="1">
            <a:off x="1662110" y="105025535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7447955E-C69D-8F5F-636E-053A0F9FDAF6}"/>
              </a:ext>
            </a:extLst>
          </xdr:cNvPr>
          <xdr:cNvCxnSpPr/>
        </xdr:nvCxnSpPr>
        <xdr:spPr>
          <a:xfrm>
            <a:off x="5410207" y="104638873"/>
            <a:ext cx="0" cy="49166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8813CCF8-5DD2-3809-0A57-1FE1861138CD}"/>
              </a:ext>
            </a:extLst>
          </xdr:cNvPr>
          <xdr:cNvCxnSpPr/>
        </xdr:nvCxnSpPr>
        <xdr:spPr>
          <a:xfrm flipH="1">
            <a:off x="5372106" y="104739112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6CE9C1E4-F41E-8C32-0ED9-44E2458BC177}"/>
              </a:ext>
            </a:extLst>
          </xdr:cNvPr>
          <xdr:cNvCxnSpPr/>
        </xdr:nvCxnSpPr>
        <xdr:spPr>
          <a:xfrm flipH="1">
            <a:off x="5372104" y="105025530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5BA19CE1-1E8C-81C0-ACDC-3926D08A3FFC}"/>
              </a:ext>
            </a:extLst>
          </xdr:cNvPr>
          <xdr:cNvCxnSpPr/>
        </xdr:nvCxnSpPr>
        <xdr:spPr>
          <a:xfrm>
            <a:off x="2266945" y="102667407"/>
            <a:ext cx="0" cy="2181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0F33717A-5FB9-307E-8F27-76AC47CD72B6}"/>
              </a:ext>
            </a:extLst>
          </xdr:cNvPr>
          <xdr:cNvCxnSpPr/>
        </xdr:nvCxnSpPr>
        <xdr:spPr>
          <a:xfrm flipH="1">
            <a:off x="2228847" y="10473911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5CD5E1B7-85BE-D34E-D882-839ACEC15088}"/>
              </a:ext>
            </a:extLst>
          </xdr:cNvPr>
          <xdr:cNvCxnSpPr/>
        </xdr:nvCxnSpPr>
        <xdr:spPr>
          <a:xfrm>
            <a:off x="4857759" y="102686501"/>
            <a:ext cx="0" cy="216240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96DB7A24-54A5-C815-B9C9-F0C5D02A1EB7}"/>
              </a:ext>
            </a:extLst>
          </xdr:cNvPr>
          <xdr:cNvCxnSpPr/>
        </xdr:nvCxnSpPr>
        <xdr:spPr>
          <a:xfrm flipH="1">
            <a:off x="4819661" y="104739115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89473DA9-4D6F-D6C1-1EAD-9612F237F56B}"/>
              </a:ext>
            </a:extLst>
          </xdr:cNvPr>
          <xdr:cNvCxnSpPr/>
        </xdr:nvCxnSpPr>
        <xdr:spPr>
          <a:xfrm flipH="1" flipV="1">
            <a:off x="2228852" y="102548071"/>
            <a:ext cx="83925" cy="859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6455B4FC-7940-AF89-B2CF-FEE7A0ABBDF0}"/>
              </a:ext>
            </a:extLst>
          </xdr:cNvPr>
          <xdr:cNvCxnSpPr/>
        </xdr:nvCxnSpPr>
        <xdr:spPr>
          <a:xfrm flipV="1">
            <a:off x="4824413" y="102557615"/>
            <a:ext cx="71437" cy="7262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AB410C81-CC3D-14FA-47A3-85487D518531}"/>
              </a:ext>
            </a:extLst>
          </xdr:cNvPr>
          <xdr:cNvCxnSpPr/>
        </xdr:nvCxnSpPr>
        <xdr:spPr>
          <a:xfrm>
            <a:off x="3562351" y="104051100"/>
            <a:ext cx="0" cy="79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BC82D775-3F94-1161-18F9-CD38CE729099}"/>
              </a:ext>
            </a:extLst>
          </xdr:cNvPr>
          <xdr:cNvCxnSpPr/>
        </xdr:nvCxnSpPr>
        <xdr:spPr>
          <a:xfrm flipH="1">
            <a:off x="3524252" y="10473911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6D9CB01C-3270-9106-8291-172813B72531}"/>
              </a:ext>
            </a:extLst>
          </xdr:cNvPr>
          <xdr:cNvCxnSpPr/>
        </xdr:nvCxnSpPr>
        <xdr:spPr>
          <a:xfrm>
            <a:off x="3924300" y="102051622"/>
            <a:ext cx="2781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16013AAE-916C-A653-31E0-0250A9749AD4}"/>
              </a:ext>
            </a:extLst>
          </xdr:cNvPr>
          <xdr:cNvCxnSpPr/>
        </xdr:nvCxnSpPr>
        <xdr:spPr>
          <a:xfrm>
            <a:off x="4905375" y="102595809"/>
            <a:ext cx="1476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1FB98473-CEE1-17E9-0C3A-504A39626362}"/>
              </a:ext>
            </a:extLst>
          </xdr:cNvPr>
          <xdr:cNvCxnSpPr/>
        </xdr:nvCxnSpPr>
        <xdr:spPr>
          <a:xfrm>
            <a:off x="6315076" y="101984792"/>
            <a:ext cx="0" cy="1995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Arrow Connector 601">
            <a:extLst>
              <a:ext uri="{FF2B5EF4-FFF2-40B4-BE49-F238E27FC236}">
                <a16:creationId xmlns:a16="http://schemas.microsoft.com/office/drawing/2014/main" id="{3182C9CA-D770-F902-864B-BA839E6E3AC0}"/>
              </a:ext>
            </a:extLst>
          </xdr:cNvPr>
          <xdr:cNvCxnSpPr/>
        </xdr:nvCxnSpPr>
        <xdr:spPr>
          <a:xfrm flipH="1">
            <a:off x="5481638" y="103918069"/>
            <a:ext cx="35718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17FA776E-3215-0F93-9A70-708189F86967}"/>
              </a:ext>
            </a:extLst>
          </xdr:cNvPr>
          <xdr:cNvCxnSpPr/>
        </xdr:nvCxnSpPr>
        <xdr:spPr>
          <a:xfrm flipH="1">
            <a:off x="6276974" y="102018213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8936AF3E-676B-3425-7964-110775CC22B6}"/>
              </a:ext>
            </a:extLst>
          </xdr:cNvPr>
          <xdr:cNvCxnSpPr/>
        </xdr:nvCxnSpPr>
        <xdr:spPr>
          <a:xfrm flipH="1">
            <a:off x="6276970" y="10256240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61F59975-9DC7-E2A7-30E4-5D9CFDC0F439}"/>
              </a:ext>
            </a:extLst>
          </xdr:cNvPr>
          <xdr:cNvCxnSpPr/>
        </xdr:nvCxnSpPr>
        <xdr:spPr>
          <a:xfrm>
            <a:off x="5924550" y="103913308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DF545299-9745-0A26-AF5F-D407A57A7E63}"/>
              </a:ext>
            </a:extLst>
          </xdr:cNvPr>
          <xdr:cNvCxnSpPr/>
        </xdr:nvCxnSpPr>
        <xdr:spPr>
          <a:xfrm flipH="1">
            <a:off x="6276967" y="10387990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AFB9442D-691F-C536-AA37-1E12BDCB83FA}"/>
              </a:ext>
            </a:extLst>
          </xdr:cNvPr>
          <xdr:cNvCxnSpPr/>
        </xdr:nvCxnSpPr>
        <xdr:spPr>
          <a:xfrm>
            <a:off x="6638926" y="101989566"/>
            <a:ext cx="0" cy="19905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D6FD3080-7F0C-3AA8-5910-74339CD68152}"/>
              </a:ext>
            </a:extLst>
          </xdr:cNvPr>
          <xdr:cNvCxnSpPr/>
        </xdr:nvCxnSpPr>
        <xdr:spPr>
          <a:xfrm flipH="1">
            <a:off x="6600824" y="102018214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3EA7204A-1681-7A06-9C11-AE69306B2354}"/>
              </a:ext>
            </a:extLst>
          </xdr:cNvPr>
          <xdr:cNvCxnSpPr/>
        </xdr:nvCxnSpPr>
        <xdr:spPr>
          <a:xfrm flipH="1">
            <a:off x="6600817" y="10387990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Arrow Connector 609">
            <a:extLst>
              <a:ext uri="{FF2B5EF4-FFF2-40B4-BE49-F238E27FC236}">
                <a16:creationId xmlns:a16="http://schemas.microsoft.com/office/drawing/2014/main" id="{F2A58D61-85DD-48E3-6B17-813ABA22F812}"/>
              </a:ext>
            </a:extLst>
          </xdr:cNvPr>
          <xdr:cNvCxnSpPr/>
        </xdr:nvCxnSpPr>
        <xdr:spPr>
          <a:xfrm flipV="1">
            <a:off x="3562351" y="102204374"/>
            <a:ext cx="685799" cy="1708922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Arrow Connector 610">
            <a:extLst>
              <a:ext uri="{FF2B5EF4-FFF2-40B4-BE49-F238E27FC236}">
                <a16:creationId xmlns:a16="http://schemas.microsoft.com/office/drawing/2014/main" id="{4CC126FB-F75B-9043-245B-3486A709A101}"/>
              </a:ext>
            </a:extLst>
          </xdr:cNvPr>
          <xdr:cNvCxnSpPr/>
        </xdr:nvCxnSpPr>
        <xdr:spPr>
          <a:xfrm>
            <a:off x="1309688" y="103913296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Arrow Connector 611">
            <a:extLst>
              <a:ext uri="{FF2B5EF4-FFF2-40B4-BE49-F238E27FC236}">
                <a16:creationId xmlns:a16="http://schemas.microsoft.com/office/drawing/2014/main" id="{54580508-E986-19DC-07BC-D7E288312685}"/>
              </a:ext>
            </a:extLst>
          </xdr:cNvPr>
          <xdr:cNvCxnSpPr/>
        </xdr:nvCxnSpPr>
        <xdr:spPr>
          <a:xfrm>
            <a:off x="4857750" y="102209149"/>
            <a:ext cx="0" cy="32460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C5939F04-D137-F555-E8FC-25B6B26541FA}"/>
              </a:ext>
            </a:extLst>
          </xdr:cNvPr>
          <xdr:cNvCxnSpPr/>
        </xdr:nvCxnSpPr>
        <xdr:spPr>
          <a:xfrm>
            <a:off x="1066800" y="102051624"/>
            <a:ext cx="2281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Connector 613">
            <a:extLst>
              <a:ext uri="{FF2B5EF4-FFF2-40B4-BE49-F238E27FC236}">
                <a16:creationId xmlns:a16="http://schemas.microsoft.com/office/drawing/2014/main" id="{F24E6B13-CD72-C3A6-C916-F0799C8DD913}"/>
              </a:ext>
            </a:extLst>
          </xdr:cNvPr>
          <xdr:cNvCxnSpPr/>
        </xdr:nvCxnSpPr>
        <xdr:spPr>
          <a:xfrm>
            <a:off x="1133475" y="101980019"/>
            <a:ext cx="0" cy="20096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Connector 614">
            <a:extLst>
              <a:ext uri="{FF2B5EF4-FFF2-40B4-BE49-F238E27FC236}">
                <a16:creationId xmlns:a16="http://schemas.microsoft.com/office/drawing/2014/main" id="{65254C08-B60A-AD16-063A-1861BF896DEF}"/>
              </a:ext>
            </a:extLst>
          </xdr:cNvPr>
          <xdr:cNvCxnSpPr/>
        </xdr:nvCxnSpPr>
        <xdr:spPr>
          <a:xfrm flipH="1">
            <a:off x="909638" y="103913296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Connector 615">
            <a:extLst>
              <a:ext uri="{FF2B5EF4-FFF2-40B4-BE49-F238E27FC236}">
                <a16:creationId xmlns:a16="http://schemas.microsoft.com/office/drawing/2014/main" id="{5FCEBD07-780C-B559-9E75-05298E8108BA}"/>
              </a:ext>
            </a:extLst>
          </xdr:cNvPr>
          <xdr:cNvCxnSpPr/>
        </xdr:nvCxnSpPr>
        <xdr:spPr>
          <a:xfrm flipH="1">
            <a:off x="1095373" y="102018212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68ECDE49-893D-9DC8-4D22-8F6F867B7DBB}"/>
              </a:ext>
            </a:extLst>
          </xdr:cNvPr>
          <xdr:cNvCxnSpPr/>
        </xdr:nvCxnSpPr>
        <xdr:spPr>
          <a:xfrm flipH="1">
            <a:off x="1095379" y="103879884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F7B76D65-CAAC-C1E9-F94E-7C7FE590B9EB}"/>
              </a:ext>
            </a:extLst>
          </xdr:cNvPr>
          <xdr:cNvCxnSpPr/>
        </xdr:nvCxnSpPr>
        <xdr:spPr>
          <a:xfrm>
            <a:off x="1071563" y="102595791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90377041-9600-FA64-60DD-F78574CB0740}"/>
              </a:ext>
            </a:extLst>
          </xdr:cNvPr>
          <xdr:cNvCxnSpPr/>
        </xdr:nvCxnSpPr>
        <xdr:spPr>
          <a:xfrm flipH="1">
            <a:off x="1095372" y="102562388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Arrow Connector 619">
            <a:extLst>
              <a:ext uri="{FF2B5EF4-FFF2-40B4-BE49-F238E27FC236}">
                <a16:creationId xmlns:a16="http://schemas.microsoft.com/office/drawing/2014/main" id="{0EFB24B4-2772-358C-B7DE-10457B6A39E8}"/>
              </a:ext>
            </a:extLst>
          </xdr:cNvPr>
          <xdr:cNvCxnSpPr/>
        </xdr:nvCxnSpPr>
        <xdr:spPr>
          <a:xfrm flipH="1" flipV="1">
            <a:off x="2276475" y="102591030"/>
            <a:ext cx="1290638" cy="1331813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Arrow Connector 620">
            <a:extLst>
              <a:ext uri="{FF2B5EF4-FFF2-40B4-BE49-F238E27FC236}">
                <a16:creationId xmlns:a16="http://schemas.microsoft.com/office/drawing/2014/main" id="{AED5CEA9-61C1-7779-C5EC-FB86CFFC72BB}"/>
              </a:ext>
            </a:extLst>
          </xdr:cNvPr>
          <xdr:cNvCxnSpPr/>
        </xdr:nvCxnSpPr>
        <xdr:spPr>
          <a:xfrm flipV="1">
            <a:off x="3557588" y="102600578"/>
            <a:ext cx="1290637" cy="1317493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BF926AC8-E5EB-C058-FC77-90FC207ADB5D}"/>
              </a:ext>
            </a:extLst>
          </xdr:cNvPr>
          <xdr:cNvCxnSpPr/>
        </xdr:nvCxnSpPr>
        <xdr:spPr>
          <a:xfrm>
            <a:off x="3114675" y="103913297"/>
            <a:ext cx="9429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3" name="Arc 622">
            <a:extLst>
              <a:ext uri="{FF2B5EF4-FFF2-40B4-BE49-F238E27FC236}">
                <a16:creationId xmlns:a16="http://schemas.microsoft.com/office/drawing/2014/main" id="{A1CCC93A-80AC-49A4-DAC8-EDBA3BE749DE}"/>
              </a:ext>
            </a:extLst>
          </xdr:cNvPr>
          <xdr:cNvSpPr/>
        </xdr:nvSpPr>
        <xdr:spPr>
          <a:xfrm rot="14662438">
            <a:off x="3304856" y="103717903"/>
            <a:ext cx="276863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4" name="Arc 623">
            <a:extLst>
              <a:ext uri="{FF2B5EF4-FFF2-40B4-BE49-F238E27FC236}">
                <a16:creationId xmlns:a16="http://schemas.microsoft.com/office/drawing/2014/main" id="{052F8F63-8AD9-7724-CA70-CA308E2CF9CC}"/>
              </a:ext>
            </a:extLst>
          </xdr:cNvPr>
          <xdr:cNvSpPr/>
        </xdr:nvSpPr>
        <xdr:spPr>
          <a:xfrm rot="1806329">
            <a:off x="3538537" y="103712808"/>
            <a:ext cx="276224" cy="276863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1" name="Straight Arrow Connector 640">
            <a:extLst>
              <a:ext uri="{FF2B5EF4-FFF2-40B4-BE49-F238E27FC236}">
                <a16:creationId xmlns:a16="http://schemas.microsoft.com/office/drawing/2014/main" id="{2EAF72E6-5943-4A74-B305-2B67FC20BE31}"/>
              </a:ext>
            </a:extLst>
          </xdr:cNvPr>
          <xdr:cNvCxnSpPr/>
        </xdr:nvCxnSpPr>
        <xdr:spPr>
          <a:xfrm flipV="1">
            <a:off x="1704975" y="10322242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Arrow Connector 641">
            <a:extLst>
              <a:ext uri="{FF2B5EF4-FFF2-40B4-BE49-F238E27FC236}">
                <a16:creationId xmlns:a16="http://schemas.microsoft.com/office/drawing/2014/main" id="{938A531E-8D4B-4C98-8889-99536CEB335F}"/>
              </a:ext>
            </a:extLst>
          </xdr:cNvPr>
          <xdr:cNvCxnSpPr/>
        </xdr:nvCxnSpPr>
        <xdr:spPr>
          <a:xfrm>
            <a:off x="1704975" y="103917750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Connector 1370">
            <a:extLst>
              <a:ext uri="{FF2B5EF4-FFF2-40B4-BE49-F238E27FC236}">
                <a16:creationId xmlns:a16="http://schemas.microsoft.com/office/drawing/2014/main" id="{EC454680-3CAB-4734-A060-E66C9457AF08}"/>
              </a:ext>
            </a:extLst>
          </xdr:cNvPr>
          <xdr:cNvCxnSpPr/>
        </xdr:nvCxnSpPr>
        <xdr:spPr>
          <a:xfrm>
            <a:off x="804866" y="102055613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Arrow Connector 1371">
            <a:extLst>
              <a:ext uri="{FF2B5EF4-FFF2-40B4-BE49-F238E27FC236}">
                <a16:creationId xmlns:a16="http://schemas.microsoft.com/office/drawing/2014/main" id="{C0B24D51-9FA7-44B3-ADCC-358A5966AFA2}"/>
              </a:ext>
            </a:extLst>
          </xdr:cNvPr>
          <xdr:cNvCxnSpPr/>
        </xdr:nvCxnSpPr>
        <xdr:spPr>
          <a:xfrm>
            <a:off x="609604" y="102060376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Arrow Connector 1372">
            <a:extLst>
              <a:ext uri="{FF2B5EF4-FFF2-40B4-BE49-F238E27FC236}">
                <a16:creationId xmlns:a16="http://schemas.microsoft.com/office/drawing/2014/main" id="{31F9D516-A85F-4A21-A5B4-F296EA9BAEE2}"/>
              </a:ext>
            </a:extLst>
          </xdr:cNvPr>
          <xdr:cNvCxnSpPr/>
        </xdr:nvCxnSpPr>
        <xdr:spPr>
          <a:xfrm>
            <a:off x="614365" y="10220325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Arrow Connector 1373">
            <a:extLst>
              <a:ext uri="{FF2B5EF4-FFF2-40B4-BE49-F238E27FC236}">
                <a16:creationId xmlns:a16="http://schemas.microsoft.com/office/drawing/2014/main" id="{E84CBBB4-4123-443E-8313-19A00F7E16EB}"/>
              </a:ext>
            </a:extLst>
          </xdr:cNvPr>
          <xdr:cNvCxnSpPr/>
        </xdr:nvCxnSpPr>
        <xdr:spPr>
          <a:xfrm>
            <a:off x="604835" y="10234612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Arrow Connector 1374">
            <a:extLst>
              <a:ext uri="{FF2B5EF4-FFF2-40B4-BE49-F238E27FC236}">
                <a16:creationId xmlns:a16="http://schemas.microsoft.com/office/drawing/2014/main" id="{0D7302BA-C9B8-4622-9F34-AD9F4AE52770}"/>
              </a:ext>
            </a:extLst>
          </xdr:cNvPr>
          <xdr:cNvCxnSpPr/>
        </xdr:nvCxnSpPr>
        <xdr:spPr>
          <a:xfrm>
            <a:off x="609596" y="102489004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6" name="Straight Arrow Connector 1375">
            <a:extLst>
              <a:ext uri="{FF2B5EF4-FFF2-40B4-BE49-F238E27FC236}">
                <a16:creationId xmlns:a16="http://schemas.microsoft.com/office/drawing/2014/main" id="{6DC784D0-6DEB-4BBC-9A4F-3D0AC094100C}"/>
              </a:ext>
            </a:extLst>
          </xdr:cNvPr>
          <xdr:cNvCxnSpPr/>
        </xdr:nvCxnSpPr>
        <xdr:spPr>
          <a:xfrm>
            <a:off x="609599" y="10263664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Arrow Connector 1376">
            <a:extLst>
              <a:ext uri="{FF2B5EF4-FFF2-40B4-BE49-F238E27FC236}">
                <a16:creationId xmlns:a16="http://schemas.microsoft.com/office/drawing/2014/main" id="{741AC7A0-7512-401E-B23E-6F258ED904CA}"/>
              </a:ext>
            </a:extLst>
          </xdr:cNvPr>
          <xdr:cNvCxnSpPr/>
        </xdr:nvCxnSpPr>
        <xdr:spPr>
          <a:xfrm>
            <a:off x="614360" y="102779524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Arrow Connector 1377">
            <a:extLst>
              <a:ext uri="{FF2B5EF4-FFF2-40B4-BE49-F238E27FC236}">
                <a16:creationId xmlns:a16="http://schemas.microsoft.com/office/drawing/2014/main" id="{23F4C6EB-6D5E-48F0-A7E8-A6BB7EBE6904}"/>
              </a:ext>
            </a:extLst>
          </xdr:cNvPr>
          <xdr:cNvCxnSpPr/>
        </xdr:nvCxnSpPr>
        <xdr:spPr>
          <a:xfrm>
            <a:off x="604830" y="102922400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Arrow Connector 1378">
            <a:extLst>
              <a:ext uri="{FF2B5EF4-FFF2-40B4-BE49-F238E27FC236}">
                <a16:creationId xmlns:a16="http://schemas.microsoft.com/office/drawing/2014/main" id="{64574C54-66AC-4FB0-BB19-1E275C66E886}"/>
              </a:ext>
            </a:extLst>
          </xdr:cNvPr>
          <xdr:cNvCxnSpPr/>
        </xdr:nvCxnSpPr>
        <xdr:spPr>
          <a:xfrm>
            <a:off x="609591" y="103065276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Arrow Connector 1379">
            <a:extLst>
              <a:ext uri="{FF2B5EF4-FFF2-40B4-BE49-F238E27FC236}">
                <a16:creationId xmlns:a16="http://schemas.microsoft.com/office/drawing/2014/main" id="{0590E8C9-6956-463D-9016-8D97B21DFE46}"/>
              </a:ext>
            </a:extLst>
          </xdr:cNvPr>
          <xdr:cNvCxnSpPr/>
        </xdr:nvCxnSpPr>
        <xdr:spPr>
          <a:xfrm>
            <a:off x="604855" y="10320337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1" name="Straight Arrow Connector 1380">
            <a:extLst>
              <a:ext uri="{FF2B5EF4-FFF2-40B4-BE49-F238E27FC236}">
                <a16:creationId xmlns:a16="http://schemas.microsoft.com/office/drawing/2014/main" id="{D604B79C-C330-4554-B9B2-D0A480B76CAF}"/>
              </a:ext>
            </a:extLst>
          </xdr:cNvPr>
          <xdr:cNvCxnSpPr/>
        </xdr:nvCxnSpPr>
        <xdr:spPr>
          <a:xfrm>
            <a:off x="609616" y="10334625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2" name="Straight Arrow Connector 1381">
            <a:extLst>
              <a:ext uri="{FF2B5EF4-FFF2-40B4-BE49-F238E27FC236}">
                <a16:creationId xmlns:a16="http://schemas.microsoft.com/office/drawing/2014/main" id="{C747E34F-B8BA-497A-9FEE-902B61DA9215}"/>
              </a:ext>
            </a:extLst>
          </xdr:cNvPr>
          <xdr:cNvCxnSpPr/>
        </xdr:nvCxnSpPr>
        <xdr:spPr>
          <a:xfrm>
            <a:off x="600086" y="10348912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3" name="Straight Arrow Connector 1382">
            <a:extLst>
              <a:ext uri="{FF2B5EF4-FFF2-40B4-BE49-F238E27FC236}">
                <a16:creationId xmlns:a16="http://schemas.microsoft.com/office/drawing/2014/main" id="{6035820F-BF2B-4C29-A425-EDD7397CA6E3}"/>
              </a:ext>
            </a:extLst>
          </xdr:cNvPr>
          <xdr:cNvCxnSpPr/>
        </xdr:nvCxnSpPr>
        <xdr:spPr>
          <a:xfrm>
            <a:off x="604847" y="10363200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Arrow Connector 1383">
            <a:extLst>
              <a:ext uri="{FF2B5EF4-FFF2-40B4-BE49-F238E27FC236}">
                <a16:creationId xmlns:a16="http://schemas.microsoft.com/office/drawing/2014/main" id="{051BEB48-7AB4-4803-80FC-CECE2CA0B2B8}"/>
              </a:ext>
            </a:extLst>
          </xdr:cNvPr>
          <xdr:cNvCxnSpPr/>
        </xdr:nvCxnSpPr>
        <xdr:spPr>
          <a:xfrm>
            <a:off x="604850" y="10377964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Arrow Connector 1384">
            <a:extLst>
              <a:ext uri="{FF2B5EF4-FFF2-40B4-BE49-F238E27FC236}">
                <a16:creationId xmlns:a16="http://schemas.microsoft.com/office/drawing/2014/main" id="{73EC6BB5-96D7-4115-ACC7-128698A1EE0F}"/>
              </a:ext>
            </a:extLst>
          </xdr:cNvPr>
          <xdr:cNvCxnSpPr/>
        </xdr:nvCxnSpPr>
        <xdr:spPr>
          <a:xfrm>
            <a:off x="609611" y="10392252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6" name="Straight Connector 1385">
            <a:extLst>
              <a:ext uri="{FF2B5EF4-FFF2-40B4-BE49-F238E27FC236}">
                <a16:creationId xmlns:a16="http://schemas.microsoft.com/office/drawing/2014/main" id="{42F3011A-182B-44E5-8140-3461027108D4}"/>
              </a:ext>
            </a:extLst>
          </xdr:cNvPr>
          <xdr:cNvCxnSpPr/>
        </xdr:nvCxnSpPr>
        <xdr:spPr>
          <a:xfrm>
            <a:off x="604841" y="102060376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9" name="Straight Connector 2608">
            <a:extLst>
              <a:ext uri="{FF2B5EF4-FFF2-40B4-BE49-F238E27FC236}">
                <a16:creationId xmlns:a16="http://schemas.microsoft.com/office/drawing/2014/main" id="{B0D445A0-3217-44D7-9F15-1104155836D5}"/>
              </a:ext>
            </a:extLst>
          </xdr:cNvPr>
          <xdr:cNvCxnSpPr/>
        </xdr:nvCxnSpPr>
        <xdr:spPr>
          <a:xfrm>
            <a:off x="1714504" y="101922262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0" name="Straight Arrow Connector 2609">
            <a:extLst>
              <a:ext uri="{FF2B5EF4-FFF2-40B4-BE49-F238E27FC236}">
                <a16:creationId xmlns:a16="http://schemas.microsoft.com/office/drawing/2014/main" id="{6B2987CE-C425-486C-8115-7ADA51457908}"/>
              </a:ext>
            </a:extLst>
          </xdr:cNvPr>
          <xdr:cNvCxnSpPr/>
        </xdr:nvCxnSpPr>
        <xdr:spPr>
          <a:xfrm>
            <a:off x="1714500" y="101731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1" name="Straight Arrow Connector 2610">
            <a:extLst>
              <a:ext uri="{FF2B5EF4-FFF2-40B4-BE49-F238E27FC236}">
                <a16:creationId xmlns:a16="http://schemas.microsoft.com/office/drawing/2014/main" id="{AE8E9296-5764-4491-B0EA-AF7F75F0EFE2}"/>
              </a:ext>
            </a:extLst>
          </xdr:cNvPr>
          <xdr:cNvCxnSpPr/>
        </xdr:nvCxnSpPr>
        <xdr:spPr>
          <a:xfrm>
            <a:off x="1943099" y="101731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2" name="Straight Arrow Connector 2611">
            <a:extLst>
              <a:ext uri="{FF2B5EF4-FFF2-40B4-BE49-F238E27FC236}">
                <a16:creationId xmlns:a16="http://schemas.microsoft.com/office/drawing/2014/main" id="{777A49CF-08CF-46CA-A08F-B49C3572CB5D}"/>
              </a:ext>
            </a:extLst>
          </xdr:cNvPr>
          <xdr:cNvCxnSpPr/>
        </xdr:nvCxnSpPr>
        <xdr:spPr>
          <a:xfrm>
            <a:off x="2105025" y="101731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3" name="Straight Arrow Connector 2612">
            <a:extLst>
              <a:ext uri="{FF2B5EF4-FFF2-40B4-BE49-F238E27FC236}">
                <a16:creationId xmlns:a16="http://schemas.microsoft.com/office/drawing/2014/main" id="{707B8095-D4DE-40A8-A2A7-468BFFD55863}"/>
              </a:ext>
            </a:extLst>
          </xdr:cNvPr>
          <xdr:cNvCxnSpPr/>
        </xdr:nvCxnSpPr>
        <xdr:spPr>
          <a:xfrm>
            <a:off x="2266944" y="101731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4" name="Straight Arrow Connector 2613">
            <a:extLst>
              <a:ext uri="{FF2B5EF4-FFF2-40B4-BE49-F238E27FC236}">
                <a16:creationId xmlns:a16="http://schemas.microsoft.com/office/drawing/2014/main" id="{AF47940B-1905-4A3C-8D24-744C3FECEE9D}"/>
              </a:ext>
            </a:extLst>
          </xdr:cNvPr>
          <xdr:cNvCxnSpPr/>
        </xdr:nvCxnSpPr>
        <xdr:spPr>
          <a:xfrm>
            <a:off x="2428875" y="1017317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5" name="Straight Arrow Connector 2614">
            <a:extLst>
              <a:ext uri="{FF2B5EF4-FFF2-40B4-BE49-F238E27FC236}">
                <a16:creationId xmlns:a16="http://schemas.microsoft.com/office/drawing/2014/main" id="{7D6679D7-9F66-4BAF-A529-7A215FED186A}"/>
              </a:ext>
            </a:extLst>
          </xdr:cNvPr>
          <xdr:cNvCxnSpPr/>
        </xdr:nvCxnSpPr>
        <xdr:spPr>
          <a:xfrm>
            <a:off x="2590801" y="1017317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6" name="Straight Arrow Connector 2615">
            <a:extLst>
              <a:ext uri="{FF2B5EF4-FFF2-40B4-BE49-F238E27FC236}">
                <a16:creationId xmlns:a16="http://schemas.microsoft.com/office/drawing/2014/main" id="{8B8D04A5-F16F-4D8E-A5A7-D02544E72B64}"/>
              </a:ext>
            </a:extLst>
          </xdr:cNvPr>
          <xdr:cNvCxnSpPr/>
        </xdr:nvCxnSpPr>
        <xdr:spPr>
          <a:xfrm>
            <a:off x="2752720" y="1017317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7" name="Straight Arrow Connector 2616">
            <a:extLst>
              <a:ext uri="{FF2B5EF4-FFF2-40B4-BE49-F238E27FC236}">
                <a16:creationId xmlns:a16="http://schemas.microsoft.com/office/drawing/2014/main" id="{8BC2A1CB-BEFD-44CB-9E16-9331863EA73C}"/>
              </a:ext>
            </a:extLst>
          </xdr:cNvPr>
          <xdr:cNvCxnSpPr/>
        </xdr:nvCxnSpPr>
        <xdr:spPr>
          <a:xfrm>
            <a:off x="2914657" y="1017317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8" name="Straight Arrow Connector 2617">
            <a:extLst>
              <a:ext uri="{FF2B5EF4-FFF2-40B4-BE49-F238E27FC236}">
                <a16:creationId xmlns:a16="http://schemas.microsoft.com/office/drawing/2014/main" id="{C2FE0CEA-F2E4-4236-BAA6-B8EDE32FD859}"/>
              </a:ext>
            </a:extLst>
          </xdr:cNvPr>
          <xdr:cNvCxnSpPr/>
        </xdr:nvCxnSpPr>
        <xdr:spPr>
          <a:xfrm>
            <a:off x="3076583" y="1017317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9" name="Straight Arrow Connector 2618">
            <a:extLst>
              <a:ext uri="{FF2B5EF4-FFF2-40B4-BE49-F238E27FC236}">
                <a16:creationId xmlns:a16="http://schemas.microsoft.com/office/drawing/2014/main" id="{652D1B21-FA6E-47C7-A016-E31AA5BCC8CA}"/>
              </a:ext>
            </a:extLst>
          </xdr:cNvPr>
          <xdr:cNvCxnSpPr/>
        </xdr:nvCxnSpPr>
        <xdr:spPr>
          <a:xfrm>
            <a:off x="3238502" y="1017317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0" name="Straight Arrow Connector 2619">
            <a:extLst>
              <a:ext uri="{FF2B5EF4-FFF2-40B4-BE49-F238E27FC236}">
                <a16:creationId xmlns:a16="http://schemas.microsoft.com/office/drawing/2014/main" id="{0F8262A6-06F1-4F1C-83EB-AC6C88203FAB}"/>
              </a:ext>
            </a:extLst>
          </xdr:cNvPr>
          <xdr:cNvCxnSpPr/>
        </xdr:nvCxnSpPr>
        <xdr:spPr>
          <a:xfrm>
            <a:off x="3400433" y="101731762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1" name="Straight Arrow Connector 2620">
            <a:extLst>
              <a:ext uri="{FF2B5EF4-FFF2-40B4-BE49-F238E27FC236}">
                <a16:creationId xmlns:a16="http://schemas.microsoft.com/office/drawing/2014/main" id="{D07C7142-246A-4B4D-BA0D-1EE822E6535B}"/>
              </a:ext>
            </a:extLst>
          </xdr:cNvPr>
          <xdr:cNvCxnSpPr/>
        </xdr:nvCxnSpPr>
        <xdr:spPr>
          <a:xfrm>
            <a:off x="3562359" y="101636512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2" name="Straight Arrow Connector 2621">
            <a:extLst>
              <a:ext uri="{FF2B5EF4-FFF2-40B4-BE49-F238E27FC236}">
                <a16:creationId xmlns:a16="http://schemas.microsoft.com/office/drawing/2014/main" id="{C50171E2-C416-4C35-A647-976774B9F180}"/>
              </a:ext>
            </a:extLst>
          </xdr:cNvPr>
          <xdr:cNvCxnSpPr/>
        </xdr:nvCxnSpPr>
        <xdr:spPr>
          <a:xfrm>
            <a:off x="3724278" y="101641275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3" name="Straight Arrow Connector 2622">
            <a:extLst>
              <a:ext uri="{FF2B5EF4-FFF2-40B4-BE49-F238E27FC236}">
                <a16:creationId xmlns:a16="http://schemas.microsoft.com/office/drawing/2014/main" id="{4B16A9A9-6D25-41A3-BF8D-4E7D6D90B907}"/>
              </a:ext>
            </a:extLst>
          </xdr:cNvPr>
          <xdr:cNvCxnSpPr/>
        </xdr:nvCxnSpPr>
        <xdr:spPr>
          <a:xfrm>
            <a:off x="3886207" y="101631750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4" name="Straight Arrow Connector 2623">
            <a:extLst>
              <a:ext uri="{FF2B5EF4-FFF2-40B4-BE49-F238E27FC236}">
                <a16:creationId xmlns:a16="http://schemas.microsoft.com/office/drawing/2014/main" id="{C77EFFD4-6BF5-4E5C-8D37-4260873C3EFC}"/>
              </a:ext>
            </a:extLst>
          </xdr:cNvPr>
          <xdr:cNvCxnSpPr/>
        </xdr:nvCxnSpPr>
        <xdr:spPr>
          <a:xfrm>
            <a:off x="4048133" y="1016365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5" name="Straight Arrow Connector 2624">
            <a:extLst>
              <a:ext uri="{FF2B5EF4-FFF2-40B4-BE49-F238E27FC236}">
                <a16:creationId xmlns:a16="http://schemas.microsoft.com/office/drawing/2014/main" id="{3355117D-CBB0-437D-99C6-B7A3DF6F91A8}"/>
              </a:ext>
            </a:extLst>
          </xdr:cNvPr>
          <xdr:cNvCxnSpPr/>
        </xdr:nvCxnSpPr>
        <xdr:spPr>
          <a:xfrm>
            <a:off x="4210052" y="1016365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6" name="Straight Arrow Connector 2625">
            <a:extLst>
              <a:ext uri="{FF2B5EF4-FFF2-40B4-BE49-F238E27FC236}">
                <a16:creationId xmlns:a16="http://schemas.microsoft.com/office/drawing/2014/main" id="{74BC1C60-7E68-4A2D-AFFE-9E1A42C1F269}"/>
              </a:ext>
            </a:extLst>
          </xdr:cNvPr>
          <xdr:cNvCxnSpPr/>
        </xdr:nvCxnSpPr>
        <xdr:spPr>
          <a:xfrm>
            <a:off x="4371983" y="101641275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7" name="Straight Arrow Connector 2626">
            <a:extLst>
              <a:ext uri="{FF2B5EF4-FFF2-40B4-BE49-F238E27FC236}">
                <a16:creationId xmlns:a16="http://schemas.microsoft.com/office/drawing/2014/main" id="{1D65D5A9-1EB3-4B05-852C-7859450A201D}"/>
              </a:ext>
            </a:extLst>
          </xdr:cNvPr>
          <xdr:cNvCxnSpPr/>
        </xdr:nvCxnSpPr>
        <xdr:spPr>
          <a:xfrm>
            <a:off x="4533909" y="1016365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8" name="Straight Arrow Connector 2627">
            <a:extLst>
              <a:ext uri="{FF2B5EF4-FFF2-40B4-BE49-F238E27FC236}">
                <a16:creationId xmlns:a16="http://schemas.microsoft.com/office/drawing/2014/main" id="{B1627B9A-8B26-4913-9FB8-89C1D36C2FA3}"/>
              </a:ext>
            </a:extLst>
          </xdr:cNvPr>
          <xdr:cNvCxnSpPr/>
        </xdr:nvCxnSpPr>
        <xdr:spPr>
          <a:xfrm>
            <a:off x="4695828" y="1016365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9" name="Straight Arrow Connector 2628">
            <a:extLst>
              <a:ext uri="{FF2B5EF4-FFF2-40B4-BE49-F238E27FC236}">
                <a16:creationId xmlns:a16="http://schemas.microsoft.com/office/drawing/2014/main" id="{09FA9D75-72B0-4C02-B309-5728316F19C8}"/>
              </a:ext>
            </a:extLst>
          </xdr:cNvPr>
          <xdr:cNvCxnSpPr/>
        </xdr:nvCxnSpPr>
        <xdr:spPr>
          <a:xfrm>
            <a:off x="4857765" y="1016365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0" name="Straight Arrow Connector 2629">
            <a:extLst>
              <a:ext uri="{FF2B5EF4-FFF2-40B4-BE49-F238E27FC236}">
                <a16:creationId xmlns:a16="http://schemas.microsoft.com/office/drawing/2014/main" id="{8144D823-A253-4870-8124-8E47877309DB}"/>
              </a:ext>
            </a:extLst>
          </xdr:cNvPr>
          <xdr:cNvCxnSpPr/>
        </xdr:nvCxnSpPr>
        <xdr:spPr>
          <a:xfrm>
            <a:off x="5019691" y="1016365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1" name="Straight Arrow Connector 2630">
            <a:extLst>
              <a:ext uri="{FF2B5EF4-FFF2-40B4-BE49-F238E27FC236}">
                <a16:creationId xmlns:a16="http://schemas.microsoft.com/office/drawing/2014/main" id="{F699BBC7-BCC1-4E6B-A0E9-9ED7E4CACFD3}"/>
              </a:ext>
            </a:extLst>
          </xdr:cNvPr>
          <xdr:cNvCxnSpPr/>
        </xdr:nvCxnSpPr>
        <xdr:spPr>
          <a:xfrm>
            <a:off x="5181610" y="101631750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2" name="Straight Arrow Connector 2631">
            <a:extLst>
              <a:ext uri="{FF2B5EF4-FFF2-40B4-BE49-F238E27FC236}">
                <a16:creationId xmlns:a16="http://schemas.microsoft.com/office/drawing/2014/main" id="{413A14DA-0D8E-4685-B953-0E5B3D06C955}"/>
              </a:ext>
            </a:extLst>
          </xdr:cNvPr>
          <xdr:cNvCxnSpPr/>
        </xdr:nvCxnSpPr>
        <xdr:spPr>
          <a:xfrm>
            <a:off x="5410223" y="101636512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3" name="Straight Connector 2632">
            <a:extLst>
              <a:ext uri="{FF2B5EF4-FFF2-40B4-BE49-F238E27FC236}">
                <a16:creationId xmlns:a16="http://schemas.microsoft.com/office/drawing/2014/main" id="{A86C91A8-A26C-4D7C-8195-6F481CDD41F6}"/>
              </a:ext>
            </a:extLst>
          </xdr:cNvPr>
          <xdr:cNvCxnSpPr/>
        </xdr:nvCxnSpPr>
        <xdr:spPr>
          <a:xfrm>
            <a:off x="1714502" y="101731756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4" name="Straight Connector 2633">
            <a:extLst>
              <a:ext uri="{FF2B5EF4-FFF2-40B4-BE49-F238E27FC236}">
                <a16:creationId xmlns:a16="http://schemas.microsoft.com/office/drawing/2014/main" id="{C9AAA566-0BFE-47FF-8663-ECDF99E5307F}"/>
              </a:ext>
            </a:extLst>
          </xdr:cNvPr>
          <xdr:cNvCxnSpPr/>
        </xdr:nvCxnSpPr>
        <xdr:spPr>
          <a:xfrm>
            <a:off x="3562360" y="101636505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90489</xdr:colOff>
      <xdr:row>247</xdr:row>
      <xdr:rowOff>0</xdr:rowOff>
    </xdr:from>
    <xdr:to>
      <xdr:col>39</xdr:col>
      <xdr:colOff>66675</xdr:colOff>
      <xdr:row>275</xdr:row>
      <xdr:rowOff>133350</xdr:rowOff>
    </xdr:to>
    <xdr:grpSp>
      <xdr:nvGrpSpPr>
        <xdr:cNvPr id="3002" name="Group 3001">
          <a:extLst>
            <a:ext uri="{FF2B5EF4-FFF2-40B4-BE49-F238E27FC236}">
              <a16:creationId xmlns:a16="http://schemas.microsoft.com/office/drawing/2014/main" id="{C9D986EC-67B0-7750-85F1-E0973842B52D}"/>
            </a:ext>
          </a:extLst>
        </xdr:cNvPr>
        <xdr:cNvGrpSpPr/>
      </xdr:nvGrpSpPr>
      <xdr:grpSpPr>
        <a:xfrm>
          <a:off x="576264" y="35766375"/>
          <a:ext cx="5805486" cy="4133850"/>
          <a:chOff x="576264" y="29479875"/>
          <a:chExt cx="5805486" cy="413385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81C5DBDF-43D4-EC3F-6302-E695E51135E7}"/>
              </a:ext>
            </a:extLst>
          </xdr:cNvPr>
          <xdr:cNvSpPr/>
        </xdr:nvSpPr>
        <xdr:spPr>
          <a:xfrm>
            <a:off x="1223962" y="319135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" name="Arc 1">
            <a:extLst>
              <a:ext uri="{FF2B5EF4-FFF2-40B4-BE49-F238E27FC236}">
                <a16:creationId xmlns:a16="http://schemas.microsoft.com/office/drawing/2014/main" id="{29E28AE2-D455-4CF1-EB59-55270FD99796}"/>
              </a:ext>
            </a:extLst>
          </xdr:cNvPr>
          <xdr:cNvSpPr/>
        </xdr:nvSpPr>
        <xdr:spPr>
          <a:xfrm>
            <a:off x="1390649" y="29918025"/>
            <a:ext cx="3695700" cy="3695700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" name="Isosceles Triangle 3">
            <a:extLst>
              <a:ext uri="{FF2B5EF4-FFF2-40B4-BE49-F238E27FC236}">
                <a16:creationId xmlns:a16="http://schemas.microsoft.com/office/drawing/2014/main" id="{7E396655-FC31-1573-6338-0C0DDCB35548}"/>
              </a:ext>
            </a:extLst>
          </xdr:cNvPr>
          <xdr:cNvSpPr/>
        </xdr:nvSpPr>
        <xdr:spPr>
          <a:xfrm>
            <a:off x="1308544" y="3177540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E276AE30-444A-0453-F4F7-78B57ECEBDA3}"/>
              </a:ext>
            </a:extLst>
          </xdr:cNvPr>
          <xdr:cNvCxnSpPr/>
        </xdr:nvCxnSpPr>
        <xdr:spPr>
          <a:xfrm>
            <a:off x="1214436" y="319087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6EB45926-2177-A4CC-C871-C713E5A621FB}"/>
              </a:ext>
            </a:extLst>
          </xdr:cNvPr>
          <xdr:cNvSpPr/>
        </xdr:nvSpPr>
        <xdr:spPr>
          <a:xfrm>
            <a:off x="1343023" y="317182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BF50EC1-3FBD-4CBC-95B5-A552AB699D54}"/>
              </a:ext>
            </a:extLst>
          </xdr:cNvPr>
          <xdr:cNvSpPr/>
        </xdr:nvSpPr>
        <xdr:spPr>
          <a:xfrm>
            <a:off x="4919659" y="319135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" name="Isosceles Triangle 9">
            <a:extLst>
              <a:ext uri="{FF2B5EF4-FFF2-40B4-BE49-F238E27FC236}">
                <a16:creationId xmlns:a16="http://schemas.microsoft.com/office/drawing/2014/main" id="{E6790A02-7D43-4BBE-A880-4397D61FF52F}"/>
              </a:ext>
            </a:extLst>
          </xdr:cNvPr>
          <xdr:cNvSpPr/>
        </xdr:nvSpPr>
        <xdr:spPr>
          <a:xfrm>
            <a:off x="5004241" y="3177540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50AE741A-3FB7-4C4B-8B69-97214070D200}"/>
              </a:ext>
            </a:extLst>
          </xdr:cNvPr>
          <xdr:cNvCxnSpPr/>
        </xdr:nvCxnSpPr>
        <xdr:spPr>
          <a:xfrm>
            <a:off x="4910133" y="319087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F378A6A4-4FF2-4AF5-B73C-319BC5E96F1C}"/>
              </a:ext>
            </a:extLst>
          </xdr:cNvPr>
          <xdr:cNvSpPr/>
        </xdr:nvSpPr>
        <xdr:spPr>
          <a:xfrm>
            <a:off x="5038720" y="317182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19F37D5C-D712-A459-90B6-BC56CA6136DC}"/>
              </a:ext>
            </a:extLst>
          </xdr:cNvPr>
          <xdr:cNvCxnSpPr/>
        </xdr:nvCxnSpPr>
        <xdr:spPr>
          <a:xfrm flipV="1">
            <a:off x="1376361" y="320516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66A1D89E-E6D2-48C4-887E-86345116E7DB}"/>
              </a:ext>
            </a:extLst>
          </xdr:cNvPr>
          <xdr:cNvCxnSpPr/>
        </xdr:nvCxnSpPr>
        <xdr:spPr>
          <a:xfrm flipV="1">
            <a:off x="5086348" y="3205162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7B2E0C92-0A64-44D6-98BD-D020B7B4D8E9}"/>
              </a:ext>
            </a:extLst>
          </xdr:cNvPr>
          <xdr:cNvSpPr/>
        </xdr:nvSpPr>
        <xdr:spPr>
          <a:xfrm>
            <a:off x="3195638" y="298751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379DAB61-817E-5622-23FF-2733CDC07171}"/>
              </a:ext>
            </a:extLst>
          </xdr:cNvPr>
          <xdr:cNvCxnSpPr/>
        </xdr:nvCxnSpPr>
        <xdr:spPr>
          <a:xfrm>
            <a:off x="1309690" y="32623126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7793E0B3-35E6-6AE6-2E95-FF415FE0D0A5}"/>
              </a:ext>
            </a:extLst>
          </xdr:cNvPr>
          <xdr:cNvCxnSpPr/>
        </xdr:nvCxnSpPr>
        <xdr:spPr>
          <a:xfrm>
            <a:off x="1376363" y="32489781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78976DCE-7FC4-64CC-0C06-E7E3995DC0B0}"/>
              </a:ext>
            </a:extLst>
          </xdr:cNvPr>
          <xdr:cNvCxnSpPr/>
        </xdr:nvCxnSpPr>
        <xdr:spPr>
          <a:xfrm flipH="1">
            <a:off x="1338262" y="325897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CF13CCC8-4EF4-4EEF-ABA7-CAEA5E0B15A5}"/>
              </a:ext>
            </a:extLst>
          </xdr:cNvPr>
          <xdr:cNvCxnSpPr/>
        </xdr:nvCxnSpPr>
        <xdr:spPr>
          <a:xfrm>
            <a:off x="1309688" y="32908882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8DCFEC60-2D2A-45AC-B1CA-24C151919655}"/>
              </a:ext>
            </a:extLst>
          </xdr:cNvPr>
          <xdr:cNvCxnSpPr/>
        </xdr:nvCxnSpPr>
        <xdr:spPr>
          <a:xfrm flipH="1">
            <a:off x="1338260" y="328755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52884E2D-4B1F-4653-BEFE-9DE6AFCC9D60}"/>
              </a:ext>
            </a:extLst>
          </xdr:cNvPr>
          <xdr:cNvCxnSpPr/>
        </xdr:nvCxnSpPr>
        <xdr:spPr>
          <a:xfrm>
            <a:off x="5086357" y="32489776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1CE4E52B-0711-4ACB-83E9-F24E29BF1BE7}"/>
              </a:ext>
            </a:extLst>
          </xdr:cNvPr>
          <xdr:cNvCxnSpPr/>
        </xdr:nvCxnSpPr>
        <xdr:spPr>
          <a:xfrm flipH="1">
            <a:off x="5048256" y="3258978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7FC4895C-49FB-481B-B4BB-A5CB9FFCD484}"/>
              </a:ext>
            </a:extLst>
          </xdr:cNvPr>
          <xdr:cNvCxnSpPr/>
        </xdr:nvCxnSpPr>
        <xdr:spPr>
          <a:xfrm flipH="1">
            <a:off x="5048254" y="328755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DD2042E-5590-20FA-2204-27E387400FD0}"/>
              </a:ext>
            </a:extLst>
          </xdr:cNvPr>
          <xdr:cNvCxnSpPr/>
        </xdr:nvCxnSpPr>
        <xdr:spPr>
          <a:xfrm>
            <a:off x="1943095" y="30522863"/>
            <a:ext cx="0" cy="2176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BE433873-A49C-4602-9A3D-63E4E01B17C7}"/>
              </a:ext>
            </a:extLst>
          </xdr:cNvPr>
          <xdr:cNvCxnSpPr/>
        </xdr:nvCxnSpPr>
        <xdr:spPr>
          <a:xfrm flipH="1">
            <a:off x="1904997" y="325897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C0E0689F-7791-4BEE-91DB-2AA5F2DA6E00}"/>
              </a:ext>
            </a:extLst>
          </xdr:cNvPr>
          <xdr:cNvCxnSpPr/>
        </xdr:nvCxnSpPr>
        <xdr:spPr>
          <a:xfrm>
            <a:off x="4533909" y="30541913"/>
            <a:ext cx="0" cy="21574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6E012726-A605-47DB-A01E-648700695967}"/>
              </a:ext>
            </a:extLst>
          </xdr:cNvPr>
          <xdr:cNvCxnSpPr/>
        </xdr:nvCxnSpPr>
        <xdr:spPr>
          <a:xfrm flipH="1">
            <a:off x="4495811" y="325897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58918E3B-A4A8-2C9A-4813-29655FB4FA32}"/>
              </a:ext>
            </a:extLst>
          </xdr:cNvPr>
          <xdr:cNvCxnSpPr/>
        </xdr:nvCxnSpPr>
        <xdr:spPr>
          <a:xfrm flipH="1" flipV="1">
            <a:off x="1905002" y="30403803"/>
            <a:ext cx="83925" cy="8572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671FC1B0-CEF5-CEEC-0C4D-10124B253635}"/>
              </a:ext>
            </a:extLst>
          </xdr:cNvPr>
          <xdr:cNvCxnSpPr/>
        </xdr:nvCxnSpPr>
        <xdr:spPr>
          <a:xfrm flipV="1">
            <a:off x="4500563" y="30413325"/>
            <a:ext cx="71437" cy="7246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F4918715-F061-9CAB-902C-2C3641FA70C5}"/>
              </a:ext>
            </a:extLst>
          </xdr:cNvPr>
          <xdr:cNvCxnSpPr/>
        </xdr:nvCxnSpPr>
        <xdr:spPr>
          <a:xfrm>
            <a:off x="3238501" y="31899225"/>
            <a:ext cx="0" cy="7953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A5218B54-D268-424C-9DB6-481C0967AAB2}"/>
              </a:ext>
            </a:extLst>
          </xdr:cNvPr>
          <xdr:cNvCxnSpPr/>
        </xdr:nvCxnSpPr>
        <xdr:spPr>
          <a:xfrm flipH="1">
            <a:off x="3200402" y="325897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D1CB82C3-521E-28DD-B25A-8A297EED7E56}"/>
              </a:ext>
            </a:extLst>
          </xdr:cNvPr>
          <xdr:cNvCxnSpPr/>
        </xdr:nvCxnSpPr>
        <xdr:spPr>
          <a:xfrm>
            <a:off x="3600450" y="29908500"/>
            <a:ext cx="2781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9926E025-F6E6-8BCC-0CFE-9124291D0982}"/>
              </a:ext>
            </a:extLst>
          </xdr:cNvPr>
          <xdr:cNvCxnSpPr/>
        </xdr:nvCxnSpPr>
        <xdr:spPr>
          <a:xfrm>
            <a:off x="4581525" y="30451431"/>
            <a:ext cx="1476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A6A76EAD-58F5-16F1-6487-AADBF3502CF6}"/>
              </a:ext>
            </a:extLst>
          </xdr:cNvPr>
          <xdr:cNvCxnSpPr/>
        </xdr:nvCxnSpPr>
        <xdr:spPr>
          <a:xfrm>
            <a:off x="5991226" y="29841825"/>
            <a:ext cx="0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F49DBE23-893E-5A21-AAE5-DD0375856C97}"/>
              </a:ext>
            </a:extLst>
          </xdr:cNvPr>
          <xdr:cNvCxnSpPr/>
        </xdr:nvCxnSpPr>
        <xdr:spPr>
          <a:xfrm flipH="1">
            <a:off x="5157788" y="31770637"/>
            <a:ext cx="35718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74343B6B-0191-42A0-A52E-7965CB3ECD8D}"/>
              </a:ext>
            </a:extLst>
          </xdr:cNvPr>
          <xdr:cNvCxnSpPr/>
        </xdr:nvCxnSpPr>
        <xdr:spPr>
          <a:xfrm flipH="1">
            <a:off x="5953124" y="2987516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A02DD537-0642-47A3-AF58-8B7F912B2951}"/>
              </a:ext>
            </a:extLst>
          </xdr:cNvPr>
          <xdr:cNvCxnSpPr/>
        </xdr:nvCxnSpPr>
        <xdr:spPr>
          <a:xfrm flipH="1">
            <a:off x="5953120" y="3041810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03F9E511-B15F-4FC4-9FB4-D782E3B8B429}"/>
              </a:ext>
            </a:extLst>
          </xdr:cNvPr>
          <xdr:cNvCxnSpPr/>
        </xdr:nvCxnSpPr>
        <xdr:spPr>
          <a:xfrm>
            <a:off x="5600700" y="31765887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1B21B739-A2B2-453B-A803-5D96A0ABFD5C}"/>
              </a:ext>
            </a:extLst>
          </xdr:cNvPr>
          <xdr:cNvCxnSpPr/>
        </xdr:nvCxnSpPr>
        <xdr:spPr>
          <a:xfrm flipH="1">
            <a:off x="5953117" y="317325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37558270-EC94-41E7-9B27-AACA6EC7F281}"/>
              </a:ext>
            </a:extLst>
          </xdr:cNvPr>
          <xdr:cNvCxnSpPr/>
        </xdr:nvCxnSpPr>
        <xdr:spPr>
          <a:xfrm>
            <a:off x="6315076" y="29846588"/>
            <a:ext cx="0" cy="1985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03B8F82C-D5F3-4844-A5B1-6B393DE46EC5}"/>
              </a:ext>
            </a:extLst>
          </xdr:cNvPr>
          <xdr:cNvCxnSpPr/>
        </xdr:nvCxnSpPr>
        <xdr:spPr>
          <a:xfrm flipH="1">
            <a:off x="6276974" y="2987516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D0B62D2C-B996-472B-8170-CF4BF2E3C22B}"/>
              </a:ext>
            </a:extLst>
          </xdr:cNvPr>
          <xdr:cNvCxnSpPr/>
        </xdr:nvCxnSpPr>
        <xdr:spPr>
          <a:xfrm flipH="1">
            <a:off x="6276967" y="317325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6EC2E20E-C737-AE8A-8960-91A2FD2F7987}"/>
              </a:ext>
            </a:extLst>
          </xdr:cNvPr>
          <xdr:cNvCxnSpPr/>
        </xdr:nvCxnSpPr>
        <xdr:spPr>
          <a:xfrm flipV="1">
            <a:off x="3238501" y="30060900"/>
            <a:ext cx="685799" cy="170497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D84146DC-607B-4657-819C-4E429FA56C1A}"/>
              </a:ext>
            </a:extLst>
          </xdr:cNvPr>
          <xdr:cNvCxnSpPr/>
        </xdr:nvCxnSpPr>
        <xdr:spPr>
          <a:xfrm>
            <a:off x="985838" y="3176587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88A959D9-5349-4732-9288-8BBD012819A2}"/>
              </a:ext>
            </a:extLst>
          </xdr:cNvPr>
          <xdr:cNvCxnSpPr/>
        </xdr:nvCxnSpPr>
        <xdr:spPr>
          <a:xfrm>
            <a:off x="4533900" y="30065663"/>
            <a:ext cx="0" cy="32385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B18C3BD0-394E-C53B-ABE6-369C16599B88}"/>
              </a:ext>
            </a:extLst>
          </xdr:cNvPr>
          <xdr:cNvCxnSpPr/>
        </xdr:nvCxnSpPr>
        <xdr:spPr>
          <a:xfrm>
            <a:off x="585788" y="29908502"/>
            <a:ext cx="24383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50C88C53-EBD0-EBAA-06EF-120FFF9A8426}"/>
              </a:ext>
            </a:extLst>
          </xdr:cNvPr>
          <xdr:cNvCxnSpPr/>
        </xdr:nvCxnSpPr>
        <xdr:spPr>
          <a:xfrm>
            <a:off x="647700" y="29837063"/>
            <a:ext cx="0" cy="2005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E7C39F2F-0140-F8FA-49F1-56A5458AF711}"/>
              </a:ext>
            </a:extLst>
          </xdr:cNvPr>
          <xdr:cNvCxnSpPr/>
        </xdr:nvCxnSpPr>
        <xdr:spPr>
          <a:xfrm flipH="1">
            <a:off x="585788" y="31765875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D52DBB05-6C97-440C-9D06-9F69482E1549}"/>
              </a:ext>
            </a:extLst>
          </xdr:cNvPr>
          <xdr:cNvCxnSpPr/>
        </xdr:nvCxnSpPr>
        <xdr:spPr>
          <a:xfrm flipH="1">
            <a:off x="609598" y="298751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727F44C8-CC6F-4209-ACA8-41EE65CB6D74}"/>
              </a:ext>
            </a:extLst>
          </xdr:cNvPr>
          <xdr:cNvCxnSpPr/>
        </xdr:nvCxnSpPr>
        <xdr:spPr>
          <a:xfrm flipH="1">
            <a:off x="609604" y="317325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CB6C71DB-2AAE-4EED-A6B5-EBC61800CE96}"/>
              </a:ext>
            </a:extLst>
          </xdr:cNvPr>
          <xdr:cNvCxnSpPr/>
        </xdr:nvCxnSpPr>
        <xdr:spPr>
          <a:xfrm>
            <a:off x="576264" y="30451413"/>
            <a:ext cx="12858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C6D197A2-8C8B-47A3-8575-117494083D9A}"/>
              </a:ext>
            </a:extLst>
          </xdr:cNvPr>
          <xdr:cNvCxnSpPr/>
        </xdr:nvCxnSpPr>
        <xdr:spPr>
          <a:xfrm flipH="1">
            <a:off x="609597" y="304180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>
            <a:extLst>
              <a:ext uri="{FF2B5EF4-FFF2-40B4-BE49-F238E27FC236}">
                <a16:creationId xmlns:a16="http://schemas.microsoft.com/office/drawing/2014/main" id="{A62070F2-353A-7C5E-D99A-CF023EB74505}"/>
              </a:ext>
            </a:extLst>
          </xdr:cNvPr>
          <xdr:cNvCxnSpPr/>
        </xdr:nvCxnSpPr>
        <xdr:spPr>
          <a:xfrm flipH="1" flipV="1">
            <a:off x="1952625" y="30446663"/>
            <a:ext cx="1290638" cy="1328737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7C8F27C9-6F55-425B-8A92-7735A4DA1BDE}"/>
              </a:ext>
            </a:extLst>
          </xdr:cNvPr>
          <xdr:cNvCxnSpPr/>
        </xdr:nvCxnSpPr>
        <xdr:spPr>
          <a:xfrm flipV="1">
            <a:off x="3233738" y="30456188"/>
            <a:ext cx="1290637" cy="13144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9D0FBA10-A9E8-E111-9919-569109E669AE}"/>
              </a:ext>
            </a:extLst>
          </xdr:cNvPr>
          <xdr:cNvCxnSpPr/>
        </xdr:nvCxnSpPr>
        <xdr:spPr>
          <a:xfrm>
            <a:off x="2790825" y="31765876"/>
            <a:ext cx="9429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" name="Arc 149">
            <a:extLst>
              <a:ext uri="{FF2B5EF4-FFF2-40B4-BE49-F238E27FC236}">
                <a16:creationId xmlns:a16="http://schemas.microsoft.com/office/drawing/2014/main" id="{EF9C5E84-6CE3-4422-17B3-252C2E59D372}"/>
              </a:ext>
            </a:extLst>
          </xdr:cNvPr>
          <xdr:cNvSpPr/>
        </xdr:nvSpPr>
        <xdr:spPr>
          <a:xfrm rot="14662438">
            <a:off x="2981326" y="31570614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1" name="Arc 150">
            <a:extLst>
              <a:ext uri="{FF2B5EF4-FFF2-40B4-BE49-F238E27FC236}">
                <a16:creationId xmlns:a16="http://schemas.microsoft.com/office/drawing/2014/main" id="{14BDE15A-3463-4A18-BFE4-8DE4D35B39A7}"/>
              </a:ext>
            </a:extLst>
          </xdr:cNvPr>
          <xdr:cNvSpPr/>
        </xdr:nvSpPr>
        <xdr:spPr>
          <a:xfrm rot="1806329">
            <a:off x="3214687" y="31565850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35" name="Straight Connector 2634">
            <a:extLst>
              <a:ext uri="{FF2B5EF4-FFF2-40B4-BE49-F238E27FC236}">
                <a16:creationId xmlns:a16="http://schemas.microsoft.com/office/drawing/2014/main" id="{C9042015-610F-4693-BC5D-3CA882539113}"/>
              </a:ext>
            </a:extLst>
          </xdr:cNvPr>
          <xdr:cNvCxnSpPr/>
        </xdr:nvCxnSpPr>
        <xdr:spPr>
          <a:xfrm>
            <a:off x="1390654" y="29770387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6" name="Straight Arrow Connector 2635">
            <a:extLst>
              <a:ext uri="{FF2B5EF4-FFF2-40B4-BE49-F238E27FC236}">
                <a16:creationId xmlns:a16="http://schemas.microsoft.com/office/drawing/2014/main" id="{C9AD4C2A-3333-47B5-9431-739D001C088A}"/>
              </a:ext>
            </a:extLst>
          </xdr:cNvPr>
          <xdr:cNvCxnSpPr/>
        </xdr:nvCxnSpPr>
        <xdr:spPr>
          <a:xfrm>
            <a:off x="1390650" y="29579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2" name="Straight Arrow Connector 2641">
            <a:extLst>
              <a:ext uri="{FF2B5EF4-FFF2-40B4-BE49-F238E27FC236}">
                <a16:creationId xmlns:a16="http://schemas.microsoft.com/office/drawing/2014/main" id="{D6912687-5256-448B-9827-82CD8D4510D7}"/>
              </a:ext>
            </a:extLst>
          </xdr:cNvPr>
          <xdr:cNvCxnSpPr/>
        </xdr:nvCxnSpPr>
        <xdr:spPr>
          <a:xfrm>
            <a:off x="1619249" y="29579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5" name="Straight Arrow Connector 2644">
            <a:extLst>
              <a:ext uri="{FF2B5EF4-FFF2-40B4-BE49-F238E27FC236}">
                <a16:creationId xmlns:a16="http://schemas.microsoft.com/office/drawing/2014/main" id="{D80E6EDB-9254-4D3E-A280-7772C8088B04}"/>
              </a:ext>
            </a:extLst>
          </xdr:cNvPr>
          <xdr:cNvCxnSpPr/>
        </xdr:nvCxnSpPr>
        <xdr:spPr>
          <a:xfrm>
            <a:off x="1781175" y="29579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6" name="Straight Arrow Connector 2645">
            <a:extLst>
              <a:ext uri="{FF2B5EF4-FFF2-40B4-BE49-F238E27FC236}">
                <a16:creationId xmlns:a16="http://schemas.microsoft.com/office/drawing/2014/main" id="{29811CAC-4A2B-4C79-B63B-A5D8E1DD972D}"/>
              </a:ext>
            </a:extLst>
          </xdr:cNvPr>
          <xdr:cNvCxnSpPr/>
        </xdr:nvCxnSpPr>
        <xdr:spPr>
          <a:xfrm>
            <a:off x="1943094" y="29579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9" name="Straight Arrow Connector 2648">
            <a:extLst>
              <a:ext uri="{FF2B5EF4-FFF2-40B4-BE49-F238E27FC236}">
                <a16:creationId xmlns:a16="http://schemas.microsoft.com/office/drawing/2014/main" id="{41D093B8-94EF-4835-9B38-CFA39C915FA0}"/>
              </a:ext>
            </a:extLst>
          </xdr:cNvPr>
          <xdr:cNvCxnSpPr/>
        </xdr:nvCxnSpPr>
        <xdr:spPr>
          <a:xfrm>
            <a:off x="2105025" y="29579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0" name="Straight Arrow Connector 2649">
            <a:extLst>
              <a:ext uri="{FF2B5EF4-FFF2-40B4-BE49-F238E27FC236}">
                <a16:creationId xmlns:a16="http://schemas.microsoft.com/office/drawing/2014/main" id="{CB1D94BF-FAC9-4668-998F-C09B638F263E}"/>
              </a:ext>
            </a:extLst>
          </xdr:cNvPr>
          <xdr:cNvCxnSpPr/>
        </xdr:nvCxnSpPr>
        <xdr:spPr>
          <a:xfrm>
            <a:off x="2266951" y="29579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1" name="Straight Arrow Connector 2650">
            <a:extLst>
              <a:ext uri="{FF2B5EF4-FFF2-40B4-BE49-F238E27FC236}">
                <a16:creationId xmlns:a16="http://schemas.microsoft.com/office/drawing/2014/main" id="{A249BB17-165B-4D99-97F5-795659342053}"/>
              </a:ext>
            </a:extLst>
          </xdr:cNvPr>
          <xdr:cNvCxnSpPr/>
        </xdr:nvCxnSpPr>
        <xdr:spPr>
          <a:xfrm>
            <a:off x="2428870" y="29579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3" name="Straight Arrow Connector 2652">
            <a:extLst>
              <a:ext uri="{FF2B5EF4-FFF2-40B4-BE49-F238E27FC236}">
                <a16:creationId xmlns:a16="http://schemas.microsoft.com/office/drawing/2014/main" id="{9BAE21B0-2501-4838-9104-0F28959FC7A5}"/>
              </a:ext>
            </a:extLst>
          </xdr:cNvPr>
          <xdr:cNvCxnSpPr/>
        </xdr:nvCxnSpPr>
        <xdr:spPr>
          <a:xfrm>
            <a:off x="2590807" y="29579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4" name="Straight Arrow Connector 2653">
            <a:extLst>
              <a:ext uri="{FF2B5EF4-FFF2-40B4-BE49-F238E27FC236}">
                <a16:creationId xmlns:a16="http://schemas.microsoft.com/office/drawing/2014/main" id="{6595DE76-F596-4C07-A6D2-5D4935B13AC8}"/>
              </a:ext>
            </a:extLst>
          </xdr:cNvPr>
          <xdr:cNvCxnSpPr/>
        </xdr:nvCxnSpPr>
        <xdr:spPr>
          <a:xfrm>
            <a:off x="2752733" y="29579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6" name="Straight Arrow Connector 2655">
            <a:extLst>
              <a:ext uri="{FF2B5EF4-FFF2-40B4-BE49-F238E27FC236}">
                <a16:creationId xmlns:a16="http://schemas.microsoft.com/office/drawing/2014/main" id="{DCF61211-67A1-43F2-BEA4-E26F0E856DAC}"/>
              </a:ext>
            </a:extLst>
          </xdr:cNvPr>
          <xdr:cNvCxnSpPr/>
        </xdr:nvCxnSpPr>
        <xdr:spPr>
          <a:xfrm>
            <a:off x="2914652" y="29579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7" name="Straight Arrow Connector 2656">
            <a:extLst>
              <a:ext uri="{FF2B5EF4-FFF2-40B4-BE49-F238E27FC236}">
                <a16:creationId xmlns:a16="http://schemas.microsoft.com/office/drawing/2014/main" id="{04BDAFEA-0F95-4E3A-8FA6-9C141D3C3E42}"/>
              </a:ext>
            </a:extLst>
          </xdr:cNvPr>
          <xdr:cNvCxnSpPr/>
        </xdr:nvCxnSpPr>
        <xdr:spPr>
          <a:xfrm>
            <a:off x="3076583" y="29579887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8" name="Straight Arrow Connector 2657">
            <a:extLst>
              <a:ext uri="{FF2B5EF4-FFF2-40B4-BE49-F238E27FC236}">
                <a16:creationId xmlns:a16="http://schemas.microsoft.com/office/drawing/2014/main" id="{A285F9D0-8A5B-4302-BEB9-83C7BACB2CFB}"/>
              </a:ext>
            </a:extLst>
          </xdr:cNvPr>
          <xdr:cNvCxnSpPr/>
        </xdr:nvCxnSpPr>
        <xdr:spPr>
          <a:xfrm>
            <a:off x="3238509" y="29484637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9" name="Straight Arrow Connector 2658">
            <a:extLst>
              <a:ext uri="{FF2B5EF4-FFF2-40B4-BE49-F238E27FC236}">
                <a16:creationId xmlns:a16="http://schemas.microsoft.com/office/drawing/2014/main" id="{6000D03B-7592-4313-B2FF-566BF72DD07F}"/>
              </a:ext>
            </a:extLst>
          </xdr:cNvPr>
          <xdr:cNvCxnSpPr/>
        </xdr:nvCxnSpPr>
        <xdr:spPr>
          <a:xfrm>
            <a:off x="3400428" y="29489400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0" name="Straight Arrow Connector 2659">
            <a:extLst>
              <a:ext uri="{FF2B5EF4-FFF2-40B4-BE49-F238E27FC236}">
                <a16:creationId xmlns:a16="http://schemas.microsoft.com/office/drawing/2014/main" id="{44CA1461-F0C2-4685-A6FC-C0D605C3CA7A}"/>
              </a:ext>
            </a:extLst>
          </xdr:cNvPr>
          <xdr:cNvCxnSpPr/>
        </xdr:nvCxnSpPr>
        <xdr:spPr>
          <a:xfrm>
            <a:off x="3562357" y="29479875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1" name="Straight Arrow Connector 2660">
            <a:extLst>
              <a:ext uri="{FF2B5EF4-FFF2-40B4-BE49-F238E27FC236}">
                <a16:creationId xmlns:a16="http://schemas.microsoft.com/office/drawing/2014/main" id="{8FF148BA-FAD1-4E66-8F9F-6F15FF7F3F3B}"/>
              </a:ext>
            </a:extLst>
          </xdr:cNvPr>
          <xdr:cNvCxnSpPr/>
        </xdr:nvCxnSpPr>
        <xdr:spPr>
          <a:xfrm>
            <a:off x="3724283" y="294846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2" name="Straight Arrow Connector 2661">
            <a:extLst>
              <a:ext uri="{FF2B5EF4-FFF2-40B4-BE49-F238E27FC236}">
                <a16:creationId xmlns:a16="http://schemas.microsoft.com/office/drawing/2014/main" id="{A834D675-0323-4B18-94D5-9D3BF8BB8C7E}"/>
              </a:ext>
            </a:extLst>
          </xdr:cNvPr>
          <xdr:cNvCxnSpPr/>
        </xdr:nvCxnSpPr>
        <xdr:spPr>
          <a:xfrm>
            <a:off x="3886202" y="294846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4" name="Straight Arrow Connector 2663">
            <a:extLst>
              <a:ext uri="{FF2B5EF4-FFF2-40B4-BE49-F238E27FC236}">
                <a16:creationId xmlns:a16="http://schemas.microsoft.com/office/drawing/2014/main" id="{575450A1-FEFF-4265-8825-BA6E0EEF4E7F}"/>
              </a:ext>
            </a:extLst>
          </xdr:cNvPr>
          <xdr:cNvCxnSpPr/>
        </xdr:nvCxnSpPr>
        <xdr:spPr>
          <a:xfrm>
            <a:off x="4048133" y="29489400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5" name="Straight Arrow Connector 2664">
            <a:extLst>
              <a:ext uri="{FF2B5EF4-FFF2-40B4-BE49-F238E27FC236}">
                <a16:creationId xmlns:a16="http://schemas.microsoft.com/office/drawing/2014/main" id="{08810F0C-102D-4974-916A-D066A38F307C}"/>
              </a:ext>
            </a:extLst>
          </xdr:cNvPr>
          <xdr:cNvCxnSpPr/>
        </xdr:nvCxnSpPr>
        <xdr:spPr>
          <a:xfrm>
            <a:off x="4210059" y="294846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6" name="Straight Arrow Connector 2665">
            <a:extLst>
              <a:ext uri="{FF2B5EF4-FFF2-40B4-BE49-F238E27FC236}">
                <a16:creationId xmlns:a16="http://schemas.microsoft.com/office/drawing/2014/main" id="{DEB06EFE-B39A-4D9A-935E-7DF88541215F}"/>
              </a:ext>
            </a:extLst>
          </xdr:cNvPr>
          <xdr:cNvCxnSpPr/>
        </xdr:nvCxnSpPr>
        <xdr:spPr>
          <a:xfrm>
            <a:off x="4371978" y="294846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1" name="Straight Arrow Connector 2680">
            <a:extLst>
              <a:ext uri="{FF2B5EF4-FFF2-40B4-BE49-F238E27FC236}">
                <a16:creationId xmlns:a16="http://schemas.microsoft.com/office/drawing/2014/main" id="{CDC5A194-7CBA-4D39-A34F-3B2D0382B434}"/>
              </a:ext>
            </a:extLst>
          </xdr:cNvPr>
          <xdr:cNvCxnSpPr/>
        </xdr:nvCxnSpPr>
        <xdr:spPr>
          <a:xfrm>
            <a:off x="4533915" y="294846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2" name="Straight Arrow Connector 2681">
            <a:extLst>
              <a:ext uri="{FF2B5EF4-FFF2-40B4-BE49-F238E27FC236}">
                <a16:creationId xmlns:a16="http://schemas.microsoft.com/office/drawing/2014/main" id="{6E17B92C-5E85-463C-A14F-675DAB841654}"/>
              </a:ext>
            </a:extLst>
          </xdr:cNvPr>
          <xdr:cNvCxnSpPr/>
        </xdr:nvCxnSpPr>
        <xdr:spPr>
          <a:xfrm>
            <a:off x="4695841" y="294846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5" name="Straight Arrow Connector 2734">
            <a:extLst>
              <a:ext uri="{FF2B5EF4-FFF2-40B4-BE49-F238E27FC236}">
                <a16:creationId xmlns:a16="http://schemas.microsoft.com/office/drawing/2014/main" id="{CE6A894D-607D-4B9E-A0BC-92E19E313F99}"/>
              </a:ext>
            </a:extLst>
          </xdr:cNvPr>
          <xdr:cNvCxnSpPr/>
        </xdr:nvCxnSpPr>
        <xdr:spPr>
          <a:xfrm>
            <a:off x="4857760" y="29479875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6" name="Straight Arrow Connector 2735">
            <a:extLst>
              <a:ext uri="{FF2B5EF4-FFF2-40B4-BE49-F238E27FC236}">
                <a16:creationId xmlns:a16="http://schemas.microsoft.com/office/drawing/2014/main" id="{90EA9E70-D871-42C0-8CA2-8CE8ACF96F45}"/>
              </a:ext>
            </a:extLst>
          </xdr:cNvPr>
          <xdr:cNvCxnSpPr/>
        </xdr:nvCxnSpPr>
        <xdr:spPr>
          <a:xfrm>
            <a:off x="5086373" y="29484637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7" name="Straight Connector 2736">
            <a:extLst>
              <a:ext uri="{FF2B5EF4-FFF2-40B4-BE49-F238E27FC236}">
                <a16:creationId xmlns:a16="http://schemas.microsoft.com/office/drawing/2014/main" id="{503D3D4B-D8F2-4700-8EA0-38C57BDFF983}"/>
              </a:ext>
            </a:extLst>
          </xdr:cNvPr>
          <xdr:cNvCxnSpPr/>
        </xdr:nvCxnSpPr>
        <xdr:spPr>
          <a:xfrm>
            <a:off x="1390652" y="29579881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0" name="Straight Connector 2739">
            <a:extLst>
              <a:ext uri="{FF2B5EF4-FFF2-40B4-BE49-F238E27FC236}">
                <a16:creationId xmlns:a16="http://schemas.microsoft.com/office/drawing/2014/main" id="{0E71BE0F-A810-48D0-879B-075B10646DBF}"/>
              </a:ext>
            </a:extLst>
          </xdr:cNvPr>
          <xdr:cNvCxnSpPr/>
        </xdr:nvCxnSpPr>
        <xdr:spPr>
          <a:xfrm>
            <a:off x="3238510" y="29484630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90489</xdr:colOff>
      <xdr:row>824</xdr:row>
      <xdr:rowOff>0</xdr:rowOff>
    </xdr:from>
    <xdr:to>
      <xdr:col>39</xdr:col>
      <xdr:colOff>66675</xdr:colOff>
      <xdr:row>852</xdr:row>
      <xdr:rowOff>133174</xdr:rowOff>
    </xdr:to>
    <xdr:grpSp>
      <xdr:nvGrpSpPr>
        <xdr:cNvPr id="2997" name="Group 2996">
          <a:extLst>
            <a:ext uri="{FF2B5EF4-FFF2-40B4-BE49-F238E27FC236}">
              <a16:creationId xmlns:a16="http://schemas.microsoft.com/office/drawing/2014/main" id="{3EEFDBC6-B7C0-4719-D9E7-4CB54C5EB19A}"/>
            </a:ext>
          </a:extLst>
        </xdr:cNvPr>
        <xdr:cNvGrpSpPr/>
      </xdr:nvGrpSpPr>
      <xdr:grpSpPr>
        <a:xfrm>
          <a:off x="576264" y="118205250"/>
          <a:ext cx="5805486" cy="4133674"/>
          <a:chOff x="576264" y="106775250"/>
          <a:chExt cx="5805486" cy="4133674"/>
        </a:xfrm>
      </xdr:grpSpPr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C602AC84-006F-40F2-5C17-BD6968F12564}"/>
              </a:ext>
            </a:extLst>
          </xdr:cNvPr>
          <xdr:cNvSpPr/>
        </xdr:nvSpPr>
        <xdr:spPr>
          <a:xfrm>
            <a:off x="1223962" y="109204776"/>
            <a:ext cx="338137" cy="143206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7" name="Arc 1286">
            <a:extLst>
              <a:ext uri="{FF2B5EF4-FFF2-40B4-BE49-F238E27FC236}">
                <a16:creationId xmlns:a16="http://schemas.microsoft.com/office/drawing/2014/main" id="{AA936D1A-BC96-E9D6-A5D0-EDF5629D93B5}"/>
              </a:ext>
            </a:extLst>
          </xdr:cNvPr>
          <xdr:cNvSpPr/>
        </xdr:nvSpPr>
        <xdr:spPr>
          <a:xfrm>
            <a:off x="1390649" y="107204669"/>
            <a:ext cx="3695700" cy="3704255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8" name="Isosceles Triangle 1287">
            <a:extLst>
              <a:ext uri="{FF2B5EF4-FFF2-40B4-BE49-F238E27FC236}">
                <a16:creationId xmlns:a16="http://schemas.microsoft.com/office/drawing/2014/main" id="{D534F1E0-A10F-D429-3379-6A52423C1022}"/>
              </a:ext>
            </a:extLst>
          </xdr:cNvPr>
          <xdr:cNvSpPr/>
        </xdr:nvSpPr>
        <xdr:spPr>
          <a:xfrm>
            <a:off x="1308544" y="109066346"/>
            <a:ext cx="154684" cy="133657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9" name="Straight Connector 1288">
            <a:extLst>
              <a:ext uri="{FF2B5EF4-FFF2-40B4-BE49-F238E27FC236}">
                <a16:creationId xmlns:a16="http://schemas.microsoft.com/office/drawing/2014/main" id="{EB31C59D-1290-11DC-D696-5A24B24D74AD}"/>
              </a:ext>
            </a:extLst>
          </xdr:cNvPr>
          <xdr:cNvCxnSpPr/>
        </xdr:nvCxnSpPr>
        <xdr:spPr>
          <a:xfrm>
            <a:off x="1214436" y="109200001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0" name="Oval 1289">
            <a:extLst>
              <a:ext uri="{FF2B5EF4-FFF2-40B4-BE49-F238E27FC236}">
                <a16:creationId xmlns:a16="http://schemas.microsoft.com/office/drawing/2014/main" id="{CC2A1B17-AE03-DD73-E9C4-C4B40572FB69}"/>
              </a:ext>
            </a:extLst>
          </xdr:cNvPr>
          <xdr:cNvSpPr/>
        </xdr:nvSpPr>
        <xdr:spPr>
          <a:xfrm>
            <a:off x="1343023" y="109009061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29A777F1-4CE8-424F-1A19-170F7CBF2808}"/>
              </a:ext>
            </a:extLst>
          </xdr:cNvPr>
          <xdr:cNvSpPr/>
        </xdr:nvSpPr>
        <xdr:spPr>
          <a:xfrm>
            <a:off x="4919659" y="109204776"/>
            <a:ext cx="338137" cy="143206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92" name="Isosceles Triangle 1291">
            <a:extLst>
              <a:ext uri="{FF2B5EF4-FFF2-40B4-BE49-F238E27FC236}">
                <a16:creationId xmlns:a16="http://schemas.microsoft.com/office/drawing/2014/main" id="{1C51679E-E538-187C-1D23-124F68ABD029}"/>
              </a:ext>
            </a:extLst>
          </xdr:cNvPr>
          <xdr:cNvSpPr/>
        </xdr:nvSpPr>
        <xdr:spPr>
          <a:xfrm>
            <a:off x="5004241" y="109066346"/>
            <a:ext cx="154684" cy="133657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017FBED0-59A6-35F7-D0DF-D596DBA39FB1}"/>
              </a:ext>
            </a:extLst>
          </xdr:cNvPr>
          <xdr:cNvCxnSpPr/>
        </xdr:nvCxnSpPr>
        <xdr:spPr>
          <a:xfrm>
            <a:off x="4910133" y="109200001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4" name="Oval 1293">
            <a:extLst>
              <a:ext uri="{FF2B5EF4-FFF2-40B4-BE49-F238E27FC236}">
                <a16:creationId xmlns:a16="http://schemas.microsoft.com/office/drawing/2014/main" id="{F8091FCD-6687-DBB8-07A2-B312188A1A2C}"/>
              </a:ext>
            </a:extLst>
          </xdr:cNvPr>
          <xdr:cNvSpPr/>
        </xdr:nvSpPr>
        <xdr:spPr>
          <a:xfrm>
            <a:off x="5038720" y="109009061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95" name="Straight Arrow Connector 1294">
            <a:extLst>
              <a:ext uri="{FF2B5EF4-FFF2-40B4-BE49-F238E27FC236}">
                <a16:creationId xmlns:a16="http://schemas.microsoft.com/office/drawing/2014/main" id="{3847F84A-A0AE-1687-E2B1-477C591CDDCF}"/>
              </a:ext>
            </a:extLst>
          </xdr:cNvPr>
          <xdr:cNvCxnSpPr/>
        </xdr:nvCxnSpPr>
        <xdr:spPr>
          <a:xfrm flipV="1">
            <a:off x="1376361" y="109343208"/>
            <a:ext cx="0" cy="295959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Arrow Connector 1295">
            <a:extLst>
              <a:ext uri="{FF2B5EF4-FFF2-40B4-BE49-F238E27FC236}">
                <a16:creationId xmlns:a16="http://schemas.microsoft.com/office/drawing/2014/main" id="{ED1F98D1-365C-ADDB-92C6-9804CB9C5841}"/>
              </a:ext>
            </a:extLst>
          </xdr:cNvPr>
          <xdr:cNvCxnSpPr/>
        </xdr:nvCxnSpPr>
        <xdr:spPr>
          <a:xfrm flipV="1">
            <a:off x="5086348" y="109343207"/>
            <a:ext cx="0" cy="295959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7" name="Oval 1296">
            <a:extLst>
              <a:ext uri="{FF2B5EF4-FFF2-40B4-BE49-F238E27FC236}">
                <a16:creationId xmlns:a16="http://schemas.microsoft.com/office/drawing/2014/main" id="{0D3E16FF-C987-6F67-4A03-C3E64003B268}"/>
              </a:ext>
            </a:extLst>
          </xdr:cNvPr>
          <xdr:cNvSpPr/>
        </xdr:nvSpPr>
        <xdr:spPr>
          <a:xfrm>
            <a:off x="3195638" y="107161707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98" name="Straight Connector 1297">
            <a:extLst>
              <a:ext uri="{FF2B5EF4-FFF2-40B4-BE49-F238E27FC236}">
                <a16:creationId xmlns:a16="http://schemas.microsoft.com/office/drawing/2014/main" id="{576683CE-28A8-34DA-E767-1DD009A0BF71}"/>
              </a:ext>
            </a:extLst>
          </xdr:cNvPr>
          <xdr:cNvCxnSpPr/>
        </xdr:nvCxnSpPr>
        <xdr:spPr>
          <a:xfrm>
            <a:off x="1309690" y="109916032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Connector 1298">
            <a:extLst>
              <a:ext uri="{FF2B5EF4-FFF2-40B4-BE49-F238E27FC236}">
                <a16:creationId xmlns:a16="http://schemas.microsoft.com/office/drawing/2014/main" id="{5F0EC538-7849-99D4-9D58-CF312BE2C42B}"/>
              </a:ext>
            </a:extLst>
          </xdr:cNvPr>
          <xdr:cNvCxnSpPr/>
        </xdr:nvCxnSpPr>
        <xdr:spPr>
          <a:xfrm>
            <a:off x="1376363" y="109782378"/>
            <a:ext cx="0" cy="49166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Connector 1299">
            <a:extLst>
              <a:ext uri="{FF2B5EF4-FFF2-40B4-BE49-F238E27FC236}">
                <a16:creationId xmlns:a16="http://schemas.microsoft.com/office/drawing/2014/main" id="{0835FA33-156E-BCF3-D694-598D48ACA196}"/>
              </a:ext>
            </a:extLst>
          </xdr:cNvPr>
          <xdr:cNvCxnSpPr/>
        </xdr:nvCxnSpPr>
        <xdr:spPr>
          <a:xfrm flipH="1">
            <a:off x="1338262" y="10988261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Connector 1300">
            <a:extLst>
              <a:ext uri="{FF2B5EF4-FFF2-40B4-BE49-F238E27FC236}">
                <a16:creationId xmlns:a16="http://schemas.microsoft.com/office/drawing/2014/main" id="{0CD5FBF0-474C-AE21-2EBE-5FD2EE3BCED8}"/>
              </a:ext>
            </a:extLst>
          </xdr:cNvPr>
          <xdr:cNvCxnSpPr/>
        </xdr:nvCxnSpPr>
        <xdr:spPr>
          <a:xfrm>
            <a:off x="1309688" y="110202449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2" name="Straight Connector 1301">
            <a:extLst>
              <a:ext uri="{FF2B5EF4-FFF2-40B4-BE49-F238E27FC236}">
                <a16:creationId xmlns:a16="http://schemas.microsoft.com/office/drawing/2014/main" id="{C7E3BEE4-AEB8-D957-48CF-AE1FDB473021}"/>
              </a:ext>
            </a:extLst>
          </xdr:cNvPr>
          <xdr:cNvCxnSpPr/>
        </xdr:nvCxnSpPr>
        <xdr:spPr>
          <a:xfrm flipH="1">
            <a:off x="1338260" y="110169035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Connector 1302">
            <a:extLst>
              <a:ext uri="{FF2B5EF4-FFF2-40B4-BE49-F238E27FC236}">
                <a16:creationId xmlns:a16="http://schemas.microsoft.com/office/drawing/2014/main" id="{4F044D15-B538-6F42-9E1B-03CE2A55D884}"/>
              </a:ext>
            </a:extLst>
          </xdr:cNvPr>
          <xdr:cNvCxnSpPr/>
        </xdr:nvCxnSpPr>
        <xdr:spPr>
          <a:xfrm>
            <a:off x="5086357" y="109782373"/>
            <a:ext cx="0" cy="49166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A50C7CED-D444-F76E-07BD-D1A7AC08B116}"/>
              </a:ext>
            </a:extLst>
          </xdr:cNvPr>
          <xdr:cNvCxnSpPr/>
        </xdr:nvCxnSpPr>
        <xdr:spPr>
          <a:xfrm flipH="1">
            <a:off x="5048256" y="109882612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Connector 1304">
            <a:extLst>
              <a:ext uri="{FF2B5EF4-FFF2-40B4-BE49-F238E27FC236}">
                <a16:creationId xmlns:a16="http://schemas.microsoft.com/office/drawing/2014/main" id="{C073ED2D-92A4-8AB0-20EC-5D2A3D0DC3C9}"/>
              </a:ext>
            </a:extLst>
          </xdr:cNvPr>
          <xdr:cNvCxnSpPr/>
        </xdr:nvCxnSpPr>
        <xdr:spPr>
          <a:xfrm flipH="1">
            <a:off x="5048254" y="110169030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Connector 1305">
            <a:extLst>
              <a:ext uri="{FF2B5EF4-FFF2-40B4-BE49-F238E27FC236}">
                <a16:creationId xmlns:a16="http://schemas.microsoft.com/office/drawing/2014/main" id="{0671B23E-8088-3B9E-0B42-AD583355AAFF}"/>
              </a:ext>
            </a:extLst>
          </xdr:cNvPr>
          <xdr:cNvCxnSpPr/>
        </xdr:nvCxnSpPr>
        <xdr:spPr>
          <a:xfrm>
            <a:off x="1943095" y="107810907"/>
            <a:ext cx="0" cy="21815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7" name="Straight Connector 1306">
            <a:extLst>
              <a:ext uri="{FF2B5EF4-FFF2-40B4-BE49-F238E27FC236}">
                <a16:creationId xmlns:a16="http://schemas.microsoft.com/office/drawing/2014/main" id="{BED4A75A-3B50-B626-4B3B-B2D8A10230B2}"/>
              </a:ext>
            </a:extLst>
          </xdr:cNvPr>
          <xdr:cNvCxnSpPr/>
        </xdr:nvCxnSpPr>
        <xdr:spPr>
          <a:xfrm flipH="1">
            <a:off x="1904997" y="10988261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Connector 1307">
            <a:extLst>
              <a:ext uri="{FF2B5EF4-FFF2-40B4-BE49-F238E27FC236}">
                <a16:creationId xmlns:a16="http://schemas.microsoft.com/office/drawing/2014/main" id="{B75559C0-68EC-5AEF-EBF4-D1EAB32FF0C4}"/>
              </a:ext>
            </a:extLst>
          </xdr:cNvPr>
          <xdr:cNvCxnSpPr/>
        </xdr:nvCxnSpPr>
        <xdr:spPr>
          <a:xfrm>
            <a:off x="4533909" y="107830001"/>
            <a:ext cx="0" cy="216240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9" name="Straight Connector 1308">
            <a:extLst>
              <a:ext uri="{FF2B5EF4-FFF2-40B4-BE49-F238E27FC236}">
                <a16:creationId xmlns:a16="http://schemas.microsoft.com/office/drawing/2014/main" id="{52D0CB97-4975-3928-4307-078809D6B491}"/>
              </a:ext>
            </a:extLst>
          </xdr:cNvPr>
          <xdr:cNvCxnSpPr/>
        </xdr:nvCxnSpPr>
        <xdr:spPr>
          <a:xfrm flipH="1">
            <a:off x="4495811" y="109882615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Connector 1309">
            <a:extLst>
              <a:ext uri="{FF2B5EF4-FFF2-40B4-BE49-F238E27FC236}">
                <a16:creationId xmlns:a16="http://schemas.microsoft.com/office/drawing/2014/main" id="{2B0D9FA2-9DC6-FF74-1FD3-72B298A1BA42}"/>
              </a:ext>
            </a:extLst>
          </xdr:cNvPr>
          <xdr:cNvCxnSpPr/>
        </xdr:nvCxnSpPr>
        <xdr:spPr>
          <a:xfrm flipH="1" flipV="1">
            <a:off x="1905002" y="107691571"/>
            <a:ext cx="83925" cy="859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Connector 1310">
            <a:extLst>
              <a:ext uri="{FF2B5EF4-FFF2-40B4-BE49-F238E27FC236}">
                <a16:creationId xmlns:a16="http://schemas.microsoft.com/office/drawing/2014/main" id="{88D8635E-3F68-EC48-6C01-34C191548A9F}"/>
              </a:ext>
            </a:extLst>
          </xdr:cNvPr>
          <xdr:cNvCxnSpPr/>
        </xdr:nvCxnSpPr>
        <xdr:spPr>
          <a:xfrm flipV="1">
            <a:off x="4500563" y="107701115"/>
            <a:ext cx="71437" cy="7262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Connector 1311">
            <a:extLst>
              <a:ext uri="{FF2B5EF4-FFF2-40B4-BE49-F238E27FC236}">
                <a16:creationId xmlns:a16="http://schemas.microsoft.com/office/drawing/2014/main" id="{07213025-E61B-C849-D2A0-561BBFABF2FE}"/>
              </a:ext>
            </a:extLst>
          </xdr:cNvPr>
          <xdr:cNvCxnSpPr/>
        </xdr:nvCxnSpPr>
        <xdr:spPr>
          <a:xfrm>
            <a:off x="3238501" y="109146975"/>
            <a:ext cx="0" cy="8406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4832615A-F9A6-80D4-5CB8-8B2524241A8F}"/>
              </a:ext>
            </a:extLst>
          </xdr:cNvPr>
          <xdr:cNvCxnSpPr/>
        </xdr:nvCxnSpPr>
        <xdr:spPr>
          <a:xfrm flipH="1">
            <a:off x="3200402" y="10988261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Connector 1338">
            <a:extLst>
              <a:ext uri="{FF2B5EF4-FFF2-40B4-BE49-F238E27FC236}">
                <a16:creationId xmlns:a16="http://schemas.microsoft.com/office/drawing/2014/main" id="{5F248B6F-3D3D-860F-D05E-5729222D1096}"/>
              </a:ext>
            </a:extLst>
          </xdr:cNvPr>
          <xdr:cNvCxnSpPr/>
        </xdr:nvCxnSpPr>
        <xdr:spPr>
          <a:xfrm>
            <a:off x="3600450" y="107195122"/>
            <a:ext cx="2781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C9092DBB-B22C-EE62-84B3-4FB56138F13C}"/>
              </a:ext>
            </a:extLst>
          </xdr:cNvPr>
          <xdr:cNvCxnSpPr/>
        </xdr:nvCxnSpPr>
        <xdr:spPr>
          <a:xfrm>
            <a:off x="4581525" y="107739309"/>
            <a:ext cx="1476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Connector 1340">
            <a:extLst>
              <a:ext uri="{FF2B5EF4-FFF2-40B4-BE49-F238E27FC236}">
                <a16:creationId xmlns:a16="http://schemas.microsoft.com/office/drawing/2014/main" id="{933049F3-E8B1-3A6B-476D-3D4B1D49B697}"/>
              </a:ext>
            </a:extLst>
          </xdr:cNvPr>
          <xdr:cNvCxnSpPr/>
        </xdr:nvCxnSpPr>
        <xdr:spPr>
          <a:xfrm>
            <a:off x="5991226" y="107128292"/>
            <a:ext cx="0" cy="1995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Arrow Connector 1341">
            <a:extLst>
              <a:ext uri="{FF2B5EF4-FFF2-40B4-BE49-F238E27FC236}">
                <a16:creationId xmlns:a16="http://schemas.microsoft.com/office/drawing/2014/main" id="{B5071AD4-12C9-AFED-B58F-D6DF0A3B3198}"/>
              </a:ext>
            </a:extLst>
          </xdr:cNvPr>
          <xdr:cNvCxnSpPr/>
        </xdr:nvCxnSpPr>
        <xdr:spPr>
          <a:xfrm flipH="1">
            <a:off x="5157788" y="109061569"/>
            <a:ext cx="357187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Connector 1342">
            <a:extLst>
              <a:ext uri="{FF2B5EF4-FFF2-40B4-BE49-F238E27FC236}">
                <a16:creationId xmlns:a16="http://schemas.microsoft.com/office/drawing/2014/main" id="{B4F3A600-98E0-451C-27D9-6EE95CFFDD9D}"/>
              </a:ext>
            </a:extLst>
          </xdr:cNvPr>
          <xdr:cNvCxnSpPr/>
        </xdr:nvCxnSpPr>
        <xdr:spPr>
          <a:xfrm flipH="1">
            <a:off x="5953124" y="107161713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4" name="Straight Connector 1343">
            <a:extLst>
              <a:ext uri="{FF2B5EF4-FFF2-40B4-BE49-F238E27FC236}">
                <a16:creationId xmlns:a16="http://schemas.microsoft.com/office/drawing/2014/main" id="{E776119C-F6FA-80FA-ACA1-F88CA9BB2754}"/>
              </a:ext>
            </a:extLst>
          </xdr:cNvPr>
          <xdr:cNvCxnSpPr/>
        </xdr:nvCxnSpPr>
        <xdr:spPr>
          <a:xfrm flipH="1">
            <a:off x="5953120" y="10770590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5" name="Straight Connector 1344">
            <a:extLst>
              <a:ext uri="{FF2B5EF4-FFF2-40B4-BE49-F238E27FC236}">
                <a16:creationId xmlns:a16="http://schemas.microsoft.com/office/drawing/2014/main" id="{23137D1B-3A62-4EE3-0BFD-DA0D8CF4BB8C}"/>
              </a:ext>
            </a:extLst>
          </xdr:cNvPr>
          <xdr:cNvCxnSpPr/>
        </xdr:nvCxnSpPr>
        <xdr:spPr>
          <a:xfrm>
            <a:off x="5600700" y="109056808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Connector 1345">
            <a:extLst>
              <a:ext uri="{FF2B5EF4-FFF2-40B4-BE49-F238E27FC236}">
                <a16:creationId xmlns:a16="http://schemas.microsoft.com/office/drawing/2014/main" id="{B9E0A2F4-064C-25D9-6EBC-C19F0C726ADE}"/>
              </a:ext>
            </a:extLst>
          </xdr:cNvPr>
          <xdr:cNvCxnSpPr/>
        </xdr:nvCxnSpPr>
        <xdr:spPr>
          <a:xfrm flipH="1">
            <a:off x="5953117" y="10902340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Connector 1346">
            <a:extLst>
              <a:ext uri="{FF2B5EF4-FFF2-40B4-BE49-F238E27FC236}">
                <a16:creationId xmlns:a16="http://schemas.microsoft.com/office/drawing/2014/main" id="{E9F784B1-0836-37C8-A424-34B147EB090A}"/>
              </a:ext>
            </a:extLst>
          </xdr:cNvPr>
          <xdr:cNvCxnSpPr/>
        </xdr:nvCxnSpPr>
        <xdr:spPr>
          <a:xfrm>
            <a:off x="6315076" y="107133066"/>
            <a:ext cx="0" cy="19905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8" name="Straight Connector 1347">
            <a:extLst>
              <a:ext uri="{FF2B5EF4-FFF2-40B4-BE49-F238E27FC236}">
                <a16:creationId xmlns:a16="http://schemas.microsoft.com/office/drawing/2014/main" id="{6A67D3CD-E5F3-3D2A-ACAF-D6ED340626E5}"/>
              </a:ext>
            </a:extLst>
          </xdr:cNvPr>
          <xdr:cNvCxnSpPr/>
        </xdr:nvCxnSpPr>
        <xdr:spPr>
          <a:xfrm flipH="1">
            <a:off x="6276974" y="107161714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Connector 1348">
            <a:extLst>
              <a:ext uri="{FF2B5EF4-FFF2-40B4-BE49-F238E27FC236}">
                <a16:creationId xmlns:a16="http://schemas.microsoft.com/office/drawing/2014/main" id="{DC2F90A6-DEE6-E27B-936D-B375A16889D2}"/>
              </a:ext>
            </a:extLst>
          </xdr:cNvPr>
          <xdr:cNvCxnSpPr/>
        </xdr:nvCxnSpPr>
        <xdr:spPr>
          <a:xfrm flipH="1">
            <a:off x="6276967" y="10902340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Arrow Connector 1349">
            <a:extLst>
              <a:ext uri="{FF2B5EF4-FFF2-40B4-BE49-F238E27FC236}">
                <a16:creationId xmlns:a16="http://schemas.microsoft.com/office/drawing/2014/main" id="{20392BC3-D3B5-9D17-1C8D-E9AB4CEB601F}"/>
              </a:ext>
            </a:extLst>
          </xdr:cNvPr>
          <xdr:cNvCxnSpPr/>
        </xdr:nvCxnSpPr>
        <xdr:spPr>
          <a:xfrm flipV="1">
            <a:off x="3238501" y="107347874"/>
            <a:ext cx="685799" cy="1708922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1" name="Straight Arrow Connector 1350">
            <a:extLst>
              <a:ext uri="{FF2B5EF4-FFF2-40B4-BE49-F238E27FC236}">
                <a16:creationId xmlns:a16="http://schemas.microsoft.com/office/drawing/2014/main" id="{CEC9925C-C281-D0A2-BB86-97707B9612A6}"/>
              </a:ext>
            </a:extLst>
          </xdr:cNvPr>
          <xdr:cNvCxnSpPr/>
        </xdr:nvCxnSpPr>
        <xdr:spPr>
          <a:xfrm>
            <a:off x="985838" y="109056796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2" name="Straight Arrow Connector 1351">
            <a:extLst>
              <a:ext uri="{FF2B5EF4-FFF2-40B4-BE49-F238E27FC236}">
                <a16:creationId xmlns:a16="http://schemas.microsoft.com/office/drawing/2014/main" id="{30C261A0-3B00-7612-7F70-588CC0804E7D}"/>
              </a:ext>
            </a:extLst>
          </xdr:cNvPr>
          <xdr:cNvCxnSpPr/>
        </xdr:nvCxnSpPr>
        <xdr:spPr>
          <a:xfrm>
            <a:off x="4533900" y="107352649"/>
            <a:ext cx="0" cy="32460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3" name="Straight Connector 1352">
            <a:extLst>
              <a:ext uri="{FF2B5EF4-FFF2-40B4-BE49-F238E27FC236}">
                <a16:creationId xmlns:a16="http://schemas.microsoft.com/office/drawing/2014/main" id="{142E835C-DB8E-8D9D-1ABE-0F008DA812DB}"/>
              </a:ext>
            </a:extLst>
          </xdr:cNvPr>
          <xdr:cNvCxnSpPr/>
        </xdr:nvCxnSpPr>
        <xdr:spPr>
          <a:xfrm>
            <a:off x="585788" y="107195124"/>
            <a:ext cx="24383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Connector 1353">
            <a:extLst>
              <a:ext uri="{FF2B5EF4-FFF2-40B4-BE49-F238E27FC236}">
                <a16:creationId xmlns:a16="http://schemas.microsoft.com/office/drawing/2014/main" id="{A1BA5685-891F-5DF0-CF16-A72FB8B945D2}"/>
              </a:ext>
            </a:extLst>
          </xdr:cNvPr>
          <xdr:cNvCxnSpPr/>
        </xdr:nvCxnSpPr>
        <xdr:spPr>
          <a:xfrm>
            <a:off x="647700" y="107123519"/>
            <a:ext cx="0" cy="20096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518C76D1-F23B-97A8-A2D3-A44FD198768C}"/>
              </a:ext>
            </a:extLst>
          </xdr:cNvPr>
          <xdr:cNvCxnSpPr/>
        </xdr:nvCxnSpPr>
        <xdr:spPr>
          <a:xfrm flipH="1">
            <a:off x="585788" y="109056796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6" name="Straight Connector 1355">
            <a:extLst>
              <a:ext uri="{FF2B5EF4-FFF2-40B4-BE49-F238E27FC236}">
                <a16:creationId xmlns:a16="http://schemas.microsoft.com/office/drawing/2014/main" id="{4D22FF99-0963-2CBD-241F-7620E0D368BD}"/>
              </a:ext>
            </a:extLst>
          </xdr:cNvPr>
          <xdr:cNvCxnSpPr/>
        </xdr:nvCxnSpPr>
        <xdr:spPr>
          <a:xfrm flipH="1">
            <a:off x="609598" y="107161712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7" name="Straight Connector 1356">
            <a:extLst>
              <a:ext uri="{FF2B5EF4-FFF2-40B4-BE49-F238E27FC236}">
                <a16:creationId xmlns:a16="http://schemas.microsoft.com/office/drawing/2014/main" id="{7C8A34FE-F8A0-80EA-B0B9-9E0EDBF94415}"/>
              </a:ext>
            </a:extLst>
          </xdr:cNvPr>
          <xdr:cNvCxnSpPr/>
        </xdr:nvCxnSpPr>
        <xdr:spPr>
          <a:xfrm flipH="1">
            <a:off x="609604" y="109023384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Straight Connector 1357">
            <a:extLst>
              <a:ext uri="{FF2B5EF4-FFF2-40B4-BE49-F238E27FC236}">
                <a16:creationId xmlns:a16="http://schemas.microsoft.com/office/drawing/2014/main" id="{F36B3E63-4081-7FE1-052C-90DC1D93453D}"/>
              </a:ext>
            </a:extLst>
          </xdr:cNvPr>
          <xdr:cNvCxnSpPr/>
        </xdr:nvCxnSpPr>
        <xdr:spPr>
          <a:xfrm>
            <a:off x="576264" y="107739291"/>
            <a:ext cx="12858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9" name="Straight Connector 1358">
            <a:extLst>
              <a:ext uri="{FF2B5EF4-FFF2-40B4-BE49-F238E27FC236}">
                <a16:creationId xmlns:a16="http://schemas.microsoft.com/office/drawing/2014/main" id="{952453D2-3805-6A9A-EF00-D783AA7BFD48}"/>
              </a:ext>
            </a:extLst>
          </xdr:cNvPr>
          <xdr:cNvCxnSpPr/>
        </xdr:nvCxnSpPr>
        <xdr:spPr>
          <a:xfrm flipH="1">
            <a:off x="609597" y="107705888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0" name="Straight Arrow Connector 1359">
            <a:extLst>
              <a:ext uri="{FF2B5EF4-FFF2-40B4-BE49-F238E27FC236}">
                <a16:creationId xmlns:a16="http://schemas.microsoft.com/office/drawing/2014/main" id="{DBEE3BF5-3614-3AFA-1C2E-78A4A564076A}"/>
              </a:ext>
            </a:extLst>
          </xdr:cNvPr>
          <xdr:cNvCxnSpPr/>
        </xdr:nvCxnSpPr>
        <xdr:spPr>
          <a:xfrm flipH="1" flipV="1">
            <a:off x="1952625" y="107734530"/>
            <a:ext cx="1290638" cy="1331813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1" name="Straight Arrow Connector 1360">
            <a:extLst>
              <a:ext uri="{FF2B5EF4-FFF2-40B4-BE49-F238E27FC236}">
                <a16:creationId xmlns:a16="http://schemas.microsoft.com/office/drawing/2014/main" id="{63EB9E80-7419-C453-DBC2-5BC257C0BB11}"/>
              </a:ext>
            </a:extLst>
          </xdr:cNvPr>
          <xdr:cNvCxnSpPr/>
        </xdr:nvCxnSpPr>
        <xdr:spPr>
          <a:xfrm flipV="1">
            <a:off x="3233738" y="107744078"/>
            <a:ext cx="1290637" cy="1317493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2" name="Straight Connector 1361">
            <a:extLst>
              <a:ext uri="{FF2B5EF4-FFF2-40B4-BE49-F238E27FC236}">
                <a16:creationId xmlns:a16="http://schemas.microsoft.com/office/drawing/2014/main" id="{A7002144-103D-E4F8-CB36-9581BFA2863E}"/>
              </a:ext>
            </a:extLst>
          </xdr:cNvPr>
          <xdr:cNvCxnSpPr/>
        </xdr:nvCxnSpPr>
        <xdr:spPr>
          <a:xfrm>
            <a:off x="2790825" y="109056797"/>
            <a:ext cx="9429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3" name="Arc 1362">
            <a:extLst>
              <a:ext uri="{FF2B5EF4-FFF2-40B4-BE49-F238E27FC236}">
                <a16:creationId xmlns:a16="http://schemas.microsoft.com/office/drawing/2014/main" id="{1EBD7BA7-8555-E796-9359-321C5BAEDFCF}"/>
              </a:ext>
            </a:extLst>
          </xdr:cNvPr>
          <xdr:cNvSpPr/>
        </xdr:nvSpPr>
        <xdr:spPr>
          <a:xfrm rot="14662438">
            <a:off x="2981006" y="108861403"/>
            <a:ext cx="276863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64" name="Arc 1363">
            <a:extLst>
              <a:ext uri="{FF2B5EF4-FFF2-40B4-BE49-F238E27FC236}">
                <a16:creationId xmlns:a16="http://schemas.microsoft.com/office/drawing/2014/main" id="{91B7D8F1-4A1A-2C6C-2247-219ADBEA00CE}"/>
              </a:ext>
            </a:extLst>
          </xdr:cNvPr>
          <xdr:cNvSpPr/>
        </xdr:nvSpPr>
        <xdr:spPr>
          <a:xfrm rot="1806329">
            <a:off x="3214687" y="108856308"/>
            <a:ext cx="276224" cy="276863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69" name="Straight Arrow Connector 1368">
            <a:extLst>
              <a:ext uri="{FF2B5EF4-FFF2-40B4-BE49-F238E27FC236}">
                <a16:creationId xmlns:a16="http://schemas.microsoft.com/office/drawing/2014/main" id="{4263040A-2E75-5EB4-652E-80D0C1D70AB0}"/>
              </a:ext>
            </a:extLst>
          </xdr:cNvPr>
          <xdr:cNvCxnSpPr/>
        </xdr:nvCxnSpPr>
        <xdr:spPr>
          <a:xfrm flipV="1">
            <a:off x="1381125" y="10836592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0" name="Straight Arrow Connector 1369">
            <a:extLst>
              <a:ext uri="{FF2B5EF4-FFF2-40B4-BE49-F238E27FC236}">
                <a16:creationId xmlns:a16="http://schemas.microsoft.com/office/drawing/2014/main" id="{AE77F0D4-2A40-C575-A916-41E9D8647B04}"/>
              </a:ext>
            </a:extLst>
          </xdr:cNvPr>
          <xdr:cNvCxnSpPr/>
        </xdr:nvCxnSpPr>
        <xdr:spPr>
          <a:xfrm>
            <a:off x="1381125" y="109061250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1" name="Straight Connector 2740">
            <a:extLst>
              <a:ext uri="{FF2B5EF4-FFF2-40B4-BE49-F238E27FC236}">
                <a16:creationId xmlns:a16="http://schemas.microsoft.com/office/drawing/2014/main" id="{AF597425-E2A8-4E0F-9988-58E7B4264914}"/>
              </a:ext>
            </a:extLst>
          </xdr:cNvPr>
          <xdr:cNvCxnSpPr/>
        </xdr:nvCxnSpPr>
        <xdr:spPr>
          <a:xfrm>
            <a:off x="1390654" y="107065762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2" name="Straight Arrow Connector 2741">
            <a:extLst>
              <a:ext uri="{FF2B5EF4-FFF2-40B4-BE49-F238E27FC236}">
                <a16:creationId xmlns:a16="http://schemas.microsoft.com/office/drawing/2014/main" id="{32769A70-2627-46A4-9702-15388C8B9D8D}"/>
              </a:ext>
            </a:extLst>
          </xdr:cNvPr>
          <xdr:cNvCxnSpPr/>
        </xdr:nvCxnSpPr>
        <xdr:spPr>
          <a:xfrm>
            <a:off x="1390650" y="106875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6" name="Straight Arrow Connector 2745">
            <a:extLst>
              <a:ext uri="{FF2B5EF4-FFF2-40B4-BE49-F238E27FC236}">
                <a16:creationId xmlns:a16="http://schemas.microsoft.com/office/drawing/2014/main" id="{B72CDF8F-74FC-4247-885B-B8C4DEBD676F}"/>
              </a:ext>
            </a:extLst>
          </xdr:cNvPr>
          <xdr:cNvCxnSpPr/>
        </xdr:nvCxnSpPr>
        <xdr:spPr>
          <a:xfrm>
            <a:off x="1619249" y="106875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7" name="Straight Arrow Connector 2746">
            <a:extLst>
              <a:ext uri="{FF2B5EF4-FFF2-40B4-BE49-F238E27FC236}">
                <a16:creationId xmlns:a16="http://schemas.microsoft.com/office/drawing/2014/main" id="{89276DAD-0286-429A-A253-F80089A6DC77}"/>
              </a:ext>
            </a:extLst>
          </xdr:cNvPr>
          <xdr:cNvCxnSpPr/>
        </xdr:nvCxnSpPr>
        <xdr:spPr>
          <a:xfrm>
            <a:off x="1781175" y="106875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6" name="Straight Arrow Connector 2815">
            <a:extLst>
              <a:ext uri="{FF2B5EF4-FFF2-40B4-BE49-F238E27FC236}">
                <a16:creationId xmlns:a16="http://schemas.microsoft.com/office/drawing/2014/main" id="{A1643755-1AF6-4C9B-8465-167E1BAA388C}"/>
              </a:ext>
            </a:extLst>
          </xdr:cNvPr>
          <xdr:cNvCxnSpPr/>
        </xdr:nvCxnSpPr>
        <xdr:spPr>
          <a:xfrm>
            <a:off x="1943094" y="106875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7" name="Straight Arrow Connector 2816">
            <a:extLst>
              <a:ext uri="{FF2B5EF4-FFF2-40B4-BE49-F238E27FC236}">
                <a16:creationId xmlns:a16="http://schemas.microsoft.com/office/drawing/2014/main" id="{CA740F86-C944-43E0-B264-86907650400F}"/>
              </a:ext>
            </a:extLst>
          </xdr:cNvPr>
          <xdr:cNvCxnSpPr/>
        </xdr:nvCxnSpPr>
        <xdr:spPr>
          <a:xfrm>
            <a:off x="2105025" y="1068752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8" name="Straight Arrow Connector 2817">
            <a:extLst>
              <a:ext uri="{FF2B5EF4-FFF2-40B4-BE49-F238E27FC236}">
                <a16:creationId xmlns:a16="http://schemas.microsoft.com/office/drawing/2014/main" id="{D397D642-60B8-4CF5-BC6C-5E253B180923}"/>
              </a:ext>
            </a:extLst>
          </xdr:cNvPr>
          <xdr:cNvCxnSpPr/>
        </xdr:nvCxnSpPr>
        <xdr:spPr>
          <a:xfrm>
            <a:off x="2266951" y="1068752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9" name="Straight Arrow Connector 2818">
            <a:extLst>
              <a:ext uri="{FF2B5EF4-FFF2-40B4-BE49-F238E27FC236}">
                <a16:creationId xmlns:a16="http://schemas.microsoft.com/office/drawing/2014/main" id="{A2E15AA8-6774-4985-B912-B7B3449C911C}"/>
              </a:ext>
            </a:extLst>
          </xdr:cNvPr>
          <xdr:cNvCxnSpPr/>
        </xdr:nvCxnSpPr>
        <xdr:spPr>
          <a:xfrm>
            <a:off x="2428870" y="1068752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0" name="Straight Arrow Connector 2819">
            <a:extLst>
              <a:ext uri="{FF2B5EF4-FFF2-40B4-BE49-F238E27FC236}">
                <a16:creationId xmlns:a16="http://schemas.microsoft.com/office/drawing/2014/main" id="{CFC4ED00-FA3A-40E4-810D-6AF71229B497}"/>
              </a:ext>
            </a:extLst>
          </xdr:cNvPr>
          <xdr:cNvCxnSpPr/>
        </xdr:nvCxnSpPr>
        <xdr:spPr>
          <a:xfrm>
            <a:off x="2590807" y="1068752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1" name="Straight Arrow Connector 2820">
            <a:extLst>
              <a:ext uri="{FF2B5EF4-FFF2-40B4-BE49-F238E27FC236}">
                <a16:creationId xmlns:a16="http://schemas.microsoft.com/office/drawing/2014/main" id="{360A349C-0A1A-41D5-8B5F-B2CDF607986B}"/>
              </a:ext>
            </a:extLst>
          </xdr:cNvPr>
          <xdr:cNvCxnSpPr/>
        </xdr:nvCxnSpPr>
        <xdr:spPr>
          <a:xfrm>
            <a:off x="2752733" y="1068752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2" name="Straight Arrow Connector 2821">
            <a:extLst>
              <a:ext uri="{FF2B5EF4-FFF2-40B4-BE49-F238E27FC236}">
                <a16:creationId xmlns:a16="http://schemas.microsoft.com/office/drawing/2014/main" id="{AFFEC3B3-5C6F-44BC-8FBA-176FF147CB5B}"/>
              </a:ext>
            </a:extLst>
          </xdr:cNvPr>
          <xdr:cNvCxnSpPr/>
        </xdr:nvCxnSpPr>
        <xdr:spPr>
          <a:xfrm>
            <a:off x="2914652" y="1068752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3" name="Straight Arrow Connector 2822">
            <a:extLst>
              <a:ext uri="{FF2B5EF4-FFF2-40B4-BE49-F238E27FC236}">
                <a16:creationId xmlns:a16="http://schemas.microsoft.com/office/drawing/2014/main" id="{082FA868-08AF-4ACC-814B-BAB01F7F3197}"/>
              </a:ext>
            </a:extLst>
          </xdr:cNvPr>
          <xdr:cNvCxnSpPr/>
        </xdr:nvCxnSpPr>
        <xdr:spPr>
          <a:xfrm>
            <a:off x="3076583" y="106875262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4" name="Straight Arrow Connector 2823">
            <a:extLst>
              <a:ext uri="{FF2B5EF4-FFF2-40B4-BE49-F238E27FC236}">
                <a16:creationId xmlns:a16="http://schemas.microsoft.com/office/drawing/2014/main" id="{934ABC30-1DE6-402D-B69A-B7E96D8451A6}"/>
              </a:ext>
            </a:extLst>
          </xdr:cNvPr>
          <xdr:cNvCxnSpPr/>
        </xdr:nvCxnSpPr>
        <xdr:spPr>
          <a:xfrm>
            <a:off x="3238509" y="106780012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5" name="Straight Arrow Connector 2824">
            <a:extLst>
              <a:ext uri="{FF2B5EF4-FFF2-40B4-BE49-F238E27FC236}">
                <a16:creationId xmlns:a16="http://schemas.microsoft.com/office/drawing/2014/main" id="{FC3C3098-789A-4C16-AF34-3101971DDF38}"/>
              </a:ext>
            </a:extLst>
          </xdr:cNvPr>
          <xdr:cNvCxnSpPr/>
        </xdr:nvCxnSpPr>
        <xdr:spPr>
          <a:xfrm>
            <a:off x="3400428" y="106784775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6" name="Straight Arrow Connector 2825">
            <a:extLst>
              <a:ext uri="{FF2B5EF4-FFF2-40B4-BE49-F238E27FC236}">
                <a16:creationId xmlns:a16="http://schemas.microsoft.com/office/drawing/2014/main" id="{53388F4A-DB63-48A6-912E-FA5702B45A2D}"/>
              </a:ext>
            </a:extLst>
          </xdr:cNvPr>
          <xdr:cNvCxnSpPr/>
        </xdr:nvCxnSpPr>
        <xdr:spPr>
          <a:xfrm>
            <a:off x="3562357" y="106775250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7" name="Straight Arrow Connector 2826">
            <a:extLst>
              <a:ext uri="{FF2B5EF4-FFF2-40B4-BE49-F238E27FC236}">
                <a16:creationId xmlns:a16="http://schemas.microsoft.com/office/drawing/2014/main" id="{1C86A6EB-97BD-4E96-A34E-AFAA3C5A4818}"/>
              </a:ext>
            </a:extLst>
          </xdr:cNvPr>
          <xdr:cNvCxnSpPr/>
        </xdr:nvCxnSpPr>
        <xdr:spPr>
          <a:xfrm>
            <a:off x="3724283" y="1067800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8" name="Straight Arrow Connector 2827">
            <a:extLst>
              <a:ext uri="{FF2B5EF4-FFF2-40B4-BE49-F238E27FC236}">
                <a16:creationId xmlns:a16="http://schemas.microsoft.com/office/drawing/2014/main" id="{DD2E278D-A211-488E-B36C-2605237338E4}"/>
              </a:ext>
            </a:extLst>
          </xdr:cNvPr>
          <xdr:cNvCxnSpPr/>
        </xdr:nvCxnSpPr>
        <xdr:spPr>
          <a:xfrm>
            <a:off x="3886202" y="1067800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9" name="Straight Arrow Connector 2828">
            <a:extLst>
              <a:ext uri="{FF2B5EF4-FFF2-40B4-BE49-F238E27FC236}">
                <a16:creationId xmlns:a16="http://schemas.microsoft.com/office/drawing/2014/main" id="{B966DCFD-A537-4808-A682-95DEE7A71F14}"/>
              </a:ext>
            </a:extLst>
          </xdr:cNvPr>
          <xdr:cNvCxnSpPr/>
        </xdr:nvCxnSpPr>
        <xdr:spPr>
          <a:xfrm>
            <a:off x="4048133" y="106784775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0" name="Straight Arrow Connector 2829">
            <a:extLst>
              <a:ext uri="{FF2B5EF4-FFF2-40B4-BE49-F238E27FC236}">
                <a16:creationId xmlns:a16="http://schemas.microsoft.com/office/drawing/2014/main" id="{451A9C20-BF37-478F-A383-A49812D504F4}"/>
              </a:ext>
            </a:extLst>
          </xdr:cNvPr>
          <xdr:cNvCxnSpPr/>
        </xdr:nvCxnSpPr>
        <xdr:spPr>
          <a:xfrm>
            <a:off x="4210059" y="1067800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1" name="Straight Arrow Connector 2830">
            <a:extLst>
              <a:ext uri="{FF2B5EF4-FFF2-40B4-BE49-F238E27FC236}">
                <a16:creationId xmlns:a16="http://schemas.microsoft.com/office/drawing/2014/main" id="{36D1058A-E29F-4214-91AA-75DF19C9D4C8}"/>
              </a:ext>
            </a:extLst>
          </xdr:cNvPr>
          <xdr:cNvCxnSpPr/>
        </xdr:nvCxnSpPr>
        <xdr:spPr>
          <a:xfrm>
            <a:off x="4371978" y="1067800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2" name="Straight Arrow Connector 2831">
            <a:extLst>
              <a:ext uri="{FF2B5EF4-FFF2-40B4-BE49-F238E27FC236}">
                <a16:creationId xmlns:a16="http://schemas.microsoft.com/office/drawing/2014/main" id="{07E5E363-5984-47BF-86FB-81E13872B8E3}"/>
              </a:ext>
            </a:extLst>
          </xdr:cNvPr>
          <xdr:cNvCxnSpPr/>
        </xdr:nvCxnSpPr>
        <xdr:spPr>
          <a:xfrm>
            <a:off x="4533915" y="1067800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3" name="Straight Arrow Connector 2832">
            <a:extLst>
              <a:ext uri="{FF2B5EF4-FFF2-40B4-BE49-F238E27FC236}">
                <a16:creationId xmlns:a16="http://schemas.microsoft.com/office/drawing/2014/main" id="{4F0DBFEC-5355-4582-BE6E-7D4ADAC8FFD6}"/>
              </a:ext>
            </a:extLst>
          </xdr:cNvPr>
          <xdr:cNvCxnSpPr/>
        </xdr:nvCxnSpPr>
        <xdr:spPr>
          <a:xfrm>
            <a:off x="4695841" y="1067800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4" name="Straight Arrow Connector 2833">
            <a:extLst>
              <a:ext uri="{FF2B5EF4-FFF2-40B4-BE49-F238E27FC236}">
                <a16:creationId xmlns:a16="http://schemas.microsoft.com/office/drawing/2014/main" id="{770CAFDC-6843-4A00-8CD2-A58578673794}"/>
              </a:ext>
            </a:extLst>
          </xdr:cNvPr>
          <xdr:cNvCxnSpPr/>
        </xdr:nvCxnSpPr>
        <xdr:spPr>
          <a:xfrm>
            <a:off x="4857760" y="106775250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5" name="Straight Arrow Connector 2834">
            <a:extLst>
              <a:ext uri="{FF2B5EF4-FFF2-40B4-BE49-F238E27FC236}">
                <a16:creationId xmlns:a16="http://schemas.microsoft.com/office/drawing/2014/main" id="{F2AE50F6-253E-4657-A1E1-8AB6747675B5}"/>
              </a:ext>
            </a:extLst>
          </xdr:cNvPr>
          <xdr:cNvCxnSpPr/>
        </xdr:nvCxnSpPr>
        <xdr:spPr>
          <a:xfrm>
            <a:off x="5086373" y="106780012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6" name="Straight Connector 2835">
            <a:extLst>
              <a:ext uri="{FF2B5EF4-FFF2-40B4-BE49-F238E27FC236}">
                <a16:creationId xmlns:a16="http://schemas.microsoft.com/office/drawing/2014/main" id="{3FF4A9B0-64F4-488E-97DA-86AB0605203F}"/>
              </a:ext>
            </a:extLst>
          </xdr:cNvPr>
          <xdr:cNvCxnSpPr/>
        </xdr:nvCxnSpPr>
        <xdr:spPr>
          <a:xfrm>
            <a:off x="1390652" y="106875256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7" name="Straight Connector 2836">
            <a:extLst>
              <a:ext uri="{FF2B5EF4-FFF2-40B4-BE49-F238E27FC236}">
                <a16:creationId xmlns:a16="http://schemas.microsoft.com/office/drawing/2014/main" id="{5270464E-5486-45D0-931A-BCF2FBF4552C}"/>
              </a:ext>
            </a:extLst>
          </xdr:cNvPr>
          <xdr:cNvCxnSpPr/>
        </xdr:nvCxnSpPr>
        <xdr:spPr>
          <a:xfrm>
            <a:off x="3238510" y="106780005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85721</xdr:colOff>
      <xdr:row>335</xdr:row>
      <xdr:rowOff>0</xdr:rowOff>
    </xdr:from>
    <xdr:to>
      <xdr:col>40</xdr:col>
      <xdr:colOff>61913</xdr:colOff>
      <xdr:row>370</xdr:row>
      <xdr:rowOff>47625</xdr:rowOff>
    </xdr:to>
    <xdr:grpSp>
      <xdr:nvGrpSpPr>
        <xdr:cNvPr id="3001" name="Group 3000">
          <a:extLst>
            <a:ext uri="{FF2B5EF4-FFF2-40B4-BE49-F238E27FC236}">
              <a16:creationId xmlns:a16="http://schemas.microsoft.com/office/drawing/2014/main" id="{D0AC9A3C-C165-6860-0960-53A77FDA6EE0}"/>
            </a:ext>
          </a:extLst>
        </xdr:cNvPr>
        <xdr:cNvGrpSpPr/>
      </xdr:nvGrpSpPr>
      <xdr:grpSpPr>
        <a:xfrm>
          <a:off x="571496" y="48339375"/>
          <a:ext cx="5967417" cy="5048250"/>
          <a:chOff x="571496" y="42052875"/>
          <a:chExt cx="5967417" cy="5048250"/>
        </a:xfrm>
      </xdr:grpSpPr>
      <xdr:sp macro="" textlink="">
        <xdr:nvSpPr>
          <xdr:cNvPr id="104" name="Arc 103">
            <a:extLst>
              <a:ext uri="{FF2B5EF4-FFF2-40B4-BE49-F238E27FC236}">
                <a16:creationId xmlns:a16="http://schemas.microsoft.com/office/drawing/2014/main" id="{9A21CD5F-47C9-429F-B324-4A05D816AFF7}"/>
              </a:ext>
            </a:extLst>
          </xdr:cNvPr>
          <xdr:cNvSpPr/>
        </xdr:nvSpPr>
        <xdr:spPr>
          <a:xfrm>
            <a:off x="933451" y="42491025"/>
            <a:ext cx="4610100" cy="4610100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4F3D2A80-0683-4AE4-AB56-45064296A23E}"/>
              </a:ext>
            </a:extLst>
          </xdr:cNvPr>
          <xdr:cNvCxnSpPr>
            <a:endCxn id="104" idx="2"/>
          </xdr:cNvCxnSpPr>
        </xdr:nvCxnSpPr>
        <xdr:spPr>
          <a:xfrm flipV="1">
            <a:off x="3248026" y="43436057"/>
            <a:ext cx="1851552" cy="135049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4FA1AEDB-A17E-46F2-A83C-B72F941286DE}"/>
              </a:ext>
            </a:extLst>
          </xdr:cNvPr>
          <xdr:cNvCxnSpPr>
            <a:endCxn id="104" idx="0"/>
          </xdr:cNvCxnSpPr>
        </xdr:nvCxnSpPr>
        <xdr:spPr>
          <a:xfrm flipH="1" flipV="1">
            <a:off x="1371081" y="43444780"/>
            <a:ext cx="1862657" cy="134177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77097DB-1001-41C9-9E5C-4729DBB53658}"/>
              </a:ext>
            </a:extLst>
          </xdr:cNvPr>
          <xdr:cNvSpPr/>
        </xdr:nvSpPr>
        <xdr:spPr>
          <a:xfrm>
            <a:off x="1190621" y="436292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6" name="Isosceles Triangle 125">
            <a:extLst>
              <a:ext uri="{FF2B5EF4-FFF2-40B4-BE49-F238E27FC236}">
                <a16:creationId xmlns:a16="http://schemas.microsoft.com/office/drawing/2014/main" id="{339FE1CF-1896-48BB-92F8-A42AC80514AC}"/>
              </a:ext>
            </a:extLst>
          </xdr:cNvPr>
          <xdr:cNvSpPr/>
        </xdr:nvSpPr>
        <xdr:spPr>
          <a:xfrm>
            <a:off x="1275203" y="434911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EDC3DC69-3E1E-4FD5-83DB-4664888E0D66}"/>
              </a:ext>
            </a:extLst>
          </xdr:cNvPr>
          <xdr:cNvCxnSpPr/>
        </xdr:nvCxnSpPr>
        <xdr:spPr>
          <a:xfrm>
            <a:off x="1181095" y="436244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" name="Oval 130">
            <a:extLst>
              <a:ext uri="{FF2B5EF4-FFF2-40B4-BE49-F238E27FC236}">
                <a16:creationId xmlns:a16="http://schemas.microsoft.com/office/drawing/2014/main" id="{20FB3F2C-2429-4020-ACE7-D8FA939A8981}"/>
              </a:ext>
            </a:extLst>
          </xdr:cNvPr>
          <xdr:cNvSpPr/>
        </xdr:nvSpPr>
        <xdr:spPr>
          <a:xfrm>
            <a:off x="1309682" y="434340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BCC54C78-6614-430B-8B3F-105976E00890}"/>
              </a:ext>
            </a:extLst>
          </xdr:cNvPr>
          <xdr:cNvCxnSpPr/>
        </xdr:nvCxnSpPr>
        <xdr:spPr>
          <a:xfrm flipV="1">
            <a:off x="1343020" y="4376737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Arrow Connector 132">
            <a:extLst>
              <a:ext uri="{FF2B5EF4-FFF2-40B4-BE49-F238E27FC236}">
                <a16:creationId xmlns:a16="http://schemas.microsoft.com/office/drawing/2014/main" id="{7EAE10AD-D488-4D1F-BDF5-6BA4B84C2917}"/>
              </a:ext>
            </a:extLst>
          </xdr:cNvPr>
          <xdr:cNvCxnSpPr/>
        </xdr:nvCxnSpPr>
        <xdr:spPr>
          <a:xfrm>
            <a:off x="952497" y="4348162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0CE3F163-0F8E-42A3-BFFB-A0F4C5ADA1B7}"/>
              </a:ext>
            </a:extLst>
          </xdr:cNvPr>
          <xdr:cNvSpPr/>
        </xdr:nvSpPr>
        <xdr:spPr>
          <a:xfrm>
            <a:off x="4948247" y="43624512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7" name="Isosceles Triangle 136">
            <a:extLst>
              <a:ext uri="{FF2B5EF4-FFF2-40B4-BE49-F238E27FC236}">
                <a16:creationId xmlns:a16="http://schemas.microsoft.com/office/drawing/2014/main" id="{9D38C7CF-C283-4C07-9F0B-06C45034C2AA}"/>
              </a:ext>
            </a:extLst>
          </xdr:cNvPr>
          <xdr:cNvSpPr/>
        </xdr:nvSpPr>
        <xdr:spPr>
          <a:xfrm>
            <a:off x="5032829" y="43486402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1ECD7941-250A-4404-BE3E-B38C9CDE9359}"/>
              </a:ext>
            </a:extLst>
          </xdr:cNvPr>
          <xdr:cNvCxnSpPr/>
        </xdr:nvCxnSpPr>
        <xdr:spPr>
          <a:xfrm>
            <a:off x="4938721" y="43619748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Oval 138">
            <a:extLst>
              <a:ext uri="{FF2B5EF4-FFF2-40B4-BE49-F238E27FC236}">
                <a16:creationId xmlns:a16="http://schemas.microsoft.com/office/drawing/2014/main" id="{B73F1F42-DD51-4117-9F06-B6D850F6CA5C}"/>
              </a:ext>
            </a:extLst>
          </xdr:cNvPr>
          <xdr:cNvSpPr/>
        </xdr:nvSpPr>
        <xdr:spPr>
          <a:xfrm>
            <a:off x="5067308" y="43429249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766C4718-110E-4E9F-BED4-8DF005CE20A9}"/>
              </a:ext>
            </a:extLst>
          </xdr:cNvPr>
          <xdr:cNvCxnSpPr/>
        </xdr:nvCxnSpPr>
        <xdr:spPr>
          <a:xfrm flipV="1">
            <a:off x="5100646" y="4376262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D32D19E6-56D4-4636-B070-AF4A9AEEBC09}"/>
              </a:ext>
            </a:extLst>
          </xdr:cNvPr>
          <xdr:cNvCxnSpPr/>
        </xdr:nvCxnSpPr>
        <xdr:spPr>
          <a:xfrm flipH="1">
            <a:off x="5214945" y="43481636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5" name="Oval 144">
            <a:extLst>
              <a:ext uri="{FF2B5EF4-FFF2-40B4-BE49-F238E27FC236}">
                <a16:creationId xmlns:a16="http://schemas.microsoft.com/office/drawing/2014/main" id="{1FF0A70D-6E74-4EE9-BBFE-B705FE37D99B}"/>
              </a:ext>
            </a:extLst>
          </xdr:cNvPr>
          <xdr:cNvSpPr/>
        </xdr:nvSpPr>
        <xdr:spPr>
          <a:xfrm>
            <a:off x="3195638" y="424481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93BDBE26-F59C-C9D3-8299-9AF32D8B9F38}"/>
              </a:ext>
            </a:extLst>
          </xdr:cNvPr>
          <xdr:cNvCxnSpPr/>
        </xdr:nvCxnSpPr>
        <xdr:spPr>
          <a:xfrm flipH="1" flipV="1">
            <a:off x="2133600" y="42767250"/>
            <a:ext cx="1109663" cy="203358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CF2C34EE-59ED-40EB-85A0-39F6D7B03990}"/>
              </a:ext>
            </a:extLst>
          </xdr:cNvPr>
          <xdr:cNvCxnSpPr/>
        </xdr:nvCxnSpPr>
        <xdr:spPr>
          <a:xfrm flipV="1">
            <a:off x="3243263" y="42772013"/>
            <a:ext cx="1090612" cy="201453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C2B704B2-E7E7-7C39-1082-DA64993E4E94}"/>
              </a:ext>
            </a:extLst>
          </xdr:cNvPr>
          <xdr:cNvCxnSpPr/>
        </xdr:nvCxnSpPr>
        <xdr:spPr>
          <a:xfrm>
            <a:off x="3524250" y="42481500"/>
            <a:ext cx="3014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A0D6260D-01ED-7BF1-57B4-194CA2D14553}"/>
              </a:ext>
            </a:extLst>
          </xdr:cNvPr>
          <xdr:cNvCxnSpPr/>
        </xdr:nvCxnSpPr>
        <xdr:spPr>
          <a:xfrm>
            <a:off x="5686425" y="43481625"/>
            <a:ext cx="847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6902EA2D-FE5B-F39F-D0D0-3C4BCBA7060E}"/>
              </a:ext>
            </a:extLst>
          </xdr:cNvPr>
          <xdr:cNvCxnSpPr/>
        </xdr:nvCxnSpPr>
        <xdr:spPr>
          <a:xfrm>
            <a:off x="6153143" y="42410065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74D6BDBC-466C-1A5E-3013-C77A7CE1B2A9}"/>
              </a:ext>
            </a:extLst>
          </xdr:cNvPr>
          <xdr:cNvCxnSpPr/>
        </xdr:nvCxnSpPr>
        <xdr:spPr>
          <a:xfrm>
            <a:off x="4429125" y="42767251"/>
            <a:ext cx="1785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1D9B6FC6-C555-E8DB-669F-ABB964FFE07D}"/>
              </a:ext>
            </a:extLst>
          </xdr:cNvPr>
          <xdr:cNvCxnSpPr/>
        </xdr:nvCxnSpPr>
        <xdr:spPr>
          <a:xfrm flipH="1">
            <a:off x="4305299" y="42714866"/>
            <a:ext cx="61913" cy="11498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4849A732-ACB0-4D84-A17A-13214F431E51}"/>
              </a:ext>
            </a:extLst>
          </xdr:cNvPr>
          <xdr:cNvCxnSpPr/>
        </xdr:nvCxnSpPr>
        <xdr:spPr>
          <a:xfrm flipH="1" flipV="1">
            <a:off x="2114553" y="42725068"/>
            <a:ext cx="50001" cy="8980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92C663B6-8E05-BDD8-FE33-C5D249EA4A7F}"/>
              </a:ext>
            </a:extLst>
          </xdr:cNvPr>
          <xdr:cNvCxnSpPr/>
        </xdr:nvCxnSpPr>
        <xdr:spPr>
          <a:xfrm flipH="1">
            <a:off x="6115050" y="4244816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DD33F509-1449-4B17-87EF-3999948F257F}"/>
              </a:ext>
            </a:extLst>
          </xdr:cNvPr>
          <xdr:cNvCxnSpPr/>
        </xdr:nvCxnSpPr>
        <xdr:spPr>
          <a:xfrm flipH="1">
            <a:off x="6115046" y="4273391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46C291B9-63F3-43AB-8127-206BDFD3513B}"/>
              </a:ext>
            </a:extLst>
          </xdr:cNvPr>
          <xdr:cNvCxnSpPr/>
        </xdr:nvCxnSpPr>
        <xdr:spPr>
          <a:xfrm flipH="1">
            <a:off x="6115036" y="4344829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FDB0FB31-4A1C-4CFC-A416-949ED665DAF2}"/>
              </a:ext>
            </a:extLst>
          </xdr:cNvPr>
          <xdr:cNvCxnSpPr/>
        </xdr:nvCxnSpPr>
        <xdr:spPr>
          <a:xfrm>
            <a:off x="6477000" y="42410064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D8050B3D-2BB1-4F51-9CEF-43500F312EDC}"/>
              </a:ext>
            </a:extLst>
          </xdr:cNvPr>
          <xdr:cNvCxnSpPr/>
        </xdr:nvCxnSpPr>
        <xdr:spPr>
          <a:xfrm flipH="1">
            <a:off x="6438900" y="42448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801E5D5A-B3B1-4510-A4B9-25FC44A9D3EB}"/>
              </a:ext>
            </a:extLst>
          </xdr:cNvPr>
          <xdr:cNvCxnSpPr/>
        </xdr:nvCxnSpPr>
        <xdr:spPr>
          <a:xfrm flipH="1">
            <a:off x="6438898" y="4344829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1E316200-BA61-103D-5C5B-9ADC3504A88F}"/>
              </a:ext>
            </a:extLst>
          </xdr:cNvPr>
          <xdr:cNvCxnSpPr/>
        </xdr:nvCxnSpPr>
        <xdr:spPr>
          <a:xfrm>
            <a:off x="571500" y="42481500"/>
            <a:ext cx="2319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88766EA0-9904-ED7C-FD70-8B8EC7417055}"/>
              </a:ext>
            </a:extLst>
          </xdr:cNvPr>
          <xdr:cNvCxnSpPr/>
        </xdr:nvCxnSpPr>
        <xdr:spPr>
          <a:xfrm>
            <a:off x="647705" y="42414825"/>
            <a:ext cx="0" cy="1133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198B83A9-A5AA-429B-8620-1265714F3810}"/>
              </a:ext>
            </a:extLst>
          </xdr:cNvPr>
          <xdr:cNvCxnSpPr/>
        </xdr:nvCxnSpPr>
        <xdr:spPr>
          <a:xfrm flipH="1">
            <a:off x="609604" y="42448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44612D8F-1A35-4FB2-A2A9-1B75EF72FF6F}"/>
              </a:ext>
            </a:extLst>
          </xdr:cNvPr>
          <xdr:cNvCxnSpPr/>
        </xdr:nvCxnSpPr>
        <xdr:spPr>
          <a:xfrm>
            <a:off x="571496" y="42767250"/>
            <a:ext cx="148590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E7803409-A4B6-44F4-AC9E-7059EBF1F5B4}"/>
              </a:ext>
            </a:extLst>
          </xdr:cNvPr>
          <xdr:cNvCxnSpPr/>
        </xdr:nvCxnSpPr>
        <xdr:spPr>
          <a:xfrm flipH="1">
            <a:off x="609600" y="4273391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AB795638-51E7-472C-970C-11003A94CAE1}"/>
              </a:ext>
            </a:extLst>
          </xdr:cNvPr>
          <xdr:cNvCxnSpPr/>
        </xdr:nvCxnSpPr>
        <xdr:spPr>
          <a:xfrm>
            <a:off x="571496" y="43481625"/>
            <a:ext cx="300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429372C6-70B4-439C-B663-CA12078D6664}"/>
              </a:ext>
            </a:extLst>
          </xdr:cNvPr>
          <xdr:cNvCxnSpPr/>
        </xdr:nvCxnSpPr>
        <xdr:spPr>
          <a:xfrm flipH="1">
            <a:off x="609600" y="434482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Arrow Connector 301">
            <a:extLst>
              <a:ext uri="{FF2B5EF4-FFF2-40B4-BE49-F238E27FC236}">
                <a16:creationId xmlns:a16="http://schemas.microsoft.com/office/drawing/2014/main" id="{A056838B-E82A-4DD6-91F0-FCE0983AFA42}"/>
              </a:ext>
            </a:extLst>
          </xdr:cNvPr>
          <xdr:cNvCxnSpPr/>
        </xdr:nvCxnSpPr>
        <xdr:spPr>
          <a:xfrm flipV="1">
            <a:off x="3248025" y="42552938"/>
            <a:ext cx="495300" cy="221932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14B2107D-865C-4073-9DD5-DB83B9AB2F20}"/>
              </a:ext>
            </a:extLst>
          </xdr:cNvPr>
          <xdr:cNvCxnSpPr/>
        </xdr:nvCxnSpPr>
        <xdr:spPr>
          <a:xfrm>
            <a:off x="2566988" y="44800838"/>
            <a:ext cx="1233487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8" name="Arc 307">
            <a:extLst>
              <a:ext uri="{FF2B5EF4-FFF2-40B4-BE49-F238E27FC236}">
                <a16:creationId xmlns:a16="http://schemas.microsoft.com/office/drawing/2014/main" id="{A41563D3-4ADF-480A-A4E0-DED8A4FB3EAA}"/>
              </a:ext>
            </a:extLst>
          </xdr:cNvPr>
          <xdr:cNvSpPr/>
        </xdr:nvSpPr>
        <xdr:spPr>
          <a:xfrm rot="14662438">
            <a:off x="2940437" y="44464679"/>
            <a:ext cx="462776" cy="46277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09" name="Arc 308">
            <a:extLst>
              <a:ext uri="{FF2B5EF4-FFF2-40B4-BE49-F238E27FC236}">
                <a16:creationId xmlns:a16="http://schemas.microsoft.com/office/drawing/2014/main" id="{3BD218E8-95E9-4761-A41A-98726ED6BB94}"/>
              </a:ext>
            </a:extLst>
          </xdr:cNvPr>
          <xdr:cNvSpPr/>
        </xdr:nvSpPr>
        <xdr:spPr>
          <a:xfrm rot="1806329">
            <a:off x="3065379" y="44465790"/>
            <a:ext cx="460540" cy="46054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4FA2D1D0-BFD5-4A7E-4077-A4BA3F629986}"/>
              </a:ext>
            </a:extLst>
          </xdr:cNvPr>
          <xdr:cNvCxnSpPr/>
        </xdr:nvCxnSpPr>
        <xdr:spPr>
          <a:xfrm>
            <a:off x="1338263" y="4423410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BB3A6CCB-2577-D085-445C-AE761F3BCFBB}"/>
              </a:ext>
            </a:extLst>
          </xdr:cNvPr>
          <xdr:cNvCxnSpPr/>
        </xdr:nvCxnSpPr>
        <xdr:spPr>
          <a:xfrm>
            <a:off x="1262062" y="45053251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49E1EDAD-EC34-4550-BA17-41D749560ED9}"/>
              </a:ext>
            </a:extLst>
          </xdr:cNvPr>
          <xdr:cNvCxnSpPr/>
        </xdr:nvCxnSpPr>
        <xdr:spPr>
          <a:xfrm flipH="1">
            <a:off x="1300163" y="450199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39180006-212D-41DF-97A3-DE0421C3F0F8}"/>
              </a:ext>
            </a:extLst>
          </xdr:cNvPr>
          <xdr:cNvCxnSpPr/>
        </xdr:nvCxnSpPr>
        <xdr:spPr>
          <a:xfrm>
            <a:off x="1262061" y="45339002"/>
            <a:ext cx="389572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33A84432-4AEF-45A1-8787-953B6F1CACF0}"/>
              </a:ext>
            </a:extLst>
          </xdr:cNvPr>
          <xdr:cNvCxnSpPr/>
        </xdr:nvCxnSpPr>
        <xdr:spPr>
          <a:xfrm flipH="1">
            <a:off x="1309687" y="45305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C1F99AB8-AAD5-4A1F-9515-41B690E476A1}"/>
              </a:ext>
            </a:extLst>
          </xdr:cNvPr>
          <xdr:cNvCxnSpPr/>
        </xdr:nvCxnSpPr>
        <xdr:spPr>
          <a:xfrm>
            <a:off x="5100637" y="4423411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AF38771B-3CEE-4F4E-B5B0-BF79108935AB}"/>
              </a:ext>
            </a:extLst>
          </xdr:cNvPr>
          <xdr:cNvCxnSpPr/>
        </xdr:nvCxnSpPr>
        <xdr:spPr>
          <a:xfrm flipH="1">
            <a:off x="5062537" y="4501992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35D7B4EF-63B2-40A8-9E62-4AA3FD2E4493}"/>
              </a:ext>
            </a:extLst>
          </xdr:cNvPr>
          <xdr:cNvCxnSpPr/>
        </xdr:nvCxnSpPr>
        <xdr:spPr>
          <a:xfrm flipH="1">
            <a:off x="5062536" y="453056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2E224A8D-7A0B-4C3E-B9DE-BF144904759C}"/>
              </a:ext>
            </a:extLst>
          </xdr:cNvPr>
          <xdr:cNvCxnSpPr/>
        </xdr:nvCxnSpPr>
        <xdr:spPr>
          <a:xfrm>
            <a:off x="2138364" y="42833925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08249190-37D7-4B45-B462-A888721FA0BA}"/>
              </a:ext>
            </a:extLst>
          </xdr:cNvPr>
          <xdr:cNvCxnSpPr/>
        </xdr:nvCxnSpPr>
        <xdr:spPr>
          <a:xfrm flipH="1">
            <a:off x="2100263" y="450199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A37E354F-708E-4B4E-B2A9-A9A060D747AA}"/>
              </a:ext>
            </a:extLst>
          </xdr:cNvPr>
          <xdr:cNvCxnSpPr/>
        </xdr:nvCxnSpPr>
        <xdr:spPr>
          <a:xfrm>
            <a:off x="4338640" y="42833929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id="{904D9EED-389D-46E2-A3A7-0F5AA0DED36A}"/>
              </a:ext>
            </a:extLst>
          </xdr:cNvPr>
          <xdr:cNvCxnSpPr/>
        </xdr:nvCxnSpPr>
        <xdr:spPr>
          <a:xfrm flipH="1">
            <a:off x="4300539" y="4501992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616E5547-C8EF-2871-C0EC-A351F5B43A8A}"/>
              </a:ext>
            </a:extLst>
          </xdr:cNvPr>
          <xdr:cNvCxnSpPr/>
        </xdr:nvCxnSpPr>
        <xdr:spPr>
          <a:xfrm>
            <a:off x="3238499" y="44872275"/>
            <a:ext cx="0" cy="2619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id="{877DC42D-825D-4EC8-9FF5-70962B436A9D}"/>
              </a:ext>
            </a:extLst>
          </xdr:cNvPr>
          <xdr:cNvCxnSpPr/>
        </xdr:nvCxnSpPr>
        <xdr:spPr>
          <a:xfrm flipH="1">
            <a:off x="3200400" y="450199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Arrow Connector 338">
            <a:extLst>
              <a:ext uri="{FF2B5EF4-FFF2-40B4-BE49-F238E27FC236}">
                <a16:creationId xmlns:a16="http://schemas.microsoft.com/office/drawing/2014/main" id="{2685AA35-46AE-4AF1-8E57-46FAAA3DED71}"/>
              </a:ext>
            </a:extLst>
          </xdr:cNvPr>
          <xdr:cNvCxnSpPr/>
        </xdr:nvCxnSpPr>
        <xdr:spPr>
          <a:xfrm>
            <a:off x="4343400" y="42495788"/>
            <a:ext cx="0" cy="261937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8" name="Straight Connector 2837">
            <a:extLst>
              <a:ext uri="{FF2B5EF4-FFF2-40B4-BE49-F238E27FC236}">
                <a16:creationId xmlns:a16="http://schemas.microsoft.com/office/drawing/2014/main" id="{8E29CD96-8821-4013-8D09-980287B9632B}"/>
              </a:ext>
            </a:extLst>
          </xdr:cNvPr>
          <xdr:cNvCxnSpPr/>
        </xdr:nvCxnSpPr>
        <xdr:spPr>
          <a:xfrm>
            <a:off x="1390654" y="42343387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9" name="Straight Arrow Connector 2838">
            <a:extLst>
              <a:ext uri="{FF2B5EF4-FFF2-40B4-BE49-F238E27FC236}">
                <a16:creationId xmlns:a16="http://schemas.microsoft.com/office/drawing/2014/main" id="{F4639B87-8421-45DD-AA7E-547053AB5FB5}"/>
              </a:ext>
            </a:extLst>
          </xdr:cNvPr>
          <xdr:cNvCxnSpPr/>
        </xdr:nvCxnSpPr>
        <xdr:spPr>
          <a:xfrm>
            <a:off x="1390650" y="42152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0" name="Straight Arrow Connector 2839">
            <a:extLst>
              <a:ext uri="{FF2B5EF4-FFF2-40B4-BE49-F238E27FC236}">
                <a16:creationId xmlns:a16="http://schemas.microsoft.com/office/drawing/2014/main" id="{B1989608-2776-4DBF-801C-542CC786286C}"/>
              </a:ext>
            </a:extLst>
          </xdr:cNvPr>
          <xdr:cNvCxnSpPr/>
        </xdr:nvCxnSpPr>
        <xdr:spPr>
          <a:xfrm>
            <a:off x="1619249" y="42152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1" name="Straight Arrow Connector 2840">
            <a:extLst>
              <a:ext uri="{FF2B5EF4-FFF2-40B4-BE49-F238E27FC236}">
                <a16:creationId xmlns:a16="http://schemas.microsoft.com/office/drawing/2014/main" id="{4EF2F5EB-6596-417E-8EC2-6F169BA720BC}"/>
              </a:ext>
            </a:extLst>
          </xdr:cNvPr>
          <xdr:cNvCxnSpPr/>
        </xdr:nvCxnSpPr>
        <xdr:spPr>
          <a:xfrm>
            <a:off x="1781175" y="42152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2" name="Straight Arrow Connector 2841">
            <a:extLst>
              <a:ext uri="{FF2B5EF4-FFF2-40B4-BE49-F238E27FC236}">
                <a16:creationId xmlns:a16="http://schemas.microsoft.com/office/drawing/2014/main" id="{670DE7F0-52F3-4678-9BBC-8D3E2BA60563}"/>
              </a:ext>
            </a:extLst>
          </xdr:cNvPr>
          <xdr:cNvCxnSpPr/>
        </xdr:nvCxnSpPr>
        <xdr:spPr>
          <a:xfrm>
            <a:off x="1943094" y="42152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3" name="Straight Arrow Connector 2842">
            <a:extLst>
              <a:ext uri="{FF2B5EF4-FFF2-40B4-BE49-F238E27FC236}">
                <a16:creationId xmlns:a16="http://schemas.microsoft.com/office/drawing/2014/main" id="{F9621342-6865-4938-BA8B-C7D0FB87A54F}"/>
              </a:ext>
            </a:extLst>
          </xdr:cNvPr>
          <xdr:cNvCxnSpPr/>
        </xdr:nvCxnSpPr>
        <xdr:spPr>
          <a:xfrm>
            <a:off x="2105025" y="42152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4" name="Straight Arrow Connector 2843">
            <a:extLst>
              <a:ext uri="{FF2B5EF4-FFF2-40B4-BE49-F238E27FC236}">
                <a16:creationId xmlns:a16="http://schemas.microsoft.com/office/drawing/2014/main" id="{A92B3A60-04A1-4633-A1C7-19C07025B2C7}"/>
              </a:ext>
            </a:extLst>
          </xdr:cNvPr>
          <xdr:cNvCxnSpPr/>
        </xdr:nvCxnSpPr>
        <xdr:spPr>
          <a:xfrm>
            <a:off x="2266951" y="42152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5" name="Straight Arrow Connector 2844">
            <a:extLst>
              <a:ext uri="{FF2B5EF4-FFF2-40B4-BE49-F238E27FC236}">
                <a16:creationId xmlns:a16="http://schemas.microsoft.com/office/drawing/2014/main" id="{08026D5D-C99C-4F25-BC5A-249037C26B69}"/>
              </a:ext>
            </a:extLst>
          </xdr:cNvPr>
          <xdr:cNvCxnSpPr/>
        </xdr:nvCxnSpPr>
        <xdr:spPr>
          <a:xfrm>
            <a:off x="2428870" y="42152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6" name="Straight Arrow Connector 2845">
            <a:extLst>
              <a:ext uri="{FF2B5EF4-FFF2-40B4-BE49-F238E27FC236}">
                <a16:creationId xmlns:a16="http://schemas.microsoft.com/office/drawing/2014/main" id="{A2C8943A-C0F9-4746-B6D3-293B2D37AC6E}"/>
              </a:ext>
            </a:extLst>
          </xdr:cNvPr>
          <xdr:cNvCxnSpPr/>
        </xdr:nvCxnSpPr>
        <xdr:spPr>
          <a:xfrm>
            <a:off x="2590807" y="42152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7" name="Straight Arrow Connector 2846">
            <a:extLst>
              <a:ext uri="{FF2B5EF4-FFF2-40B4-BE49-F238E27FC236}">
                <a16:creationId xmlns:a16="http://schemas.microsoft.com/office/drawing/2014/main" id="{7AD593AE-8CAF-4625-9567-BAEA7A0984B8}"/>
              </a:ext>
            </a:extLst>
          </xdr:cNvPr>
          <xdr:cNvCxnSpPr/>
        </xdr:nvCxnSpPr>
        <xdr:spPr>
          <a:xfrm>
            <a:off x="2752733" y="42152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8" name="Straight Arrow Connector 2847">
            <a:extLst>
              <a:ext uri="{FF2B5EF4-FFF2-40B4-BE49-F238E27FC236}">
                <a16:creationId xmlns:a16="http://schemas.microsoft.com/office/drawing/2014/main" id="{4E61FB17-3F9A-48E6-B479-BA9EC807EC17}"/>
              </a:ext>
            </a:extLst>
          </xdr:cNvPr>
          <xdr:cNvCxnSpPr/>
        </xdr:nvCxnSpPr>
        <xdr:spPr>
          <a:xfrm>
            <a:off x="2914652" y="42152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9" name="Straight Arrow Connector 2848">
            <a:extLst>
              <a:ext uri="{FF2B5EF4-FFF2-40B4-BE49-F238E27FC236}">
                <a16:creationId xmlns:a16="http://schemas.microsoft.com/office/drawing/2014/main" id="{5534912D-45E4-4AB0-BA7B-5ACF05F65403}"/>
              </a:ext>
            </a:extLst>
          </xdr:cNvPr>
          <xdr:cNvCxnSpPr/>
        </xdr:nvCxnSpPr>
        <xdr:spPr>
          <a:xfrm>
            <a:off x="3076583" y="42152887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0" name="Straight Arrow Connector 2849">
            <a:extLst>
              <a:ext uri="{FF2B5EF4-FFF2-40B4-BE49-F238E27FC236}">
                <a16:creationId xmlns:a16="http://schemas.microsoft.com/office/drawing/2014/main" id="{E894E623-D057-41EB-8CA1-EFEA343BA5DB}"/>
              </a:ext>
            </a:extLst>
          </xdr:cNvPr>
          <xdr:cNvCxnSpPr/>
        </xdr:nvCxnSpPr>
        <xdr:spPr>
          <a:xfrm>
            <a:off x="3238509" y="42057637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1" name="Straight Arrow Connector 2850">
            <a:extLst>
              <a:ext uri="{FF2B5EF4-FFF2-40B4-BE49-F238E27FC236}">
                <a16:creationId xmlns:a16="http://schemas.microsoft.com/office/drawing/2014/main" id="{02F05590-C1C2-4AAF-AEF9-398E934D682D}"/>
              </a:ext>
            </a:extLst>
          </xdr:cNvPr>
          <xdr:cNvCxnSpPr/>
        </xdr:nvCxnSpPr>
        <xdr:spPr>
          <a:xfrm>
            <a:off x="3400428" y="42062400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2" name="Straight Arrow Connector 2851">
            <a:extLst>
              <a:ext uri="{FF2B5EF4-FFF2-40B4-BE49-F238E27FC236}">
                <a16:creationId xmlns:a16="http://schemas.microsoft.com/office/drawing/2014/main" id="{428AE17A-86D9-49DE-9329-2C1D5DDB5312}"/>
              </a:ext>
            </a:extLst>
          </xdr:cNvPr>
          <xdr:cNvCxnSpPr/>
        </xdr:nvCxnSpPr>
        <xdr:spPr>
          <a:xfrm>
            <a:off x="3562357" y="42052875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3" name="Straight Arrow Connector 2852">
            <a:extLst>
              <a:ext uri="{FF2B5EF4-FFF2-40B4-BE49-F238E27FC236}">
                <a16:creationId xmlns:a16="http://schemas.microsoft.com/office/drawing/2014/main" id="{2198E065-1EFF-4CAE-BCD3-D2DF034306B8}"/>
              </a:ext>
            </a:extLst>
          </xdr:cNvPr>
          <xdr:cNvCxnSpPr/>
        </xdr:nvCxnSpPr>
        <xdr:spPr>
          <a:xfrm>
            <a:off x="3724283" y="420576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4" name="Straight Arrow Connector 2853">
            <a:extLst>
              <a:ext uri="{FF2B5EF4-FFF2-40B4-BE49-F238E27FC236}">
                <a16:creationId xmlns:a16="http://schemas.microsoft.com/office/drawing/2014/main" id="{80ADB5CC-CA40-47B4-BB9E-A29150B32E17}"/>
              </a:ext>
            </a:extLst>
          </xdr:cNvPr>
          <xdr:cNvCxnSpPr/>
        </xdr:nvCxnSpPr>
        <xdr:spPr>
          <a:xfrm>
            <a:off x="3886202" y="420576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5" name="Straight Arrow Connector 2854">
            <a:extLst>
              <a:ext uri="{FF2B5EF4-FFF2-40B4-BE49-F238E27FC236}">
                <a16:creationId xmlns:a16="http://schemas.microsoft.com/office/drawing/2014/main" id="{5343E1A9-1171-440D-8E23-64400F388D12}"/>
              </a:ext>
            </a:extLst>
          </xdr:cNvPr>
          <xdr:cNvCxnSpPr/>
        </xdr:nvCxnSpPr>
        <xdr:spPr>
          <a:xfrm>
            <a:off x="4048133" y="42062400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6" name="Straight Arrow Connector 2855">
            <a:extLst>
              <a:ext uri="{FF2B5EF4-FFF2-40B4-BE49-F238E27FC236}">
                <a16:creationId xmlns:a16="http://schemas.microsoft.com/office/drawing/2014/main" id="{C72C1AA0-1143-49AC-967F-5FC62CE8C045}"/>
              </a:ext>
            </a:extLst>
          </xdr:cNvPr>
          <xdr:cNvCxnSpPr/>
        </xdr:nvCxnSpPr>
        <xdr:spPr>
          <a:xfrm>
            <a:off x="4210059" y="420576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7" name="Straight Arrow Connector 2856">
            <a:extLst>
              <a:ext uri="{FF2B5EF4-FFF2-40B4-BE49-F238E27FC236}">
                <a16:creationId xmlns:a16="http://schemas.microsoft.com/office/drawing/2014/main" id="{72E3E2FE-05C5-4895-8BA6-317BFCD4824F}"/>
              </a:ext>
            </a:extLst>
          </xdr:cNvPr>
          <xdr:cNvCxnSpPr/>
        </xdr:nvCxnSpPr>
        <xdr:spPr>
          <a:xfrm>
            <a:off x="4371978" y="420576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8" name="Straight Arrow Connector 2857">
            <a:extLst>
              <a:ext uri="{FF2B5EF4-FFF2-40B4-BE49-F238E27FC236}">
                <a16:creationId xmlns:a16="http://schemas.microsoft.com/office/drawing/2014/main" id="{3AC3B438-BF35-4860-96C0-D1B8E6BD6322}"/>
              </a:ext>
            </a:extLst>
          </xdr:cNvPr>
          <xdr:cNvCxnSpPr/>
        </xdr:nvCxnSpPr>
        <xdr:spPr>
          <a:xfrm>
            <a:off x="4533915" y="420576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9" name="Straight Arrow Connector 2858">
            <a:extLst>
              <a:ext uri="{FF2B5EF4-FFF2-40B4-BE49-F238E27FC236}">
                <a16:creationId xmlns:a16="http://schemas.microsoft.com/office/drawing/2014/main" id="{A1CE0C77-A407-4DB0-B781-183DE903FB2C}"/>
              </a:ext>
            </a:extLst>
          </xdr:cNvPr>
          <xdr:cNvCxnSpPr/>
        </xdr:nvCxnSpPr>
        <xdr:spPr>
          <a:xfrm>
            <a:off x="4695841" y="420576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0" name="Straight Arrow Connector 2859">
            <a:extLst>
              <a:ext uri="{FF2B5EF4-FFF2-40B4-BE49-F238E27FC236}">
                <a16:creationId xmlns:a16="http://schemas.microsoft.com/office/drawing/2014/main" id="{1FC8AA54-1B76-4CB6-885E-AE2C025AB9A8}"/>
              </a:ext>
            </a:extLst>
          </xdr:cNvPr>
          <xdr:cNvCxnSpPr/>
        </xdr:nvCxnSpPr>
        <xdr:spPr>
          <a:xfrm>
            <a:off x="4857760" y="42052875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1" name="Straight Arrow Connector 2860">
            <a:extLst>
              <a:ext uri="{FF2B5EF4-FFF2-40B4-BE49-F238E27FC236}">
                <a16:creationId xmlns:a16="http://schemas.microsoft.com/office/drawing/2014/main" id="{2AB24447-960A-44A4-8E1C-F963428830D2}"/>
              </a:ext>
            </a:extLst>
          </xdr:cNvPr>
          <xdr:cNvCxnSpPr/>
        </xdr:nvCxnSpPr>
        <xdr:spPr>
          <a:xfrm>
            <a:off x="5086373" y="42057637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2" name="Straight Connector 2861">
            <a:extLst>
              <a:ext uri="{FF2B5EF4-FFF2-40B4-BE49-F238E27FC236}">
                <a16:creationId xmlns:a16="http://schemas.microsoft.com/office/drawing/2014/main" id="{ED08C120-BD10-43CC-B001-936E236CD899}"/>
              </a:ext>
            </a:extLst>
          </xdr:cNvPr>
          <xdr:cNvCxnSpPr/>
        </xdr:nvCxnSpPr>
        <xdr:spPr>
          <a:xfrm>
            <a:off x="1390652" y="42152881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3" name="Straight Connector 2862">
            <a:extLst>
              <a:ext uri="{FF2B5EF4-FFF2-40B4-BE49-F238E27FC236}">
                <a16:creationId xmlns:a16="http://schemas.microsoft.com/office/drawing/2014/main" id="{A694F731-BCC0-48CE-B954-0CF621217836}"/>
              </a:ext>
            </a:extLst>
          </xdr:cNvPr>
          <xdr:cNvCxnSpPr/>
        </xdr:nvCxnSpPr>
        <xdr:spPr>
          <a:xfrm>
            <a:off x="3238510" y="42057630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85721</xdr:colOff>
      <xdr:row>895</xdr:row>
      <xdr:rowOff>0</xdr:rowOff>
    </xdr:from>
    <xdr:to>
      <xdr:col>40</xdr:col>
      <xdr:colOff>61913</xdr:colOff>
      <xdr:row>930</xdr:row>
      <xdr:rowOff>47625</xdr:rowOff>
    </xdr:to>
    <xdr:grpSp>
      <xdr:nvGrpSpPr>
        <xdr:cNvPr id="2996" name="Group 2995">
          <a:extLst>
            <a:ext uri="{FF2B5EF4-FFF2-40B4-BE49-F238E27FC236}">
              <a16:creationId xmlns:a16="http://schemas.microsoft.com/office/drawing/2014/main" id="{6241EB6B-0E17-6ED9-4668-1F5D30DC7D16}"/>
            </a:ext>
          </a:extLst>
        </xdr:cNvPr>
        <xdr:cNvGrpSpPr/>
      </xdr:nvGrpSpPr>
      <xdr:grpSpPr>
        <a:xfrm>
          <a:off x="571496" y="128349375"/>
          <a:ext cx="5967417" cy="5048250"/>
          <a:chOff x="571496" y="116919375"/>
          <a:chExt cx="5967417" cy="5048250"/>
        </a:xfrm>
      </xdr:grpSpPr>
      <xdr:sp macro="" textlink="">
        <xdr:nvSpPr>
          <xdr:cNvPr id="733" name="Arc 732">
            <a:extLst>
              <a:ext uri="{FF2B5EF4-FFF2-40B4-BE49-F238E27FC236}">
                <a16:creationId xmlns:a16="http://schemas.microsoft.com/office/drawing/2014/main" id="{41761123-FDA1-DB49-6406-D3E1A78D717C}"/>
              </a:ext>
            </a:extLst>
          </xdr:cNvPr>
          <xdr:cNvSpPr/>
        </xdr:nvSpPr>
        <xdr:spPr>
          <a:xfrm>
            <a:off x="933451" y="117357525"/>
            <a:ext cx="4610100" cy="4610100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4" name="Straight Connector 733">
            <a:extLst>
              <a:ext uri="{FF2B5EF4-FFF2-40B4-BE49-F238E27FC236}">
                <a16:creationId xmlns:a16="http://schemas.microsoft.com/office/drawing/2014/main" id="{E3AB93BF-52F3-D1B9-D4AC-3B0E474FDB3B}"/>
              </a:ext>
            </a:extLst>
          </xdr:cNvPr>
          <xdr:cNvCxnSpPr>
            <a:endCxn id="733" idx="2"/>
          </xdr:cNvCxnSpPr>
        </xdr:nvCxnSpPr>
        <xdr:spPr>
          <a:xfrm flipV="1">
            <a:off x="3248026" y="118302557"/>
            <a:ext cx="1851552" cy="1350493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Connector 734">
            <a:extLst>
              <a:ext uri="{FF2B5EF4-FFF2-40B4-BE49-F238E27FC236}">
                <a16:creationId xmlns:a16="http://schemas.microsoft.com/office/drawing/2014/main" id="{A1EC6E09-9F41-3ECA-36F6-5CD2F14E7842}"/>
              </a:ext>
            </a:extLst>
          </xdr:cNvPr>
          <xdr:cNvCxnSpPr>
            <a:endCxn id="733" idx="0"/>
          </xdr:cNvCxnSpPr>
        </xdr:nvCxnSpPr>
        <xdr:spPr>
          <a:xfrm flipH="1" flipV="1">
            <a:off x="1371081" y="118311280"/>
            <a:ext cx="1862657" cy="134177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DF85893B-DD93-3B04-DA25-E30F84A01BD9}"/>
              </a:ext>
            </a:extLst>
          </xdr:cNvPr>
          <xdr:cNvSpPr/>
        </xdr:nvSpPr>
        <xdr:spPr>
          <a:xfrm>
            <a:off x="1190621" y="11849576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7" name="Isosceles Triangle 736">
            <a:extLst>
              <a:ext uri="{FF2B5EF4-FFF2-40B4-BE49-F238E27FC236}">
                <a16:creationId xmlns:a16="http://schemas.microsoft.com/office/drawing/2014/main" id="{9CF53209-0035-6AF0-E3A9-FF2CD2C354CD}"/>
              </a:ext>
            </a:extLst>
          </xdr:cNvPr>
          <xdr:cNvSpPr/>
        </xdr:nvSpPr>
        <xdr:spPr>
          <a:xfrm>
            <a:off x="1275203" y="11835765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8" name="Straight Connector 737">
            <a:extLst>
              <a:ext uri="{FF2B5EF4-FFF2-40B4-BE49-F238E27FC236}">
                <a16:creationId xmlns:a16="http://schemas.microsoft.com/office/drawing/2014/main" id="{1FD2005F-266E-2EF9-66D5-797789F226FB}"/>
              </a:ext>
            </a:extLst>
          </xdr:cNvPr>
          <xdr:cNvCxnSpPr/>
        </xdr:nvCxnSpPr>
        <xdr:spPr>
          <a:xfrm>
            <a:off x="1181095" y="11849099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9" name="Oval 738">
            <a:extLst>
              <a:ext uri="{FF2B5EF4-FFF2-40B4-BE49-F238E27FC236}">
                <a16:creationId xmlns:a16="http://schemas.microsoft.com/office/drawing/2014/main" id="{BDA0079B-33DD-27EE-E0CA-BCA358AA8F04}"/>
              </a:ext>
            </a:extLst>
          </xdr:cNvPr>
          <xdr:cNvSpPr/>
        </xdr:nvSpPr>
        <xdr:spPr>
          <a:xfrm>
            <a:off x="1309682" y="11830050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52C2494A-8D5C-621C-63E8-EE50CDB6F8A6}"/>
              </a:ext>
            </a:extLst>
          </xdr:cNvPr>
          <xdr:cNvCxnSpPr/>
        </xdr:nvCxnSpPr>
        <xdr:spPr>
          <a:xfrm flipV="1">
            <a:off x="1343020" y="11863387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6985B151-9DD8-3A7D-3075-D50B7FBD0D1F}"/>
              </a:ext>
            </a:extLst>
          </xdr:cNvPr>
          <xdr:cNvCxnSpPr/>
        </xdr:nvCxnSpPr>
        <xdr:spPr>
          <a:xfrm>
            <a:off x="952497" y="118348125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A33442F0-FC1D-C0ED-0E3D-D655793D9EBB}"/>
              </a:ext>
            </a:extLst>
          </xdr:cNvPr>
          <xdr:cNvSpPr/>
        </xdr:nvSpPr>
        <xdr:spPr>
          <a:xfrm>
            <a:off x="4948247" y="118491012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3" name="Isosceles Triangle 742">
            <a:extLst>
              <a:ext uri="{FF2B5EF4-FFF2-40B4-BE49-F238E27FC236}">
                <a16:creationId xmlns:a16="http://schemas.microsoft.com/office/drawing/2014/main" id="{607B4798-40A3-37EE-09B2-3AE399281C76}"/>
              </a:ext>
            </a:extLst>
          </xdr:cNvPr>
          <xdr:cNvSpPr/>
        </xdr:nvSpPr>
        <xdr:spPr>
          <a:xfrm>
            <a:off x="5032829" y="118352902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95D64F74-9C15-1EF7-1243-C6355EA59A64}"/>
              </a:ext>
            </a:extLst>
          </xdr:cNvPr>
          <xdr:cNvCxnSpPr/>
        </xdr:nvCxnSpPr>
        <xdr:spPr>
          <a:xfrm>
            <a:off x="4938721" y="118486248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5" name="Oval 744">
            <a:extLst>
              <a:ext uri="{FF2B5EF4-FFF2-40B4-BE49-F238E27FC236}">
                <a16:creationId xmlns:a16="http://schemas.microsoft.com/office/drawing/2014/main" id="{15B19C79-9B39-F7AA-D038-9F839A137C44}"/>
              </a:ext>
            </a:extLst>
          </xdr:cNvPr>
          <xdr:cNvSpPr/>
        </xdr:nvSpPr>
        <xdr:spPr>
          <a:xfrm>
            <a:off x="5067308" y="118295749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6" name="Straight Arrow Connector 745">
            <a:extLst>
              <a:ext uri="{FF2B5EF4-FFF2-40B4-BE49-F238E27FC236}">
                <a16:creationId xmlns:a16="http://schemas.microsoft.com/office/drawing/2014/main" id="{507AAFB9-E662-327D-72DA-2B784CB25867}"/>
              </a:ext>
            </a:extLst>
          </xdr:cNvPr>
          <xdr:cNvCxnSpPr/>
        </xdr:nvCxnSpPr>
        <xdr:spPr>
          <a:xfrm flipV="1">
            <a:off x="5100646" y="11862912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Arrow Connector 746">
            <a:extLst>
              <a:ext uri="{FF2B5EF4-FFF2-40B4-BE49-F238E27FC236}">
                <a16:creationId xmlns:a16="http://schemas.microsoft.com/office/drawing/2014/main" id="{522462C9-1475-C4DF-21BE-02624BCB2793}"/>
              </a:ext>
            </a:extLst>
          </xdr:cNvPr>
          <xdr:cNvCxnSpPr/>
        </xdr:nvCxnSpPr>
        <xdr:spPr>
          <a:xfrm flipH="1">
            <a:off x="5214945" y="118348136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8" name="Oval 747">
            <a:extLst>
              <a:ext uri="{FF2B5EF4-FFF2-40B4-BE49-F238E27FC236}">
                <a16:creationId xmlns:a16="http://schemas.microsoft.com/office/drawing/2014/main" id="{444CBBD4-2C15-5CC7-3D3D-D0224385881D}"/>
              </a:ext>
            </a:extLst>
          </xdr:cNvPr>
          <xdr:cNvSpPr/>
        </xdr:nvSpPr>
        <xdr:spPr>
          <a:xfrm>
            <a:off x="3195638" y="1173146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74" name="Straight Connector 773">
            <a:extLst>
              <a:ext uri="{FF2B5EF4-FFF2-40B4-BE49-F238E27FC236}">
                <a16:creationId xmlns:a16="http://schemas.microsoft.com/office/drawing/2014/main" id="{986B9342-8A12-4BF1-439D-7E35AC9B38D3}"/>
              </a:ext>
            </a:extLst>
          </xdr:cNvPr>
          <xdr:cNvCxnSpPr/>
        </xdr:nvCxnSpPr>
        <xdr:spPr>
          <a:xfrm flipH="1" flipV="1">
            <a:off x="2133600" y="117633750"/>
            <a:ext cx="1109663" cy="203358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Connector 774">
            <a:extLst>
              <a:ext uri="{FF2B5EF4-FFF2-40B4-BE49-F238E27FC236}">
                <a16:creationId xmlns:a16="http://schemas.microsoft.com/office/drawing/2014/main" id="{0A53B693-E11C-83F4-30F7-B1ADB4E4B800}"/>
              </a:ext>
            </a:extLst>
          </xdr:cNvPr>
          <xdr:cNvCxnSpPr/>
        </xdr:nvCxnSpPr>
        <xdr:spPr>
          <a:xfrm flipV="1">
            <a:off x="3243263" y="117638513"/>
            <a:ext cx="1090612" cy="2014538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Connector 775">
            <a:extLst>
              <a:ext uri="{FF2B5EF4-FFF2-40B4-BE49-F238E27FC236}">
                <a16:creationId xmlns:a16="http://schemas.microsoft.com/office/drawing/2014/main" id="{C1D44489-FC2C-31B8-17B3-BCB6000E48F6}"/>
              </a:ext>
            </a:extLst>
          </xdr:cNvPr>
          <xdr:cNvCxnSpPr/>
        </xdr:nvCxnSpPr>
        <xdr:spPr>
          <a:xfrm>
            <a:off x="3524250" y="117348000"/>
            <a:ext cx="3014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3EBE6461-A5B7-85E6-8374-29881196E37F}"/>
              </a:ext>
            </a:extLst>
          </xdr:cNvPr>
          <xdr:cNvCxnSpPr/>
        </xdr:nvCxnSpPr>
        <xdr:spPr>
          <a:xfrm>
            <a:off x="5686425" y="118348125"/>
            <a:ext cx="847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4AF31160-61AF-EF21-A6B6-71410D13144A}"/>
              </a:ext>
            </a:extLst>
          </xdr:cNvPr>
          <xdr:cNvCxnSpPr/>
        </xdr:nvCxnSpPr>
        <xdr:spPr>
          <a:xfrm>
            <a:off x="6153143" y="117276565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EF45448D-5009-558F-0BCF-E35DF0EC969B}"/>
              </a:ext>
            </a:extLst>
          </xdr:cNvPr>
          <xdr:cNvCxnSpPr/>
        </xdr:nvCxnSpPr>
        <xdr:spPr>
          <a:xfrm>
            <a:off x="4429125" y="117633751"/>
            <a:ext cx="1785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1325D32B-920A-2323-4812-6EEAC3D47534}"/>
              </a:ext>
            </a:extLst>
          </xdr:cNvPr>
          <xdr:cNvCxnSpPr/>
        </xdr:nvCxnSpPr>
        <xdr:spPr>
          <a:xfrm flipH="1">
            <a:off x="4305299" y="117581366"/>
            <a:ext cx="61913" cy="11498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2AD9E14F-20B9-AE0C-268F-000F97DAB8DE}"/>
              </a:ext>
            </a:extLst>
          </xdr:cNvPr>
          <xdr:cNvCxnSpPr/>
        </xdr:nvCxnSpPr>
        <xdr:spPr>
          <a:xfrm flipH="1" flipV="1">
            <a:off x="2114553" y="117591568"/>
            <a:ext cx="50001" cy="89807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90045459-A2B8-0298-1B0A-DC52E7EDA1AC}"/>
              </a:ext>
            </a:extLst>
          </xdr:cNvPr>
          <xdr:cNvCxnSpPr/>
        </xdr:nvCxnSpPr>
        <xdr:spPr>
          <a:xfrm flipH="1">
            <a:off x="6115050" y="11731466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926FA637-3893-71A1-F118-6C42DDDDBFBB}"/>
              </a:ext>
            </a:extLst>
          </xdr:cNvPr>
          <xdr:cNvCxnSpPr/>
        </xdr:nvCxnSpPr>
        <xdr:spPr>
          <a:xfrm flipH="1">
            <a:off x="6115046" y="11760041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867DB91E-2213-F294-1B50-F7860BC78B72}"/>
              </a:ext>
            </a:extLst>
          </xdr:cNvPr>
          <xdr:cNvCxnSpPr/>
        </xdr:nvCxnSpPr>
        <xdr:spPr>
          <a:xfrm flipH="1">
            <a:off x="6115036" y="11831479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91150103-126F-70C9-BF52-44031695778B}"/>
              </a:ext>
            </a:extLst>
          </xdr:cNvPr>
          <xdr:cNvCxnSpPr/>
        </xdr:nvCxnSpPr>
        <xdr:spPr>
          <a:xfrm>
            <a:off x="6477000" y="117276564"/>
            <a:ext cx="0" cy="11477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DADCB127-C321-0682-7573-CAE04715EE83}"/>
              </a:ext>
            </a:extLst>
          </xdr:cNvPr>
          <xdr:cNvCxnSpPr/>
        </xdr:nvCxnSpPr>
        <xdr:spPr>
          <a:xfrm flipH="1">
            <a:off x="6438900" y="117314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2774A60C-B915-952A-94F4-3139C79572A7}"/>
              </a:ext>
            </a:extLst>
          </xdr:cNvPr>
          <xdr:cNvCxnSpPr/>
        </xdr:nvCxnSpPr>
        <xdr:spPr>
          <a:xfrm flipH="1">
            <a:off x="6438898" y="11831479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95BC9590-E6D0-94CF-2CD4-7F0F7B771CCB}"/>
              </a:ext>
            </a:extLst>
          </xdr:cNvPr>
          <xdr:cNvCxnSpPr/>
        </xdr:nvCxnSpPr>
        <xdr:spPr>
          <a:xfrm>
            <a:off x="571500" y="117348000"/>
            <a:ext cx="2319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C2923ED4-A943-93A3-BB8F-1E23BD7EBE06}"/>
              </a:ext>
            </a:extLst>
          </xdr:cNvPr>
          <xdr:cNvCxnSpPr/>
        </xdr:nvCxnSpPr>
        <xdr:spPr>
          <a:xfrm>
            <a:off x="647705" y="117281325"/>
            <a:ext cx="0" cy="1133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Connector 789">
            <a:extLst>
              <a:ext uri="{FF2B5EF4-FFF2-40B4-BE49-F238E27FC236}">
                <a16:creationId xmlns:a16="http://schemas.microsoft.com/office/drawing/2014/main" id="{EAD02663-4CA5-92FF-0173-48DDF8B64B43}"/>
              </a:ext>
            </a:extLst>
          </xdr:cNvPr>
          <xdr:cNvCxnSpPr/>
        </xdr:nvCxnSpPr>
        <xdr:spPr>
          <a:xfrm flipH="1">
            <a:off x="609604" y="1173146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Connector 790">
            <a:extLst>
              <a:ext uri="{FF2B5EF4-FFF2-40B4-BE49-F238E27FC236}">
                <a16:creationId xmlns:a16="http://schemas.microsoft.com/office/drawing/2014/main" id="{F05B840E-EC73-E281-35B3-D49F3118F569}"/>
              </a:ext>
            </a:extLst>
          </xdr:cNvPr>
          <xdr:cNvCxnSpPr/>
        </xdr:nvCxnSpPr>
        <xdr:spPr>
          <a:xfrm>
            <a:off x="571496" y="117633750"/>
            <a:ext cx="148590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Connector 791">
            <a:extLst>
              <a:ext uri="{FF2B5EF4-FFF2-40B4-BE49-F238E27FC236}">
                <a16:creationId xmlns:a16="http://schemas.microsoft.com/office/drawing/2014/main" id="{9928CFB2-4619-BDE1-0E74-BB24E4ED8BA9}"/>
              </a:ext>
            </a:extLst>
          </xdr:cNvPr>
          <xdr:cNvCxnSpPr/>
        </xdr:nvCxnSpPr>
        <xdr:spPr>
          <a:xfrm flipH="1">
            <a:off x="609600" y="11760041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Connector 792">
            <a:extLst>
              <a:ext uri="{FF2B5EF4-FFF2-40B4-BE49-F238E27FC236}">
                <a16:creationId xmlns:a16="http://schemas.microsoft.com/office/drawing/2014/main" id="{2A2013AB-AE8F-A7A7-CFFD-59BE4B4E0CD1}"/>
              </a:ext>
            </a:extLst>
          </xdr:cNvPr>
          <xdr:cNvCxnSpPr/>
        </xdr:nvCxnSpPr>
        <xdr:spPr>
          <a:xfrm>
            <a:off x="571496" y="118348125"/>
            <a:ext cx="300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Connector 793">
            <a:extLst>
              <a:ext uri="{FF2B5EF4-FFF2-40B4-BE49-F238E27FC236}">
                <a16:creationId xmlns:a16="http://schemas.microsoft.com/office/drawing/2014/main" id="{17E8B9DC-3E14-3D49-73F9-ED815C12CAA0}"/>
              </a:ext>
            </a:extLst>
          </xdr:cNvPr>
          <xdr:cNvCxnSpPr/>
        </xdr:nvCxnSpPr>
        <xdr:spPr>
          <a:xfrm flipH="1">
            <a:off x="609600" y="11831479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Arrow Connector 794">
            <a:extLst>
              <a:ext uri="{FF2B5EF4-FFF2-40B4-BE49-F238E27FC236}">
                <a16:creationId xmlns:a16="http://schemas.microsoft.com/office/drawing/2014/main" id="{782E6C8F-F11B-A15A-4CEC-1FCAF89FAC6E}"/>
              </a:ext>
            </a:extLst>
          </xdr:cNvPr>
          <xdr:cNvCxnSpPr/>
        </xdr:nvCxnSpPr>
        <xdr:spPr>
          <a:xfrm flipV="1">
            <a:off x="3248025" y="117419438"/>
            <a:ext cx="495300" cy="221932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Connector 795">
            <a:extLst>
              <a:ext uri="{FF2B5EF4-FFF2-40B4-BE49-F238E27FC236}">
                <a16:creationId xmlns:a16="http://schemas.microsoft.com/office/drawing/2014/main" id="{D423736B-8A41-BE3E-CCF3-78EF4867368A}"/>
              </a:ext>
            </a:extLst>
          </xdr:cNvPr>
          <xdr:cNvCxnSpPr/>
        </xdr:nvCxnSpPr>
        <xdr:spPr>
          <a:xfrm>
            <a:off x="2566988" y="119667338"/>
            <a:ext cx="1233487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7" name="Arc 796">
            <a:extLst>
              <a:ext uri="{FF2B5EF4-FFF2-40B4-BE49-F238E27FC236}">
                <a16:creationId xmlns:a16="http://schemas.microsoft.com/office/drawing/2014/main" id="{A24956F6-2CFE-7CED-F6E5-E7F6AD29FF95}"/>
              </a:ext>
            </a:extLst>
          </xdr:cNvPr>
          <xdr:cNvSpPr/>
        </xdr:nvSpPr>
        <xdr:spPr>
          <a:xfrm rot="14662438">
            <a:off x="2940437" y="119331179"/>
            <a:ext cx="462776" cy="46277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8" name="Arc 797">
            <a:extLst>
              <a:ext uri="{FF2B5EF4-FFF2-40B4-BE49-F238E27FC236}">
                <a16:creationId xmlns:a16="http://schemas.microsoft.com/office/drawing/2014/main" id="{F038DE65-9294-2189-7031-3EDA9AB8A6E7}"/>
              </a:ext>
            </a:extLst>
          </xdr:cNvPr>
          <xdr:cNvSpPr/>
        </xdr:nvSpPr>
        <xdr:spPr>
          <a:xfrm rot="1806329">
            <a:off x="3065379" y="119332290"/>
            <a:ext cx="460540" cy="46054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99" name="Straight Connector 798">
            <a:extLst>
              <a:ext uri="{FF2B5EF4-FFF2-40B4-BE49-F238E27FC236}">
                <a16:creationId xmlns:a16="http://schemas.microsoft.com/office/drawing/2014/main" id="{741A051D-E5FB-005B-EA99-DE87CE9C2095}"/>
              </a:ext>
            </a:extLst>
          </xdr:cNvPr>
          <xdr:cNvCxnSpPr/>
        </xdr:nvCxnSpPr>
        <xdr:spPr>
          <a:xfrm>
            <a:off x="1338263" y="11910060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31CB4997-7147-DEBF-1660-0EEA1B2BAD7B}"/>
              </a:ext>
            </a:extLst>
          </xdr:cNvPr>
          <xdr:cNvCxnSpPr/>
        </xdr:nvCxnSpPr>
        <xdr:spPr>
          <a:xfrm>
            <a:off x="1262062" y="119919751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Connector 800">
            <a:extLst>
              <a:ext uri="{FF2B5EF4-FFF2-40B4-BE49-F238E27FC236}">
                <a16:creationId xmlns:a16="http://schemas.microsoft.com/office/drawing/2014/main" id="{A72A15F9-8680-3E0E-1F35-08D022999F1C}"/>
              </a:ext>
            </a:extLst>
          </xdr:cNvPr>
          <xdr:cNvCxnSpPr/>
        </xdr:nvCxnSpPr>
        <xdr:spPr>
          <a:xfrm flipH="1">
            <a:off x="1300163" y="11988641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Connector 801">
            <a:extLst>
              <a:ext uri="{FF2B5EF4-FFF2-40B4-BE49-F238E27FC236}">
                <a16:creationId xmlns:a16="http://schemas.microsoft.com/office/drawing/2014/main" id="{E0C8DE6F-EE4E-6B97-2742-1F1C1C2A2587}"/>
              </a:ext>
            </a:extLst>
          </xdr:cNvPr>
          <xdr:cNvCxnSpPr/>
        </xdr:nvCxnSpPr>
        <xdr:spPr>
          <a:xfrm>
            <a:off x="1262061" y="120205502"/>
            <a:ext cx="389572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66F02753-F2AF-F8E2-6572-9E639AC670D4}"/>
              </a:ext>
            </a:extLst>
          </xdr:cNvPr>
          <xdr:cNvCxnSpPr/>
        </xdr:nvCxnSpPr>
        <xdr:spPr>
          <a:xfrm flipH="1">
            <a:off x="1309687" y="120172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Connector 803">
            <a:extLst>
              <a:ext uri="{FF2B5EF4-FFF2-40B4-BE49-F238E27FC236}">
                <a16:creationId xmlns:a16="http://schemas.microsoft.com/office/drawing/2014/main" id="{DDD44B07-8D74-570B-20D6-6C49D8460D3A}"/>
              </a:ext>
            </a:extLst>
          </xdr:cNvPr>
          <xdr:cNvCxnSpPr/>
        </xdr:nvCxnSpPr>
        <xdr:spPr>
          <a:xfrm>
            <a:off x="5100637" y="119100610"/>
            <a:ext cx="0" cy="1185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Connector 804">
            <a:extLst>
              <a:ext uri="{FF2B5EF4-FFF2-40B4-BE49-F238E27FC236}">
                <a16:creationId xmlns:a16="http://schemas.microsoft.com/office/drawing/2014/main" id="{BF8ABA55-1760-55FC-1F28-D956EF28F8C9}"/>
              </a:ext>
            </a:extLst>
          </xdr:cNvPr>
          <xdr:cNvCxnSpPr/>
        </xdr:nvCxnSpPr>
        <xdr:spPr>
          <a:xfrm flipH="1">
            <a:off x="5062537" y="11988642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Connector 805">
            <a:extLst>
              <a:ext uri="{FF2B5EF4-FFF2-40B4-BE49-F238E27FC236}">
                <a16:creationId xmlns:a16="http://schemas.microsoft.com/office/drawing/2014/main" id="{E2E3109F-B9EF-0257-A83B-1BEF60A03E3A}"/>
              </a:ext>
            </a:extLst>
          </xdr:cNvPr>
          <xdr:cNvCxnSpPr/>
        </xdr:nvCxnSpPr>
        <xdr:spPr>
          <a:xfrm flipH="1">
            <a:off x="5062536" y="1201721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Connector 806">
            <a:extLst>
              <a:ext uri="{FF2B5EF4-FFF2-40B4-BE49-F238E27FC236}">
                <a16:creationId xmlns:a16="http://schemas.microsoft.com/office/drawing/2014/main" id="{8BA119B3-BE3C-92EA-E16C-91C86D1CFB21}"/>
              </a:ext>
            </a:extLst>
          </xdr:cNvPr>
          <xdr:cNvCxnSpPr/>
        </xdr:nvCxnSpPr>
        <xdr:spPr>
          <a:xfrm>
            <a:off x="2138364" y="117700425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Connector 807">
            <a:extLst>
              <a:ext uri="{FF2B5EF4-FFF2-40B4-BE49-F238E27FC236}">
                <a16:creationId xmlns:a16="http://schemas.microsoft.com/office/drawing/2014/main" id="{58E3BCD0-62D3-820E-DCE4-81FD32DD56AC}"/>
              </a:ext>
            </a:extLst>
          </xdr:cNvPr>
          <xdr:cNvCxnSpPr/>
        </xdr:nvCxnSpPr>
        <xdr:spPr>
          <a:xfrm flipH="1">
            <a:off x="2100263" y="1198864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Connector 808">
            <a:extLst>
              <a:ext uri="{FF2B5EF4-FFF2-40B4-BE49-F238E27FC236}">
                <a16:creationId xmlns:a16="http://schemas.microsoft.com/office/drawing/2014/main" id="{750A083C-6E6E-883F-71A6-6EB6A2693EFB}"/>
              </a:ext>
            </a:extLst>
          </xdr:cNvPr>
          <xdr:cNvCxnSpPr/>
        </xdr:nvCxnSpPr>
        <xdr:spPr>
          <a:xfrm>
            <a:off x="4338640" y="117700429"/>
            <a:ext cx="0" cy="23002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Connector 809">
            <a:extLst>
              <a:ext uri="{FF2B5EF4-FFF2-40B4-BE49-F238E27FC236}">
                <a16:creationId xmlns:a16="http://schemas.microsoft.com/office/drawing/2014/main" id="{4D0177C9-5C92-5B88-C59B-FDC02B383427}"/>
              </a:ext>
            </a:extLst>
          </xdr:cNvPr>
          <xdr:cNvCxnSpPr/>
        </xdr:nvCxnSpPr>
        <xdr:spPr>
          <a:xfrm flipH="1">
            <a:off x="4300539" y="11988642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Connector 810">
            <a:extLst>
              <a:ext uri="{FF2B5EF4-FFF2-40B4-BE49-F238E27FC236}">
                <a16:creationId xmlns:a16="http://schemas.microsoft.com/office/drawing/2014/main" id="{2CEF2F13-85B0-444A-BFC3-E89021ADEFD5}"/>
              </a:ext>
            </a:extLst>
          </xdr:cNvPr>
          <xdr:cNvCxnSpPr/>
        </xdr:nvCxnSpPr>
        <xdr:spPr>
          <a:xfrm>
            <a:off x="3238499" y="119738775"/>
            <a:ext cx="0" cy="2619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Connector 811">
            <a:extLst>
              <a:ext uri="{FF2B5EF4-FFF2-40B4-BE49-F238E27FC236}">
                <a16:creationId xmlns:a16="http://schemas.microsoft.com/office/drawing/2014/main" id="{2B4B4DF1-F14D-19E9-7F12-003A379822BB}"/>
              </a:ext>
            </a:extLst>
          </xdr:cNvPr>
          <xdr:cNvCxnSpPr/>
        </xdr:nvCxnSpPr>
        <xdr:spPr>
          <a:xfrm flipH="1">
            <a:off x="3200400" y="1198864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243BF91A-213B-6345-F070-3BC68FB64139}"/>
              </a:ext>
            </a:extLst>
          </xdr:cNvPr>
          <xdr:cNvCxnSpPr/>
        </xdr:nvCxnSpPr>
        <xdr:spPr>
          <a:xfrm>
            <a:off x="4343400" y="117362288"/>
            <a:ext cx="0" cy="261937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1" name="Straight Arrow Connector 1010">
            <a:extLst>
              <a:ext uri="{FF2B5EF4-FFF2-40B4-BE49-F238E27FC236}">
                <a16:creationId xmlns:a16="http://schemas.microsoft.com/office/drawing/2014/main" id="{E1EB8236-0396-4528-B2E7-9710C8E490F2}"/>
              </a:ext>
            </a:extLst>
          </xdr:cNvPr>
          <xdr:cNvCxnSpPr/>
        </xdr:nvCxnSpPr>
        <xdr:spPr>
          <a:xfrm flipV="1">
            <a:off x="1352550" y="117909975"/>
            <a:ext cx="0" cy="425465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Straight Arrow Connector 1011">
            <a:extLst>
              <a:ext uri="{FF2B5EF4-FFF2-40B4-BE49-F238E27FC236}">
                <a16:creationId xmlns:a16="http://schemas.microsoft.com/office/drawing/2014/main" id="{3BFA530C-768F-4F72-B7EF-CC9C262EFE18}"/>
              </a:ext>
            </a:extLst>
          </xdr:cNvPr>
          <xdr:cNvCxnSpPr/>
        </xdr:nvCxnSpPr>
        <xdr:spPr>
          <a:xfrm>
            <a:off x="1352550" y="118344921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4" name="Straight Connector 2863">
            <a:extLst>
              <a:ext uri="{FF2B5EF4-FFF2-40B4-BE49-F238E27FC236}">
                <a16:creationId xmlns:a16="http://schemas.microsoft.com/office/drawing/2014/main" id="{7CFA3D21-119B-4226-960E-BA5C6494DCEB}"/>
              </a:ext>
            </a:extLst>
          </xdr:cNvPr>
          <xdr:cNvCxnSpPr/>
        </xdr:nvCxnSpPr>
        <xdr:spPr>
          <a:xfrm>
            <a:off x="1390654" y="117209887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5" name="Straight Arrow Connector 2864">
            <a:extLst>
              <a:ext uri="{FF2B5EF4-FFF2-40B4-BE49-F238E27FC236}">
                <a16:creationId xmlns:a16="http://schemas.microsoft.com/office/drawing/2014/main" id="{BE49DD12-B1BF-42DC-9310-D6823B928040}"/>
              </a:ext>
            </a:extLst>
          </xdr:cNvPr>
          <xdr:cNvCxnSpPr/>
        </xdr:nvCxnSpPr>
        <xdr:spPr>
          <a:xfrm>
            <a:off x="1390650" y="1170193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6" name="Straight Arrow Connector 2865">
            <a:extLst>
              <a:ext uri="{FF2B5EF4-FFF2-40B4-BE49-F238E27FC236}">
                <a16:creationId xmlns:a16="http://schemas.microsoft.com/office/drawing/2014/main" id="{06BC01FD-AB67-4E4E-8D06-86665A4CA014}"/>
              </a:ext>
            </a:extLst>
          </xdr:cNvPr>
          <xdr:cNvCxnSpPr/>
        </xdr:nvCxnSpPr>
        <xdr:spPr>
          <a:xfrm>
            <a:off x="1619249" y="1170193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7" name="Straight Arrow Connector 2866">
            <a:extLst>
              <a:ext uri="{FF2B5EF4-FFF2-40B4-BE49-F238E27FC236}">
                <a16:creationId xmlns:a16="http://schemas.microsoft.com/office/drawing/2014/main" id="{A918C737-F98A-4B20-8ED0-7D58CE8F8B07}"/>
              </a:ext>
            </a:extLst>
          </xdr:cNvPr>
          <xdr:cNvCxnSpPr/>
        </xdr:nvCxnSpPr>
        <xdr:spPr>
          <a:xfrm>
            <a:off x="1781175" y="1170193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8" name="Straight Arrow Connector 2867">
            <a:extLst>
              <a:ext uri="{FF2B5EF4-FFF2-40B4-BE49-F238E27FC236}">
                <a16:creationId xmlns:a16="http://schemas.microsoft.com/office/drawing/2014/main" id="{93C90549-4BC2-490B-A5F3-9AEA28B1F880}"/>
              </a:ext>
            </a:extLst>
          </xdr:cNvPr>
          <xdr:cNvCxnSpPr/>
        </xdr:nvCxnSpPr>
        <xdr:spPr>
          <a:xfrm>
            <a:off x="1943094" y="1170193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9" name="Straight Arrow Connector 2868">
            <a:extLst>
              <a:ext uri="{FF2B5EF4-FFF2-40B4-BE49-F238E27FC236}">
                <a16:creationId xmlns:a16="http://schemas.microsoft.com/office/drawing/2014/main" id="{BEA89951-D66B-4DC5-9D1E-2E7DA36552BB}"/>
              </a:ext>
            </a:extLst>
          </xdr:cNvPr>
          <xdr:cNvCxnSpPr/>
        </xdr:nvCxnSpPr>
        <xdr:spPr>
          <a:xfrm>
            <a:off x="2105025" y="1170193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0" name="Straight Arrow Connector 2869">
            <a:extLst>
              <a:ext uri="{FF2B5EF4-FFF2-40B4-BE49-F238E27FC236}">
                <a16:creationId xmlns:a16="http://schemas.microsoft.com/office/drawing/2014/main" id="{B8A83E35-E28F-42DC-9AFB-8D585496B044}"/>
              </a:ext>
            </a:extLst>
          </xdr:cNvPr>
          <xdr:cNvCxnSpPr/>
        </xdr:nvCxnSpPr>
        <xdr:spPr>
          <a:xfrm>
            <a:off x="2266951" y="1170193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1" name="Straight Arrow Connector 2870">
            <a:extLst>
              <a:ext uri="{FF2B5EF4-FFF2-40B4-BE49-F238E27FC236}">
                <a16:creationId xmlns:a16="http://schemas.microsoft.com/office/drawing/2014/main" id="{2E9B876F-C905-40AC-83B3-E8E89502D084}"/>
              </a:ext>
            </a:extLst>
          </xdr:cNvPr>
          <xdr:cNvCxnSpPr/>
        </xdr:nvCxnSpPr>
        <xdr:spPr>
          <a:xfrm>
            <a:off x="2428870" y="1170193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2" name="Straight Arrow Connector 2871">
            <a:extLst>
              <a:ext uri="{FF2B5EF4-FFF2-40B4-BE49-F238E27FC236}">
                <a16:creationId xmlns:a16="http://schemas.microsoft.com/office/drawing/2014/main" id="{3DEF2C8D-6D89-4A96-A8B7-3756806F6B47}"/>
              </a:ext>
            </a:extLst>
          </xdr:cNvPr>
          <xdr:cNvCxnSpPr/>
        </xdr:nvCxnSpPr>
        <xdr:spPr>
          <a:xfrm>
            <a:off x="2590807" y="1170193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3" name="Straight Arrow Connector 2872">
            <a:extLst>
              <a:ext uri="{FF2B5EF4-FFF2-40B4-BE49-F238E27FC236}">
                <a16:creationId xmlns:a16="http://schemas.microsoft.com/office/drawing/2014/main" id="{619AD741-D2A9-4FC1-9EA6-F601D5B4F549}"/>
              </a:ext>
            </a:extLst>
          </xdr:cNvPr>
          <xdr:cNvCxnSpPr/>
        </xdr:nvCxnSpPr>
        <xdr:spPr>
          <a:xfrm>
            <a:off x="2752733" y="1170193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4" name="Straight Arrow Connector 2873">
            <a:extLst>
              <a:ext uri="{FF2B5EF4-FFF2-40B4-BE49-F238E27FC236}">
                <a16:creationId xmlns:a16="http://schemas.microsoft.com/office/drawing/2014/main" id="{5904A144-B4B7-47AD-9124-AC48B120B4D6}"/>
              </a:ext>
            </a:extLst>
          </xdr:cNvPr>
          <xdr:cNvCxnSpPr/>
        </xdr:nvCxnSpPr>
        <xdr:spPr>
          <a:xfrm>
            <a:off x="2914652" y="1170193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5" name="Straight Arrow Connector 2874">
            <a:extLst>
              <a:ext uri="{FF2B5EF4-FFF2-40B4-BE49-F238E27FC236}">
                <a16:creationId xmlns:a16="http://schemas.microsoft.com/office/drawing/2014/main" id="{4E1FB75D-51F6-432F-9EC8-9B6CF4BAE969}"/>
              </a:ext>
            </a:extLst>
          </xdr:cNvPr>
          <xdr:cNvCxnSpPr/>
        </xdr:nvCxnSpPr>
        <xdr:spPr>
          <a:xfrm>
            <a:off x="3076583" y="117019387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6" name="Straight Arrow Connector 2875">
            <a:extLst>
              <a:ext uri="{FF2B5EF4-FFF2-40B4-BE49-F238E27FC236}">
                <a16:creationId xmlns:a16="http://schemas.microsoft.com/office/drawing/2014/main" id="{68A0BDE4-E06C-4D4A-B8AE-BCF0BEBF378B}"/>
              </a:ext>
            </a:extLst>
          </xdr:cNvPr>
          <xdr:cNvCxnSpPr/>
        </xdr:nvCxnSpPr>
        <xdr:spPr>
          <a:xfrm>
            <a:off x="3238509" y="116924137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7" name="Straight Arrow Connector 2876">
            <a:extLst>
              <a:ext uri="{FF2B5EF4-FFF2-40B4-BE49-F238E27FC236}">
                <a16:creationId xmlns:a16="http://schemas.microsoft.com/office/drawing/2014/main" id="{D0533E17-ACD7-45FD-8C83-2DBAF7C3DC75}"/>
              </a:ext>
            </a:extLst>
          </xdr:cNvPr>
          <xdr:cNvCxnSpPr/>
        </xdr:nvCxnSpPr>
        <xdr:spPr>
          <a:xfrm>
            <a:off x="3400428" y="116928900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8" name="Straight Arrow Connector 2877">
            <a:extLst>
              <a:ext uri="{FF2B5EF4-FFF2-40B4-BE49-F238E27FC236}">
                <a16:creationId xmlns:a16="http://schemas.microsoft.com/office/drawing/2014/main" id="{E30CE140-EEA6-4A63-9730-FAB8C69FB063}"/>
              </a:ext>
            </a:extLst>
          </xdr:cNvPr>
          <xdr:cNvCxnSpPr/>
        </xdr:nvCxnSpPr>
        <xdr:spPr>
          <a:xfrm>
            <a:off x="3562357" y="116919375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9" name="Straight Arrow Connector 2878">
            <a:extLst>
              <a:ext uri="{FF2B5EF4-FFF2-40B4-BE49-F238E27FC236}">
                <a16:creationId xmlns:a16="http://schemas.microsoft.com/office/drawing/2014/main" id="{76C4D8B4-8D03-4EE1-ABB7-434931BB2677}"/>
              </a:ext>
            </a:extLst>
          </xdr:cNvPr>
          <xdr:cNvCxnSpPr/>
        </xdr:nvCxnSpPr>
        <xdr:spPr>
          <a:xfrm>
            <a:off x="3724283" y="1169241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0" name="Straight Arrow Connector 2879">
            <a:extLst>
              <a:ext uri="{FF2B5EF4-FFF2-40B4-BE49-F238E27FC236}">
                <a16:creationId xmlns:a16="http://schemas.microsoft.com/office/drawing/2014/main" id="{5BF6DBAB-3E46-43F0-9013-A92F959B3D4E}"/>
              </a:ext>
            </a:extLst>
          </xdr:cNvPr>
          <xdr:cNvCxnSpPr/>
        </xdr:nvCxnSpPr>
        <xdr:spPr>
          <a:xfrm>
            <a:off x="3886202" y="1169241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1" name="Straight Arrow Connector 2880">
            <a:extLst>
              <a:ext uri="{FF2B5EF4-FFF2-40B4-BE49-F238E27FC236}">
                <a16:creationId xmlns:a16="http://schemas.microsoft.com/office/drawing/2014/main" id="{F050C404-CE7F-4F32-AB09-9CC1A3688176}"/>
              </a:ext>
            </a:extLst>
          </xdr:cNvPr>
          <xdr:cNvCxnSpPr/>
        </xdr:nvCxnSpPr>
        <xdr:spPr>
          <a:xfrm>
            <a:off x="4048133" y="116928900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2" name="Straight Arrow Connector 2881">
            <a:extLst>
              <a:ext uri="{FF2B5EF4-FFF2-40B4-BE49-F238E27FC236}">
                <a16:creationId xmlns:a16="http://schemas.microsoft.com/office/drawing/2014/main" id="{3E98228E-A5DA-4643-8CBF-C32EAC4AFB88}"/>
              </a:ext>
            </a:extLst>
          </xdr:cNvPr>
          <xdr:cNvCxnSpPr/>
        </xdr:nvCxnSpPr>
        <xdr:spPr>
          <a:xfrm>
            <a:off x="4210059" y="1169241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3" name="Straight Arrow Connector 2882">
            <a:extLst>
              <a:ext uri="{FF2B5EF4-FFF2-40B4-BE49-F238E27FC236}">
                <a16:creationId xmlns:a16="http://schemas.microsoft.com/office/drawing/2014/main" id="{4C47E9AF-EC29-4F45-B443-B47A34A4FD01}"/>
              </a:ext>
            </a:extLst>
          </xdr:cNvPr>
          <xdr:cNvCxnSpPr/>
        </xdr:nvCxnSpPr>
        <xdr:spPr>
          <a:xfrm>
            <a:off x="4371978" y="1169241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4" name="Straight Arrow Connector 2883">
            <a:extLst>
              <a:ext uri="{FF2B5EF4-FFF2-40B4-BE49-F238E27FC236}">
                <a16:creationId xmlns:a16="http://schemas.microsoft.com/office/drawing/2014/main" id="{4BCA05EB-312F-4C97-A16B-FC3C39937552}"/>
              </a:ext>
            </a:extLst>
          </xdr:cNvPr>
          <xdr:cNvCxnSpPr/>
        </xdr:nvCxnSpPr>
        <xdr:spPr>
          <a:xfrm>
            <a:off x="4533915" y="1169241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5" name="Straight Arrow Connector 2884">
            <a:extLst>
              <a:ext uri="{FF2B5EF4-FFF2-40B4-BE49-F238E27FC236}">
                <a16:creationId xmlns:a16="http://schemas.microsoft.com/office/drawing/2014/main" id="{2CBCB8F9-000D-4F9B-B24D-8B83D4A82F7A}"/>
              </a:ext>
            </a:extLst>
          </xdr:cNvPr>
          <xdr:cNvCxnSpPr/>
        </xdr:nvCxnSpPr>
        <xdr:spPr>
          <a:xfrm>
            <a:off x="4695841" y="1169241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6" name="Straight Arrow Connector 2885">
            <a:extLst>
              <a:ext uri="{FF2B5EF4-FFF2-40B4-BE49-F238E27FC236}">
                <a16:creationId xmlns:a16="http://schemas.microsoft.com/office/drawing/2014/main" id="{19447E8D-07D4-448B-BC58-8495A41B61EA}"/>
              </a:ext>
            </a:extLst>
          </xdr:cNvPr>
          <xdr:cNvCxnSpPr/>
        </xdr:nvCxnSpPr>
        <xdr:spPr>
          <a:xfrm>
            <a:off x="4857760" y="116919375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7" name="Straight Arrow Connector 2886">
            <a:extLst>
              <a:ext uri="{FF2B5EF4-FFF2-40B4-BE49-F238E27FC236}">
                <a16:creationId xmlns:a16="http://schemas.microsoft.com/office/drawing/2014/main" id="{1E960B20-241B-4E36-9CFE-7EE2F965F74A}"/>
              </a:ext>
            </a:extLst>
          </xdr:cNvPr>
          <xdr:cNvCxnSpPr/>
        </xdr:nvCxnSpPr>
        <xdr:spPr>
          <a:xfrm>
            <a:off x="5086373" y="116924137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8" name="Straight Connector 2887">
            <a:extLst>
              <a:ext uri="{FF2B5EF4-FFF2-40B4-BE49-F238E27FC236}">
                <a16:creationId xmlns:a16="http://schemas.microsoft.com/office/drawing/2014/main" id="{FC382B53-5A59-4596-8BEE-F171E6A5D5CD}"/>
              </a:ext>
            </a:extLst>
          </xdr:cNvPr>
          <xdr:cNvCxnSpPr/>
        </xdr:nvCxnSpPr>
        <xdr:spPr>
          <a:xfrm>
            <a:off x="1390652" y="117019381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9" name="Straight Connector 2888">
            <a:extLst>
              <a:ext uri="{FF2B5EF4-FFF2-40B4-BE49-F238E27FC236}">
                <a16:creationId xmlns:a16="http://schemas.microsoft.com/office/drawing/2014/main" id="{3F19FA50-96DA-4196-B866-0F5BE1252DC7}"/>
              </a:ext>
            </a:extLst>
          </xdr:cNvPr>
          <xdr:cNvCxnSpPr/>
        </xdr:nvCxnSpPr>
        <xdr:spPr>
          <a:xfrm>
            <a:off x="3238510" y="116924130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109537</xdr:colOff>
      <xdr:row>1006</xdr:row>
      <xdr:rowOff>0</xdr:rowOff>
    </xdr:from>
    <xdr:to>
      <xdr:col>42</xdr:col>
      <xdr:colOff>61914</xdr:colOff>
      <xdr:row>1052</xdr:row>
      <xdr:rowOff>57156</xdr:rowOff>
    </xdr:to>
    <xdr:grpSp>
      <xdr:nvGrpSpPr>
        <xdr:cNvPr id="2995" name="Group 2994">
          <a:extLst>
            <a:ext uri="{FF2B5EF4-FFF2-40B4-BE49-F238E27FC236}">
              <a16:creationId xmlns:a16="http://schemas.microsoft.com/office/drawing/2014/main" id="{27E92D96-2DF0-B676-CDBA-1BA300497E16}"/>
            </a:ext>
          </a:extLst>
        </xdr:cNvPr>
        <xdr:cNvGrpSpPr/>
      </xdr:nvGrpSpPr>
      <xdr:grpSpPr>
        <a:xfrm>
          <a:off x="595312" y="144208500"/>
          <a:ext cx="6267452" cy="6629406"/>
          <a:chOff x="595312" y="132778500"/>
          <a:chExt cx="6267452" cy="6629406"/>
        </a:xfrm>
      </xdr:grpSpPr>
      <xdr:sp macro="" textlink="">
        <xdr:nvSpPr>
          <xdr:cNvPr id="1511" name="Arc 1510">
            <a:extLst>
              <a:ext uri="{FF2B5EF4-FFF2-40B4-BE49-F238E27FC236}">
                <a16:creationId xmlns:a16="http://schemas.microsoft.com/office/drawing/2014/main" id="{574F0F5F-3A54-9881-EE33-91D30513DF03}"/>
              </a:ext>
            </a:extLst>
          </xdr:cNvPr>
          <xdr:cNvSpPr/>
        </xdr:nvSpPr>
        <xdr:spPr>
          <a:xfrm>
            <a:off x="1476376" y="133208079"/>
            <a:ext cx="4181475" cy="6199827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D4556FC3-ECAD-15FE-AF12-3BC96B2ED4C6}"/>
              </a:ext>
            </a:extLst>
          </xdr:cNvPr>
          <xdr:cNvSpPr/>
        </xdr:nvSpPr>
        <xdr:spPr>
          <a:xfrm>
            <a:off x="1543047" y="135066173"/>
            <a:ext cx="338137" cy="143293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13" name="Isosceles Triangle 1512">
            <a:extLst>
              <a:ext uri="{FF2B5EF4-FFF2-40B4-BE49-F238E27FC236}">
                <a16:creationId xmlns:a16="http://schemas.microsoft.com/office/drawing/2014/main" id="{D2C0684A-BA1B-9D9C-B375-6E0F9233DEE8}"/>
              </a:ext>
            </a:extLst>
          </xdr:cNvPr>
          <xdr:cNvSpPr/>
        </xdr:nvSpPr>
        <xdr:spPr>
          <a:xfrm>
            <a:off x="1627629" y="134927659"/>
            <a:ext cx="154684" cy="13373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14" name="Straight Connector 1513">
            <a:extLst>
              <a:ext uri="{FF2B5EF4-FFF2-40B4-BE49-F238E27FC236}">
                <a16:creationId xmlns:a16="http://schemas.microsoft.com/office/drawing/2014/main" id="{133A30FC-F8A2-F7E1-33F1-15A6EC824A72}"/>
              </a:ext>
            </a:extLst>
          </xdr:cNvPr>
          <xdr:cNvCxnSpPr/>
        </xdr:nvCxnSpPr>
        <xdr:spPr>
          <a:xfrm>
            <a:off x="1533521" y="135061395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5" name="Oval 1514">
            <a:extLst>
              <a:ext uri="{FF2B5EF4-FFF2-40B4-BE49-F238E27FC236}">
                <a16:creationId xmlns:a16="http://schemas.microsoft.com/office/drawing/2014/main" id="{CC84F0E2-836D-23B6-57FF-29DE3236F703}"/>
              </a:ext>
            </a:extLst>
          </xdr:cNvPr>
          <xdr:cNvSpPr/>
        </xdr:nvSpPr>
        <xdr:spPr>
          <a:xfrm>
            <a:off x="1662108" y="134870338"/>
            <a:ext cx="85726" cy="85977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16" name="Straight Arrow Connector 1515">
            <a:extLst>
              <a:ext uri="{FF2B5EF4-FFF2-40B4-BE49-F238E27FC236}">
                <a16:creationId xmlns:a16="http://schemas.microsoft.com/office/drawing/2014/main" id="{605E1A78-7624-A4A8-5381-95A3BB1B85C1}"/>
              </a:ext>
            </a:extLst>
          </xdr:cNvPr>
          <xdr:cNvCxnSpPr/>
        </xdr:nvCxnSpPr>
        <xdr:spPr>
          <a:xfrm flipV="1">
            <a:off x="1695446" y="135204689"/>
            <a:ext cx="0" cy="29614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91061BBC-632F-4E3B-4B4F-D33FFEB5AE64}"/>
              </a:ext>
            </a:extLst>
          </xdr:cNvPr>
          <xdr:cNvSpPr/>
        </xdr:nvSpPr>
        <xdr:spPr>
          <a:xfrm>
            <a:off x="5272098" y="135061408"/>
            <a:ext cx="338137" cy="143293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18" name="Isosceles Triangle 1517">
            <a:extLst>
              <a:ext uri="{FF2B5EF4-FFF2-40B4-BE49-F238E27FC236}">
                <a16:creationId xmlns:a16="http://schemas.microsoft.com/office/drawing/2014/main" id="{E8EF649B-C19F-61FB-BB56-D892A731B0BC}"/>
              </a:ext>
            </a:extLst>
          </xdr:cNvPr>
          <xdr:cNvSpPr/>
        </xdr:nvSpPr>
        <xdr:spPr>
          <a:xfrm>
            <a:off x="5356680" y="134922894"/>
            <a:ext cx="154684" cy="13373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19" name="Straight Connector 1518">
            <a:extLst>
              <a:ext uri="{FF2B5EF4-FFF2-40B4-BE49-F238E27FC236}">
                <a16:creationId xmlns:a16="http://schemas.microsoft.com/office/drawing/2014/main" id="{8B123ECF-7F11-93AE-6800-30C49880AD28}"/>
              </a:ext>
            </a:extLst>
          </xdr:cNvPr>
          <xdr:cNvCxnSpPr/>
        </xdr:nvCxnSpPr>
        <xdr:spPr>
          <a:xfrm>
            <a:off x="5262572" y="135056630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0" name="Oval 1519">
            <a:extLst>
              <a:ext uri="{FF2B5EF4-FFF2-40B4-BE49-F238E27FC236}">
                <a16:creationId xmlns:a16="http://schemas.microsoft.com/office/drawing/2014/main" id="{6F21C221-507D-82E0-687A-FCDF384D0B2B}"/>
              </a:ext>
            </a:extLst>
          </xdr:cNvPr>
          <xdr:cNvSpPr/>
        </xdr:nvSpPr>
        <xdr:spPr>
          <a:xfrm>
            <a:off x="5391159" y="134865573"/>
            <a:ext cx="85726" cy="85977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21" name="Straight Arrow Connector 1520">
            <a:extLst>
              <a:ext uri="{FF2B5EF4-FFF2-40B4-BE49-F238E27FC236}">
                <a16:creationId xmlns:a16="http://schemas.microsoft.com/office/drawing/2014/main" id="{1F50E36F-D5BA-FCF4-B5C2-599D4E4923E8}"/>
              </a:ext>
            </a:extLst>
          </xdr:cNvPr>
          <xdr:cNvCxnSpPr/>
        </xdr:nvCxnSpPr>
        <xdr:spPr>
          <a:xfrm flipV="1">
            <a:off x="5424497" y="135199925"/>
            <a:ext cx="0" cy="29614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2" name="Oval 1521">
            <a:extLst>
              <a:ext uri="{FF2B5EF4-FFF2-40B4-BE49-F238E27FC236}">
                <a16:creationId xmlns:a16="http://schemas.microsoft.com/office/drawing/2014/main" id="{004B974A-013E-7E6E-6779-D18CA46AD8DF}"/>
              </a:ext>
            </a:extLst>
          </xdr:cNvPr>
          <xdr:cNvSpPr/>
        </xdr:nvSpPr>
        <xdr:spPr>
          <a:xfrm>
            <a:off x="3519489" y="133165119"/>
            <a:ext cx="85726" cy="85977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48" name="Straight Arrow Connector 1547">
            <a:extLst>
              <a:ext uri="{FF2B5EF4-FFF2-40B4-BE49-F238E27FC236}">
                <a16:creationId xmlns:a16="http://schemas.microsoft.com/office/drawing/2014/main" id="{28036A58-9C4D-8519-2409-C0A87ADE6B3B}"/>
              </a:ext>
            </a:extLst>
          </xdr:cNvPr>
          <xdr:cNvCxnSpPr/>
        </xdr:nvCxnSpPr>
        <xdr:spPr>
          <a:xfrm>
            <a:off x="4695826" y="133341876"/>
            <a:ext cx="0" cy="34868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Connector 1548">
            <a:extLst>
              <a:ext uri="{FF2B5EF4-FFF2-40B4-BE49-F238E27FC236}">
                <a16:creationId xmlns:a16="http://schemas.microsoft.com/office/drawing/2014/main" id="{196A89E8-495F-5D74-1955-DEB91CFC3CEC}"/>
              </a:ext>
            </a:extLst>
          </xdr:cNvPr>
          <xdr:cNvCxnSpPr/>
        </xdr:nvCxnSpPr>
        <xdr:spPr>
          <a:xfrm>
            <a:off x="1695451" y="135639351"/>
            <a:ext cx="0" cy="506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Connector 1549">
            <a:extLst>
              <a:ext uri="{FF2B5EF4-FFF2-40B4-BE49-F238E27FC236}">
                <a16:creationId xmlns:a16="http://schemas.microsoft.com/office/drawing/2014/main" id="{DAE4F8FB-66E5-5B94-AED0-083E54796A5A}"/>
              </a:ext>
            </a:extLst>
          </xdr:cNvPr>
          <xdr:cNvCxnSpPr/>
        </xdr:nvCxnSpPr>
        <xdr:spPr>
          <a:xfrm>
            <a:off x="1619250" y="135777862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Connector 1550">
            <a:extLst>
              <a:ext uri="{FF2B5EF4-FFF2-40B4-BE49-F238E27FC236}">
                <a16:creationId xmlns:a16="http://schemas.microsoft.com/office/drawing/2014/main" id="{AAD0AD6B-44B6-DEF6-6083-0EC1B0369D9A}"/>
              </a:ext>
            </a:extLst>
          </xdr:cNvPr>
          <xdr:cNvCxnSpPr/>
        </xdr:nvCxnSpPr>
        <xdr:spPr>
          <a:xfrm flipH="1">
            <a:off x="1657351" y="135744428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Connector 1551">
            <a:extLst>
              <a:ext uri="{FF2B5EF4-FFF2-40B4-BE49-F238E27FC236}">
                <a16:creationId xmlns:a16="http://schemas.microsoft.com/office/drawing/2014/main" id="{2813F487-2A5F-FE53-15CE-72B7B16A8C6F}"/>
              </a:ext>
            </a:extLst>
          </xdr:cNvPr>
          <xdr:cNvCxnSpPr/>
        </xdr:nvCxnSpPr>
        <xdr:spPr>
          <a:xfrm>
            <a:off x="1619246" y="136064453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Connector 1552">
            <a:extLst>
              <a:ext uri="{FF2B5EF4-FFF2-40B4-BE49-F238E27FC236}">
                <a16:creationId xmlns:a16="http://schemas.microsoft.com/office/drawing/2014/main" id="{D6D60A61-CF21-11E0-72DE-BBBD96F1651B}"/>
              </a:ext>
            </a:extLst>
          </xdr:cNvPr>
          <xdr:cNvCxnSpPr/>
        </xdr:nvCxnSpPr>
        <xdr:spPr>
          <a:xfrm flipH="1">
            <a:off x="1657347" y="136031019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Connector 1553">
            <a:extLst>
              <a:ext uri="{FF2B5EF4-FFF2-40B4-BE49-F238E27FC236}">
                <a16:creationId xmlns:a16="http://schemas.microsoft.com/office/drawing/2014/main" id="{F9578328-320F-C78A-BDEA-D99819698212}"/>
              </a:ext>
            </a:extLst>
          </xdr:cNvPr>
          <xdr:cNvCxnSpPr/>
        </xdr:nvCxnSpPr>
        <xdr:spPr>
          <a:xfrm>
            <a:off x="5424490" y="135639356"/>
            <a:ext cx="0" cy="506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Connector 1554">
            <a:extLst>
              <a:ext uri="{FF2B5EF4-FFF2-40B4-BE49-F238E27FC236}">
                <a16:creationId xmlns:a16="http://schemas.microsoft.com/office/drawing/2014/main" id="{FA22BDA5-9238-5828-85BA-457F28787E98}"/>
              </a:ext>
            </a:extLst>
          </xdr:cNvPr>
          <xdr:cNvCxnSpPr/>
        </xdr:nvCxnSpPr>
        <xdr:spPr>
          <a:xfrm flipH="1">
            <a:off x="5386390" y="135744433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Connector 1555">
            <a:extLst>
              <a:ext uri="{FF2B5EF4-FFF2-40B4-BE49-F238E27FC236}">
                <a16:creationId xmlns:a16="http://schemas.microsoft.com/office/drawing/2014/main" id="{05C09A59-15A4-2219-3A93-01301519EA5D}"/>
              </a:ext>
            </a:extLst>
          </xdr:cNvPr>
          <xdr:cNvCxnSpPr/>
        </xdr:nvCxnSpPr>
        <xdr:spPr>
          <a:xfrm flipH="1">
            <a:off x="5395911" y="136031024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Straight Connector 1556">
            <a:extLst>
              <a:ext uri="{FF2B5EF4-FFF2-40B4-BE49-F238E27FC236}">
                <a16:creationId xmlns:a16="http://schemas.microsoft.com/office/drawing/2014/main" id="{E15BF90C-C1F0-E59F-F1DB-2BE9162D19B8}"/>
              </a:ext>
            </a:extLst>
          </xdr:cNvPr>
          <xdr:cNvCxnSpPr/>
        </xdr:nvCxnSpPr>
        <xdr:spPr>
          <a:xfrm>
            <a:off x="2428876" y="133757427"/>
            <a:ext cx="0" cy="2101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Straight Connector 1557">
            <a:extLst>
              <a:ext uri="{FF2B5EF4-FFF2-40B4-BE49-F238E27FC236}">
                <a16:creationId xmlns:a16="http://schemas.microsoft.com/office/drawing/2014/main" id="{A0A26201-0642-CBB1-BC88-1DF469752971}"/>
              </a:ext>
            </a:extLst>
          </xdr:cNvPr>
          <xdr:cNvCxnSpPr/>
        </xdr:nvCxnSpPr>
        <xdr:spPr>
          <a:xfrm flipH="1">
            <a:off x="2390772" y="135744432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Straight Connector 1558">
            <a:extLst>
              <a:ext uri="{FF2B5EF4-FFF2-40B4-BE49-F238E27FC236}">
                <a16:creationId xmlns:a16="http://schemas.microsoft.com/office/drawing/2014/main" id="{669F546D-2309-99FD-9991-81421370094D}"/>
              </a:ext>
            </a:extLst>
          </xdr:cNvPr>
          <xdr:cNvCxnSpPr/>
        </xdr:nvCxnSpPr>
        <xdr:spPr>
          <a:xfrm>
            <a:off x="2386014" y="133638015"/>
            <a:ext cx="85725" cy="9075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Straight Connector 1559">
            <a:extLst>
              <a:ext uri="{FF2B5EF4-FFF2-40B4-BE49-F238E27FC236}">
                <a16:creationId xmlns:a16="http://schemas.microsoft.com/office/drawing/2014/main" id="{1C838979-B3FC-8C46-2306-100B6E76BAC7}"/>
              </a:ext>
            </a:extLst>
          </xdr:cNvPr>
          <xdr:cNvCxnSpPr/>
        </xdr:nvCxnSpPr>
        <xdr:spPr>
          <a:xfrm flipH="1">
            <a:off x="4662489" y="133647568"/>
            <a:ext cx="76200" cy="7642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Straight Connector 1560">
            <a:extLst>
              <a:ext uri="{FF2B5EF4-FFF2-40B4-BE49-F238E27FC236}">
                <a16:creationId xmlns:a16="http://schemas.microsoft.com/office/drawing/2014/main" id="{8E460EC7-C736-08BC-4C95-6CE7CAB41E23}"/>
              </a:ext>
            </a:extLst>
          </xdr:cNvPr>
          <xdr:cNvCxnSpPr/>
        </xdr:nvCxnSpPr>
        <xdr:spPr>
          <a:xfrm>
            <a:off x="4695825" y="133757433"/>
            <a:ext cx="0" cy="2101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2" name="Straight Connector 1561">
            <a:extLst>
              <a:ext uri="{FF2B5EF4-FFF2-40B4-BE49-F238E27FC236}">
                <a16:creationId xmlns:a16="http://schemas.microsoft.com/office/drawing/2014/main" id="{C5D64998-83B3-316D-3764-7CC51D770D36}"/>
              </a:ext>
            </a:extLst>
          </xdr:cNvPr>
          <xdr:cNvCxnSpPr/>
        </xdr:nvCxnSpPr>
        <xdr:spPr>
          <a:xfrm flipH="1">
            <a:off x="4657721" y="135744438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3" name="Straight Connector 1562">
            <a:extLst>
              <a:ext uri="{FF2B5EF4-FFF2-40B4-BE49-F238E27FC236}">
                <a16:creationId xmlns:a16="http://schemas.microsoft.com/office/drawing/2014/main" id="{76DDC0B9-5ED7-F6C5-BF80-43F32AB71736}"/>
              </a:ext>
            </a:extLst>
          </xdr:cNvPr>
          <xdr:cNvCxnSpPr/>
        </xdr:nvCxnSpPr>
        <xdr:spPr>
          <a:xfrm>
            <a:off x="3919537" y="133198583"/>
            <a:ext cx="29384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4" name="Straight Connector 1563">
            <a:extLst>
              <a:ext uri="{FF2B5EF4-FFF2-40B4-BE49-F238E27FC236}">
                <a16:creationId xmlns:a16="http://schemas.microsoft.com/office/drawing/2014/main" id="{A42DF287-7AED-3CBB-CA2C-D8B9ED5E4BEC}"/>
              </a:ext>
            </a:extLst>
          </xdr:cNvPr>
          <xdr:cNvCxnSpPr/>
        </xdr:nvCxnSpPr>
        <xdr:spPr>
          <a:xfrm>
            <a:off x="6000748" y="134918103"/>
            <a:ext cx="862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5" name="Straight Arrow Connector 1564">
            <a:extLst>
              <a:ext uri="{FF2B5EF4-FFF2-40B4-BE49-F238E27FC236}">
                <a16:creationId xmlns:a16="http://schemas.microsoft.com/office/drawing/2014/main" id="{946CB624-2F1F-542E-34A4-3BB8CB61C6CB}"/>
              </a:ext>
            </a:extLst>
          </xdr:cNvPr>
          <xdr:cNvCxnSpPr/>
        </xdr:nvCxnSpPr>
        <xdr:spPr>
          <a:xfrm flipH="1">
            <a:off x="5548312" y="134918103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6" name="Straight Connector 1565">
            <a:extLst>
              <a:ext uri="{FF2B5EF4-FFF2-40B4-BE49-F238E27FC236}">
                <a16:creationId xmlns:a16="http://schemas.microsoft.com/office/drawing/2014/main" id="{73BACB1D-C7E6-F649-E8E6-7DD82A7DFB37}"/>
              </a:ext>
            </a:extLst>
          </xdr:cNvPr>
          <xdr:cNvCxnSpPr/>
        </xdr:nvCxnSpPr>
        <xdr:spPr>
          <a:xfrm flipV="1">
            <a:off x="6477002" y="133126935"/>
            <a:ext cx="0" cy="18628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Straight Connector 1566">
            <a:extLst>
              <a:ext uri="{FF2B5EF4-FFF2-40B4-BE49-F238E27FC236}">
                <a16:creationId xmlns:a16="http://schemas.microsoft.com/office/drawing/2014/main" id="{96449DF3-577A-1CB4-82C7-5E19117E2819}"/>
              </a:ext>
            </a:extLst>
          </xdr:cNvPr>
          <xdr:cNvCxnSpPr/>
        </xdr:nvCxnSpPr>
        <xdr:spPr>
          <a:xfrm flipH="1">
            <a:off x="6443664" y="133165147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8" name="Straight Connector 1567">
            <a:extLst>
              <a:ext uri="{FF2B5EF4-FFF2-40B4-BE49-F238E27FC236}">
                <a16:creationId xmlns:a16="http://schemas.microsoft.com/office/drawing/2014/main" id="{9AA8F644-B4F2-89AD-4CEC-4A6F9B5AABF4}"/>
              </a:ext>
            </a:extLst>
          </xdr:cNvPr>
          <xdr:cNvCxnSpPr/>
        </xdr:nvCxnSpPr>
        <xdr:spPr>
          <a:xfrm flipH="1">
            <a:off x="6443663" y="134884668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9" name="Straight Connector 1568">
            <a:extLst>
              <a:ext uri="{FF2B5EF4-FFF2-40B4-BE49-F238E27FC236}">
                <a16:creationId xmlns:a16="http://schemas.microsoft.com/office/drawing/2014/main" id="{3725CD2D-DA88-0AA4-AEFD-C3D6B932705A}"/>
              </a:ext>
            </a:extLst>
          </xdr:cNvPr>
          <xdr:cNvCxnSpPr/>
        </xdr:nvCxnSpPr>
        <xdr:spPr>
          <a:xfrm flipV="1">
            <a:off x="6800853" y="133126934"/>
            <a:ext cx="0" cy="18628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0" name="Straight Connector 1569">
            <a:extLst>
              <a:ext uri="{FF2B5EF4-FFF2-40B4-BE49-F238E27FC236}">
                <a16:creationId xmlns:a16="http://schemas.microsoft.com/office/drawing/2014/main" id="{F9648711-23D1-AF3D-4655-BC64AB121A15}"/>
              </a:ext>
            </a:extLst>
          </xdr:cNvPr>
          <xdr:cNvCxnSpPr/>
        </xdr:nvCxnSpPr>
        <xdr:spPr>
          <a:xfrm flipH="1">
            <a:off x="6767515" y="133165146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1" name="Straight Connector 1570">
            <a:extLst>
              <a:ext uri="{FF2B5EF4-FFF2-40B4-BE49-F238E27FC236}">
                <a16:creationId xmlns:a16="http://schemas.microsoft.com/office/drawing/2014/main" id="{497E1550-1390-DEAE-B6A4-6A0659B60B52}"/>
              </a:ext>
            </a:extLst>
          </xdr:cNvPr>
          <xdr:cNvCxnSpPr/>
        </xdr:nvCxnSpPr>
        <xdr:spPr>
          <a:xfrm flipH="1">
            <a:off x="6767514" y="134884667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2" name="Straight Connector 1571">
            <a:extLst>
              <a:ext uri="{FF2B5EF4-FFF2-40B4-BE49-F238E27FC236}">
                <a16:creationId xmlns:a16="http://schemas.microsoft.com/office/drawing/2014/main" id="{24B97F6F-59A8-0A90-4EB2-650AE6F86AA4}"/>
              </a:ext>
            </a:extLst>
          </xdr:cNvPr>
          <xdr:cNvCxnSpPr/>
        </xdr:nvCxnSpPr>
        <xdr:spPr>
          <a:xfrm>
            <a:off x="4776789" y="133690563"/>
            <a:ext cx="1766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3" name="Straight Connector 1572">
            <a:extLst>
              <a:ext uri="{FF2B5EF4-FFF2-40B4-BE49-F238E27FC236}">
                <a16:creationId xmlns:a16="http://schemas.microsoft.com/office/drawing/2014/main" id="{1D651BE5-8869-5825-9A25-0526041FC7A0}"/>
              </a:ext>
            </a:extLst>
          </xdr:cNvPr>
          <xdr:cNvCxnSpPr/>
        </xdr:nvCxnSpPr>
        <xdr:spPr>
          <a:xfrm flipH="1">
            <a:off x="6443664" y="133657126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4" name="Straight Connector 1573">
            <a:extLst>
              <a:ext uri="{FF2B5EF4-FFF2-40B4-BE49-F238E27FC236}">
                <a16:creationId xmlns:a16="http://schemas.microsoft.com/office/drawing/2014/main" id="{FED2E481-0535-00C5-BA16-C8C6CBC69B6C}"/>
              </a:ext>
            </a:extLst>
          </xdr:cNvPr>
          <xdr:cNvCxnSpPr/>
        </xdr:nvCxnSpPr>
        <xdr:spPr>
          <a:xfrm>
            <a:off x="1062038" y="133198581"/>
            <a:ext cx="216694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5" name="Straight Arrow Connector 1574">
            <a:extLst>
              <a:ext uri="{FF2B5EF4-FFF2-40B4-BE49-F238E27FC236}">
                <a16:creationId xmlns:a16="http://schemas.microsoft.com/office/drawing/2014/main" id="{2202B565-4181-BA14-0C88-91419571EB33}"/>
              </a:ext>
            </a:extLst>
          </xdr:cNvPr>
          <xdr:cNvCxnSpPr/>
        </xdr:nvCxnSpPr>
        <xdr:spPr>
          <a:xfrm>
            <a:off x="1309689" y="134918103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6" name="Straight Connector 1575">
            <a:extLst>
              <a:ext uri="{FF2B5EF4-FFF2-40B4-BE49-F238E27FC236}">
                <a16:creationId xmlns:a16="http://schemas.microsoft.com/office/drawing/2014/main" id="{333E826C-BD8C-AC5E-59AA-E5978B4718A9}"/>
              </a:ext>
            </a:extLst>
          </xdr:cNvPr>
          <xdr:cNvCxnSpPr/>
        </xdr:nvCxnSpPr>
        <xdr:spPr>
          <a:xfrm flipH="1">
            <a:off x="1057275" y="134918103"/>
            <a:ext cx="20479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7" name="Straight Connector 1576">
            <a:extLst>
              <a:ext uri="{FF2B5EF4-FFF2-40B4-BE49-F238E27FC236}">
                <a16:creationId xmlns:a16="http://schemas.microsoft.com/office/drawing/2014/main" id="{E37B8233-3DEA-C05B-C0B0-C95E7152E5CB}"/>
              </a:ext>
            </a:extLst>
          </xdr:cNvPr>
          <xdr:cNvCxnSpPr/>
        </xdr:nvCxnSpPr>
        <xdr:spPr>
          <a:xfrm flipH="1">
            <a:off x="1095386" y="134884670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8" name="Straight Connector 1577">
            <a:extLst>
              <a:ext uri="{FF2B5EF4-FFF2-40B4-BE49-F238E27FC236}">
                <a16:creationId xmlns:a16="http://schemas.microsoft.com/office/drawing/2014/main" id="{44DADABB-E8BA-E6B2-B7C2-35217756CBA2}"/>
              </a:ext>
            </a:extLst>
          </xdr:cNvPr>
          <xdr:cNvCxnSpPr/>
        </xdr:nvCxnSpPr>
        <xdr:spPr>
          <a:xfrm>
            <a:off x="1133483" y="133126936"/>
            <a:ext cx="0" cy="18628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Connector 1578">
            <a:extLst>
              <a:ext uri="{FF2B5EF4-FFF2-40B4-BE49-F238E27FC236}">
                <a16:creationId xmlns:a16="http://schemas.microsoft.com/office/drawing/2014/main" id="{F745851D-44A7-D030-4DCE-0A114444D36D}"/>
              </a:ext>
            </a:extLst>
          </xdr:cNvPr>
          <xdr:cNvCxnSpPr/>
        </xdr:nvCxnSpPr>
        <xdr:spPr>
          <a:xfrm flipH="1">
            <a:off x="1100143" y="133165145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0" name="Straight Connector 1579">
            <a:extLst>
              <a:ext uri="{FF2B5EF4-FFF2-40B4-BE49-F238E27FC236}">
                <a16:creationId xmlns:a16="http://schemas.microsoft.com/office/drawing/2014/main" id="{DDFE8350-5B8D-E05C-82FB-4B64FD852017}"/>
              </a:ext>
            </a:extLst>
          </xdr:cNvPr>
          <xdr:cNvCxnSpPr/>
        </xdr:nvCxnSpPr>
        <xdr:spPr>
          <a:xfrm>
            <a:off x="1066800" y="133685779"/>
            <a:ext cx="12954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1" name="Straight Connector 1580">
            <a:extLst>
              <a:ext uri="{FF2B5EF4-FFF2-40B4-BE49-F238E27FC236}">
                <a16:creationId xmlns:a16="http://schemas.microsoft.com/office/drawing/2014/main" id="{BB443966-5A9E-CF07-06E5-A46F8876A9E7}"/>
              </a:ext>
            </a:extLst>
          </xdr:cNvPr>
          <xdr:cNvCxnSpPr/>
        </xdr:nvCxnSpPr>
        <xdr:spPr>
          <a:xfrm flipH="1">
            <a:off x="1100142" y="133657105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2" name="Straight Connector 1581">
            <a:extLst>
              <a:ext uri="{FF2B5EF4-FFF2-40B4-BE49-F238E27FC236}">
                <a16:creationId xmlns:a16="http://schemas.microsoft.com/office/drawing/2014/main" id="{9123B5D5-81BA-6ACD-3F52-2CFF742848CF}"/>
              </a:ext>
            </a:extLst>
          </xdr:cNvPr>
          <xdr:cNvCxnSpPr/>
        </xdr:nvCxnSpPr>
        <xdr:spPr>
          <a:xfrm>
            <a:off x="3562355" y="133351428"/>
            <a:ext cx="0" cy="25028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3" name="Straight Connector 1582">
            <a:extLst>
              <a:ext uri="{FF2B5EF4-FFF2-40B4-BE49-F238E27FC236}">
                <a16:creationId xmlns:a16="http://schemas.microsoft.com/office/drawing/2014/main" id="{47E6A8AD-5572-8C35-5A3F-0DFEC352F7D5}"/>
              </a:ext>
            </a:extLst>
          </xdr:cNvPr>
          <xdr:cNvCxnSpPr/>
        </xdr:nvCxnSpPr>
        <xdr:spPr>
          <a:xfrm flipH="1">
            <a:off x="3524251" y="135739655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8" name="Straight Arrow Connector 1587">
            <a:extLst>
              <a:ext uri="{FF2B5EF4-FFF2-40B4-BE49-F238E27FC236}">
                <a16:creationId xmlns:a16="http://schemas.microsoft.com/office/drawing/2014/main" id="{7122BC6E-3350-79A9-8909-F3FE18C394C2}"/>
              </a:ext>
            </a:extLst>
          </xdr:cNvPr>
          <xdr:cNvCxnSpPr/>
        </xdr:nvCxnSpPr>
        <xdr:spPr>
          <a:xfrm flipV="1">
            <a:off x="1695451" y="134220742"/>
            <a:ext cx="0" cy="687808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9" name="Straight Arrow Connector 1588">
            <a:extLst>
              <a:ext uri="{FF2B5EF4-FFF2-40B4-BE49-F238E27FC236}">
                <a16:creationId xmlns:a16="http://schemas.microsoft.com/office/drawing/2014/main" id="{71FBD94F-4F3B-56A9-F03A-D8495178BDA2}"/>
              </a:ext>
            </a:extLst>
          </xdr:cNvPr>
          <xdr:cNvCxnSpPr/>
        </xdr:nvCxnSpPr>
        <xdr:spPr>
          <a:xfrm>
            <a:off x="1695451" y="134918103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Connector 1594">
            <a:extLst>
              <a:ext uri="{FF2B5EF4-FFF2-40B4-BE49-F238E27FC236}">
                <a16:creationId xmlns:a16="http://schemas.microsoft.com/office/drawing/2014/main" id="{6F8E6FEA-FBB0-A267-FCB2-A32284B80B21}"/>
              </a:ext>
            </a:extLst>
          </xdr:cNvPr>
          <xdr:cNvCxnSpPr/>
        </xdr:nvCxnSpPr>
        <xdr:spPr>
          <a:xfrm>
            <a:off x="809625" y="133207125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8" name="Straight Arrow Connector 1597">
            <a:extLst>
              <a:ext uri="{FF2B5EF4-FFF2-40B4-BE49-F238E27FC236}">
                <a16:creationId xmlns:a16="http://schemas.microsoft.com/office/drawing/2014/main" id="{ED5BD5A4-6236-AB1B-DFCD-FEDA0C879E35}"/>
              </a:ext>
            </a:extLst>
          </xdr:cNvPr>
          <xdr:cNvCxnSpPr/>
        </xdr:nvCxnSpPr>
        <xdr:spPr>
          <a:xfrm>
            <a:off x="604839" y="133207126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Arrow Connector 1598">
            <a:extLst>
              <a:ext uri="{FF2B5EF4-FFF2-40B4-BE49-F238E27FC236}">
                <a16:creationId xmlns:a16="http://schemas.microsoft.com/office/drawing/2014/main" id="{5F553822-958B-409B-BA61-A24044C1CFE3}"/>
              </a:ext>
            </a:extLst>
          </xdr:cNvPr>
          <xdr:cNvCxnSpPr/>
        </xdr:nvCxnSpPr>
        <xdr:spPr>
          <a:xfrm>
            <a:off x="600076" y="133350001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0" name="Straight Arrow Connector 1599">
            <a:extLst>
              <a:ext uri="{FF2B5EF4-FFF2-40B4-BE49-F238E27FC236}">
                <a16:creationId xmlns:a16="http://schemas.microsoft.com/office/drawing/2014/main" id="{94C783A5-40EC-4D82-BD27-01EA62454AFB}"/>
              </a:ext>
            </a:extLst>
          </xdr:cNvPr>
          <xdr:cNvCxnSpPr/>
        </xdr:nvCxnSpPr>
        <xdr:spPr>
          <a:xfrm>
            <a:off x="604839" y="133492876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1" name="Straight Arrow Connector 1600">
            <a:extLst>
              <a:ext uri="{FF2B5EF4-FFF2-40B4-BE49-F238E27FC236}">
                <a16:creationId xmlns:a16="http://schemas.microsoft.com/office/drawing/2014/main" id="{8C94D866-3045-4990-BCC9-3313FEBA988E}"/>
              </a:ext>
            </a:extLst>
          </xdr:cNvPr>
          <xdr:cNvCxnSpPr/>
        </xdr:nvCxnSpPr>
        <xdr:spPr>
          <a:xfrm>
            <a:off x="600076" y="133635751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2" name="Straight Arrow Connector 1601">
            <a:extLst>
              <a:ext uri="{FF2B5EF4-FFF2-40B4-BE49-F238E27FC236}">
                <a16:creationId xmlns:a16="http://schemas.microsoft.com/office/drawing/2014/main" id="{0B79009F-CB7B-4DC0-B8CC-5930CFD93D0E}"/>
              </a:ext>
            </a:extLst>
          </xdr:cNvPr>
          <xdr:cNvCxnSpPr/>
        </xdr:nvCxnSpPr>
        <xdr:spPr>
          <a:xfrm>
            <a:off x="600077" y="133778623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3" name="Straight Arrow Connector 1602">
            <a:extLst>
              <a:ext uri="{FF2B5EF4-FFF2-40B4-BE49-F238E27FC236}">
                <a16:creationId xmlns:a16="http://schemas.microsoft.com/office/drawing/2014/main" id="{5E84994F-2611-4DE8-A4D7-D8CB599036E8}"/>
              </a:ext>
            </a:extLst>
          </xdr:cNvPr>
          <xdr:cNvCxnSpPr/>
        </xdr:nvCxnSpPr>
        <xdr:spPr>
          <a:xfrm>
            <a:off x="595314" y="133921498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4" name="Straight Arrow Connector 1603">
            <a:extLst>
              <a:ext uri="{FF2B5EF4-FFF2-40B4-BE49-F238E27FC236}">
                <a16:creationId xmlns:a16="http://schemas.microsoft.com/office/drawing/2014/main" id="{8FEA9E34-19D8-46DD-804C-B1A4D682DF9D}"/>
              </a:ext>
            </a:extLst>
          </xdr:cNvPr>
          <xdr:cNvCxnSpPr/>
        </xdr:nvCxnSpPr>
        <xdr:spPr>
          <a:xfrm>
            <a:off x="600077" y="134064373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5" name="Straight Arrow Connector 1604">
            <a:extLst>
              <a:ext uri="{FF2B5EF4-FFF2-40B4-BE49-F238E27FC236}">
                <a16:creationId xmlns:a16="http://schemas.microsoft.com/office/drawing/2014/main" id="{DA73A6F0-2450-435D-9659-7AF170D5B542}"/>
              </a:ext>
            </a:extLst>
          </xdr:cNvPr>
          <xdr:cNvCxnSpPr/>
        </xdr:nvCxnSpPr>
        <xdr:spPr>
          <a:xfrm>
            <a:off x="595314" y="134207248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6" name="Straight Arrow Connector 1605">
            <a:extLst>
              <a:ext uri="{FF2B5EF4-FFF2-40B4-BE49-F238E27FC236}">
                <a16:creationId xmlns:a16="http://schemas.microsoft.com/office/drawing/2014/main" id="{8813BA04-FF0D-426A-9491-5E4A76C6EB40}"/>
              </a:ext>
            </a:extLst>
          </xdr:cNvPr>
          <xdr:cNvCxnSpPr/>
        </xdr:nvCxnSpPr>
        <xdr:spPr>
          <a:xfrm>
            <a:off x="604837" y="134350127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7" name="Straight Arrow Connector 1606">
            <a:extLst>
              <a:ext uri="{FF2B5EF4-FFF2-40B4-BE49-F238E27FC236}">
                <a16:creationId xmlns:a16="http://schemas.microsoft.com/office/drawing/2014/main" id="{FED9B192-A4AB-4051-96A8-CFCEABF79E98}"/>
              </a:ext>
            </a:extLst>
          </xdr:cNvPr>
          <xdr:cNvCxnSpPr/>
        </xdr:nvCxnSpPr>
        <xdr:spPr>
          <a:xfrm>
            <a:off x="600074" y="134493002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8" name="Straight Arrow Connector 1607">
            <a:extLst>
              <a:ext uri="{FF2B5EF4-FFF2-40B4-BE49-F238E27FC236}">
                <a16:creationId xmlns:a16="http://schemas.microsoft.com/office/drawing/2014/main" id="{D94F55E7-8182-4B66-A808-76D5273E2218}"/>
              </a:ext>
            </a:extLst>
          </xdr:cNvPr>
          <xdr:cNvCxnSpPr/>
        </xdr:nvCxnSpPr>
        <xdr:spPr>
          <a:xfrm>
            <a:off x="600075" y="134635874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9" name="Straight Arrow Connector 1608">
            <a:extLst>
              <a:ext uri="{FF2B5EF4-FFF2-40B4-BE49-F238E27FC236}">
                <a16:creationId xmlns:a16="http://schemas.microsoft.com/office/drawing/2014/main" id="{7E9E8D94-2DF4-4321-BB7A-5DDDBF07FCA2}"/>
              </a:ext>
            </a:extLst>
          </xdr:cNvPr>
          <xdr:cNvCxnSpPr/>
        </xdr:nvCxnSpPr>
        <xdr:spPr>
          <a:xfrm>
            <a:off x="595312" y="134778749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0" name="Straight Arrow Connector 1609">
            <a:extLst>
              <a:ext uri="{FF2B5EF4-FFF2-40B4-BE49-F238E27FC236}">
                <a16:creationId xmlns:a16="http://schemas.microsoft.com/office/drawing/2014/main" id="{652CA0CD-5C81-4468-B2B3-49E883ABDE20}"/>
              </a:ext>
            </a:extLst>
          </xdr:cNvPr>
          <xdr:cNvCxnSpPr/>
        </xdr:nvCxnSpPr>
        <xdr:spPr>
          <a:xfrm>
            <a:off x="600075" y="134921624"/>
            <a:ext cx="20955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2" name="Straight Connector 1611">
            <a:extLst>
              <a:ext uri="{FF2B5EF4-FFF2-40B4-BE49-F238E27FC236}">
                <a16:creationId xmlns:a16="http://schemas.microsoft.com/office/drawing/2014/main" id="{EC36B6F7-E23B-4B08-A528-9074E25AC24B}"/>
              </a:ext>
            </a:extLst>
          </xdr:cNvPr>
          <xdr:cNvCxnSpPr/>
        </xdr:nvCxnSpPr>
        <xdr:spPr>
          <a:xfrm>
            <a:off x="600074" y="133207125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0" name="Straight Connector 2889">
            <a:extLst>
              <a:ext uri="{FF2B5EF4-FFF2-40B4-BE49-F238E27FC236}">
                <a16:creationId xmlns:a16="http://schemas.microsoft.com/office/drawing/2014/main" id="{08E1EC46-5065-47B4-903C-3A38F87A9D9F}"/>
              </a:ext>
            </a:extLst>
          </xdr:cNvPr>
          <xdr:cNvCxnSpPr/>
        </xdr:nvCxnSpPr>
        <xdr:spPr>
          <a:xfrm>
            <a:off x="1714504" y="133069012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1" name="Straight Arrow Connector 2890">
            <a:extLst>
              <a:ext uri="{FF2B5EF4-FFF2-40B4-BE49-F238E27FC236}">
                <a16:creationId xmlns:a16="http://schemas.microsoft.com/office/drawing/2014/main" id="{432075C8-8B1A-47A1-8945-A607C5B5971A}"/>
              </a:ext>
            </a:extLst>
          </xdr:cNvPr>
          <xdr:cNvCxnSpPr/>
        </xdr:nvCxnSpPr>
        <xdr:spPr>
          <a:xfrm>
            <a:off x="1714500" y="13287851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2" name="Straight Arrow Connector 2891">
            <a:extLst>
              <a:ext uri="{FF2B5EF4-FFF2-40B4-BE49-F238E27FC236}">
                <a16:creationId xmlns:a16="http://schemas.microsoft.com/office/drawing/2014/main" id="{79D20E6F-B9CE-4775-B6B6-547FD4E500F5}"/>
              </a:ext>
            </a:extLst>
          </xdr:cNvPr>
          <xdr:cNvCxnSpPr/>
        </xdr:nvCxnSpPr>
        <xdr:spPr>
          <a:xfrm>
            <a:off x="1943099" y="13287851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3" name="Straight Arrow Connector 2892">
            <a:extLst>
              <a:ext uri="{FF2B5EF4-FFF2-40B4-BE49-F238E27FC236}">
                <a16:creationId xmlns:a16="http://schemas.microsoft.com/office/drawing/2014/main" id="{6312FDAD-5899-46A3-971A-8FB1C5E001A8}"/>
              </a:ext>
            </a:extLst>
          </xdr:cNvPr>
          <xdr:cNvCxnSpPr/>
        </xdr:nvCxnSpPr>
        <xdr:spPr>
          <a:xfrm>
            <a:off x="2105025" y="13287851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4" name="Straight Arrow Connector 2893">
            <a:extLst>
              <a:ext uri="{FF2B5EF4-FFF2-40B4-BE49-F238E27FC236}">
                <a16:creationId xmlns:a16="http://schemas.microsoft.com/office/drawing/2014/main" id="{49A92D63-09C5-4D64-BEEA-64D3BDCEB987}"/>
              </a:ext>
            </a:extLst>
          </xdr:cNvPr>
          <xdr:cNvCxnSpPr/>
        </xdr:nvCxnSpPr>
        <xdr:spPr>
          <a:xfrm>
            <a:off x="2266944" y="13287851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5" name="Straight Arrow Connector 2894">
            <a:extLst>
              <a:ext uri="{FF2B5EF4-FFF2-40B4-BE49-F238E27FC236}">
                <a16:creationId xmlns:a16="http://schemas.microsoft.com/office/drawing/2014/main" id="{B269B002-E993-462E-AC22-99D4AC313B8B}"/>
              </a:ext>
            </a:extLst>
          </xdr:cNvPr>
          <xdr:cNvCxnSpPr/>
        </xdr:nvCxnSpPr>
        <xdr:spPr>
          <a:xfrm>
            <a:off x="2428875" y="13287851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6" name="Straight Arrow Connector 2895">
            <a:extLst>
              <a:ext uri="{FF2B5EF4-FFF2-40B4-BE49-F238E27FC236}">
                <a16:creationId xmlns:a16="http://schemas.microsoft.com/office/drawing/2014/main" id="{8C78948A-3E3E-4B2F-8789-96A930E26B4E}"/>
              </a:ext>
            </a:extLst>
          </xdr:cNvPr>
          <xdr:cNvCxnSpPr/>
        </xdr:nvCxnSpPr>
        <xdr:spPr>
          <a:xfrm>
            <a:off x="2590801" y="13287851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7" name="Straight Arrow Connector 2896">
            <a:extLst>
              <a:ext uri="{FF2B5EF4-FFF2-40B4-BE49-F238E27FC236}">
                <a16:creationId xmlns:a16="http://schemas.microsoft.com/office/drawing/2014/main" id="{7974495C-3A44-45FA-AE6B-808AF946D1B0}"/>
              </a:ext>
            </a:extLst>
          </xdr:cNvPr>
          <xdr:cNvCxnSpPr/>
        </xdr:nvCxnSpPr>
        <xdr:spPr>
          <a:xfrm>
            <a:off x="2752720" y="13287851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8" name="Straight Arrow Connector 2897">
            <a:extLst>
              <a:ext uri="{FF2B5EF4-FFF2-40B4-BE49-F238E27FC236}">
                <a16:creationId xmlns:a16="http://schemas.microsoft.com/office/drawing/2014/main" id="{BB35332C-D063-4463-8D61-F83FC32F5923}"/>
              </a:ext>
            </a:extLst>
          </xdr:cNvPr>
          <xdr:cNvCxnSpPr/>
        </xdr:nvCxnSpPr>
        <xdr:spPr>
          <a:xfrm>
            <a:off x="2914657" y="13287851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9" name="Straight Arrow Connector 2898">
            <a:extLst>
              <a:ext uri="{FF2B5EF4-FFF2-40B4-BE49-F238E27FC236}">
                <a16:creationId xmlns:a16="http://schemas.microsoft.com/office/drawing/2014/main" id="{56121A79-E07E-473F-853E-8A4CCBA3F35C}"/>
              </a:ext>
            </a:extLst>
          </xdr:cNvPr>
          <xdr:cNvCxnSpPr/>
        </xdr:nvCxnSpPr>
        <xdr:spPr>
          <a:xfrm>
            <a:off x="3076583" y="13287851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0" name="Straight Arrow Connector 2899">
            <a:extLst>
              <a:ext uri="{FF2B5EF4-FFF2-40B4-BE49-F238E27FC236}">
                <a16:creationId xmlns:a16="http://schemas.microsoft.com/office/drawing/2014/main" id="{E7F56D3D-768A-4A49-9F9C-C701B8FB3234}"/>
              </a:ext>
            </a:extLst>
          </xdr:cNvPr>
          <xdr:cNvCxnSpPr/>
        </xdr:nvCxnSpPr>
        <xdr:spPr>
          <a:xfrm>
            <a:off x="3238502" y="13287851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1" name="Straight Arrow Connector 2900">
            <a:extLst>
              <a:ext uri="{FF2B5EF4-FFF2-40B4-BE49-F238E27FC236}">
                <a16:creationId xmlns:a16="http://schemas.microsoft.com/office/drawing/2014/main" id="{4FE21D73-38F4-43EA-AC99-46D5D6535C8B}"/>
              </a:ext>
            </a:extLst>
          </xdr:cNvPr>
          <xdr:cNvCxnSpPr/>
        </xdr:nvCxnSpPr>
        <xdr:spPr>
          <a:xfrm>
            <a:off x="3400433" y="132878512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2" name="Straight Arrow Connector 2901">
            <a:extLst>
              <a:ext uri="{FF2B5EF4-FFF2-40B4-BE49-F238E27FC236}">
                <a16:creationId xmlns:a16="http://schemas.microsoft.com/office/drawing/2014/main" id="{18967495-3917-400C-BAE3-32E7B93F21F2}"/>
              </a:ext>
            </a:extLst>
          </xdr:cNvPr>
          <xdr:cNvCxnSpPr/>
        </xdr:nvCxnSpPr>
        <xdr:spPr>
          <a:xfrm>
            <a:off x="3562359" y="132783262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3" name="Straight Arrow Connector 2902">
            <a:extLst>
              <a:ext uri="{FF2B5EF4-FFF2-40B4-BE49-F238E27FC236}">
                <a16:creationId xmlns:a16="http://schemas.microsoft.com/office/drawing/2014/main" id="{36BFA8C4-6134-4250-BAFE-C46D55C27E57}"/>
              </a:ext>
            </a:extLst>
          </xdr:cNvPr>
          <xdr:cNvCxnSpPr/>
        </xdr:nvCxnSpPr>
        <xdr:spPr>
          <a:xfrm>
            <a:off x="3724278" y="132788025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4" name="Straight Arrow Connector 2903">
            <a:extLst>
              <a:ext uri="{FF2B5EF4-FFF2-40B4-BE49-F238E27FC236}">
                <a16:creationId xmlns:a16="http://schemas.microsoft.com/office/drawing/2014/main" id="{CEF442AD-3E18-4460-A8E9-B9EF6EBCEFDE}"/>
              </a:ext>
            </a:extLst>
          </xdr:cNvPr>
          <xdr:cNvCxnSpPr/>
        </xdr:nvCxnSpPr>
        <xdr:spPr>
          <a:xfrm>
            <a:off x="3886207" y="132778500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5" name="Straight Arrow Connector 2904">
            <a:extLst>
              <a:ext uri="{FF2B5EF4-FFF2-40B4-BE49-F238E27FC236}">
                <a16:creationId xmlns:a16="http://schemas.microsoft.com/office/drawing/2014/main" id="{EFEA2489-9D04-406F-BB17-D3378FD568CC}"/>
              </a:ext>
            </a:extLst>
          </xdr:cNvPr>
          <xdr:cNvCxnSpPr/>
        </xdr:nvCxnSpPr>
        <xdr:spPr>
          <a:xfrm>
            <a:off x="4048133" y="13278326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6" name="Straight Arrow Connector 2905">
            <a:extLst>
              <a:ext uri="{FF2B5EF4-FFF2-40B4-BE49-F238E27FC236}">
                <a16:creationId xmlns:a16="http://schemas.microsoft.com/office/drawing/2014/main" id="{A11CC9D5-7269-4D5E-9C58-B80DFD380618}"/>
              </a:ext>
            </a:extLst>
          </xdr:cNvPr>
          <xdr:cNvCxnSpPr/>
        </xdr:nvCxnSpPr>
        <xdr:spPr>
          <a:xfrm>
            <a:off x="4210052" y="13278326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7" name="Straight Arrow Connector 2906">
            <a:extLst>
              <a:ext uri="{FF2B5EF4-FFF2-40B4-BE49-F238E27FC236}">
                <a16:creationId xmlns:a16="http://schemas.microsoft.com/office/drawing/2014/main" id="{24F895DE-4F43-4351-92B2-F44CF4C8050D}"/>
              </a:ext>
            </a:extLst>
          </xdr:cNvPr>
          <xdr:cNvCxnSpPr/>
        </xdr:nvCxnSpPr>
        <xdr:spPr>
          <a:xfrm>
            <a:off x="4371983" y="132788025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8" name="Straight Arrow Connector 2907">
            <a:extLst>
              <a:ext uri="{FF2B5EF4-FFF2-40B4-BE49-F238E27FC236}">
                <a16:creationId xmlns:a16="http://schemas.microsoft.com/office/drawing/2014/main" id="{754AC1CA-9FA3-4591-B093-9813C46BE0C2}"/>
              </a:ext>
            </a:extLst>
          </xdr:cNvPr>
          <xdr:cNvCxnSpPr/>
        </xdr:nvCxnSpPr>
        <xdr:spPr>
          <a:xfrm>
            <a:off x="4533909" y="13278326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9" name="Straight Arrow Connector 2908">
            <a:extLst>
              <a:ext uri="{FF2B5EF4-FFF2-40B4-BE49-F238E27FC236}">
                <a16:creationId xmlns:a16="http://schemas.microsoft.com/office/drawing/2014/main" id="{ED40B716-98A4-4A47-937E-FA11ED1E04FC}"/>
              </a:ext>
            </a:extLst>
          </xdr:cNvPr>
          <xdr:cNvCxnSpPr/>
        </xdr:nvCxnSpPr>
        <xdr:spPr>
          <a:xfrm>
            <a:off x="4695828" y="13278326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0" name="Straight Arrow Connector 2909">
            <a:extLst>
              <a:ext uri="{FF2B5EF4-FFF2-40B4-BE49-F238E27FC236}">
                <a16:creationId xmlns:a16="http://schemas.microsoft.com/office/drawing/2014/main" id="{DD710A4B-23E2-482B-B8E1-78219913C56E}"/>
              </a:ext>
            </a:extLst>
          </xdr:cNvPr>
          <xdr:cNvCxnSpPr/>
        </xdr:nvCxnSpPr>
        <xdr:spPr>
          <a:xfrm>
            <a:off x="4857765" y="13278326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1" name="Straight Arrow Connector 2910">
            <a:extLst>
              <a:ext uri="{FF2B5EF4-FFF2-40B4-BE49-F238E27FC236}">
                <a16:creationId xmlns:a16="http://schemas.microsoft.com/office/drawing/2014/main" id="{CB1F134C-6009-4CA4-AB03-8AE545D98D8B}"/>
              </a:ext>
            </a:extLst>
          </xdr:cNvPr>
          <xdr:cNvCxnSpPr/>
        </xdr:nvCxnSpPr>
        <xdr:spPr>
          <a:xfrm>
            <a:off x="5019691" y="13278326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2" name="Straight Arrow Connector 2911">
            <a:extLst>
              <a:ext uri="{FF2B5EF4-FFF2-40B4-BE49-F238E27FC236}">
                <a16:creationId xmlns:a16="http://schemas.microsoft.com/office/drawing/2014/main" id="{66536ADA-346A-46B9-99F9-6D71C449E231}"/>
              </a:ext>
            </a:extLst>
          </xdr:cNvPr>
          <xdr:cNvCxnSpPr/>
        </xdr:nvCxnSpPr>
        <xdr:spPr>
          <a:xfrm>
            <a:off x="5181610" y="132778500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3" name="Straight Arrow Connector 2912">
            <a:extLst>
              <a:ext uri="{FF2B5EF4-FFF2-40B4-BE49-F238E27FC236}">
                <a16:creationId xmlns:a16="http://schemas.microsoft.com/office/drawing/2014/main" id="{005D6571-C58B-4C95-84FC-0600EDD0D243}"/>
              </a:ext>
            </a:extLst>
          </xdr:cNvPr>
          <xdr:cNvCxnSpPr/>
        </xdr:nvCxnSpPr>
        <xdr:spPr>
          <a:xfrm>
            <a:off x="5410223" y="132783262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4" name="Straight Connector 2913">
            <a:extLst>
              <a:ext uri="{FF2B5EF4-FFF2-40B4-BE49-F238E27FC236}">
                <a16:creationId xmlns:a16="http://schemas.microsoft.com/office/drawing/2014/main" id="{63ACE1A7-13E0-4EE6-B281-6D87BD201731}"/>
              </a:ext>
            </a:extLst>
          </xdr:cNvPr>
          <xdr:cNvCxnSpPr/>
        </xdr:nvCxnSpPr>
        <xdr:spPr>
          <a:xfrm>
            <a:off x="1714502" y="132878506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5" name="Straight Connector 2914">
            <a:extLst>
              <a:ext uri="{FF2B5EF4-FFF2-40B4-BE49-F238E27FC236}">
                <a16:creationId xmlns:a16="http://schemas.microsoft.com/office/drawing/2014/main" id="{696F797E-4525-46F5-B89E-5A736FA344DA}"/>
              </a:ext>
            </a:extLst>
          </xdr:cNvPr>
          <xdr:cNvCxnSpPr/>
        </xdr:nvCxnSpPr>
        <xdr:spPr>
          <a:xfrm>
            <a:off x="3562360" y="132783255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128569</xdr:colOff>
      <xdr:row>471</xdr:row>
      <xdr:rowOff>0</xdr:rowOff>
    </xdr:from>
    <xdr:to>
      <xdr:col>43</xdr:col>
      <xdr:colOff>61913</xdr:colOff>
      <xdr:row>517</xdr:row>
      <xdr:rowOff>28575</xdr:rowOff>
    </xdr:to>
    <xdr:grpSp>
      <xdr:nvGrpSpPr>
        <xdr:cNvPr id="3000" name="Group 2999">
          <a:extLst>
            <a:ext uri="{FF2B5EF4-FFF2-40B4-BE49-F238E27FC236}">
              <a16:creationId xmlns:a16="http://schemas.microsoft.com/office/drawing/2014/main" id="{7FA74A52-5BD5-9F0E-CA0A-8EB3BAED63F2}"/>
            </a:ext>
          </a:extLst>
        </xdr:cNvPr>
        <xdr:cNvGrpSpPr/>
      </xdr:nvGrpSpPr>
      <xdr:grpSpPr>
        <a:xfrm>
          <a:off x="776269" y="67770375"/>
          <a:ext cx="6248419" cy="6600825"/>
          <a:chOff x="776269" y="61483875"/>
          <a:chExt cx="6248419" cy="6600825"/>
        </a:xfrm>
      </xdr:grpSpPr>
      <xdr:sp macro="" textlink="">
        <xdr:nvSpPr>
          <xdr:cNvPr id="1414" name="Arc 1413">
            <a:extLst>
              <a:ext uri="{FF2B5EF4-FFF2-40B4-BE49-F238E27FC236}">
                <a16:creationId xmlns:a16="http://schemas.microsoft.com/office/drawing/2014/main" id="{3DB8FA30-0E20-9159-F4D1-7B1E52093AED}"/>
              </a:ext>
            </a:extLst>
          </xdr:cNvPr>
          <xdr:cNvSpPr/>
        </xdr:nvSpPr>
        <xdr:spPr>
          <a:xfrm>
            <a:off x="1638300" y="61902975"/>
            <a:ext cx="4181475" cy="6181725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B06BACA8-2755-043E-3B22-3A2C95139062}"/>
              </a:ext>
            </a:extLst>
          </xdr:cNvPr>
          <xdr:cNvSpPr/>
        </xdr:nvSpPr>
        <xdr:spPr>
          <a:xfrm>
            <a:off x="1704971" y="6377463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6" name="Isosceles Triangle 1415">
            <a:extLst>
              <a:ext uri="{FF2B5EF4-FFF2-40B4-BE49-F238E27FC236}">
                <a16:creationId xmlns:a16="http://schemas.microsoft.com/office/drawing/2014/main" id="{74EFAC4E-68D6-FE61-864A-0C3AD0650075}"/>
              </a:ext>
            </a:extLst>
          </xdr:cNvPr>
          <xdr:cNvSpPr/>
        </xdr:nvSpPr>
        <xdr:spPr>
          <a:xfrm>
            <a:off x="1789553" y="6363652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17" name="Straight Connector 1416">
            <a:extLst>
              <a:ext uri="{FF2B5EF4-FFF2-40B4-BE49-F238E27FC236}">
                <a16:creationId xmlns:a16="http://schemas.microsoft.com/office/drawing/2014/main" id="{21A9B5BE-9CB2-4F0B-D154-2CC9459B497C}"/>
              </a:ext>
            </a:extLst>
          </xdr:cNvPr>
          <xdr:cNvCxnSpPr/>
        </xdr:nvCxnSpPr>
        <xdr:spPr>
          <a:xfrm>
            <a:off x="1695445" y="637698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8" name="Oval 1417">
            <a:extLst>
              <a:ext uri="{FF2B5EF4-FFF2-40B4-BE49-F238E27FC236}">
                <a16:creationId xmlns:a16="http://schemas.microsoft.com/office/drawing/2014/main" id="{0F7A9220-3BC5-B03C-24EA-25BE378A7337}"/>
              </a:ext>
            </a:extLst>
          </xdr:cNvPr>
          <xdr:cNvSpPr/>
        </xdr:nvSpPr>
        <xdr:spPr>
          <a:xfrm>
            <a:off x="1824032" y="6357937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19" name="Straight Arrow Connector 1418">
            <a:extLst>
              <a:ext uri="{FF2B5EF4-FFF2-40B4-BE49-F238E27FC236}">
                <a16:creationId xmlns:a16="http://schemas.microsoft.com/office/drawing/2014/main" id="{CF3E2F97-E805-D425-F2D9-215B1B5759A4}"/>
              </a:ext>
            </a:extLst>
          </xdr:cNvPr>
          <xdr:cNvCxnSpPr/>
        </xdr:nvCxnSpPr>
        <xdr:spPr>
          <a:xfrm flipV="1">
            <a:off x="1857370" y="6391275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4291547B-C3F8-71BB-A013-6E14B19CA098}"/>
              </a:ext>
            </a:extLst>
          </xdr:cNvPr>
          <xdr:cNvSpPr/>
        </xdr:nvSpPr>
        <xdr:spPr>
          <a:xfrm>
            <a:off x="5434022" y="63769887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21" name="Isosceles Triangle 1420">
            <a:extLst>
              <a:ext uri="{FF2B5EF4-FFF2-40B4-BE49-F238E27FC236}">
                <a16:creationId xmlns:a16="http://schemas.microsoft.com/office/drawing/2014/main" id="{D95FC168-45DC-53BC-360C-F578F12137E5}"/>
              </a:ext>
            </a:extLst>
          </xdr:cNvPr>
          <xdr:cNvSpPr/>
        </xdr:nvSpPr>
        <xdr:spPr>
          <a:xfrm>
            <a:off x="5518604" y="63631777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2" name="Straight Connector 1421">
            <a:extLst>
              <a:ext uri="{FF2B5EF4-FFF2-40B4-BE49-F238E27FC236}">
                <a16:creationId xmlns:a16="http://schemas.microsoft.com/office/drawing/2014/main" id="{46120F69-A3D7-1378-8D6E-AC7DF0910EB4}"/>
              </a:ext>
            </a:extLst>
          </xdr:cNvPr>
          <xdr:cNvCxnSpPr/>
        </xdr:nvCxnSpPr>
        <xdr:spPr>
          <a:xfrm>
            <a:off x="5424496" y="63765123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3" name="Oval 1422">
            <a:extLst>
              <a:ext uri="{FF2B5EF4-FFF2-40B4-BE49-F238E27FC236}">
                <a16:creationId xmlns:a16="http://schemas.microsoft.com/office/drawing/2014/main" id="{762EB561-434F-20B4-47AD-314324AE90D2}"/>
              </a:ext>
            </a:extLst>
          </xdr:cNvPr>
          <xdr:cNvSpPr/>
        </xdr:nvSpPr>
        <xdr:spPr>
          <a:xfrm>
            <a:off x="5553083" y="6357462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4" name="Straight Arrow Connector 1423">
            <a:extLst>
              <a:ext uri="{FF2B5EF4-FFF2-40B4-BE49-F238E27FC236}">
                <a16:creationId xmlns:a16="http://schemas.microsoft.com/office/drawing/2014/main" id="{5FA94CEA-5FDB-E0E3-69CC-503D6C609FA6}"/>
              </a:ext>
            </a:extLst>
          </xdr:cNvPr>
          <xdr:cNvCxnSpPr/>
        </xdr:nvCxnSpPr>
        <xdr:spPr>
          <a:xfrm flipV="1">
            <a:off x="5586421" y="63907999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5" name="Oval 1424">
            <a:extLst>
              <a:ext uri="{FF2B5EF4-FFF2-40B4-BE49-F238E27FC236}">
                <a16:creationId xmlns:a16="http://schemas.microsoft.com/office/drawing/2014/main" id="{17250799-ABBF-DAD2-5700-782A1F794F6A}"/>
              </a:ext>
            </a:extLst>
          </xdr:cNvPr>
          <xdr:cNvSpPr/>
        </xdr:nvSpPr>
        <xdr:spPr>
          <a:xfrm>
            <a:off x="3681413" y="61869637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51" name="Straight Arrow Connector 1450">
            <a:extLst>
              <a:ext uri="{FF2B5EF4-FFF2-40B4-BE49-F238E27FC236}">
                <a16:creationId xmlns:a16="http://schemas.microsoft.com/office/drawing/2014/main" id="{E84E9886-EBDD-5CB4-97AA-D4FD0380168B}"/>
              </a:ext>
            </a:extLst>
          </xdr:cNvPr>
          <xdr:cNvCxnSpPr/>
        </xdr:nvCxnSpPr>
        <xdr:spPr>
          <a:xfrm>
            <a:off x="4857750" y="62055375"/>
            <a:ext cx="0" cy="347662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2" name="Straight Connector 1451">
            <a:extLst>
              <a:ext uri="{FF2B5EF4-FFF2-40B4-BE49-F238E27FC236}">
                <a16:creationId xmlns:a16="http://schemas.microsoft.com/office/drawing/2014/main" id="{08C5715D-EB72-C7D2-2308-4E70A4BB6916}"/>
              </a:ext>
            </a:extLst>
          </xdr:cNvPr>
          <xdr:cNvCxnSpPr/>
        </xdr:nvCxnSpPr>
        <xdr:spPr>
          <a:xfrm>
            <a:off x="1857375" y="64346142"/>
            <a:ext cx="0" cy="5048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3" name="Straight Connector 1452">
            <a:extLst>
              <a:ext uri="{FF2B5EF4-FFF2-40B4-BE49-F238E27FC236}">
                <a16:creationId xmlns:a16="http://schemas.microsoft.com/office/drawing/2014/main" id="{1B891FB9-4966-8405-330C-B61D3DE8FB43}"/>
              </a:ext>
            </a:extLst>
          </xdr:cNvPr>
          <xdr:cNvCxnSpPr/>
        </xdr:nvCxnSpPr>
        <xdr:spPr>
          <a:xfrm>
            <a:off x="1781174" y="64484249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4" name="Straight Connector 1453">
            <a:extLst>
              <a:ext uri="{FF2B5EF4-FFF2-40B4-BE49-F238E27FC236}">
                <a16:creationId xmlns:a16="http://schemas.microsoft.com/office/drawing/2014/main" id="{ED0E9DA0-9E1D-85F4-6321-624FB1FE1203}"/>
              </a:ext>
            </a:extLst>
          </xdr:cNvPr>
          <xdr:cNvCxnSpPr/>
        </xdr:nvCxnSpPr>
        <xdr:spPr>
          <a:xfrm flipH="1">
            <a:off x="1819275" y="644509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5" name="Straight Connector 1454">
            <a:extLst>
              <a:ext uri="{FF2B5EF4-FFF2-40B4-BE49-F238E27FC236}">
                <a16:creationId xmlns:a16="http://schemas.microsoft.com/office/drawing/2014/main" id="{5D65F83D-D2DA-64B9-1777-CF401E0B5EF5}"/>
              </a:ext>
            </a:extLst>
          </xdr:cNvPr>
          <xdr:cNvCxnSpPr/>
        </xdr:nvCxnSpPr>
        <xdr:spPr>
          <a:xfrm>
            <a:off x="1781170" y="64770003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6" name="Straight Connector 1455">
            <a:extLst>
              <a:ext uri="{FF2B5EF4-FFF2-40B4-BE49-F238E27FC236}">
                <a16:creationId xmlns:a16="http://schemas.microsoft.com/office/drawing/2014/main" id="{4175E66B-A86B-441B-644F-0F7D0ECC76A1}"/>
              </a:ext>
            </a:extLst>
          </xdr:cNvPr>
          <xdr:cNvCxnSpPr/>
        </xdr:nvCxnSpPr>
        <xdr:spPr>
          <a:xfrm flipH="1">
            <a:off x="1819271" y="647366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Connector 1456">
            <a:extLst>
              <a:ext uri="{FF2B5EF4-FFF2-40B4-BE49-F238E27FC236}">
                <a16:creationId xmlns:a16="http://schemas.microsoft.com/office/drawing/2014/main" id="{1E77D936-D875-60DF-2E4D-E8708E1B6890}"/>
              </a:ext>
            </a:extLst>
          </xdr:cNvPr>
          <xdr:cNvCxnSpPr/>
        </xdr:nvCxnSpPr>
        <xdr:spPr>
          <a:xfrm>
            <a:off x="5586414" y="64346147"/>
            <a:ext cx="0" cy="5048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Connector 1457">
            <a:extLst>
              <a:ext uri="{FF2B5EF4-FFF2-40B4-BE49-F238E27FC236}">
                <a16:creationId xmlns:a16="http://schemas.microsoft.com/office/drawing/2014/main" id="{FE4313B0-3E62-3D80-BB14-9CF8C67CA05B}"/>
              </a:ext>
            </a:extLst>
          </xdr:cNvPr>
          <xdr:cNvCxnSpPr/>
        </xdr:nvCxnSpPr>
        <xdr:spPr>
          <a:xfrm flipH="1">
            <a:off x="5548314" y="6445091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BAEC05D7-9FAA-C8BF-590A-6AAB23F334DB}"/>
              </a:ext>
            </a:extLst>
          </xdr:cNvPr>
          <xdr:cNvCxnSpPr/>
        </xdr:nvCxnSpPr>
        <xdr:spPr>
          <a:xfrm flipH="1">
            <a:off x="5557835" y="6473667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0" name="Straight Connector 1459">
            <a:extLst>
              <a:ext uri="{FF2B5EF4-FFF2-40B4-BE49-F238E27FC236}">
                <a16:creationId xmlns:a16="http://schemas.microsoft.com/office/drawing/2014/main" id="{7411DD8E-EA6B-BE5A-A1BA-7E47C99E142C}"/>
              </a:ext>
            </a:extLst>
          </xdr:cNvPr>
          <xdr:cNvCxnSpPr/>
        </xdr:nvCxnSpPr>
        <xdr:spPr>
          <a:xfrm>
            <a:off x="2590800" y="62469713"/>
            <a:ext cx="0" cy="2095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D4BFD5D3-83EC-229E-058F-47F256773983}"/>
              </a:ext>
            </a:extLst>
          </xdr:cNvPr>
          <xdr:cNvCxnSpPr/>
        </xdr:nvCxnSpPr>
        <xdr:spPr>
          <a:xfrm flipH="1">
            <a:off x="2552696" y="644509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2" name="Straight Connector 1461">
            <a:extLst>
              <a:ext uri="{FF2B5EF4-FFF2-40B4-BE49-F238E27FC236}">
                <a16:creationId xmlns:a16="http://schemas.microsoft.com/office/drawing/2014/main" id="{6DB64FB6-B981-8096-1BCC-F2440D4A5AB3}"/>
              </a:ext>
            </a:extLst>
          </xdr:cNvPr>
          <xdr:cNvCxnSpPr/>
        </xdr:nvCxnSpPr>
        <xdr:spPr>
          <a:xfrm>
            <a:off x="2547938" y="62350650"/>
            <a:ext cx="85725" cy="904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Straight Connector 1462">
            <a:extLst>
              <a:ext uri="{FF2B5EF4-FFF2-40B4-BE49-F238E27FC236}">
                <a16:creationId xmlns:a16="http://schemas.microsoft.com/office/drawing/2014/main" id="{FAD273EA-6870-5B4F-AA91-4E6E61237631}"/>
              </a:ext>
            </a:extLst>
          </xdr:cNvPr>
          <xdr:cNvCxnSpPr/>
        </xdr:nvCxnSpPr>
        <xdr:spPr>
          <a:xfrm flipH="1">
            <a:off x="4824413" y="62360175"/>
            <a:ext cx="76200" cy="76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4" name="Straight Connector 1463">
            <a:extLst>
              <a:ext uri="{FF2B5EF4-FFF2-40B4-BE49-F238E27FC236}">
                <a16:creationId xmlns:a16="http://schemas.microsoft.com/office/drawing/2014/main" id="{269CAE06-E3CF-1241-D948-0B787E5FC5EA}"/>
              </a:ext>
            </a:extLst>
          </xdr:cNvPr>
          <xdr:cNvCxnSpPr/>
        </xdr:nvCxnSpPr>
        <xdr:spPr>
          <a:xfrm>
            <a:off x="4857749" y="62469719"/>
            <a:ext cx="0" cy="2095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5" name="Straight Connector 1464">
            <a:extLst>
              <a:ext uri="{FF2B5EF4-FFF2-40B4-BE49-F238E27FC236}">
                <a16:creationId xmlns:a16="http://schemas.microsoft.com/office/drawing/2014/main" id="{F1320470-1BFD-A245-B196-E231836195DD}"/>
              </a:ext>
            </a:extLst>
          </xdr:cNvPr>
          <xdr:cNvCxnSpPr/>
        </xdr:nvCxnSpPr>
        <xdr:spPr>
          <a:xfrm flipH="1">
            <a:off x="4819645" y="6445092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6" name="Straight Connector 1465">
            <a:extLst>
              <a:ext uri="{FF2B5EF4-FFF2-40B4-BE49-F238E27FC236}">
                <a16:creationId xmlns:a16="http://schemas.microsoft.com/office/drawing/2014/main" id="{DD1CBB8F-4108-EE96-471B-0E25826CA7BB}"/>
              </a:ext>
            </a:extLst>
          </xdr:cNvPr>
          <xdr:cNvCxnSpPr/>
        </xdr:nvCxnSpPr>
        <xdr:spPr>
          <a:xfrm>
            <a:off x="4081461" y="61912501"/>
            <a:ext cx="29384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7" name="Straight Connector 1466">
            <a:extLst>
              <a:ext uri="{FF2B5EF4-FFF2-40B4-BE49-F238E27FC236}">
                <a16:creationId xmlns:a16="http://schemas.microsoft.com/office/drawing/2014/main" id="{0302BD9E-4C29-A356-78D3-DE402ADF17B0}"/>
              </a:ext>
            </a:extLst>
          </xdr:cNvPr>
          <xdr:cNvCxnSpPr/>
        </xdr:nvCxnSpPr>
        <xdr:spPr>
          <a:xfrm>
            <a:off x="6162672" y="63627000"/>
            <a:ext cx="862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8" name="Straight Arrow Connector 1467">
            <a:extLst>
              <a:ext uri="{FF2B5EF4-FFF2-40B4-BE49-F238E27FC236}">
                <a16:creationId xmlns:a16="http://schemas.microsoft.com/office/drawing/2014/main" id="{ECAA3935-4FD4-8217-3ABA-62014F99C7C7}"/>
              </a:ext>
            </a:extLst>
          </xdr:cNvPr>
          <xdr:cNvCxnSpPr/>
        </xdr:nvCxnSpPr>
        <xdr:spPr>
          <a:xfrm flipH="1">
            <a:off x="5710236" y="63627000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9" name="Straight Connector 1468">
            <a:extLst>
              <a:ext uri="{FF2B5EF4-FFF2-40B4-BE49-F238E27FC236}">
                <a16:creationId xmlns:a16="http://schemas.microsoft.com/office/drawing/2014/main" id="{B2D9780D-F96C-6C11-1605-C1B97DE2EC42}"/>
              </a:ext>
            </a:extLst>
          </xdr:cNvPr>
          <xdr:cNvCxnSpPr/>
        </xdr:nvCxnSpPr>
        <xdr:spPr>
          <a:xfrm flipV="1">
            <a:off x="6638926" y="61841062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0" name="Straight Connector 1469">
            <a:extLst>
              <a:ext uri="{FF2B5EF4-FFF2-40B4-BE49-F238E27FC236}">
                <a16:creationId xmlns:a16="http://schemas.microsoft.com/office/drawing/2014/main" id="{CDB9F0C2-3064-40FE-FE56-BCC577DACF66}"/>
              </a:ext>
            </a:extLst>
          </xdr:cNvPr>
          <xdr:cNvCxnSpPr/>
        </xdr:nvCxnSpPr>
        <xdr:spPr>
          <a:xfrm flipH="1">
            <a:off x="6605588" y="618791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1" name="Straight Connector 1470">
            <a:extLst>
              <a:ext uri="{FF2B5EF4-FFF2-40B4-BE49-F238E27FC236}">
                <a16:creationId xmlns:a16="http://schemas.microsoft.com/office/drawing/2014/main" id="{338C34A7-8410-D4E9-7E84-5BDBFD2B82E2}"/>
              </a:ext>
            </a:extLst>
          </xdr:cNvPr>
          <xdr:cNvCxnSpPr/>
        </xdr:nvCxnSpPr>
        <xdr:spPr>
          <a:xfrm flipH="1">
            <a:off x="6605587" y="635936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2" name="Straight Connector 1471">
            <a:extLst>
              <a:ext uri="{FF2B5EF4-FFF2-40B4-BE49-F238E27FC236}">
                <a16:creationId xmlns:a16="http://schemas.microsoft.com/office/drawing/2014/main" id="{87BD5717-A3E0-C670-2456-B270ACD0671F}"/>
              </a:ext>
            </a:extLst>
          </xdr:cNvPr>
          <xdr:cNvCxnSpPr/>
        </xdr:nvCxnSpPr>
        <xdr:spPr>
          <a:xfrm flipV="1">
            <a:off x="6962777" y="61841061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3" name="Straight Connector 1472">
            <a:extLst>
              <a:ext uri="{FF2B5EF4-FFF2-40B4-BE49-F238E27FC236}">
                <a16:creationId xmlns:a16="http://schemas.microsoft.com/office/drawing/2014/main" id="{C1F1F157-A66C-E87D-3DBD-D924FBE9427A}"/>
              </a:ext>
            </a:extLst>
          </xdr:cNvPr>
          <xdr:cNvCxnSpPr/>
        </xdr:nvCxnSpPr>
        <xdr:spPr>
          <a:xfrm flipH="1">
            <a:off x="6929439" y="6187916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4" name="Straight Connector 1473">
            <a:extLst>
              <a:ext uri="{FF2B5EF4-FFF2-40B4-BE49-F238E27FC236}">
                <a16:creationId xmlns:a16="http://schemas.microsoft.com/office/drawing/2014/main" id="{23A55013-2B5D-061F-282F-7597176BC025}"/>
              </a:ext>
            </a:extLst>
          </xdr:cNvPr>
          <xdr:cNvCxnSpPr/>
        </xdr:nvCxnSpPr>
        <xdr:spPr>
          <a:xfrm flipH="1">
            <a:off x="6929438" y="6359366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5" name="Straight Connector 1474">
            <a:extLst>
              <a:ext uri="{FF2B5EF4-FFF2-40B4-BE49-F238E27FC236}">
                <a16:creationId xmlns:a16="http://schemas.microsoft.com/office/drawing/2014/main" id="{CE92A6A1-92AE-4459-01CD-667934682210}"/>
              </a:ext>
            </a:extLst>
          </xdr:cNvPr>
          <xdr:cNvCxnSpPr/>
        </xdr:nvCxnSpPr>
        <xdr:spPr>
          <a:xfrm>
            <a:off x="4938713" y="62403044"/>
            <a:ext cx="1766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6" name="Straight Connector 1475">
            <a:extLst>
              <a:ext uri="{FF2B5EF4-FFF2-40B4-BE49-F238E27FC236}">
                <a16:creationId xmlns:a16="http://schemas.microsoft.com/office/drawing/2014/main" id="{326F77AD-C114-B153-4351-748472AFAF66}"/>
              </a:ext>
            </a:extLst>
          </xdr:cNvPr>
          <xdr:cNvCxnSpPr/>
        </xdr:nvCxnSpPr>
        <xdr:spPr>
          <a:xfrm flipH="1">
            <a:off x="6605588" y="6236970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7" name="Straight Connector 1476">
            <a:extLst>
              <a:ext uri="{FF2B5EF4-FFF2-40B4-BE49-F238E27FC236}">
                <a16:creationId xmlns:a16="http://schemas.microsoft.com/office/drawing/2014/main" id="{F6942541-1BE9-47E9-ED30-1665DC711925}"/>
              </a:ext>
            </a:extLst>
          </xdr:cNvPr>
          <xdr:cNvCxnSpPr/>
        </xdr:nvCxnSpPr>
        <xdr:spPr>
          <a:xfrm>
            <a:off x="1223963" y="61912499"/>
            <a:ext cx="216694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8" name="Straight Arrow Connector 1477">
            <a:extLst>
              <a:ext uri="{FF2B5EF4-FFF2-40B4-BE49-F238E27FC236}">
                <a16:creationId xmlns:a16="http://schemas.microsoft.com/office/drawing/2014/main" id="{B582D42D-2C0D-71D3-C99F-934056B40CF5}"/>
              </a:ext>
            </a:extLst>
          </xdr:cNvPr>
          <xdr:cNvCxnSpPr/>
        </xdr:nvCxnSpPr>
        <xdr:spPr>
          <a:xfrm>
            <a:off x="1471613" y="63627000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9" name="Straight Connector 1478">
            <a:extLst>
              <a:ext uri="{FF2B5EF4-FFF2-40B4-BE49-F238E27FC236}">
                <a16:creationId xmlns:a16="http://schemas.microsoft.com/office/drawing/2014/main" id="{78CEC7C1-A2D5-D916-72BE-5BF7106A2598}"/>
              </a:ext>
            </a:extLst>
          </xdr:cNvPr>
          <xdr:cNvCxnSpPr/>
        </xdr:nvCxnSpPr>
        <xdr:spPr>
          <a:xfrm flipH="1">
            <a:off x="1233488" y="63627000"/>
            <a:ext cx="1905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0" name="Straight Connector 1479">
            <a:extLst>
              <a:ext uri="{FF2B5EF4-FFF2-40B4-BE49-F238E27FC236}">
                <a16:creationId xmlns:a16="http://schemas.microsoft.com/office/drawing/2014/main" id="{FEE9B297-430F-1601-BDDD-8A4A8289EF7A}"/>
              </a:ext>
            </a:extLst>
          </xdr:cNvPr>
          <xdr:cNvCxnSpPr/>
        </xdr:nvCxnSpPr>
        <xdr:spPr>
          <a:xfrm flipH="1">
            <a:off x="1257304" y="6359366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1" name="Straight Connector 1480">
            <a:extLst>
              <a:ext uri="{FF2B5EF4-FFF2-40B4-BE49-F238E27FC236}">
                <a16:creationId xmlns:a16="http://schemas.microsoft.com/office/drawing/2014/main" id="{4B1AFB1B-F133-9F69-2B62-A9C1B7A90F42}"/>
              </a:ext>
            </a:extLst>
          </xdr:cNvPr>
          <xdr:cNvCxnSpPr/>
        </xdr:nvCxnSpPr>
        <xdr:spPr>
          <a:xfrm>
            <a:off x="1295401" y="61841063"/>
            <a:ext cx="0" cy="18573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Straight Connector 1481">
            <a:extLst>
              <a:ext uri="{FF2B5EF4-FFF2-40B4-BE49-F238E27FC236}">
                <a16:creationId xmlns:a16="http://schemas.microsoft.com/office/drawing/2014/main" id="{CED3CFF9-4CBE-0879-43EC-DE209331EAA5}"/>
              </a:ext>
            </a:extLst>
          </xdr:cNvPr>
          <xdr:cNvCxnSpPr/>
        </xdr:nvCxnSpPr>
        <xdr:spPr>
          <a:xfrm flipH="1">
            <a:off x="1262061" y="6187916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3" name="Straight Connector 1482">
            <a:extLst>
              <a:ext uri="{FF2B5EF4-FFF2-40B4-BE49-F238E27FC236}">
                <a16:creationId xmlns:a16="http://schemas.microsoft.com/office/drawing/2014/main" id="{5450671C-D2F6-1440-0BCA-EF9274B7D97A}"/>
              </a:ext>
            </a:extLst>
          </xdr:cNvPr>
          <xdr:cNvCxnSpPr/>
        </xdr:nvCxnSpPr>
        <xdr:spPr>
          <a:xfrm>
            <a:off x="1223963" y="62398274"/>
            <a:ext cx="1300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4" name="Straight Connector 1483">
            <a:extLst>
              <a:ext uri="{FF2B5EF4-FFF2-40B4-BE49-F238E27FC236}">
                <a16:creationId xmlns:a16="http://schemas.microsoft.com/office/drawing/2014/main" id="{86FF4762-C7E4-C6D9-8BAC-9F075849782E}"/>
              </a:ext>
            </a:extLst>
          </xdr:cNvPr>
          <xdr:cNvCxnSpPr/>
        </xdr:nvCxnSpPr>
        <xdr:spPr>
          <a:xfrm flipH="1">
            <a:off x="1262060" y="6236493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5" name="Straight Connector 1484">
            <a:extLst>
              <a:ext uri="{FF2B5EF4-FFF2-40B4-BE49-F238E27FC236}">
                <a16:creationId xmlns:a16="http://schemas.microsoft.com/office/drawing/2014/main" id="{3EA6AD1D-52D1-BD7C-1B07-4A60451FAB77}"/>
              </a:ext>
            </a:extLst>
          </xdr:cNvPr>
          <xdr:cNvCxnSpPr/>
        </xdr:nvCxnSpPr>
        <xdr:spPr>
          <a:xfrm>
            <a:off x="3724279" y="62064900"/>
            <a:ext cx="0" cy="2495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Connector 1485">
            <a:extLst>
              <a:ext uri="{FF2B5EF4-FFF2-40B4-BE49-F238E27FC236}">
                <a16:creationId xmlns:a16="http://schemas.microsoft.com/office/drawing/2014/main" id="{88405187-2F5D-718B-A8A1-25EBB9119FF4}"/>
              </a:ext>
            </a:extLst>
          </xdr:cNvPr>
          <xdr:cNvCxnSpPr/>
        </xdr:nvCxnSpPr>
        <xdr:spPr>
          <a:xfrm flipH="1">
            <a:off x="3686175" y="6444615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Arrow Connector 1486">
            <a:extLst>
              <a:ext uri="{FF2B5EF4-FFF2-40B4-BE49-F238E27FC236}">
                <a16:creationId xmlns:a16="http://schemas.microsoft.com/office/drawing/2014/main" id="{75DA3CF9-4C06-C1F8-267A-6509B8BBA4B2}"/>
              </a:ext>
            </a:extLst>
          </xdr:cNvPr>
          <xdr:cNvCxnSpPr/>
        </xdr:nvCxnSpPr>
        <xdr:spPr>
          <a:xfrm flipV="1">
            <a:off x="1857375" y="6293167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8" name="Straight Arrow Connector 1487">
            <a:extLst>
              <a:ext uri="{FF2B5EF4-FFF2-40B4-BE49-F238E27FC236}">
                <a16:creationId xmlns:a16="http://schemas.microsoft.com/office/drawing/2014/main" id="{965D542F-8770-C589-165C-65D8F0A8759D}"/>
              </a:ext>
            </a:extLst>
          </xdr:cNvPr>
          <xdr:cNvCxnSpPr/>
        </xdr:nvCxnSpPr>
        <xdr:spPr>
          <a:xfrm>
            <a:off x="1857375" y="63627000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3" name="Straight Connector 1492">
            <a:extLst>
              <a:ext uri="{FF2B5EF4-FFF2-40B4-BE49-F238E27FC236}">
                <a16:creationId xmlns:a16="http://schemas.microsoft.com/office/drawing/2014/main" id="{12A52BC3-406D-EAEB-8CFA-E41BB5B66178}"/>
              </a:ext>
            </a:extLst>
          </xdr:cNvPr>
          <xdr:cNvCxnSpPr/>
        </xdr:nvCxnSpPr>
        <xdr:spPr>
          <a:xfrm>
            <a:off x="971550" y="61912500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Arrow Connector 1494">
            <a:extLst>
              <a:ext uri="{FF2B5EF4-FFF2-40B4-BE49-F238E27FC236}">
                <a16:creationId xmlns:a16="http://schemas.microsoft.com/office/drawing/2014/main" id="{B243359D-595E-D46D-334A-BE0EC348C657}"/>
              </a:ext>
            </a:extLst>
          </xdr:cNvPr>
          <xdr:cNvCxnSpPr/>
        </xdr:nvCxnSpPr>
        <xdr:spPr>
          <a:xfrm>
            <a:off x="781050" y="619125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Arrow Connector 1495">
            <a:extLst>
              <a:ext uri="{FF2B5EF4-FFF2-40B4-BE49-F238E27FC236}">
                <a16:creationId xmlns:a16="http://schemas.microsoft.com/office/drawing/2014/main" id="{E31D608B-4750-4774-90FB-EFE397144BD3}"/>
              </a:ext>
            </a:extLst>
          </xdr:cNvPr>
          <xdr:cNvCxnSpPr/>
        </xdr:nvCxnSpPr>
        <xdr:spPr>
          <a:xfrm>
            <a:off x="776282" y="6205537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7" name="Straight Arrow Connector 1496">
            <a:extLst>
              <a:ext uri="{FF2B5EF4-FFF2-40B4-BE49-F238E27FC236}">
                <a16:creationId xmlns:a16="http://schemas.microsoft.com/office/drawing/2014/main" id="{8AC1976E-CEB8-413F-A239-DCB6046641DA}"/>
              </a:ext>
            </a:extLst>
          </xdr:cNvPr>
          <xdr:cNvCxnSpPr/>
        </xdr:nvCxnSpPr>
        <xdr:spPr>
          <a:xfrm>
            <a:off x="781048" y="6219825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8" name="Straight Arrow Connector 1497">
            <a:extLst>
              <a:ext uri="{FF2B5EF4-FFF2-40B4-BE49-F238E27FC236}">
                <a16:creationId xmlns:a16="http://schemas.microsoft.com/office/drawing/2014/main" id="{BCB33EBC-FE99-4BE3-A555-A8EB78DD125E}"/>
              </a:ext>
            </a:extLst>
          </xdr:cNvPr>
          <xdr:cNvCxnSpPr/>
        </xdr:nvCxnSpPr>
        <xdr:spPr>
          <a:xfrm>
            <a:off x="776280" y="6234112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Arrow Connector 1498">
            <a:extLst>
              <a:ext uri="{FF2B5EF4-FFF2-40B4-BE49-F238E27FC236}">
                <a16:creationId xmlns:a16="http://schemas.microsoft.com/office/drawing/2014/main" id="{FE3A3034-ECAF-4C53-93B9-173F61B9FB37}"/>
              </a:ext>
            </a:extLst>
          </xdr:cNvPr>
          <xdr:cNvCxnSpPr/>
        </xdr:nvCxnSpPr>
        <xdr:spPr>
          <a:xfrm>
            <a:off x="781045" y="62484009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Arrow Connector 1499">
            <a:extLst>
              <a:ext uri="{FF2B5EF4-FFF2-40B4-BE49-F238E27FC236}">
                <a16:creationId xmlns:a16="http://schemas.microsoft.com/office/drawing/2014/main" id="{1F1E5564-1BFC-4DFC-8904-64134C873E50}"/>
              </a:ext>
            </a:extLst>
          </xdr:cNvPr>
          <xdr:cNvCxnSpPr/>
        </xdr:nvCxnSpPr>
        <xdr:spPr>
          <a:xfrm>
            <a:off x="776277" y="6262688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1" name="Straight Arrow Connector 1500">
            <a:extLst>
              <a:ext uri="{FF2B5EF4-FFF2-40B4-BE49-F238E27FC236}">
                <a16:creationId xmlns:a16="http://schemas.microsoft.com/office/drawing/2014/main" id="{8076D680-6C35-4D49-AF8A-BA9FB6EBA17B}"/>
              </a:ext>
            </a:extLst>
          </xdr:cNvPr>
          <xdr:cNvCxnSpPr/>
        </xdr:nvCxnSpPr>
        <xdr:spPr>
          <a:xfrm>
            <a:off x="781043" y="6276976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2" name="Straight Arrow Connector 1501">
            <a:extLst>
              <a:ext uri="{FF2B5EF4-FFF2-40B4-BE49-F238E27FC236}">
                <a16:creationId xmlns:a16="http://schemas.microsoft.com/office/drawing/2014/main" id="{A70DC6B3-E235-4CA1-8477-FE992C78A38F}"/>
              </a:ext>
            </a:extLst>
          </xdr:cNvPr>
          <xdr:cNvCxnSpPr/>
        </xdr:nvCxnSpPr>
        <xdr:spPr>
          <a:xfrm>
            <a:off x="776275" y="6291263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Arrow Connector 1502">
            <a:extLst>
              <a:ext uri="{FF2B5EF4-FFF2-40B4-BE49-F238E27FC236}">
                <a16:creationId xmlns:a16="http://schemas.microsoft.com/office/drawing/2014/main" id="{75D86E8B-DEA6-40D9-BE3D-520BAB174C1A}"/>
              </a:ext>
            </a:extLst>
          </xdr:cNvPr>
          <xdr:cNvCxnSpPr/>
        </xdr:nvCxnSpPr>
        <xdr:spPr>
          <a:xfrm>
            <a:off x="781039" y="6305551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Arrow Connector 1503">
            <a:extLst>
              <a:ext uri="{FF2B5EF4-FFF2-40B4-BE49-F238E27FC236}">
                <a16:creationId xmlns:a16="http://schemas.microsoft.com/office/drawing/2014/main" id="{BAFE6269-3CB9-4009-A8B4-AE37C3AA7CD1}"/>
              </a:ext>
            </a:extLst>
          </xdr:cNvPr>
          <xdr:cNvCxnSpPr/>
        </xdr:nvCxnSpPr>
        <xdr:spPr>
          <a:xfrm>
            <a:off x="776271" y="6319839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5" name="Straight Arrow Connector 1504">
            <a:extLst>
              <a:ext uri="{FF2B5EF4-FFF2-40B4-BE49-F238E27FC236}">
                <a16:creationId xmlns:a16="http://schemas.microsoft.com/office/drawing/2014/main" id="{DB7D92C8-F619-4DB1-AF32-9D9B759EBBAB}"/>
              </a:ext>
            </a:extLst>
          </xdr:cNvPr>
          <xdr:cNvCxnSpPr/>
        </xdr:nvCxnSpPr>
        <xdr:spPr>
          <a:xfrm>
            <a:off x="781037" y="63341270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6" name="Straight Arrow Connector 1505">
            <a:extLst>
              <a:ext uri="{FF2B5EF4-FFF2-40B4-BE49-F238E27FC236}">
                <a16:creationId xmlns:a16="http://schemas.microsoft.com/office/drawing/2014/main" id="{7604C607-66D5-45AA-86FC-08C394E673B4}"/>
              </a:ext>
            </a:extLst>
          </xdr:cNvPr>
          <xdr:cNvCxnSpPr/>
        </xdr:nvCxnSpPr>
        <xdr:spPr>
          <a:xfrm>
            <a:off x="776269" y="63484144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Straight Connector 1506">
            <a:extLst>
              <a:ext uri="{FF2B5EF4-FFF2-40B4-BE49-F238E27FC236}">
                <a16:creationId xmlns:a16="http://schemas.microsoft.com/office/drawing/2014/main" id="{641C04EF-C771-4CED-A566-63C8DF581F8B}"/>
              </a:ext>
            </a:extLst>
          </xdr:cNvPr>
          <xdr:cNvCxnSpPr/>
        </xdr:nvCxnSpPr>
        <xdr:spPr>
          <a:xfrm>
            <a:off x="776287" y="61912500"/>
            <a:ext cx="0" cy="1719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8" name="Straight Arrow Connector 1507">
            <a:extLst>
              <a:ext uri="{FF2B5EF4-FFF2-40B4-BE49-F238E27FC236}">
                <a16:creationId xmlns:a16="http://schemas.microsoft.com/office/drawing/2014/main" id="{E63A1487-1FDF-48D3-974F-C9F2C3261F47}"/>
              </a:ext>
            </a:extLst>
          </xdr:cNvPr>
          <xdr:cNvCxnSpPr/>
        </xdr:nvCxnSpPr>
        <xdr:spPr>
          <a:xfrm>
            <a:off x="776288" y="636270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6" name="Straight Connector 2915">
            <a:extLst>
              <a:ext uri="{FF2B5EF4-FFF2-40B4-BE49-F238E27FC236}">
                <a16:creationId xmlns:a16="http://schemas.microsoft.com/office/drawing/2014/main" id="{A13C4F57-5507-42F4-8830-94F05E6E913C}"/>
              </a:ext>
            </a:extLst>
          </xdr:cNvPr>
          <xdr:cNvCxnSpPr/>
        </xdr:nvCxnSpPr>
        <xdr:spPr>
          <a:xfrm>
            <a:off x="1876429" y="61774387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7" name="Straight Arrow Connector 2916">
            <a:extLst>
              <a:ext uri="{FF2B5EF4-FFF2-40B4-BE49-F238E27FC236}">
                <a16:creationId xmlns:a16="http://schemas.microsoft.com/office/drawing/2014/main" id="{4D4753DE-150C-4109-AECE-D965A86BAD66}"/>
              </a:ext>
            </a:extLst>
          </xdr:cNvPr>
          <xdr:cNvCxnSpPr/>
        </xdr:nvCxnSpPr>
        <xdr:spPr>
          <a:xfrm>
            <a:off x="1876425" y="61583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8" name="Straight Arrow Connector 2917">
            <a:extLst>
              <a:ext uri="{FF2B5EF4-FFF2-40B4-BE49-F238E27FC236}">
                <a16:creationId xmlns:a16="http://schemas.microsoft.com/office/drawing/2014/main" id="{676B7841-00E2-4655-B124-17FE74453EE5}"/>
              </a:ext>
            </a:extLst>
          </xdr:cNvPr>
          <xdr:cNvCxnSpPr/>
        </xdr:nvCxnSpPr>
        <xdr:spPr>
          <a:xfrm>
            <a:off x="2105024" y="61583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9" name="Straight Arrow Connector 2918">
            <a:extLst>
              <a:ext uri="{FF2B5EF4-FFF2-40B4-BE49-F238E27FC236}">
                <a16:creationId xmlns:a16="http://schemas.microsoft.com/office/drawing/2014/main" id="{CE3D7FAE-B773-4EED-B1FB-7048993D0491}"/>
              </a:ext>
            </a:extLst>
          </xdr:cNvPr>
          <xdr:cNvCxnSpPr/>
        </xdr:nvCxnSpPr>
        <xdr:spPr>
          <a:xfrm>
            <a:off x="2266950" y="61583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0" name="Straight Arrow Connector 2919">
            <a:extLst>
              <a:ext uri="{FF2B5EF4-FFF2-40B4-BE49-F238E27FC236}">
                <a16:creationId xmlns:a16="http://schemas.microsoft.com/office/drawing/2014/main" id="{879F0AE8-6836-43A6-91E7-CB6B587E1D29}"/>
              </a:ext>
            </a:extLst>
          </xdr:cNvPr>
          <xdr:cNvCxnSpPr/>
        </xdr:nvCxnSpPr>
        <xdr:spPr>
          <a:xfrm>
            <a:off x="2428869" y="6158388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1" name="Straight Arrow Connector 2920">
            <a:extLst>
              <a:ext uri="{FF2B5EF4-FFF2-40B4-BE49-F238E27FC236}">
                <a16:creationId xmlns:a16="http://schemas.microsoft.com/office/drawing/2014/main" id="{0457D331-BF4F-42E5-A223-C7B583FC5E84}"/>
              </a:ext>
            </a:extLst>
          </xdr:cNvPr>
          <xdr:cNvCxnSpPr/>
        </xdr:nvCxnSpPr>
        <xdr:spPr>
          <a:xfrm>
            <a:off x="2590800" y="61583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2" name="Straight Arrow Connector 2921">
            <a:extLst>
              <a:ext uri="{FF2B5EF4-FFF2-40B4-BE49-F238E27FC236}">
                <a16:creationId xmlns:a16="http://schemas.microsoft.com/office/drawing/2014/main" id="{11F3A017-9140-4D02-99A8-C45D7303AD37}"/>
              </a:ext>
            </a:extLst>
          </xdr:cNvPr>
          <xdr:cNvCxnSpPr/>
        </xdr:nvCxnSpPr>
        <xdr:spPr>
          <a:xfrm>
            <a:off x="2752726" y="61583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3" name="Straight Arrow Connector 2922">
            <a:extLst>
              <a:ext uri="{FF2B5EF4-FFF2-40B4-BE49-F238E27FC236}">
                <a16:creationId xmlns:a16="http://schemas.microsoft.com/office/drawing/2014/main" id="{6DB3B693-E6CC-4E95-A999-398C7E2421D6}"/>
              </a:ext>
            </a:extLst>
          </xdr:cNvPr>
          <xdr:cNvCxnSpPr/>
        </xdr:nvCxnSpPr>
        <xdr:spPr>
          <a:xfrm>
            <a:off x="2914645" y="6158388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4" name="Straight Arrow Connector 2923">
            <a:extLst>
              <a:ext uri="{FF2B5EF4-FFF2-40B4-BE49-F238E27FC236}">
                <a16:creationId xmlns:a16="http://schemas.microsoft.com/office/drawing/2014/main" id="{8912B24A-8560-472E-9DBE-41FC5B1F26D2}"/>
              </a:ext>
            </a:extLst>
          </xdr:cNvPr>
          <xdr:cNvCxnSpPr/>
        </xdr:nvCxnSpPr>
        <xdr:spPr>
          <a:xfrm>
            <a:off x="3076582" y="61583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5" name="Straight Arrow Connector 2924">
            <a:extLst>
              <a:ext uri="{FF2B5EF4-FFF2-40B4-BE49-F238E27FC236}">
                <a16:creationId xmlns:a16="http://schemas.microsoft.com/office/drawing/2014/main" id="{2EDF039D-8C7C-4385-A435-6D789985D8F0}"/>
              </a:ext>
            </a:extLst>
          </xdr:cNvPr>
          <xdr:cNvCxnSpPr/>
        </xdr:nvCxnSpPr>
        <xdr:spPr>
          <a:xfrm>
            <a:off x="3238508" y="61583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6" name="Straight Arrow Connector 2925">
            <a:extLst>
              <a:ext uri="{FF2B5EF4-FFF2-40B4-BE49-F238E27FC236}">
                <a16:creationId xmlns:a16="http://schemas.microsoft.com/office/drawing/2014/main" id="{1C417424-75F4-4409-8AB9-F07CA1B26FBA}"/>
              </a:ext>
            </a:extLst>
          </xdr:cNvPr>
          <xdr:cNvCxnSpPr/>
        </xdr:nvCxnSpPr>
        <xdr:spPr>
          <a:xfrm>
            <a:off x="3400427" y="6158389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7" name="Straight Arrow Connector 2926">
            <a:extLst>
              <a:ext uri="{FF2B5EF4-FFF2-40B4-BE49-F238E27FC236}">
                <a16:creationId xmlns:a16="http://schemas.microsoft.com/office/drawing/2014/main" id="{281BD7BC-48A7-4A6C-BB66-4E04E87E5AB0}"/>
              </a:ext>
            </a:extLst>
          </xdr:cNvPr>
          <xdr:cNvCxnSpPr/>
        </xdr:nvCxnSpPr>
        <xdr:spPr>
          <a:xfrm>
            <a:off x="3562358" y="61583887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8" name="Straight Arrow Connector 2927">
            <a:extLst>
              <a:ext uri="{FF2B5EF4-FFF2-40B4-BE49-F238E27FC236}">
                <a16:creationId xmlns:a16="http://schemas.microsoft.com/office/drawing/2014/main" id="{8DEC1DAE-7BA7-4E93-89DD-1DAAC1D7016C}"/>
              </a:ext>
            </a:extLst>
          </xdr:cNvPr>
          <xdr:cNvCxnSpPr/>
        </xdr:nvCxnSpPr>
        <xdr:spPr>
          <a:xfrm>
            <a:off x="3724284" y="61488637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9" name="Straight Arrow Connector 2928">
            <a:extLst>
              <a:ext uri="{FF2B5EF4-FFF2-40B4-BE49-F238E27FC236}">
                <a16:creationId xmlns:a16="http://schemas.microsoft.com/office/drawing/2014/main" id="{6CB3F187-D5E0-4EA5-B6A0-41D30C815D61}"/>
              </a:ext>
            </a:extLst>
          </xdr:cNvPr>
          <xdr:cNvCxnSpPr/>
        </xdr:nvCxnSpPr>
        <xdr:spPr>
          <a:xfrm>
            <a:off x="3886203" y="61493400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0" name="Straight Arrow Connector 2929">
            <a:extLst>
              <a:ext uri="{FF2B5EF4-FFF2-40B4-BE49-F238E27FC236}">
                <a16:creationId xmlns:a16="http://schemas.microsoft.com/office/drawing/2014/main" id="{8425DB66-2D8D-4B9B-B9E2-4EED59CAB0FA}"/>
              </a:ext>
            </a:extLst>
          </xdr:cNvPr>
          <xdr:cNvCxnSpPr/>
        </xdr:nvCxnSpPr>
        <xdr:spPr>
          <a:xfrm>
            <a:off x="4048132" y="61483875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1" name="Straight Arrow Connector 2930">
            <a:extLst>
              <a:ext uri="{FF2B5EF4-FFF2-40B4-BE49-F238E27FC236}">
                <a16:creationId xmlns:a16="http://schemas.microsoft.com/office/drawing/2014/main" id="{0FC0BEA3-32C8-4018-BA84-C7C40CBCEDAA}"/>
              </a:ext>
            </a:extLst>
          </xdr:cNvPr>
          <xdr:cNvCxnSpPr/>
        </xdr:nvCxnSpPr>
        <xdr:spPr>
          <a:xfrm>
            <a:off x="4210058" y="614886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2" name="Straight Arrow Connector 2931">
            <a:extLst>
              <a:ext uri="{FF2B5EF4-FFF2-40B4-BE49-F238E27FC236}">
                <a16:creationId xmlns:a16="http://schemas.microsoft.com/office/drawing/2014/main" id="{DFC56A01-0916-430E-9E04-41C1FC6653D8}"/>
              </a:ext>
            </a:extLst>
          </xdr:cNvPr>
          <xdr:cNvCxnSpPr/>
        </xdr:nvCxnSpPr>
        <xdr:spPr>
          <a:xfrm>
            <a:off x="4371977" y="6148863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3" name="Straight Arrow Connector 2932">
            <a:extLst>
              <a:ext uri="{FF2B5EF4-FFF2-40B4-BE49-F238E27FC236}">
                <a16:creationId xmlns:a16="http://schemas.microsoft.com/office/drawing/2014/main" id="{A0839403-E10C-4A3A-9574-A1877BB07358}"/>
              </a:ext>
            </a:extLst>
          </xdr:cNvPr>
          <xdr:cNvCxnSpPr/>
        </xdr:nvCxnSpPr>
        <xdr:spPr>
          <a:xfrm>
            <a:off x="4533908" y="61493400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4" name="Straight Arrow Connector 2933">
            <a:extLst>
              <a:ext uri="{FF2B5EF4-FFF2-40B4-BE49-F238E27FC236}">
                <a16:creationId xmlns:a16="http://schemas.microsoft.com/office/drawing/2014/main" id="{CE735AFF-86AB-4D85-BF8B-8687DA0A9107}"/>
              </a:ext>
            </a:extLst>
          </xdr:cNvPr>
          <xdr:cNvCxnSpPr/>
        </xdr:nvCxnSpPr>
        <xdr:spPr>
          <a:xfrm>
            <a:off x="4695834" y="614886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5" name="Straight Arrow Connector 2934">
            <a:extLst>
              <a:ext uri="{FF2B5EF4-FFF2-40B4-BE49-F238E27FC236}">
                <a16:creationId xmlns:a16="http://schemas.microsoft.com/office/drawing/2014/main" id="{52CEA76B-ED68-4438-8890-FF13A262D677}"/>
              </a:ext>
            </a:extLst>
          </xdr:cNvPr>
          <xdr:cNvCxnSpPr/>
        </xdr:nvCxnSpPr>
        <xdr:spPr>
          <a:xfrm>
            <a:off x="4857753" y="6148863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6" name="Straight Arrow Connector 2935">
            <a:extLst>
              <a:ext uri="{FF2B5EF4-FFF2-40B4-BE49-F238E27FC236}">
                <a16:creationId xmlns:a16="http://schemas.microsoft.com/office/drawing/2014/main" id="{482685E7-3AD5-4C43-953A-04993EBA68F3}"/>
              </a:ext>
            </a:extLst>
          </xdr:cNvPr>
          <xdr:cNvCxnSpPr/>
        </xdr:nvCxnSpPr>
        <xdr:spPr>
          <a:xfrm>
            <a:off x="5019690" y="614886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7" name="Straight Arrow Connector 2936">
            <a:extLst>
              <a:ext uri="{FF2B5EF4-FFF2-40B4-BE49-F238E27FC236}">
                <a16:creationId xmlns:a16="http://schemas.microsoft.com/office/drawing/2014/main" id="{2FA41006-C0D4-4656-847F-D791445D56C6}"/>
              </a:ext>
            </a:extLst>
          </xdr:cNvPr>
          <xdr:cNvCxnSpPr/>
        </xdr:nvCxnSpPr>
        <xdr:spPr>
          <a:xfrm>
            <a:off x="5181616" y="6148863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8" name="Straight Arrow Connector 2937">
            <a:extLst>
              <a:ext uri="{FF2B5EF4-FFF2-40B4-BE49-F238E27FC236}">
                <a16:creationId xmlns:a16="http://schemas.microsoft.com/office/drawing/2014/main" id="{BF8B467C-BA38-4A70-85D5-B473E83336F0}"/>
              </a:ext>
            </a:extLst>
          </xdr:cNvPr>
          <xdr:cNvCxnSpPr/>
        </xdr:nvCxnSpPr>
        <xdr:spPr>
          <a:xfrm>
            <a:off x="5343535" y="61483875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9" name="Straight Arrow Connector 2938">
            <a:extLst>
              <a:ext uri="{FF2B5EF4-FFF2-40B4-BE49-F238E27FC236}">
                <a16:creationId xmlns:a16="http://schemas.microsoft.com/office/drawing/2014/main" id="{1D4BA339-F6D0-4AEC-A194-62C14474B24D}"/>
              </a:ext>
            </a:extLst>
          </xdr:cNvPr>
          <xdr:cNvCxnSpPr/>
        </xdr:nvCxnSpPr>
        <xdr:spPr>
          <a:xfrm>
            <a:off x="5572148" y="61488637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0" name="Straight Connector 2939">
            <a:extLst>
              <a:ext uri="{FF2B5EF4-FFF2-40B4-BE49-F238E27FC236}">
                <a16:creationId xmlns:a16="http://schemas.microsoft.com/office/drawing/2014/main" id="{378C48E5-CC6E-47B2-A436-6D29EBB5F8C1}"/>
              </a:ext>
            </a:extLst>
          </xdr:cNvPr>
          <xdr:cNvCxnSpPr/>
        </xdr:nvCxnSpPr>
        <xdr:spPr>
          <a:xfrm>
            <a:off x="1876427" y="61583881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1" name="Straight Connector 2940">
            <a:extLst>
              <a:ext uri="{FF2B5EF4-FFF2-40B4-BE49-F238E27FC236}">
                <a16:creationId xmlns:a16="http://schemas.microsoft.com/office/drawing/2014/main" id="{B9CFCA68-9B8A-467F-95C1-A0AE921E5E38}"/>
              </a:ext>
            </a:extLst>
          </xdr:cNvPr>
          <xdr:cNvCxnSpPr/>
        </xdr:nvCxnSpPr>
        <xdr:spPr>
          <a:xfrm>
            <a:off x="3724285" y="61488630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85724</xdr:colOff>
      <xdr:row>521</xdr:row>
      <xdr:rowOff>0</xdr:rowOff>
    </xdr:from>
    <xdr:to>
      <xdr:col>40</xdr:col>
      <xdr:colOff>61913</xdr:colOff>
      <xdr:row>567</xdr:row>
      <xdr:rowOff>28575</xdr:rowOff>
    </xdr:to>
    <xdr:grpSp>
      <xdr:nvGrpSpPr>
        <xdr:cNvPr id="2999" name="Group 2998">
          <a:extLst>
            <a:ext uri="{FF2B5EF4-FFF2-40B4-BE49-F238E27FC236}">
              <a16:creationId xmlns:a16="http://schemas.microsoft.com/office/drawing/2014/main" id="{C99FA1D4-70ED-7DC5-DE04-BF4E1C997257}"/>
            </a:ext>
          </a:extLst>
        </xdr:cNvPr>
        <xdr:cNvGrpSpPr/>
      </xdr:nvGrpSpPr>
      <xdr:grpSpPr>
        <a:xfrm>
          <a:off x="571499" y="74914125"/>
          <a:ext cx="5967414" cy="6600825"/>
          <a:chOff x="571499" y="68627625"/>
          <a:chExt cx="5967414" cy="6600825"/>
        </a:xfrm>
      </xdr:grpSpPr>
      <xdr:sp macro="" textlink="">
        <xdr:nvSpPr>
          <xdr:cNvPr id="41" name="Arc 40">
            <a:extLst>
              <a:ext uri="{FF2B5EF4-FFF2-40B4-BE49-F238E27FC236}">
                <a16:creationId xmlns:a16="http://schemas.microsoft.com/office/drawing/2014/main" id="{385C1685-0FC3-467F-A787-01145ACCEEF3}"/>
              </a:ext>
            </a:extLst>
          </xdr:cNvPr>
          <xdr:cNvSpPr/>
        </xdr:nvSpPr>
        <xdr:spPr>
          <a:xfrm>
            <a:off x="1152525" y="69046725"/>
            <a:ext cx="4181475" cy="6181725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320D4720-4494-4CCF-BBF8-A9B026E14F3C}"/>
              </a:ext>
            </a:extLst>
          </xdr:cNvPr>
          <xdr:cNvSpPr/>
        </xdr:nvSpPr>
        <xdr:spPr>
          <a:xfrm>
            <a:off x="1219196" y="70918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" name="Isosceles Triangle 92">
            <a:extLst>
              <a:ext uri="{FF2B5EF4-FFF2-40B4-BE49-F238E27FC236}">
                <a16:creationId xmlns:a16="http://schemas.microsoft.com/office/drawing/2014/main" id="{C5D91893-9BA0-4D62-A744-2D743186A713}"/>
              </a:ext>
            </a:extLst>
          </xdr:cNvPr>
          <xdr:cNvSpPr/>
        </xdr:nvSpPr>
        <xdr:spPr>
          <a:xfrm>
            <a:off x="1303778" y="70780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129E91A0-44D0-40CC-B3CD-CBA5D369AFC1}"/>
              </a:ext>
            </a:extLst>
          </xdr:cNvPr>
          <xdr:cNvCxnSpPr/>
        </xdr:nvCxnSpPr>
        <xdr:spPr>
          <a:xfrm>
            <a:off x="1209670" y="70913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6233F361-87EC-4373-A1AA-6A04079ACB43}"/>
              </a:ext>
            </a:extLst>
          </xdr:cNvPr>
          <xdr:cNvSpPr/>
        </xdr:nvSpPr>
        <xdr:spPr>
          <a:xfrm>
            <a:off x="1338257" y="70723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0" name="Straight Arrow Connector 99">
            <a:extLst>
              <a:ext uri="{FF2B5EF4-FFF2-40B4-BE49-F238E27FC236}">
                <a16:creationId xmlns:a16="http://schemas.microsoft.com/office/drawing/2014/main" id="{12A6D620-CFE1-4F65-A95D-FE2576BB75C7}"/>
              </a:ext>
            </a:extLst>
          </xdr:cNvPr>
          <xdr:cNvCxnSpPr/>
        </xdr:nvCxnSpPr>
        <xdr:spPr>
          <a:xfrm flipV="1">
            <a:off x="1371595" y="710565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81302C1B-7EA8-4898-911C-B71D34C5ED36}"/>
              </a:ext>
            </a:extLst>
          </xdr:cNvPr>
          <xdr:cNvSpPr/>
        </xdr:nvSpPr>
        <xdr:spPr>
          <a:xfrm>
            <a:off x="4948247" y="70913637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" name="Isosceles Triangle 105">
            <a:extLst>
              <a:ext uri="{FF2B5EF4-FFF2-40B4-BE49-F238E27FC236}">
                <a16:creationId xmlns:a16="http://schemas.microsoft.com/office/drawing/2014/main" id="{70C9306F-C2DA-478A-8FF9-A2C155AC1C56}"/>
              </a:ext>
            </a:extLst>
          </xdr:cNvPr>
          <xdr:cNvSpPr/>
        </xdr:nvSpPr>
        <xdr:spPr>
          <a:xfrm>
            <a:off x="5032829" y="70775527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50277FDC-4F8D-4FD9-9553-12A66C49CE9A}"/>
              </a:ext>
            </a:extLst>
          </xdr:cNvPr>
          <xdr:cNvCxnSpPr/>
        </xdr:nvCxnSpPr>
        <xdr:spPr>
          <a:xfrm>
            <a:off x="4938721" y="70908873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" name="Oval 109">
            <a:extLst>
              <a:ext uri="{FF2B5EF4-FFF2-40B4-BE49-F238E27FC236}">
                <a16:creationId xmlns:a16="http://schemas.microsoft.com/office/drawing/2014/main" id="{BD8DD8C0-6E33-435E-9DA8-893CEE1CF823}"/>
              </a:ext>
            </a:extLst>
          </xdr:cNvPr>
          <xdr:cNvSpPr/>
        </xdr:nvSpPr>
        <xdr:spPr>
          <a:xfrm>
            <a:off x="5067308" y="7071837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2CEF6C88-5CFA-4C03-9375-5CCFB2DEA710}"/>
              </a:ext>
            </a:extLst>
          </xdr:cNvPr>
          <xdr:cNvCxnSpPr/>
        </xdr:nvCxnSpPr>
        <xdr:spPr>
          <a:xfrm flipV="1">
            <a:off x="5100646" y="71051749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" name="Oval 112">
            <a:extLst>
              <a:ext uri="{FF2B5EF4-FFF2-40B4-BE49-F238E27FC236}">
                <a16:creationId xmlns:a16="http://schemas.microsoft.com/office/drawing/2014/main" id="{B8EE4F50-991D-40CD-A574-2238FF81DB84}"/>
              </a:ext>
            </a:extLst>
          </xdr:cNvPr>
          <xdr:cNvSpPr/>
        </xdr:nvSpPr>
        <xdr:spPr>
          <a:xfrm>
            <a:off x="3195638" y="69013387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5" name="Straight Arrow Connector 274">
            <a:extLst>
              <a:ext uri="{FF2B5EF4-FFF2-40B4-BE49-F238E27FC236}">
                <a16:creationId xmlns:a16="http://schemas.microsoft.com/office/drawing/2014/main" id="{F87A515B-3113-48C9-B33B-8D77E0FC6D0F}"/>
              </a:ext>
            </a:extLst>
          </xdr:cNvPr>
          <xdr:cNvCxnSpPr/>
        </xdr:nvCxnSpPr>
        <xdr:spPr>
          <a:xfrm>
            <a:off x="4371975" y="69199125"/>
            <a:ext cx="0" cy="347662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8B2D2AA0-E972-BECE-AB75-DBABE50BD350}"/>
              </a:ext>
            </a:extLst>
          </xdr:cNvPr>
          <xdr:cNvCxnSpPr/>
        </xdr:nvCxnSpPr>
        <xdr:spPr>
          <a:xfrm>
            <a:off x="1371600" y="71489892"/>
            <a:ext cx="0" cy="5048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6A4C1235-70E3-9898-79DC-45ECE9422200}"/>
              </a:ext>
            </a:extLst>
          </xdr:cNvPr>
          <xdr:cNvCxnSpPr/>
        </xdr:nvCxnSpPr>
        <xdr:spPr>
          <a:xfrm>
            <a:off x="1295399" y="71627999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78732BDB-6F9D-4B66-B829-C2D4300D5C90}"/>
              </a:ext>
            </a:extLst>
          </xdr:cNvPr>
          <xdr:cNvCxnSpPr/>
        </xdr:nvCxnSpPr>
        <xdr:spPr>
          <a:xfrm flipH="1">
            <a:off x="1333500" y="71594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8BF4E91A-9AE9-452F-BD30-4D4DAB4657D4}"/>
              </a:ext>
            </a:extLst>
          </xdr:cNvPr>
          <xdr:cNvCxnSpPr/>
        </xdr:nvCxnSpPr>
        <xdr:spPr>
          <a:xfrm>
            <a:off x="1295395" y="71913753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21877474-EE0E-43F7-9E1F-99136480A3E0}"/>
              </a:ext>
            </a:extLst>
          </xdr:cNvPr>
          <xdr:cNvCxnSpPr/>
        </xdr:nvCxnSpPr>
        <xdr:spPr>
          <a:xfrm flipH="1">
            <a:off x="1333496" y="7188041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3E80B37A-048D-4069-BE26-421D4FC512E0}"/>
              </a:ext>
            </a:extLst>
          </xdr:cNvPr>
          <xdr:cNvCxnSpPr/>
        </xdr:nvCxnSpPr>
        <xdr:spPr>
          <a:xfrm>
            <a:off x="5100639" y="71489897"/>
            <a:ext cx="0" cy="5048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D1C53BE0-0117-4378-9128-94601A59E566}"/>
              </a:ext>
            </a:extLst>
          </xdr:cNvPr>
          <xdr:cNvCxnSpPr/>
        </xdr:nvCxnSpPr>
        <xdr:spPr>
          <a:xfrm flipH="1">
            <a:off x="5062539" y="7159466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0C602EFB-7EA7-4B6F-9D3F-E55AEE8E4CE3}"/>
              </a:ext>
            </a:extLst>
          </xdr:cNvPr>
          <xdr:cNvCxnSpPr/>
        </xdr:nvCxnSpPr>
        <xdr:spPr>
          <a:xfrm flipH="1">
            <a:off x="5072060" y="7188042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1602AE35-766C-40E1-A14A-3C66B385E017}"/>
              </a:ext>
            </a:extLst>
          </xdr:cNvPr>
          <xdr:cNvCxnSpPr/>
        </xdr:nvCxnSpPr>
        <xdr:spPr>
          <a:xfrm>
            <a:off x="2105025" y="69613463"/>
            <a:ext cx="0" cy="2095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90D5F6BE-A42D-4C17-A670-A7456E4A3A1F}"/>
              </a:ext>
            </a:extLst>
          </xdr:cNvPr>
          <xdr:cNvCxnSpPr/>
        </xdr:nvCxnSpPr>
        <xdr:spPr>
          <a:xfrm flipH="1">
            <a:off x="2066921" y="715946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3C0A1DA0-E182-F479-B6AB-B91B6855E6B6}"/>
              </a:ext>
            </a:extLst>
          </xdr:cNvPr>
          <xdr:cNvCxnSpPr/>
        </xdr:nvCxnSpPr>
        <xdr:spPr>
          <a:xfrm>
            <a:off x="2062163" y="69494400"/>
            <a:ext cx="85725" cy="904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F0FB020F-02A8-436E-9CD5-FE18861AC77E}"/>
              </a:ext>
            </a:extLst>
          </xdr:cNvPr>
          <xdr:cNvCxnSpPr/>
        </xdr:nvCxnSpPr>
        <xdr:spPr>
          <a:xfrm flipH="1">
            <a:off x="4338638" y="69503925"/>
            <a:ext cx="76200" cy="762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C5FEFD60-EF76-492A-914B-D2529FAE99FF}"/>
              </a:ext>
            </a:extLst>
          </xdr:cNvPr>
          <xdr:cNvCxnSpPr/>
        </xdr:nvCxnSpPr>
        <xdr:spPr>
          <a:xfrm>
            <a:off x="4371974" y="69613469"/>
            <a:ext cx="0" cy="2095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AA2D8DA6-E960-487F-AF65-8321653F43DC}"/>
              </a:ext>
            </a:extLst>
          </xdr:cNvPr>
          <xdr:cNvCxnSpPr/>
        </xdr:nvCxnSpPr>
        <xdr:spPr>
          <a:xfrm flipH="1">
            <a:off x="4333870" y="7159467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47A49628-D665-ECD4-E4A2-9994D217E1B2}"/>
              </a:ext>
            </a:extLst>
          </xdr:cNvPr>
          <xdr:cNvCxnSpPr/>
        </xdr:nvCxnSpPr>
        <xdr:spPr>
          <a:xfrm>
            <a:off x="3595686" y="69056251"/>
            <a:ext cx="29384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C143A0F4-8343-7C2E-99E7-E23098B4427C}"/>
              </a:ext>
            </a:extLst>
          </xdr:cNvPr>
          <xdr:cNvCxnSpPr/>
        </xdr:nvCxnSpPr>
        <xdr:spPr>
          <a:xfrm>
            <a:off x="5676897" y="70770750"/>
            <a:ext cx="862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Arrow Connector 340">
            <a:extLst>
              <a:ext uri="{FF2B5EF4-FFF2-40B4-BE49-F238E27FC236}">
                <a16:creationId xmlns:a16="http://schemas.microsoft.com/office/drawing/2014/main" id="{E735AA41-FD4E-4525-BCDB-9FF1CDB66BD2}"/>
              </a:ext>
            </a:extLst>
          </xdr:cNvPr>
          <xdr:cNvCxnSpPr/>
        </xdr:nvCxnSpPr>
        <xdr:spPr>
          <a:xfrm flipH="1">
            <a:off x="5224461" y="70770750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9E9EA9C6-ECAA-E7F8-9688-BC4BF8396412}"/>
              </a:ext>
            </a:extLst>
          </xdr:cNvPr>
          <xdr:cNvCxnSpPr/>
        </xdr:nvCxnSpPr>
        <xdr:spPr>
          <a:xfrm flipV="1">
            <a:off x="6153151" y="68984812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597B81DE-B0ED-B078-A24F-4816DC14EC3C}"/>
              </a:ext>
            </a:extLst>
          </xdr:cNvPr>
          <xdr:cNvCxnSpPr/>
        </xdr:nvCxnSpPr>
        <xdr:spPr>
          <a:xfrm flipH="1">
            <a:off x="6119813" y="690229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589EFF84-CD16-4836-85F9-F1E801674B4D}"/>
              </a:ext>
            </a:extLst>
          </xdr:cNvPr>
          <xdr:cNvCxnSpPr/>
        </xdr:nvCxnSpPr>
        <xdr:spPr>
          <a:xfrm flipH="1">
            <a:off x="6119812" y="707374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35701B7F-576E-4E48-AB38-97CE5846A32C}"/>
              </a:ext>
            </a:extLst>
          </xdr:cNvPr>
          <xdr:cNvCxnSpPr/>
        </xdr:nvCxnSpPr>
        <xdr:spPr>
          <a:xfrm flipV="1">
            <a:off x="6477002" y="68984811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D220380C-BD5C-41FA-9CAF-26A791181BE1}"/>
              </a:ext>
            </a:extLst>
          </xdr:cNvPr>
          <xdr:cNvCxnSpPr/>
        </xdr:nvCxnSpPr>
        <xdr:spPr>
          <a:xfrm flipH="1">
            <a:off x="6443664" y="6902291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0A2DEE0E-D260-4184-B164-409FB457B743}"/>
              </a:ext>
            </a:extLst>
          </xdr:cNvPr>
          <xdr:cNvCxnSpPr/>
        </xdr:nvCxnSpPr>
        <xdr:spPr>
          <a:xfrm flipH="1">
            <a:off x="6443663" y="707374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1C4ACB20-003D-4F33-A58C-39F33C8C5EA3}"/>
              </a:ext>
            </a:extLst>
          </xdr:cNvPr>
          <xdr:cNvCxnSpPr/>
        </xdr:nvCxnSpPr>
        <xdr:spPr>
          <a:xfrm>
            <a:off x="4452938" y="69546794"/>
            <a:ext cx="1766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72709E4A-E8A9-416D-9853-CE6D8098E54C}"/>
              </a:ext>
            </a:extLst>
          </xdr:cNvPr>
          <xdr:cNvCxnSpPr/>
        </xdr:nvCxnSpPr>
        <xdr:spPr>
          <a:xfrm flipH="1">
            <a:off x="6119813" y="6951345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CC00B7AE-6B7A-C5EF-62CF-A7AB1F15D6C4}"/>
              </a:ext>
            </a:extLst>
          </xdr:cNvPr>
          <xdr:cNvCxnSpPr/>
        </xdr:nvCxnSpPr>
        <xdr:spPr>
          <a:xfrm>
            <a:off x="571500" y="69056249"/>
            <a:ext cx="23336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Arrow Connector 368">
            <a:extLst>
              <a:ext uri="{FF2B5EF4-FFF2-40B4-BE49-F238E27FC236}">
                <a16:creationId xmlns:a16="http://schemas.microsoft.com/office/drawing/2014/main" id="{136ECE78-4225-476F-9A1C-94969D01708E}"/>
              </a:ext>
            </a:extLst>
          </xdr:cNvPr>
          <xdr:cNvCxnSpPr/>
        </xdr:nvCxnSpPr>
        <xdr:spPr>
          <a:xfrm>
            <a:off x="985838" y="70770750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536E5967-8C5A-4089-86B9-579B24B373DA}"/>
              </a:ext>
            </a:extLst>
          </xdr:cNvPr>
          <xdr:cNvCxnSpPr/>
        </xdr:nvCxnSpPr>
        <xdr:spPr>
          <a:xfrm flipH="1">
            <a:off x="585788" y="70770750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45FEFCDA-C981-498E-9418-23E83D4DA8B8}"/>
              </a:ext>
            </a:extLst>
          </xdr:cNvPr>
          <xdr:cNvCxnSpPr/>
        </xdr:nvCxnSpPr>
        <xdr:spPr>
          <a:xfrm flipH="1">
            <a:off x="609604" y="707374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E8B7200B-9A03-71CB-767C-EA4414016D95}"/>
              </a:ext>
            </a:extLst>
          </xdr:cNvPr>
          <xdr:cNvCxnSpPr/>
        </xdr:nvCxnSpPr>
        <xdr:spPr>
          <a:xfrm>
            <a:off x="647701" y="68984813"/>
            <a:ext cx="0" cy="18573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55CD0E25-A602-4334-BB9C-834D5B3C8419}"/>
              </a:ext>
            </a:extLst>
          </xdr:cNvPr>
          <xdr:cNvCxnSpPr/>
        </xdr:nvCxnSpPr>
        <xdr:spPr>
          <a:xfrm flipH="1">
            <a:off x="614361" y="69022910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9BA78312-33C9-44E9-A382-BEE4543AC3FE}"/>
              </a:ext>
            </a:extLst>
          </xdr:cNvPr>
          <xdr:cNvCxnSpPr/>
        </xdr:nvCxnSpPr>
        <xdr:spPr>
          <a:xfrm>
            <a:off x="571499" y="69542024"/>
            <a:ext cx="14668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2C197246-90C9-45F8-B648-8FA28C24699C}"/>
              </a:ext>
            </a:extLst>
          </xdr:cNvPr>
          <xdr:cNvCxnSpPr/>
        </xdr:nvCxnSpPr>
        <xdr:spPr>
          <a:xfrm flipH="1">
            <a:off x="614360" y="69508685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23D00B12-7FFE-4440-9B5F-84DE88826987}"/>
              </a:ext>
            </a:extLst>
          </xdr:cNvPr>
          <xdr:cNvCxnSpPr/>
        </xdr:nvCxnSpPr>
        <xdr:spPr>
          <a:xfrm>
            <a:off x="3238504" y="69208650"/>
            <a:ext cx="0" cy="2495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73CE1ECE-A730-43B3-8025-E4A20248C54F}"/>
              </a:ext>
            </a:extLst>
          </xdr:cNvPr>
          <xdr:cNvCxnSpPr/>
        </xdr:nvCxnSpPr>
        <xdr:spPr>
          <a:xfrm flipH="1">
            <a:off x="3200400" y="7158990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Arrow Connector 506">
            <a:extLst>
              <a:ext uri="{FF2B5EF4-FFF2-40B4-BE49-F238E27FC236}">
                <a16:creationId xmlns:a16="http://schemas.microsoft.com/office/drawing/2014/main" id="{0D2113C4-CDC9-4673-A487-A4AAA7DB3E4B}"/>
              </a:ext>
            </a:extLst>
          </xdr:cNvPr>
          <xdr:cNvCxnSpPr/>
        </xdr:nvCxnSpPr>
        <xdr:spPr>
          <a:xfrm flipV="1">
            <a:off x="1371600" y="7007542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Arrow Connector 507">
            <a:extLst>
              <a:ext uri="{FF2B5EF4-FFF2-40B4-BE49-F238E27FC236}">
                <a16:creationId xmlns:a16="http://schemas.microsoft.com/office/drawing/2014/main" id="{D8949B1B-D8A2-4275-8C93-3EE677A288FA}"/>
              </a:ext>
            </a:extLst>
          </xdr:cNvPr>
          <xdr:cNvCxnSpPr/>
        </xdr:nvCxnSpPr>
        <xdr:spPr>
          <a:xfrm>
            <a:off x="1371600" y="70770750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2" name="Straight Connector 2941">
            <a:extLst>
              <a:ext uri="{FF2B5EF4-FFF2-40B4-BE49-F238E27FC236}">
                <a16:creationId xmlns:a16="http://schemas.microsoft.com/office/drawing/2014/main" id="{D00B232A-5C4B-4370-9932-627DEBAF8A92}"/>
              </a:ext>
            </a:extLst>
          </xdr:cNvPr>
          <xdr:cNvCxnSpPr/>
        </xdr:nvCxnSpPr>
        <xdr:spPr>
          <a:xfrm>
            <a:off x="1390654" y="68918137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3" name="Straight Arrow Connector 2942">
            <a:extLst>
              <a:ext uri="{FF2B5EF4-FFF2-40B4-BE49-F238E27FC236}">
                <a16:creationId xmlns:a16="http://schemas.microsoft.com/office/drawing/2014/main" id="{A2DA082B-DCC3-4277-B66E-9D1DB0C76059}"/>
              </a:ext>
            </a:extLst>
          </xdr:cNvPr>
          <xdr:cNvCxnSpPr/>
        </xdr:nvCxnSpPr>
        <xdr:spPr>
          <a:xfrm>
            <a:off x="1390650" y="6872763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4" name="Straight Arrow Connector 2943">
            <a:extLst>
              <a:ext uri="{FF2B5EF4-FFF2-40B4-BE49-F238E27FC236}">
                <a16:creationId xmlns:a16="http://schemas.microsoft.com/office/drawing/2014/main" id="{81D12A27-DD97-4236-BEA4-2A89D670BB52}"/>
              </a:ext>
            </a:extLst>
          </xdr:cNvPr>
          <xdr:cNvCxnSpPr/>
        </xdr:nvCxnSpPr>
        <xdr:spPr>
          <a:xfrm>
            <a:off x="1619249" y="6872763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5" name="Straight Arrow Connector 2944">
            <a:extLst>
              <a:ext uri="{FF2B5EF4-FFF2-40B4-BE49-F238E27FC236}">
                <a16:creationId xmlns:a16="http://schemas.microsoft.com/office/drawing/2014/main" id="{1F416566-BA12-4E93-AE11-D34ED1B113CA}"/>
              </a:ext>
            </a:extLst>
          </xdr:cNvPr>
          <xdr:cNvCxnSpPr/>
        </xdr:nvCxnSpPr>
        <xdr:spPr>
          <a:xfrm>
            <a:off x="1781175" y="6872763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6" name="Straight Arrow Connector 2945">
            <a:extLst>
              <a:ext uri="{FF2B5EF4-FFF2-40B4-BE49-F238E27FC236}">
                <a16:creationId xmlns:a16="http://schemas.microsoft.com/office/drawing/2014/main" id="{351E2C14-F534-48FE-BA48-73727581C94F}"/>
              </a:ext>
            </a:extLst>
          </xdr:cNvPr>
          <xdr:cNvCxnSpPr/>
        </xdr:nvCxnSpPr>
        <xdr:spPr>
          <a:xfrm>
            <a:off x="1943094" y="68727638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7" name="Straight Arrow Connector 2946">
            <a:extLst>
              <a:ext uri="{FF2B5EF4-FFF2-40B4-BE49-F238E27FC236}">
                <a16:creationId xmlns:a16="http://schemas.microsoft.com/office/drawing/2014/main" id="{909C8627-3968-42C8-81C6-978502C36BCA}"/>
              </a:ext>
            </a:extLst>
          </xdr:cNvPr>
          <xdr:cNvCxnSpPr/>
        </xdr:nvCxnSpPr>
        <xdr:spPr>
          <a:xfrm>
            <a:off x="2105025" y="6872763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8" name="Straight Arrow Connector 2947">
            <a:extLst>
              <a:ext uri="{FF2B5EF4-FFF2-40B4-BE49-F238E27FC236}">
                <a16:creationId xmlns:a16="http://schemas.microsoft.com/office/drawing/2014/main" id="{4F6A03F8-D9FB-4D97-B3C2-F925536F19CD}"/>
              </a:ext>
            </a:extLst>
          </xdr:cNvPr>
          <xdr:cNvCxnSpPr/>
        </xdr:nvCxnSpPr>
        <xdr:spPr>
          <a:xfrm>
            <a:off x="2266951" y="6872763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9" name="Straight Arrow Connector 2948">
            <a:extLst>
              <a:ext uri="{FF2B5EF4-FFF2-40B4-BE49-F238E27FC236}">
                <a16:creationId xmlns:a16="http://schemas.microsoft.com/office/drawing/2014/main" id="{0B5044F4-7B53-4020-A24C-0AF08657DE95}"/>
              </a:ext>
            </a:extLst>
          </xdr:cNvPr>
          <xdr:cNvCxnSpPr/>
        </xdr:nvCxnSpPr>
        <xdr:spPr>
          <a:xfrm>
            <a:off x="2428870" y="6872763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0" name="Straight Arrow Connector 2949">
            <a:extLst>
              <a:ext uri="{FF2B5EF4-FFF2-40B4-BE49-F238E27FC236}">
                <a16:creationId xmlns:a16="http://schemas.microsoft.com/office/drawing/2014/main" id="{C391BF4B-2EE7-4088-949E-79AD480D69FD}"/>
              </a:ext>
            </a:extLst>
          </xdr:cNvPr>
          <xdr:cNvCxnSpPr/>
        </xdr:nvCxnSpPr>
        <xdr:spPr>
          <a:xfrm>
            <a:off x="2590807" y="6872764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1" name="Straight Arrow Connector 2950">
            <a:extLst>
              <a:ext uri="{FF2B5EF4-FFF2-40B4-BE49-F238E27FC236}">
                <a16:creationId xmlns:a16="http://schemas.microsoft.com/office/drawing/2014/main" id="{C1CE3C0A-E7FD-42FD-AC93-2F7235B8DEC3}"/>
              </a:ext>
            </a:extLst>
          </xdr:cNvPr>
          <xdr:cNvCxnSpPr/>
        </xdr:nvCxnSpPr>
        <xdr:spPr>
          <a:xfrm>
            <a:off x="2752733" y="6872764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2" name="Straight Arrow Connector 2951">
            <a:extLst>
              <a:ext uri="{FF2B5EF4-FFF2-40B4-BE49-F238E27FC236}">
                <a16:creationId xmlns:a16="http://schemas.microsoft.com/office/drawing/2014/main" id="{08EFF017-3C1F-4E41-A725-734AAD481DFB}"/>
              </a:ext>
            </a:extLst>
          </xdr:cNvPr>
          <xdr:cNvCxnSpPr/>
        </xdr:nvCxnSpPr>
        <xdr:spPr>
          <a:xfrm>
            <a:off x="2914652" y="6872764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3" name="Straight Arrow Connector 2952">
            <a:extLst>
              <a:ext uri="{FF2B5EF4-FFF2-40B4-BE49-F238E27FC236}">
                <a16:creationId xmlns:a16="http://schemas.microsoft.com/office/drawing/2014/main" id="{B177F66A-3761-4A0E-8341-BE949BA3ACD7}"/>
              </a:ext>
            </a:extLst>
          </xdr:cNvPr>
          <xdr:cNvCxnSpPr/>
        </xdr:nvCxnSpPr>
        <xdr:spPr>
          <a:xfrm>
            <a:off x="3076583" y="68727637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4" name="Straight Arrow Connector 2953">
            <a:extLst>
              <a:ext uri="{FF2B5EF4-FFF2-40B4-BE49-F238E27FC236}">
                <a16:creationId xmlns:a16="http://schemas.microsoft.com/office/drawing/2014/main" id="{978BAAE9-58DC-425C-9B2F-689BFA08085D}"/>
              </a:ext>
            </a:extLst>
          </xdr:cNvPr>
          <xdr:cNvCxnSpPr/>
        </xdr:nvCxnSpPr>
        <xdr:spPr>
          <a:xfrm>
            <a:off x="3238509" y="68632387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5" name="Straight Arrow Connector 2954">
            <a:extLst>
              <a:ext uri="{FF2B5EF4-FFF2-40B4-BE49-F238E27FC236}">
                <a16:creationId xmlns:a16="http://schemas.microsoft.com/office/drawing/2014/main" id="{A7B72FD3-FE53-4EFC-80AC-4360D3F52907}"/>
              </a:ext>
            </a:extLst>
          </xdr:cNvPr>
          <xdr:cNvCxnSpPr/>
        </xdr:nvCxnSpPr>
        <xdr:spPr>
          <a:xfrm>
            <a:off x="3400428" y="68637150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6" name="Straight Arrow Connector 2955">
            <a:extLst>
              <a:ext uri="{FF2B5EF4-FFF2-40B4-BE49-F238E27FC236}">
                <a16:creationId xmlns:a16="http://schemas.microsoft.com/office/drawing/2014/main" id="{DC3D760F-8C05-412F-9DB2-C73497239E2B}"/>
              </a:ext>
            </a:extLst>
          </xdr:cNvPr>
          <xdr:cNvCxnSpPr/>
        </xdr:nvCxnSpPr>
        <xdr:spPr>
          <a:xfrm>
            <a:off x="3562357" y="68627625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7" name="Straight Arrow Connector 2956">
            <a:extLst>
              <a:ext uri="{FF2B5EF4-FFF2-40B4-BE49-F238E27FC236}">
                <a16:creationId xmlns:a16="http://schemas.microsoft.com/office/drawing/2014/main" id="{1BEB57C6-A628-44EC-B6C1-CABD06464FF9}"/>
              </a:ext>
            </a:extLst>
          </xdr:cNvPr>
          <xdr:cNvCxnSpPr/>
        </xdr:nvCxnSpPr>
        <xdr:spPr>
          <a:xfrm>
            <a:off x="3724283" y="6863238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8" name="Straight Arrow Connector 2957">
            <a:extLst>
              <a:ext uri="{FF2B5EF4-FFF2-40B4-BE49-F238E27FC236}">
                <a16:creationId xmlns:a16="http://schemas.microsoft.com/office/drawing/2014/main" id="{BFA72E89-46CB-4029-BF3A-EAC02D5BF170}"/>
              </a:ext>
            </a:extLst>
          </xdr:cNvPr>
          <xdr:cNvCxnSpPr/>
        </xdr:nvCxnSpPr>
        <xdr:spPr>
          <a:xfrm>
            <a:off x="3886202" y="68632387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9" name="Straight Arrow Connector 2958">
            <a:extLst>
              <a:ext uri="{FF2B5EF4-FFF2-40B4-BE49-F238E27FC236}">
                <a16:creationId xmlns:a16="http://schemas.microsoft.com/office/drawing/2014/main" id="{73A7C4E0-4659-4BB9-8BFE-F3B5373A49E1}"/>
              </a:ext>
            </a:extLst>
          </xdr:cNvPr>
          <xdr:cNvCxnSpPr/>
        </xdr:nvCxnSpPr>
        <xdr:spPr>
          <a:xfrm>
            <a:off x="4048133" y="68637150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0" name="Straight Arrow Connector 2959">
            <a:extLst>
              <a:ext uri="{FF2B5EF4-FFF2-40B4-BE49-F238E27FC236}">
                <a16:creationId xmlns:a16="http://schemas.microsoft.com/office/drawing/2014/main" id="{D221EB0B-05C0-4D9C-9889-4B43EEAE0E09}"/>
              </a:ext>
            </a:extLst>
          </xdr:cNvPr>
          <xdr:cNvCxnSpPr/>
        </xdr:nvCxnSpPr>
        <xdr:spPr>
          <a:xfrm>
            <a:off x="4210059" y="6863238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1" name="Straight Arrow Connector 2960">
            <a:extLst>
              <a:ext uri="{FF2B5EF4-FFF2-40B4-BE49-F238E27FC236}">
                <a16:creationId xmlns:a16="http://schemas.microsoft.com/office/drawing/2014/main" id="{5E5DD9B5-BB29-4E45-9F3A-6C285CB8CE1A}"/>
              </a:ext>
            </a:extLst>
          </xdr:cNvPr>
          <xdr:cNvCxnSpPr/>
        </xdr:nvCxnSpPr>
        <xdr:spPr>
          <a:xfrm>
            <a:off x="4371978" y="68632387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2" name="Straight Arrow Connector 2961">
            <a:extLst>
              <a:ext uri="{FF2B5EF4-FFF2-40B4-BE49-F238E27FC236}">
                <a16:creationId xmlns:a16="http://schemas.microsoft.com/office/drawing/2014/main" id="{A8E469FE-A3B5-4694-8F2A-A2CD152FDAA9}"/>
              </a:ext>
            </a:extLst>
          </xdr:cNvPr>
          <xdr:cNvCxnSpPr/>
        </xdr:nvCxnSpPr>
        <xdr:spPr>
          <a:xfrm>
            <a:off x="4533915" y="6863238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3" name="Straight Arrow Connector 2962">
            <a:extLst>
              <a:ext uri="{FF2B5EF4-FFF2-40B4-BE49-F238E27FC236}">
                <a16:creationId xmlns:a16="http://schemas.microsoft.com/office/drawing/2014/main" id="{854624F9-766D-4946-A6C1-D3B2E7EEF837}"/>
              </a:ext>
            </a:extLst>
          </xdr:cNvPr>
          <xdr:cNvCxnSpPr/>
        </xdr:nvCxnSpPr>
        <xdr:spPr>
          <a:xfrm>
            <a:off x="4695841" y="68632387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4" name="Straight Arrow Connector 2963">
            <a:extLst>
              <a:ext uri="{FF2B5EF4-FFF2-40B4-BE49-F238E27FC236}">
                <a16:creationId xmlns:a16="http://schemas.microsoft.com/office/drawing/2014/main" id="{D100C9F4-F3A1-4B10-8780-84CBD421E85B}"/>
              </a:ext>
            </a:extLst>
          </xdr:cNvPr>
          <xdr:cNvCxnSpPr/>
        </xdr:nvCxnSpPr>
        <xdr:spPr>
          <a:xfrm>
            <a:off x="4857760" y="68627625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5" name="Straight Arrow Connector 2964">
            <a:extLst>
              <a:ext uri="{FF2B5EF4-FFF2-40B4-BE49-F238E27FC236}">
                <a16:creationId xmlns:a16="http://schemas.microsoft.com/office/drawing/2014/main" id="{9DCB5610-6170-4D9D-A027-57E4EB827534}"/>
              </a:ext>
            </a:extLst>
          </xdr:cNvPr>
          <xdr:cNvCxnSpPr/>
        </xdr:nvCxnSpPr>
        <xdr:spPr>
          <a:xfrm>
            <a:off x="5086373" y="68632387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6" name="Straight Connector 2965">
            <a:extLst>
              <a:ext uri="{FF2B5EF4-FFF2-40B4-BE49-F238E27FC236}">
                <a16:creationId xmlns:a16="http://schemas.microsoft.com/office/drawing/2014/main" id="{E849D64F-9EF9-474E-A706-8A7A7738BFD4}"/>
              </a:ext>
            </a:extLst>
          </xdr:cNvPr>
          <xdr:cNvCxnSpPr/>
        </xdr:nvCxnSpPr>
        <xdr:spPr>
          <a:xfrm>
            <a:off x="1390652" y="68727631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7" name="Straight Connector 2966">
            <a:extLst>
              <a:ext uri="{FF2B5EF4-FFF2-40B4-BE49-F238E27FC236}">
                <a16:creationId xmlns:a16="http://schemas.microsoft.com/office/drawing/2014/main" id="{60ED3CBC-8BEA-4F3D-BF67-9CB02ADC01AC}"/>
              </a:ext>
            </a:extLst>
          </xdr:cNvPr>
          <xdr:cNvCxnSpPr/>
        </xdr:nvCxnSpPr>
        <xdr:spPr>
          <a:xfrm>
            <a:off x="3238510" y="68632380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85724</xdr:colOff>
      <xdr:row>1044</xdr:row>
      <xdr:rowOff>0</xdr:rowOff>
    </xdr:from>
    <xdr:to>
      <xdr:col>40</xdr:col>
      <xdr:colOff>61913</xdr:colOff>
      <xdr:row>1090</xdr:row>
      <xdr:rowOff>38100</xdr:rowOff>
    </xdr:to>
    <xdr:grpSp>
      <xdr:nvGrpSpPr>
        <xdr:cNvPr id="2994" name="Group 2993">
          <a:extLst>
            <a:ext uri="{FF2B5EF4-FFF2-40B4-BE49-F238E27FC236}">
              <a16:creationId xmlns:a16="http://schemas.microsoft.com/office/drawing/2014/main" id="{332D0F35-0275-4865-EFA1-D40E16A8E962}"/>
            </a:ext>
          </a:extLst>
        </xdr:cNvPr>
        <xdr:cNvGrpSpPr/>
      </xdr:nvGrpSpPr>
      <xdr:grpSpPr>
        <a:xfrm>
          <a:off x="571499" y="149637750"/>
          <a:ext cx="5967414" cy="6610350"/>
          <a:chOff x="571499" y="138207750"/>
          <a:chExt cx="5967414" cy="6610350"/>
        </a:xfrm>
      </xdr:grpSpPr>
      <xdr:sp macro="" textlink="">
        <xdr:nvSpPr>
          <xdr:cNvPr id="930" name="Arc 929">
            <a:extLst>
              <a:ext uri="{FF2B5EF4-FFF2-40B4-BE49-F238E27FC236}">
                <a16:creationId xmlns:a16="http://schemas.microsoft.com/office/drawing/2014/main" id="{339EA05C-D3F3-5FED-14F9-235CB5B72091}"/>
              </a:ext>
            </a:extLst>
          </xdr:cNvPr>
          <xdr:cNvSpPr/>
        </xdr:nvSpPr>
        <xdr:spPr>
          <a:xfrm>
            <a:off x="1152525" y="138618273"/>
            <a:ext cx="4181475" cy="6199827"/>
          </a:xfrm>
          <a:prstGeom prst="arc">
            <a:avLst>
              <a:gd name="adj1" fmla="val 12953407"/>
              <a:gd name="adj2" fmla="val 19430509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  <a:p>
            <a:pPr algn="l"/>
            <a:endParaRPr lang="tr-TR" sz="1100"/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A6A10266-AB37-8D4D-F697-99226C53B36F}"/>
              </a:ext>
            </a:extLst>
          </xdr:cNvPr>
          <xdr:cNvSpPr/>
        </xdr:nvSpPr>
        <xdr:spPr>
          <a:xfrm>
            <a:off x="1219196" y="140495417"/>
            <a:ext cx="338137" cy="143293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2" name="Isosceles Triangle 931">
            <a:extLst>
              <a:ext uri="{FF2B5EF4-FFF2-40B4-BE49-F238E27FC236}">
                <a16:creationId xmlns:a16="http://schemas.microsoft.com/office/drawing/2014/main" id="{E93DBC25-29B9-B409-247C-2EC57B310E4A}"/>
              </a:ext>
            </a:extLst>
          </xdr:cNvPr>
          <xdr:cNvSpPr/>
        </xdr:nvSpPr>
        <xdr:spPr>
          <a:xfrm>
            <a:off x="1303778" y="140356903"/>
            <a:ext cx="154684" cy="13373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3DF3A7A3-90D2-D20E-FA1E-766BAAC6D79F}"/>
              </a:ext>
            </a:extLst>
          </xdr:cNvPr>
          <xdr:cNvCxnSpPr/>
        </xdr:nvCxnSpPr>
        <xdr:spPr>
          <a:xfrm>
            <a:off x="1209670" y="14049063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4" name="Oval 933">
            <a:extLst>
              <a:ext uri="{FF2B5EF4-FFF2-40B4-BE49-F238E27FC236}">
                <a16:creationId xmlns:a16="http://schemas.microsoft.com/office/drawing/2014/main" id="{A2C1C876-1F3A-E782-97A9-130E764F7B7F}"/>
              </a:ext>
            </a:extLst>
          </xdr:cNvPr>
          <xdr:cNvSpPr/>
        </xdr:nvSpPr>
        <xdr:spPr>
          <a:xfrm>
            <a:off x="1338257" y="140299582"/>
            <a:ext cx="85726" cy="85977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35" name="Straight Arrow Connector 934">
            <a:extLst>
              <a:ext uri="{FF2B5EF4-FFF2-40B4-BE49-F238E27FC236}">
                <a16:creationId xmlns:a16="http://schemas.microsoft.com/office/drawing/2014/main" id="{8229859D-779D-ED28-2111-350C76E2477C}"/>
              </a:ext>
            </a:extLst>
          </xdr:cNvPr>
          <xdr:cNvCxnSpPr/>
        </xdr:nvCxnSpPr>
        <xdr:spPr>
          <a:xfrm flipV="1">
            <a:off x="1371595" y="140633933"/>
            <a:ext cx="0" cy="29614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040BD5AC-6A67-4808-78DD-83C7453D789D}"/>
              </a:ext>
            </a:extLst>
          </xdr:cNvPr>
          <xdr:cNvSpPr/>
        </xdr:nvSpPr>
        <xdr:spPr>
          <a:xfrm>
            <a:off x="4948247" y="140490652"/>
            <a:ext cx="338137" cy="143293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7" name="Isosceles Triangle 936">
            <a:extLst>
              <a:ext uri="{FF2B5EF4-FFF2-40B4-BE49-F238E27FC236}">
                <a16:creationId xmlns:a16="http://schemas.microsoft.com/office/drawing/2014/main" id="{BD8317B7-F851-FAAF-C3D4-C0C6AD2BF912}"/>
              </a:ext>
            </a:extLst>
          </xdr:cNvPr>
          <xdr:cNvSpPr/>
        </xdr:nvSpPr>
        <xdr:spPr>
          <a:xfrm>
            <a:off x="5032829" y="140352138"/>
            <a:ext cx="154684" cy="13373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4EDFB5E5-A851-22E7-E8C4-FB6F8250AE84}"/>
              </a:ext>
            </a:extLst>
          </xdr:cNvPr>
          <xdr:cNvCxnSpPr/>
        </xdr:nvCxnSpPr>
        <xdr:spPr>
          <a:xfrm>
            <a:off x="4938721" y="14048587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9" name="Oval 938">
            <a:extLst>
              <a:ext uri="{FF2B5EF4-FFF2-40B4-BE49-F238E27FC236}">
                <a16:creationId xmlns:a16="http://schemas.microsoft.com/office/drawing/2014/main" id="{63068ADE-A491-DD1B-D011-904B6A9DA0B2}"/>
              </a:ext>
            </a:extLst>
          </xdr:cNvPr>
          <xdr:cNvSpPr/>
        </xdr:nvSpPr>
        <xdr:spPr>
          <a:xfrm>
            <a:off x="5067308" y="140294817"/>
            <a:ext cx="85726" cy="85977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40" name="Straight Arrow Connector 939">
            <a:extLst>
              <a:ext uri="{FF2B5EF4-FFF2-40B4-BE49-F238E27FC236}">
                <a16:creationId xmlns:a16="http://schemas.microsoft.com/office/drawing/2014/main" id="{4519D9DA-A7FE-A20F-A838-67422FF926A3}"/>
              </a:ext>
            </a:extLst>
          </xdr:cNvPr>
          <xdr:cNvCxnSpPr/>
        </xdr:nvCxnSpPr>
        <xdr:spPr>
          <a:xfrm flipV="1">
            <a:off x="5100646" y="140629169"/>
            <a:ext cx="0" cy="29614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1" name="Oval 940">
            <a:extLst>
              <a:ext uri="{FF2B5EF4-FFF2-40B4-BE49-F238E27FC236}">
                <a16:creationId xmlns:a16="http://schemas.microsoft.com/office/drawing/2014/main" id="{B2DFD06A-2CFD-34B0-5481-1099DF2FEFA1}"/>
              </a:ext>
            </a:extLst>
          </xdr:cNvPr>
          <xdr:cNvSpPr/>
        </xdr:nvSpPr>
        <xdr:spPr>
          <a:xfrm>
            <a:off x="3195638" y="138575313"/>
            <a:ext cx="85726" cy="85977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7" name="Straight Arrow Connector 966">
            <a:extLst>
              <a:ext uri="{FF2B5EF4-FFF2-40B4-BE49-F238E27FC236}">
                <a16:creationId xmlns:a16="http://schemas.microsoft.com/office/drawing/2014/main" id="{1D40C93C-45E8-1F2E-95C2-EDF69C16DBC4}"/>
              </a:ext>
            </a:extLst>
          </xdr:cNvPr>
          <xdr:cNvCxnSpPr/>
        </xdr:nvCxnSpPr>
        <xdr:spPr>
          <a:xfrm>
            <a:off x="4371975" y="138771120"/>
            <a:ext cx="0" cy="34868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0C83ADDE-B7F1-B943-783F-F865C9899BDB}"/>
              </a:ext>
            </a:extLst>
          </xdr:cNvPr>
          <xdr:cNvCxnSpPr/>
        </xdr:nvCxnSpPr>
        <xdr:spPr>
          <a:xfrm>
            <a:off x="1371600" y="141068595"/>
            <a:ext cx="0" cy="506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48AE9F12-FE56-DA8C-558E-F43898ED3B52}"/>
              </a:ext>
            </a:extLst>
          </xdr:cNvPr>
          <xdr:cNvCxnSpPr/>
        </xdr:nvCxnSpPr>
        <xdr:spPr>
          <a:xfrm>
            <a:off x="1295399" y="141207106"/>
            <a:ext cx="3867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74126A07-743A-084D-9A3B-F7D2D694E28B}"/>
              </a:ext>
            </a:extLst>
          </xdr:cNvPr>
          <xdr:cNvCxnSpPr/>
        </xdr:nvCxnSpPr>
        <xdr:spPr>
          <a:xfrm flipH="1">
            <a:off x="1333500" y="141173672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2DEA87AF-C2CB-B7B6-8F86-09F051AED509}"/>
              </a:ext>
            </a:extLst>
          </xdr:cNvPr>
          <xdr:cNvCxnSpPr/>
        </xdr:nvCxnSpPr>
        <xdr:spPr>
          <a:xfrm>
            <a:off x="1295395" y="141493697"/>
            <a:ext cx="387191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D13BCA62-79E2-6164-72EA-6322288F1BE4}"/>
              </a:ext>
            </a:extLst>
          </xdr:cNvPr>
          <xdr:cNvCxnSpPr/>
        </xdr:nvCxnSpPr>
        <xdr:spPr>
          <a:xfrm flipH="1">
            <a:off x="1333496" y="141460263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643FB927-222B-D005-0B03-045E4DB97D21}"/>
              </a:ext>
            </a:extLst>
          </xdr:cNvPr>
          <xdr:cNvCxnSpPr/>
        </xdr:nvCxnSpPr>
        <xdr:spPr>
          <a:xfrm>
            <a:off x="5100639" y="141068600"/>
            <a:ext cx="0" cy="506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BA444E4C-C79F-32D5-BA73-C9820041E614}"/>
              </a:ext>
            </a:extLst>
          </xdr:cNvPr>
          <xdr:cNvCxnSpPr/>
        </xdr:nvCxnSpPr>
        <xdr:spPr>
          <a:xfrm flipH="1">
            <a:off x="5062539" y="141173677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479C5845-BD59-FDFB-BAC6-3B9096D211FC}"/>
              </a:ext>
            </a:extLst>
          </xdr:cNvPr>
          <xdr:cNvCxnSpPr/>
        </xdr:nvCxnSpPr>
        <xdr:spPr>
          <a:xfrm flipH="1">
            <a:off x="5072060" y="141460268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65243F63-BC8E-4F53-7E86-90DE854346DB}"/>
              </a:ext>
            </a:extLst>
          </xdr:cNvPr>
          <xdr:cNvCxnSpPr/>
        </xdr:nvCxnSpPr>
        <xdr:spPr>
          <a:xfrm>
            <a:off x="2105025" y="139186671"/>
            <a:ext cx="0" cy="2101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A9086DF2-8DA7-D9FB-6D6A-6E1901E3AE35}"/>
              </a:ext>
            </a:extLst>
          </xdr:cNvPr>
          <xdr:cNvCxnSpPr/>
        </xdr:nvCxnSpPr>
        <xdr:spPr>
          <a:xfrm flipH="1">
            <a:off x="2066921" y="141173676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Connector 977">
            <a:extLst>
              <a:ext uri="{FF2B5EF4-FFF2-40B4-BE49-F238E27FC236}">
                <a16:creationId xmlns:a16="http://schemas.microsoft.com/office/drawing/2014/main" id="{D9B7C936-5166-D46F-758A-7C1D9244E8AD}"/>
              </a:ext>
            </a:extLst>
          </xdr:cNvPr>
          <xdr:cNvCxnSpPr/>
        </xdr:nvCxnSpPr>
        <xdr:spPr>
          <a:xfrm>
            <a:off x="2062163" y="139067259"/>
            <a:ext cx="85725" cy="9075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66F770FB-34CE-1AE9-8093-F95FF4DB3F0D}"/>
              </a:ext>
            </a:extLst>
          </xdr:cNvPr>
          <xdr:cNvCxnSpPr/>
        </xdr:nvCxnSpPr>
        <xdr:spPr>
          <a:xfrm flipH="1">
            <a:off x="4338638" y="139076812"/>
            <a:ext cx="76200" cy="7642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Connector 979">
            <a:extLst>
              <a:ext uri="{FF2B5EF4-FFF2-40B4-BE49-F238E27FC236}">
                <a16:creationId xmlns:a16="http://schemas.microsoft.com/office/drawing/2014/main" id="{B2877E98-3823-FD4F-014A-27BD177EC452}"/>
              </a:ext>
            </a:extLst>
          </xdr:cNvPr>
          <xdr:cNvCxnSpPr/>
        </xdr:nvCxnSpPr>
        <xdr:spPr>
          <a:xfrm>
            <a:off x="4371974" y="139186677"/>
            <a:ext cx="0" cy="2101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56B883F5-4FB7-E529-3092-28606B0183FF}"/>
              </a:ext>
            </a:extLst>
          </xdr:cNvPr>
          <xdr:cNvCxnSpPr/>
        </xdr:nvCxnSpPr>
        <xdr:spPr>
          <a:xfrm flipH="1">
            <a:off x="4333870" y="141173682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FEE4919C-235B-933D-E8D5-F1DEE574424F}"/>
              </a:ext>
            </a:extLst>
          </xdr:cNvPr>
          <xdr:cNvCxnSpPr/>
        </xdr:nvCxnSpPr>
        <xdr:spPr>
          <a:xfrm>
            <a:off x="3595686" y="138627827"/>
            <a:ext cx="293846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071F9A74-1D1C-E9CF-B3E9-A16D3919ACCE}"/>
              </a:ext>
            </a:extLst>
          </xdr:cNvPr>
          <xdr:cNvCxnSpPr/>
        </xdr:nvCxnSpPr>
        <xdr:spPr>
          <a:xfrm>
            <a:off x="5676897" y="140347347"/>
            <a:ext cx="8620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Arrow Connector 983">
            <a:extLst>
              <a:ext uri="{FF2B5EF4-FFF2-40B4-BE49-F238E27FC236}">
                <a16:creationId xmlns:a16="http://schemas.microsoft.com/office/drawing/2014/main" id="{D2E405F2-935F-B292-D8BE-AD89ED5BD4FC}"/>
              </a:ext>
            </a:extLst>
          </xdr:cNvPr>
          <xdr:cNvCxnSpPr/>
        </xdr:nvCxnSpPr>
        <xdr:spPr>
          <a:xfrm flipH="1">
            <a:off x="5224461" y="140347347"/>
            <a:ext cx="338129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F120C66F-4ED8-9200-B3BD-49114ED857D1}"/>
              </a:ext>
            </a:extLst>
          </xdr:cNvPr>
          <xdr:cNvCxnSpPr/>
        </xdr:nvCxnSpPr>
        <xdr:spPr>
          <a:xfrm flipV="1">
            <a:off x="6153151" y="138556179"/>
            <a:ext cx="0" cy="18628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Connector 985">
            <a:extLst>
              <a:ext uri="{FF2B5EF4-FFF2-40B4-BE49-F238E27FC236}">
                <a16:creationId xmlns:a16="http://schemas.microsoft.com/office/drawing/2014/main" id="{88F6247F-584E-2AB1-52F8-1389ED00A0ED}"/>
              </a:ext>
            </a:extLst>
          </xdr:cNvPr>
          <xdr:cNvCxnSpPr/>
        </xdr:nvCxnSpPr>
        <xdr:spPr>
          <a:xfrm flipH="1">
            <a:off x="6119813" y="138594391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7302FEF4-041D-8520-EF54-492A0FE819A0}"/>
              </a:ext>
            </a:extLst>
          </xdr:cNvPr>
          <xdr:cNvCxnSpPr/>
        </xdr:nvCxnSpPr>
        <xdr:spPr>
          <a:xfrm flipH="1">
            <a:off x="6119812" y="140313912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Connector 987">
            <a:extLst>
              <a:ext uri="{FF2B5EF4-FFF2-40B4-BE49-F238E27FC236}">
                <a16:creationId xmlns:a16="http://schemas.microsoft.com/office/drawing/2014/main" id="{E48036B5-03AB-53A1-B3A8-53DC1160140A}"/>
              </a:ext>
            </a:extLst>
          </xdr:cNvPr>
          <xdr:cNvCxnSpPr/>
        </xdr:nvCxnSpPr>
        <xdr:spPr>
          <a:xfrm flipV="1">
            <a:off x="6477002" y="138556178"/>
            <a:ext cx="0" cy="18628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B9F9CBFD-4CA2-B0B6-987C-4BA673F39A10}"/>
              </a:ext>
            </a:extLst>
          </xdr:cNvPr>
          <xdr:cNvCxnSpPr/>
        </xdr:nvCxnSpPr>
        <xdr:spPr>
          <a:xfrm flipH="1">
            <a:off x="6443664" y="138594390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6C582054-E272-B42F-874D-8FC4EF969674}"/>
              </a:ext>
            </a:extLst>
          </xdr:cNvPr>
          <xdr:cNvCxnSpPr/>
        </xdr:nvCxnSpPr>
        <xdr:spPr>
          <a:xfrm flipH="1">
            <a:off x="6443663" y="140313911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56A1A15F-4BD3-9281-BF5E-21F6AFCCA573}"/>
              </a:ext>
            </a:extLst>
          </xdr:cNvPr>
          <xdr:cNvCxnSpPr/>
        </xdr:nvCxnSpPr>
        <xdr:spPr>
          <a:xfrm>
            <a:off x="4452938" y="139119807"/>
            <a:ext cx="1766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Straight Connector 991">
            <a:extLst>
              <a:ext uri="{FF2B5EF4-FFF2-40B4-BE49-F238E27FC236}">
                <a16:creationId xmlns:a16="http://schemas.microsoft.com/office/drawing/2014/main" id="{EDC007A5-10C8-7B2F-ACE6-5595329E3A2B}"/>
              </a:ext>
            </a:extLst>
          </xdr:cNvPr>
          <xdr:cNvCxnSpPr/>
        </xdr:nvCxnSpPr>
        <xdr:spPr>
          <a:xfrm flipH="1">
            <a:off x="6119813" y="139086370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Connector 992">
            <a:extLst>
              <a:ext uri="{FF2B5EF4-FFF2-40B4-BE49-F238E27FC236}">
                <a16:creationId xmlns:a16="http://schemas.microsoft.com/office/drawing/2014/main" id="{ACE1AE40-AC24-2102-B60E-F381F1CDA726}"/>
              </a:ext>
            </a:extLst>
          </xdr:cNvPr>
          <xdr:cNvCxnSpPr/>
        </xdr:nvCxnSpPr>
        <xdr:spPr>
          <a:xfrm>
            <a:off x="571500" y="138627825"/>
            <a:ext cx="23336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Straight Arrow Connector 993">
            <a:extLst>
              <a:ext uri="{FF2B5EF4-FFF2-40B4-BE49-F238E27FC236}">
                <a16:creationId xmlns:a16="http://schemas.microsoft.com/office/drawing/2014/main" id="{2C729A73-3291-769E-E137-FD8462C3DA35}"/>
              </a:ext>
            </a:extLst>
          </xdr:cNvPr>
          <xdr:cNvCxnSpPr/>
        </xdr:nvCxnSpPr>
        <xdr:spPr>
          <a:xfrm>
            <a:off x="985838" y="140347347"/>
            <a:ext cx="323850" cy="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Connector 994">
            <a:extLst>
              <a:ext uri="{FF2B5EF4-FFF2-40B4-BE49-F238E27FC236}">
                <a16:creationId xmlns:a16="http://schemas.microsoft.com/office/drawing/2014/main" id="{DB06FC12-A714-6A0C-2ED9-712E278954D0}"/>
              </a:ext>
            </a:extLst>
          </xdr:cNvPr>
          <xdr:cNvCxnSpPr/>
        </xdr:nvCxnSpPr>
        <xdr:spPr>
          <a:xfrm flipH="1">
            <a:off x="585788" y="140347347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Connector 995">
            <a:extLst>
              <a:ext uri="{FF2B5EF4-FFF2-40B4-BE49-F238E27FC236}">
                <a16:creationId xmlns:a16="http://schemas.microsoft.com/office/drawing/2014/main" id="{5C33DD39-2333-8BE5-00A8-D0D64B658309}"/>
              </a:ext>
            </a:extLst>
          </xdr:cNvPr>
          <xdr:cNvCxnSpPr/>
        </xdr:nvCxnSpPr>
        <xdr:spPr>
          <a:xfrm flipH="1">
            <a:off x="609604" y="140313914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B7779228-FB69-0592-F0A8-B87705F9207A}"/>
              </a:ext>
            </a:extLst>
          </xdr:cNvPr>
          <xdr:cNvCxnSpPr/>
        </xdr:nvCxnSpPr>
        <xdr:spPr>
          <a:xfrm>
            <a:off x="647701" y="138556180"/>
            <a:ext cx="0" cy="18628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1492BA3E-CB84-501A-D3EA-67457F2E9C31}"/>
              </a:ext>
            </a:extLst>
          </xdr:cNvPr>
          <xdr:cNvCxnSpPr/>
        </xdr:nvCxnSpPr>
        <xdr:spPr>
          <a:xfrm flipH="1">
            <a:off x="614361" y="138594389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4EA385D5-894E-23F3-AE82-DF4043909F28}"/>
              </a:ext>
            </a:extLst>
          </xdr:cNvPr>
          <xdr:cNvCxnSpPr/>
        </xdr:nvCxnSpPr>
        <xdr:spPr>
          <a:xfrm>
            <a:off x="571499" y="139115023"/>
            <a:ext cx="14668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66812348-89BC-282A-AFD3-4A7415D2E7C0}"/>
              </a:ext>
            </a:extLst>
          </xdr:cNvPr>
          <xdr:cNvCxnSpPr/>
        </xdr:nvCxnSpPr>
        <xdr:spPr>
          <a:xfrm flipH="1">
            <a:off x="614360" y="139081586"/>
            <a:ext cx="66675" cy="668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Straight Connector 1000">
            <a:extLst>
              <a:ext uri="{FF2B5EF4-FFF2-40B4-BE49-F238E27FC236}">
                <a16:creationId xmlns:a16="http://schemas.microsoft.com/office/drawing/2014/main" id="{CB7C1B15-F470-8015-E845-703E3ADFBD43}"/>
              </a:ext>
            </a:extLst>
          </xdr:cNvPr>
          <xdr:cNvCxnSpPr/>
        </xdr:nvCxnSpPr>
        <xdr:spPr>
          <a:xfrm>
            <a:off x="3238504" y="138780672"/>
            <a:ext cx="0" cy="25028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Connector 1001">
            <a:extLst>
              <a:ext uri="{FF2B5EF4-FFF2-40B4-BE49-F238E27FC236}">
                <a16:creationId xmlns:a16="http://schemas.microsoft.com/office/drawing/2014/main" id="{92A39203-16F2-5846-BE5F-A06473507DB6}"/>
              </a:ext>
            </a:extLst>
          </xdr:cNvPr>
          <xdr:cNvCxnSpPr/>
        </xdr:nvCxnSpPr>
        <xdr:spPr>
          <a:xfrm flipH="1">
            <a:off x="3200400" y="141168899"/>
            <a:ext cx="71437" cy="7164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Arrow Connector 1008">
            <a:extLst>
              <a:ext uri="{FF2B5EF4-FFF2-40B4-BE49-F238E27FC236}">
                <a16:creationId xmlns:a16="http://schemas.microsoft.com/office/drawing/2014/main" id="{D45989C2-7876-A72B-FF5A-AF8294C9CA6E}"/>
              </a:ext>
            </a:extLst>
          </xdr:cNvPr>
          <xdr:cNvCxnSpPr/>
        </xdr:nvCxnSpPr>
        <xdr:spPr>
          <a:xfrm flipV="1">
            <a:off x="1371600" y="139649986"/>
            <a:ext cx="0" cy="687808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Straight Arrow Connector 1009">
            <a:extLst>
              <a:ext uri="{FF2B5EF4-FFF2-40B4-BE49-F238E27FC236}">
                <a16:creationId xmlns:a16="http://schemas.microsoft.com/office/drawing/2014/main" id="{08231162-6AC3-6EF1-FDD4-8515111A8459}"/>
              </a:ext>
            </a:extLst>
          </xdr:cNvPr>
          <xdr:cNvCxnSpPr/>
        </xdr:nvCxnSpPr>
        <xdr:spPr>
          <a:xfrm>
            <a:off x="1371600" y="140347347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8" name="Straight Connector 2967">
            <a:extLst>
              <a:ext uri="{FF2B5EF4-FFF2-40B4-BE49-F238E27FC236}">
                <a16:creationId xmlns:a16="http://schemas.microsoft.com/office/drawing/2014/main" id="{C8579017-BA9B-4F26-BD58-A1B1DBAE615E}"/>
              </a:ext>
            </a:extLst>
          </xdr:cNvPr>
          <xdr:cNvCxnSpPr/>
        </xdr:nvCxnSpPr>
        <xdr:spPr>
          <a:xfrm>
            <a:off x="1390654" y="138498262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9" name="Straight Arrow Connector 2968">
            <a:extLst>
              <a:ext uri="{FF2B5EF4-FFF2-40B4-BE49-F238E27FC236}">
                <a16:creationId xmlns:a16="http://schemas.microsoft.com/office/drawing/2014/main" id="{7D3CED0A-8929-4392-958A-026ADB09BB90}"/>
              </a:ext>
            </a:extLst>
          </xdr:cNvPr>
          <xdr:cNvCxnSpPr/>
        </xdr:nvCxnSpPr>
        <xdr:spPr>
          <a:xfrm>
            <a:off x="1390650" y="138307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0" name="Straight Arrow Connector 2969">
            <a:extLst>
              <a:ext uri="{FF2B5EF4-FFF2-40B4-BE49-F238E27FC236}">
                <a16:creationId xmlns:a16="http://schemas.microsoft.com/office/drawing/2014/main" id="{33524F08-C822-4F02-A408-425E4AD19CFB}"/>
              </a:ext>
            </a:extLst>
          </xdr:cNvPr>
          <xdr:cNvCxnSpPr/>
        </xdr:nvCxnSpPr>
        <xdr:spPr>
          <a:xfrm>
            <a:off x="1619249" y="138307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1" name="Straight Arrow Connector 2970">
            <a:extLst>
              <a:ext uri="{FF2B5EF4-FFF2-40B4-BE49-F238E27FC236}">
                <a16:creationId xmlns:a16="http://schemas.microsoft.com/office/drawing/2014/main" id="{3F94437C-2AE6-438B-90BF-C479D31E43F5}"/>
              </a:ext>
            </a:extLst>
          </xdr:cNvPr>
          <xdr:cNvCxnSpPr/>
        </xdr:nvCxnSpPr>
        <xdr:spPr>
          <a:xfrm>
            <a:off x="1781175" y="138307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2" name="Straight Arrow Connector 2971">
            <a:extLst>
              <a:ext uri="{FF2B5EF4-FFF2-40B4-BE49-F238E27FC236}">
                <a16:creationId xmlns:a16="http://schemas.microsoft.com/office/drawing/2014/main" id="{395FC6B7-9593-4F05-8E93-6646AB867F37}"/>
              </a:ext>
            </a:extLst>
          </xdr:cNvPr>
          <xdr:cNvCxnSpPr/>
        </xdr:nvCxnSpPr>
        <xdr:spPr>
          <a:xfrm>
            <a:off x="1943094" y="1383077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3" name="Straight Arrow Connector 2972">
            <a:extLst>
              <a:ext uri="{FF2B5EF4-FFF2-40B4-BE49-F238E27FC236}">
                <a16:creationId xmlns:a16="http://schemas.microsoft.com/office/drawing/2014/main" id="{14F1AD2A-F119-4751-A6D0-10FA57C79380}"/>
              </a:ext>
            </a:extLst>
          </xdr:cNvPr>
          <xdr:cNvCxnSpPr/>
        </xdr:nvCxnSpPr>
        <xdr:spPr>
          <a:xfrm>
            <a:off x="2105025" y="1383077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4" name="Straight Arrow Connector 2973">
            <a:extLst>
              <a:ext uri="{FF2B5EF4-FFF2-40B4-BE49-F238E27FC236}">
                <a16:creationId xmlns:a16="http://schemas.microsoft.com/office/drawing/2014/main" id="{290B7E27-090B-4B79-BF6A-3EB30F5DFECA}"/>
              </a:ext>
            </a:extLst>
          </xdr:cNvPr>
          <xdr:cNvCxnSpPr/>
        </xdr:nvCxnSpPr>
        <xdr:spPr>
          <a:xfrm>
            <a:off x="2266951" y="1383077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5" name="Straight Arrow Connector 2974">
            <a:extLst>
              <a:ext uri="{FF2B5EF4-FFF2-40B4-BE49-F238E27FC236}">
                <a16:creationId xmlns:a16="http://schemas.microsoft.com/office/drawing/2014/main" id="{DF39CFC8-7580-4397-9F73-023403FCC48E}"/>
              </a:ext>
            </a:extLst>
          </xdr:cNvPr>
          <xdr:cNvCxnSpPr/>
        </xdr:nvCxnSpPr>
        <xdr:spPr>
          <a:xfrm>
            <a:off x="2428870" y="1383077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6" name="Straight Arrow Connector 2975">
            <a:extLst>
              <a:ext uri="{FF2B5EF4-FFF2-40B4-BE49-F238E27FC236}">
                <a16:creationId xmlns:a16="http://schemas.microsoft.com/office/drawing/2014/main" id="{5E661020-D42C-46D9-B625-AC94B59A32A5}"/>
              </a:ext>
            </a:extLst>
          </xdr:cNvPr>
          <xdr:cNvCxnSpPr/>
        </xdr:nvCxnSpPr>
        <xdr:spPr>
          <a:xfrm>
            <a:off x="2590807" y="1383077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7" name="Straight Arrow Connector 2976">
            <a:extLst>
              <a:ext uri="{FF2B5EF4-FFF2-40B4-BE49-F238E27FC236}">
                <a16:creationId xmlns:a16="http://schemas.microsoft.com/office/drawing/2014/main" id="{F372A37A-651B-46DA-A3B1-1BFEE45CC019}"/>
              </a:ext>
            </a:extLst>
          </xdr:cNvPr>
          <xdr:cNvCxnSpPr/>
        </xdr:nvCxnSpPr>
        <xdr:spPr>
          <a:xfrm>
            <a:off x="2752733" y="1383077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8" name="Straight Arrow Connector 2977">
            <a:extLst>
              <a:ext uri="{FF2B5EF4-FFF2-40B4-BE49-F238E27FC236}">
                <a16:creationId xmlns:a16="http://schemas.microsoft.com/office/drawing/2014/main" id="{212081E5-554E-4A39-890C-0E14C4ED3FAD}"/>
              </a:ext>
            </a:extLst>
          </xdr:cNvPr>
          <xdr:cNvCxnSpPr/>
        </xdr:nvCxnSpPr>
        <xdr:spPr>
          <a:xfrm>
            <a:off x="2914652" y="1383077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9" name="Straight Arrow Connector 2978">
            <a:extLst>
              <a:ext uri="{FF2B5EF4-FFF2-40B4-BE49-F238E27FC236}">
                <a16:creationId xmlns:a16="http://schemas.microsoft.com/office/drawing/2014/main" id="{1FFE53DD-D934-4E6B-B11A-F4EFEFBA4C29}"/>
              </a:ext>
            </a:extLst>
          </xdr:cNvPr>
          <xdr:cNvCxnSpPr/>
        </xdr:nvCxnSpPr>
        <xdr:spPr>
          <a:xfrm>
            <a:off x="3076583" y="138307762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0" name="Straight Arrow Connector 2979">
            <a:extLst>
              <a:ext uri="{FF2B5EF4-FFF2-40B4-BE49-F238E27FC236}">
                <a16:creationId xmlns:a16="http://schemas.microsoft.com/office/drawing/2014/main" id="{F712E551-75CB-41CC-98A7-8C85E41CFCFB}"/>
              </a:ext>
            </a:extLst>
          </xdr:cNvPr>
          <xdr:cNvCxnSpPr/>
        </xdr:nvCxnSpPr>
        <xdr:spPr>
          <a:xfrm>
            <a:off x="3238509" y="138212512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1" name="Straight Arrow Connector 2980">
            <a:extLst>
              <a:ext uri="{FF2B5EF4-FFF2-40B4-BE49-F238E27FC236}">
                <a16:creationId xmlns:a16="http://schemas.microsoft.com/office/drawing/2014/main" id="{8CD75FE2-0471-4036-8D95-9EAB7FCB1438}"/>
              </a:ext>
            </a:extLst>
          </xdr:cNvPr>
          <xdr:cNvCxnSpPr/>
        </xdr:nvCxnSpPr>
        <xdr:spPr>
          <a:xfrm>
            <a:off x="3400428" y="138217275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2" name="Straight Arrow Connector 2981">
            <a:extLst>
              <a:ext uri="{FF2B5EF4-FFF2-40B4-BE49-F238E27FC236}">
                <a16:creationId xmlns:a16="http://schemas.microsoft.com/office/drawing/2014/main" id="{6AAF3884-3DA5-4959-8862-CA0D983E024F}"/>
              </a:ext>
            </a:extLst>
          </xdr:cNvPr>
          <xdr:cNvCxnSpPr/>
        </xdr:nvCxnSpPr>
        <xdr:spPr>
          <a:xfrm>
            <a:off x="3562357" y="138207750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3" name="Straight Arrow Connector 2982">
            <a:extLst>
              <a:ext uri="{FF2B5EF4-FFF2-40B4-BE49-F238E27FC236}">
                <a16:creationId xmlns:a16="http://schemas.microsoft.com/office/drawing/2014/main" id="{43767B8E-00EE-41FE-9F38-FDA30663E7B5}"/>
              </a:ext>
            </a:extLst>
          </xdr:cNvPr>
          <xdr:cNvCxnSpPr/>
        </xdr:nvCxnSpPr>
        <xdr:spPr>
          <a:xfrm>
            <a:off x="3724283" y="1382125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4" name="Straight Arrow Connector 2983">
            <a:extLst>
              <a:ext uri="{FF2B5EF4-FFF2-40B4-BE49-F238E27FC236}">
                <a16:creationId xmlns:a16="http://schemas.microsoft.com/office/drawing/2014/main" id="{C518F05E-4854-432F-9319-EB812A643C73}"/>
              </a:ext>
            </a:extLst>
          </xdr:cNvPr>
          <xdr:cNvCxnSpPr/>
        </xdr:nvCxnSpPr>
        <xdr:spPr>
          <a:xfrm>
            <a:off x="3886202" y="1382125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5" name="Straight Arrow Connector 2984">
            <a:extLst>
              <a:ext uri="{FF2B5EF4-FFF2-40B4-BE49-F238E27FC236}">
                <a16:creationId xmlns:a16="http://schemas.microsoft.com/office/drawing/2014/main" id="{F803FD1A-EC7D-4B58-BA40-27482E70B6CB}"/>
              </a:ext>
            </a:extLst>
          </xdr:cNvPr>
          <xdr:cNvCxnSpPr/>
        </xdr:nvCxnSpPr>
        <xdr:spPr>
          <a:xfrm>
            <a:off x="4048133" y="138217275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6" name="Straight Arrow Connector 2985">
            <a:extLst>
              <a:ext uri="{FF2B5EF4-FFF2-40B4-BE49-F238E27FC236}">
                <a16:creationId xmlns:a16="http://schemas.microsoft.com/office/drawing/2014/main" id="{0862257E-2054-472F-9FD7-D7763B794FB0}"/>
              </a:ext>
            </a:extLst>
          </xdr:cNvPr>
          <xdr:cNvCxnSpPr/>
        </xdr:nvCxnSpPr>
        <xdr:spPr>
          <a:xfrm>
            <a:off x="4210059" y="1382125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7" name="Straight Arrow Connector 2986">
            <a:extLst>
              <a:ext uri="{FF2B5EF4-FFF2-40B4-BE49-F238E27FC236}">
                <a16:creationId xmlns:a16="http://schemas.microsoft.com/office/drawing/2014/main" id="{2B0A1988-45A1-4F20-837F-F3721D31D7CD}"/>
              </a:ext>
            </a:extLst>
          </xdr:cNvPr>
          <xdr:cNvCxnSpPr/>
        </xdr:nvCxnSpPr>
        <xdr:spPr>
          <a:xfrm>
            <a:off x="4371978" y="1382125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8" name="Straight Arrow Connector 2987">
            <a:extLst>
              <a:ext uri="{FF2B5EF4-FFF2-40B4-BE49-F238E27FC236}">
                <a16:creationId xmlns:a16="http://schemas.microsoft.com/office/drawing/2014/main" id="{F64758F7-96E2-45E5-8C70-47A4CCF8DDFA}"/>
              </a:ext>
            </a:extLst>
          </xdr:cNvPr>
          <xdr:cNvCxnSpPr/>
        </xdr:nvCxnSpPr>
        <xdr:spPr>
          <a:xfrm>
            <a:off x="4533915" y="1382125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9" name="Straight Arrow Connector 2988">
            <a:extLst>
              <a:ext uri="{FF2B5EF4-FFF2-40B4-BE49-F238E27FC236}">
                <a16:creationId xmlns:a16="http://schemas.microsoft.com/office/drawing/2014/main" id="{C31991C5-67F4-419B-B66D-F1733C41968C}"/>
              </a:ext>
            </a:extLst>
          </xdr:cNvPr>
          <xdr:cNvCxnSpPr/>
        </xdr:nvCxnSpPr>
        <xdr:spPr>
          <a:xfrm>
            <a:off x="4695841" y="1382125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0" name="Straight Arrow Connector 2989">
            <a:extLst>
              <a:ext uri="{FF2B5EF4-FFF2-40B4-BE49-F238E27FC236}">
                <a16:creationId xmlns:a16="http://schemas.microsoft.com/office/drawing/2014/main" id="{84682E3A-A2A3-4B21-8B15-CF2F410BD26C}"/>
              </a:ext>
            </a:extLst>
          </xdr:cNvPr>
          <xdr:cNvCxnSpPr/>
        </xdr:nvCxnSpPr>
        <xdr:spPr>
          <a:xfrm>
            <a:off x="4857760" y="138207750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1" name="Straight Arrow Connector 2990">
            <a:extLst>
              <a:ext uri="{FF2B5EF4-FFF2-40B4-BE49-F238E27FC236}">
                <a16:creationId xmlns:a16="http://schemas.microsoft.com/office/drawing/2014/main" id="{C439E364-05C7-4EF7-A40F-FEF8D0663A53}"/>
              </a:ext>
            </a:extLst>
          </xdr:cNvPr>
          <xdr:cNvCxnSpPr/>
        </xdr:nvCxnSpPr>
        <xdr:spPr>
          <a:xfrm>
            <a:off x="5086373" y="138212512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2" name="Straight Connector 2991">
            <a:extLst>
              <a:ext uri="{FF2B5EF4-FFF2-40B4-BE49-F238E27FC236}">
                <a16:creationId xmlns:a16="http://schemas.microsoft.com/office/drawing/2014/main" id="{A9B068E9-C3C0-42D0-A528-F092C77CD0BD}"/>
              </a:ext>
            </a:extLst>
          </xdr:cNvPr>
          <xdr:cNvCxnSpPr/>
        </xdr:nvCxnSpPr>
        <xdr:spPr>
          <a:xfrm>
            <a:off x="1390652" y="138307756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3" name="Straight Connector 2992">
            <a:extLst>
              <a:ext uri="{FF2B5EF4-FFF2-40B4-BE49-F238E27FC236}">
                <a16:creationId xmlns:a16="http://schemas.microsoft.com/office/drawing/2014/main" id="{A2F92DE5-408E-440E-B6A5-1BF7E961345F}"/>
              </a:ext>
            </a:extLst>
          </xdr:cNvPr>
          <xdr:cNvCxnSpPr/>
        </xdr:nvCxnSpPr>
        <xdr:spPr>
          <a:xfrm>
            <a:off x="3238510" y="138212505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33336</xdr:colOff>
      <xdr:row>162</xdr:row>
      <xdr:rowOff>0</xdr:rowOff>
    </xdr:from>
    <xdr:to>
      <xdr:col>69</xdr:col>
      <xdr:colOff>19050</xdr:colOff>
      <xdr:row>187</xdr:row>
      <xdr:rowOff>123825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0CFF6747-9B58-432B-BA7B-2AA46B871A64}"/>
            </a:ext>
          </a:extLst>
        </xdr:cNvPr>
        <xdr:cNvGrpSpPr/>
      </xdr:nvGrpSpPr>
      <xdr:grpSpPr>
        <a:xfrm>
          <a:off x="7319961" y="23622000"/>
          <a:ext cx="3871914" cy="3695700"/>
          <a:chOff x="7872411" y="714375"/>
          <a:chExt cx="3871914" cy="3695700"/>
        </a:xfrm>
      </xdr:grpSpPr>
      <xdr:sp macro="" textlink="">
        <xdr:nvSpPr>
          <xdr:cNvPr id="53" name="Arc 52">
            <a:extLst>
              <a:ext uri="{FF2B5EF4-FFF2-40B4-BE49-F238E27FC236}">
                <a16:creationId xmlns:a16="http://schemas.microsoft.com/office/drawing/2014/main" id="{6F8CEEAB-A1CD-4A7A-DA9F-D30B8E6C91B3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D5EB7078-214E-4DC1-0C67-FA4851691727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9" name="Isosceles Triangle 58">
            <a:extLst>
              <a:ext uri="{FF2B5EF4-FFF2-40B4-BE49-F238E27FC236}">
                <a16:creationId xmlns:a16="http://schemas.microsoft.com/office/drawing/2014/main" id="{A41F6F73-560E-F00A-0107-E25356DF7A81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D1C0FBC5-6272-BEEC-071C-51FA4A2ADE62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Oval 60">
            <a:extLst>
              <a:ext uri="{FF2B5EF4-FFF2-40B4-BE49-F238E27FC236}">
                <a16:creationId xmlns:a16="http://schemas.microsoft.com/office/drawing/2014/main" id="{8F967708-EF73-4786-A471-0C1299A99E48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47A774D4-5CDD-4874-A48B-8F8865659E43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34B37774-4DB5-D8B5-F4F5-B6D5933EBD75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82" name="Arc 2781">
            <a:extLst>
              <a:ext uri="{FF2B5EF4-FFF2-40B4-BE49-F238E27FC236}">
                <a16:creationId xmlns:a16="http://schemas.microsoft.com/office/drawing/2014/main" id="{A90278BE-BB90-3932-ED93-F7CEDA8DF1CE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92" name="TextBox 2791">
            <a:extLst>
              <a:ext uri="{FF2B5EF4-FFF2-40B4-BE49-F238E27FC236}">
                <a16:creationId xmlns:a16="http://schemas.microsoft.com/office/drawing/2014/main" id="{1DBC5BB1-CA08-D2FB-BE6C-6050B6E4BF71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2799" name="TextBox 2798">
            <a:extLst>
              <a:ext uri="{FF2B5EF4-FFF2-40B4-BE49-F238E27FC236}">
                <a16:creationId xmlns:a16="http://schemas.microsoft.com/office/drawing/2014/main" id="{878CCEDF-FFA6-92C7-EAC7-683E5BF2D917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2800" name="TextBox 2799">
            <a:extLst>
              <a:ext uri="{FF2B5EF4-FFF2-40B4-BE49-F238E27FC236}">
                <a16:creationId xmlns:a16="http://schemas.microsoft.com/office/drawing/2014/main" id="{F59A247C-5F1C-D820-8561-C5455A74463B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32</xdr:col>
      <xdr:colOff>104775</xdr:colOff>
      <xdr:row>187</xdr:row>
      <xdr:rowOff>66675</xdr:rowOff>
    </xdr:from>
    <xdr:to>
      <xdr:col>34</xdr:col>
      <xdr:colOff>66675</xdr:colOff>
      <xdr:row>187</xdr:row>
      <xdr:rowOff>66675</xdr:rowOff>
    </xdr:to>
    <xdr:cxnSp macro="">
      <xdr:nvCxnSpPr>
        <xdr:cNvPr id="2805" name="Straight Arrow Connector 2804">
          <a:extLst>
            <a:ext uri="{FF2B5EF4-FFF2-40B4-BE49-F238E27FC236}">
              <a16:creationId xmlns:a16="http://schemas.microsoft.com/office/drawing/2014/main" id="{B38E758D-6AB6-4278-9D59-6900D64880C2}"/>
            </a:ext>
          </a:extLst>
        </xdr:cNvPr>
        <xdr:cNvCxnSpPr/>
      </xdr:nvCxnSpPr>
      <xdr:spPr>
        <a:xfrm>
          <a:off x="5286375" y="382619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119078</xdr:colOff>
      <xdr:row>158</xdr:row>
      <xdr:rowOff>138113</xdr:rowOff>
    </xdr:from>
    <xdr:to>
      <xdr:col>42</xdr:col>
      <xdr:colOff>66675</xdr:colOff>
      <xdr:row>187</xdr:row>
      <xdr:rowOff>133350</xdr:rowOff>
    </xdr:to>
    <xdr:grpSp>
      <xdr:nvGrpSpPr>
        <xdr:cNvPr id="960" name="Group 959">
          <a:extLst>
            <a:ext uri="{FF2B5EF4-FFF2-40B4-BE49-F238E27FC236}">
              <a16:creationId xmlns:a16="http://schemas.microsoft.com/office/drawing/2014/main" id="{C5D0E083-B217-50CC-7A5F-D55B36232456}"/>
            </a:ext>
          </a:extLst>
        </xdr:cNvPr>
        <xdr:cNvGrpSpPr/>
      </xdr:nvGrpSpPr>
      <xdr:grpSpPr>
        <a:xfrm>
          <a:off x="766778" y="23188613"/>
          <a:ext cx="6100747" cy="4138612"/>
          <a:chOff x="766778" y="23188613"/>
          <a:chExt cx="6100747" cy="4138612"/>
        </a:xfrm>
      </xdr:grpSpPr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933D43A7-CA65-723D-E80D-A9DE3D8804A8}"/>
              </a:ext>
            </a:extLst>
          </xdr:cNvPr>
          <xdr:cNvCxnSpPr/>
        </xdr:nvCxnSpPr>
        <xdr:spPr>
          <a:xfrm>
            <a:off x="1881189" y="25479376"/>
            <a:ext cx="3686174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65C2FEBC-51FF-27BD-9C22-60D937E2ECBB}"/>
              </a:ext>
            </a:extLst>
          </xdr:cNvPr>
          <xdr:cNvSpPr/>
        </xdr:nvSpPr>
        <xdr:spPr>
          <a:xfrm>
            <a:off x="1709737" y="256270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8" name="Arc 2807">
            <a:extLst>
              <a:ext uri="{FF2B5EF4-FFF2-40B4-BE49-F238E27FC236}">
                <a16:creationId xmlns:a16="http://schemas.microsoft.com/office/drawing/2014/main" id="{0840EC50-9C42-D688-A7D9-54BA5E4A144B}"/>
              </a:ext>
            </a:extLst>
          </xdr:cNvPr>
          <xdr:cNvSpPr/>
        </xdr:nvSpPr>
        <xdr:spPr>
          <a:xfrm>
            <a:off x="1876424" y="23631525"/>
            <a:ext cx="3695700" cy="3695700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9" name="Isosceles Triangle 2808">
            <a:extLst>
              <a:ext uri="{FF2B5EF4-FFF2-40B4-BE49-F238E27FC236}">
                <a16:creationId xmlns:a16="http://schemas.microsoft.com/office/drawing/2014/main" id="{F3AFC1D7-4B69-FB52-6D54-D2AC4A18B3E2}"/>
              </a:ext>
            </a:extLst>
          </xdr:cNvPr>
          <xdr:cNvSpPr/>
        </xdr:nvSpPr>
        <xdr:spPr>
          <a:xfrm>
            <a:off x="1794319" y="25488903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10" name="Straight Connector 2809">
            <a:extLst>
              <a:ext uri="{FF2B5EF4-FFF2-40B4-BE49-F238E27FC236}">
                <a16:creationId xmlns:a16="http://schemas.microsoft.com/office/drawing/2014/main" id="{716ED65C-9B49-CBFB-6F53-0DA83AC02EEC}"/>
              </a:ext>
            </a:extLst>
          </xdr:cNvPr>
          <xdr:cNvCxnSpPr/>
        </xdr:nvCxnSpPr>
        <xdr:spPr>
          <a:xfrm>
            <a:off x="1700211" y="256222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11" name="Oval 2810">
            <a:extLst>
              <a:ext uri="{FF2B5EF4-FFF2-40B4-BE49-F238E27FC236}">
                <a16:creationId xmlns:a16="http://schemas.microsoft.com/office/drawing/2014/main" id="{4E7CF9EE-BA07-C09B-D443-33AD22FB96F4}"/>
              </a:ext>
            </a:extLst>
          </xdr:cNvPr>
          <xdr:cNvSpPr/>
        </xdr:nvSpPr>
        <xdr:spPr>
          <a:xfrm>
            <a:off x="1828798" y="254317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14F4642B-0067-7F14-2AFA-C79EEB9F5CF9}"/>
              </a:ext>
            </a:extLst>
          </xdr:cNvPr>
          <xdr:cNvSpPr/>
        </xdr:nvSpPr>
        <xdr:spPr>
          <a:xfrm>
            <a:off x="5405434" y="25627013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13" name="Isosceles Triangle 2812">
            <a:extLst>
              <a:ext uri="{FF2B5EF4-FFF2-40B4-BE49-F238E27FC236}">
                <a16:creationId xmlns:a16="http://schemas.microsoft.com/office/drawing/2014/main" id="{AFE31A20-0088-5B9F-0DD4-B3C7AB3057E3}"/>
              </a:ext>
            </a:extLst>
          </xdr:cNvPr>
          <xdr:cNvSpPr/>
        </xdr:nvSpPr>
        <xdr:spPr>
          <a:xfrm>
            <a:off x="5500678" y="25469516"/>
            <a:ext cx="133360" cy="11496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14" name="Straight Connector 2813">
            <a:extLst>
              <a:ext uri="{FF2B5EF4-FFF2-40B4-BE49-F238E27FC236}">
                <a16:creationId xmlns:a16="http://schemas.microsoft.com/office/drawing/2014/main" id="{34547821-A3E1-B23F-66A5-4C43833786A7}"/>
              </a:ext>
            </a:extLst>
          </xdr:cNvPr>
          <xdr:cNvCxnSpPr/>
        </xdr:nvCxnSpPr>
        <xdr:spPr>
          <a:xfrm>
            <a:off x="5395908" y="25622249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15" name="Oval 2814">
            <a:extLst>
              <a:ext uri="{FF2B5EF4-FFF2-40B4-BE49-F238E27FC236}">
                <a16:creationId xmlns:a16="http://schemas.microsoft.com/office/drawing/2014/main" id="{F8D16FF3-4B85-147B-D4F1-5E48C0C5E89C}"/>
              </a:ext>
            </a:extLst>
          </xdr:cNvPr>
          <xdr:cNvSpPr/>
        </xdr:nvSpPr>
        <xdr:spPr>
          <a:xfrm>
            <a:off x="5524495" y="25431750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9DD9993E-72E1-8CE9-2D68-BEE45220766D}"/>
              </a:ext>
            </a:extLst>
          </xdr:cNvPr>
          <xdr:cNvCxnSpPr/>
        </xdr:nvCxnSpPr>
        <xdr:spPr>
          <a:xfrm flipV="1">
            <a:off x="1862136" y="257651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A0568EE3-1558-0A95-884F-BDED6C41867C}"/>
              </a:ext>
            </a:extLst>
          </xdr:cNvPr>
          <xdr:cNvCxnSpPr/>
        </xdr:nvCxnSpPr>
        <xdr:spPr>
          <a:xfrm flipV="1">
            <a:off x="5572123" y="25765124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" name="Oval 65">
            <a:extLst>
              <a:ext uri="{FF2B5EF4-FFF2-40B4-BE49-F238E27FC236}">
                <a16:creationId xmlns:a16="http://schemas.microsoft.com/office/drawing/2014/main" id="{886435E1-B457-8773-DDB6-F1571F4C852A}"/>
              </a:ext>
            </a:extLst>
          </xdr:cNvPr>
          <xdr:cNvSpPr/>
        </xdr:nvSpPr>
        <xdr:spPr>
          <a:xfrm>
            <a:off x="3681413" y="2358866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09E5AA7A-A4C9-398A-5B8C-C347405F07EE}"/>
              </a:ext>
            </a:extLst>
          </xdr:cNvPr>
          <xdr:cNvCxnSpPr/>
        </xdr:nvCxnSpPr>
        <xdr:spPr>
          <a:xfrm>
            <a:off x="1795465" y="26336626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A238AD6E-9B32-CAB0-6353-85D1CD99CF8A}"/>
              </a:ext>
            </a:extLst>
          </xdr:cNvPr>
          <xdr:cNvCxnSpPr/>
        </xdr:nvCxnSpPr>
        <xdr:spPr>
          <a:xfrm>
            <a:off x="1862138" y="26203281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B3E299E3-7757-362E-A96A-E0A0D4DFC558}"/>
              </a:ext>
            </a:extLst>
          </xdr:cNvPr>
          <xdr:cNvCxnSpPr/>
        </xdr:nvCxnSpPr>
        <xdr:spPr>
          <a:xfrm flipH="1">
            <a:off x="1824037" y="263032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6EEC396C-4C65-287B-32C6-7F200BBAEED0}"/>
              </a:ext>
            </a:extLst>
          </xdr:cNvPr>
          <xdr:cNvCxnSpPr/>
        </xdr:nvCxnSpPr>
        <xdr:spPr>
          <a:xfrm>
            <a:off x="1795463" y="26622382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2963A9FC-3937-3A11-67E1-45F24EDC5D6D}"/>
              </a:ext>
            </a:extLst>
          </xdr:cNvPr>
          <xdr:cNvCxnSpPr/>
        </xdr:nvCxnSpPr>
        <xdr:spPr>
          <a:xfrm flipH="1">
            <a:off x="1824035" y="2658904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696599EF-601F-F32D-8D7F-0CD4862D7A49}"/>
              </a:ext>
            </a:extLst>
          </xdr:cNvPr>
          <xdr:cNvCxnSpPr/>
        </xdr:nvCxnSpPr>
        <xdr:spPr>
          <a:xfrm>
            <a:off x="5572132" y="26203276"/>
            <a:ext cx="0" cy="4905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F8C873E7-057B-3D6B-285B-54E3548A4C50}"/>
              </a:ext>
            </a:extLst>
          </xdr:cNvPr>
          <xdr:cNvCxnSpPr/>
        </xdr:nvCxnSpPr>
        <xdr:spPr>
          <a:xfrm flipH="1">
            <a:off x="5534031" y="2630328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1CD5977A-A758-5175-8C32-6C4BB7A28A40}"/>
              </a:ext>
            </a:extLst>
          </xdr:cNvPr>
          <xdr:cNvCxnSpPr/>
        </xdr:nvCxnSpPr>
        <xdr:spPr>
          <a:xfrm flipH="1">
            <a:off x="5534029" y="26589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D13298C8-B78D-4B2D-4B32-636A53802CA6}"/>
              </a:ext>
            </a:extLst>
          </xdr:cNvPr>
          <xdr:cNvCxnSpPr/>
        </xdr:nvCxnSpPr>
        <xdr:spPr>
          <a:xfrm>
            <a:off x="2428870" y="25550813"/>
            <a:ext cx="0" cy="862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E090446C-1127-39CB-25CF-EDC96A20E110}"/>
              </a:ext>
            </a:extLst>
          </xdr:cNvPr>
          <xdr:cNvCxnSpPr/>
        </xdr:nvCxnSpPr>
        <xdr:spPr>
          <a:xfrm flipH="1">
            <a:off x="2390772" y="26303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49B10C3A-E735-8346-717F-2D184D535C11}"/>
              </a:ext>
            </a:extLst>
          </xdr:cNvPr>
          <xdr:cNvCxnSpPr/>
        </xdr:nvCxnSpPr>
        <xdr:spPr>
          <a:xfrm>
            <a:off x="5019684" y="25550813"/>
            <a:ext cx="0" cy="862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F398F522-CFE5-9F76-BDD2-B9495EA42AA3}"/>
              </a:ext>
            </a:extLst>
          </xdr:cNvPr>
          <xdr:cNvCxnSpPr/>
        </xdr:nvCxnSpPr>
        <xdr:spPr>
          <a:xfrm flipH="1">
            <a:off x="4981586" y="263032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A7A4743F-AFBE-6554-392E-1AF369614A34}"/>
              </a:ext>
            </a:extLst>
          </xdr:cNvPr>
          <xdr:cNvCxnSpPr/>
        </xdr:nvCxnSpPr>
        <xdr:spPr>
          <a:xfrm flipH="1" flipV="1">
            <a:off x="2390777" y="24117303"/>
            <a:ext cx="83925" cy="85723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BED5D661-4AC9-9473-9ABE-72C62AA1D032}"/>
              </a:ext>
            </a:extLst>
          </xdr:cNvPr>
          <xdr:cNvCxnSpPr/>
        </xdr:nvCxnSpPr>
        <xdr:spPr>
          <a:xfrm flipV="1">
            <a:off x="4986338" y="24126825"/>
            <a:ext cx="71437" cy="7246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71D7C8C1-2BC1-26BE-7874-673C299342BC}"/>
              </a:ext>
            </a:extLst>
          </xdr:cNvPr>
          <xdr:cNvCxnSpPr/>
        </xdr:nvCxnSpPr>
        <xdr:spPr>
          <a:xfrm>
            <a:off x="3724276" y="25574625"/>
            <a:ext cx="0" cy="8334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61578F27-4357-66BD-28A8-AD214789610E}"/>
              </a:ext>
            </a:extLst>
          </xdr:cNvPr>
          <xdr:cNvCxnSpPr/>
        </xdr:nvCxnSpPr>
        <xdr:spPr>
          <a:xfrm flipH="1">
            <a:off x="3686177" y="26303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0689F810-B00C-A211-E666-1F2976F770FD}"/>
              </a:ext>
            </a:extLst>
          </xdr:cNvPr>
          <xdr:cNvCxnSpPr/>
        </xdr:nvCxnSpPr>
        <xdr:spPr>
          <a:xfrm>
            <a:off x="1876422" y="23479125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6C0EFD0F-A4D1-25CA-A634-EE22D2CE0F29}"/>
              </a:ext>
            </a:extLst>
          </xdr:cNvPr>
          <xdr:cNvCxnSpPr/>
        </xdr:nvCxnSpPr>
        <xdr:spPr>
          <a:xfrm>
            <a:off x="1876418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884EC9CB-A641-79FD-7AFF-FE93160341AB}"/>
              </a:ext>
            </a:extLst>
          </xdr:cNvPr>
          <xdr:cNvCxnSpPr/>
        </xdr:nvCxnSpPr>
        <xdr:spPr>
          <a:xfrm>
            <a:off x="2105017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Arrow Connector 120">
            <a:extLst>
              <a:ext uri="{FF2B5EF4-FFF2-40B4-BE49-F238E27FC236}">
                <a16:creationId xmlns:a16="http://schemas.microsoft.com/office/drawing/2014/main" id="{777E447B-42BE-BC0B-11C8-085B3D2F93C9}"/>
              </a:ext>
            </a:extLst>
          </xdr:cNvPr>
          <xdr:cNvCxnSpPr/>
        </xdr:nvCxnSpPr>
        <xdr:spPr>
          <a:xfrm>
            <a:off x="2266943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72DE7213-232F-CF72-8779-07F3B20EC10B}"/>
              </a:ext>
            </a:extLst>
          </xdr:cNvPr>
          <xdr:cNvCxnSpPr/>
        </xdr:nvCxnSpPr>
        <xdr:spPr>
          <a:xfrm>
            <a:off x="2428862" y="2328862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68542BD6-28FD-F082-A120-0E617F1B7B31}"/>
              </a:ext>
            </a:extLst>
          </xdr:cNvPr>
          <xdr:cNvCxnSpPr/>
        </xdr:nvCxnSpPr>
        <xdr:spPr>
          <a:xfrm>
            <a:off x="2590793" y="23288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8D3FE0F2-5E1C-9191-EBB7-84E110A0EA11}"/>
              </a:ext>
            </a:extLst>
          </xdr:cNvPr>
          <xdr:cNvCxnSpPr/>
        </xdr:nvCxnSpPr>
        <xdr:spPr>
          <a:xfrm>
            <a:off x="2752719" y="23288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814EFD47-B8D8-F9BE-65F1-2B697F507CBF}"/>
              </a:ext>
            </a:extLst>
          </xdr:cNvPr>
          <xdr:cNvCxnSpPr/>
        </xdr:nvCxnSpPr>
        <xdr:spPr>
          <a:xfrm>
            <a:off x="2914638" y="23288624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A17FA788-EF0A-A9BC-115E-A5887755248B}"/>
              </a:ext>
            </a:extLst>
          </xdr:cNvPr>
          <xdr:cNvCxnSpPr/>
        </xdr:nvCxnSpPr>
        <xdr:spPr>
          <a:xfrm>
            <a:off x="3076575" y="23288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89FEF52C-DB1F-58DC-51BD-F56CE2EF9176}"/>
              </a:ext>
            </a:extLst>
          </xdr:cNvPr>
          <xdr:cNvCxnSpPr/>
        </xdr:nvCxnSpPr>
        <xdr:spPr>
          <a:xfrm>
            <a:off x="3238501" y="23288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9961B799-6044-2339-B3BB-436CAEE42DD7}"/>
              </a:ext>
            </a:extLst>
          </xdr:cNvPr>
          <xdr:cNvCxnSpPr/>
        </xdr:nvCxnSpPr>
        <xdr:spPr>
          <a:xfrm>
            <a:off x="3400420" y="23288629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Arrow Connector 198">
            <a:extLst>
              <a:ext uri="{FF2B5EF4-FFF2-40B4-BE49-F238E27FC236}">
                <a16:creationId xmlns:a16="http://schemas.microsoft.com/office/drawing/2014/main" id="{162848EA-951B-A799-F9BF-AE2F2577DD65}"/>
              </a:ext>
            </a:extLst>
          </xdr:cNvPr>
          <xdr:cNvCxnSpPr/>
        </xdr:nvCxnSpPr>
        <xdr:spPr>
          <a:xfrm>
            <a:off x="3562351" y="23288625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2DE7981F-1D24-FB2C-BA76-6E9225B9EDED}"/>
              </a:ext>
            </a:extLst>
          </xdr:cNvPr>
          <xdr:cNvCxnSpPr/>
        </xdr:nvCxnSpPr>
        <xdr:spPr>
          <a:xfrm>
            <a:off x="3724277" y="23193375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C2541BF1-3BB4-3329-45AD-AF527773C659}"/>
              </a:ext>
            </a:extLst>
          </xdr:cNvPr>
          <xdr:cNvCxnSpPr/>
        </xdr:nvCxnSpPr>
        <xdr:spPr>
          <a:xfrm>
            <a:off x="3886196" y="23198138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Arrow Connector 201">
            <a:extLst>
              <a:ext uri="{FF2B5EF4-FFF2-40B4-BE49-F238E27FC236}">
                <a16:creationId xmlns:a16="http://schemas.microsoft.com/office/drawing/2014/main" id="{908A6650-54C6-8FAD-4725-9B4542CF2208}"/>
              </a:ext>
            </a:extLst>
          </xdr:cNvPr>
          <xdr:cNvCxnSpPr/>
        </xdr:nvCxnSpPr>
        <xdr:spPr>
          <a:xfrm>
            <a:off x="4048125" y="23188613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Arrow Connector 202">
            <a:extLst>
              <a:ext uri="{FF2B5EF4-FFF2-40B4-BE49-F238E27FC236}">
                <a16:creationId xmlns:a16="http://schemas.microsoft.com/office/drawing/2014/main" id="{AF729938-41FC-ABF2-8041-6CC753686AE7}"/>
              </a:ext>
            </a:extLst>
          </xdr:cNvPr>
          <xdr:cNvCxnSpPr/>
        </xdr:nvCxnSpPr>
        <xdr:spPr>
          <a:xfrm>
            <a:off x="4210051" y="23193375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Arrow Connector 203">
            <a:extLst>
              <a:ext uri="{FF2B5EF4-FFF2-40B4-BE49-F238E27FC236}">
                <a16:creationId xmlns:a16="http://schemas.microsoft.com/office/drawing/2014/main" id="{48EBEF59-412C-8A8B-C574-183AD1B8C6CE}"/>
              </a:ext>
            </a:extLst>
          </xdr:cNvPr>
          <xdr:cNvCxnSpPr/>
        </xdr:nvCxnSpPr>
        <xdr:spPr>
          <a:xfrm>
            <a:off x="4371970" y="23193375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Arrow Connector 204">
            <a:extLst>
              <a:ext uri="{FF2B5EF4-FFF2-40B4-BE49-F238E27FC236}">
                <a16:creationId xmlns:a16="http://schemas.microsoft.com/office/drawing/2014/main" id="{7F8FE6B2-0DD5-E0E3-A97B-AD34D66B4C52}"/>
              </a:ext>
            </a:extLst>
          </xdr:cNvPr>
          <xdr:cNvCxnSpPr/>
        </xdr:nvCxnSpPr>
        <xdr:spPr>
          <a:xfrm>
            <a:off x="4533901" y="23198138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Arrow Connector 205">
            <a:extLst>
              <a:ext uri="{FF2B5EF4-FFF2-40B4-BE49-F238E27FC236}">
                <a16:creationId xmlns:a16="http://schemas.microsoft.com/office/drawing/2014/main" id="{55E09871-EFFE-B32B-5C41-66164D94E281}"/>
              </a:ext>
            </a:extLst>
          </xdr:cNvPr>
          <xdr:cNvCxnSpPr/>
        </xdr:nvCxnSpPr>
        <xdr:spPr>
          <a:xfrm>
            <a:off x="4695827" y="2319337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Arrow Connector 206">
            <a:extLst>
              <a:ext uri="{FF2B5EF4-FFF2-40B4-BE49-F238E27FC236}">
                <a16:creationId xmlns:a16="http://schemas.microsoft.com/office/drawing/2014/main" id="{CBCD73E9-93A9-2BC5-F96E-2244E93B7FCD}"/>
              </a:ext>
            </a:extLst>
          </xdr:cNvPr>
          <xdr:cNvCxnSpPr/>
        </xdr:nvCxnSpPr>
        <xdr:spPr>
          <a:xfrm>
            <a:off x="4857746" y="23193375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Arrow Connector 207">
            <a:extLst>
              <a:ext uri="{FF2B5EF4-FFF2-40B4-BE49-F238E27FC236}">
                <a16:creationId xmlns:a16="http://schemas.microsoft.com/office/drawing/2014/main" id="{B9E29EE2-44B5-B8B6-5006-F6DA145DD7AA}"/>
              </a:ext>
            </a:extLst>
          </xdr:cNvPr>
          <xdr:cNvCxnSpPr/>
        </xdr:nvCxnSpPr>
        <xdr:spPr>
          <a:xfrm>
            <a:off x="5019683" y="2319337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Arrow Connector 239">
            <a:extLst>
              <a:ext uri="{FF2B5EF4-FFF2-40B4-BE49-F238E27FC236}">
                <a16:creationId xmlns:a16="http://schemas.microsoft.com/office/drawing/2014/main" id="{2D87C778-FF14-9AA6-1644-D7B3C241BBDF}"/>
              </a:ext>
            </a:extLst>
          </xdr:cNvPr>
          <xdr:cNvCxnSpPr/>
        </xdr:nvCxnSpPr>
        <xdr:spPr>
          <a:xfrm>
            <a:off x="5181609" y="23193375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Arrow Connector 240">
            <a:extLst>
              <a:ext uri="{FF2B5EF4-FFF2-40B4-BE49-F238E27FC236}">
                <a16:creationId xmlns:a16="http://schemas.microsoft.com/office/drawing/2014/main" id="{0A8C08F4-91BA-0D69-CF77-7EDAE1244FA2}"/>
              </a:ext>
            </a:extLst>
          </xdr:cNvPr>
          <xdr:cNvCxnSpPr/>
        </xdr:nvCxnSpPr>
        <xdr:spPr>
          <a:xfrm>
            <a:off x="5343528" y="23188613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Arrow Connector 241">
            <a:extLst>
              <a:ext uri="{FF2B5EF4-FFF2-40B4-BE49-F238E27FC236}">
                <a16:creationId xmlns:a16="http://schemas.microsoft.com/office/drawing/2014/main" id="{63E4C315-C411-42E0-8FE1-15CCB55EFD56}"/>
              </a:ext>
            </a:extLst>
          </xdr:cNvPr>
          <xdr:cNvCxnSpPr/>
        </xdr:nvCxnSpPr>
        <xdr:spPr>
          <a:xfrm>
            <a:off x="5572141" y="23193375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098D2269-2125-F631-C03C-3A61CB123C85}"/>
              </a:ext>
            </a:extLst>
          </xdr:cNvPr>
          <xdr:cNvCxnSpPr/>
        </xdr:nvCxnSpPr>
        <xdr:spPr>
          <a:xfrm>
            <a:off x="1876420" y="23288619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302F8136-1B89-25D9-B61E-078D2D9B53BB}"/>
              </a:ext>
            </a:extLst>
          </xdr:cNvPr>
          <xdr:cNvCxnSpPr/>
        </xdr:nvCxnSpPr>
        <xdr:spPr>
          <a:xfrm>
            <a:off x="4086225" y="23622000"/>
            <a:ext cx="2781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5EC7EB50-926D-8922-D927-96C8A445082A}"/>
              </a:ext>
            </a:extLst>
          </xdr:cNvPr>
          <xdr:cNvCxnSpPr/>
        </xdr:nvCxnSpPr>
        <xdr:spPr>
          <a:xfrm>
            <a:off x="5067300" y="24164931"/>
            <a:ext cx="1476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841503FA-31A1-646A-5B19-733C2890D097}"/>
              </a:ext>
            </a:extLst>
          </xdr:cNvPr>
          <xdr:cNvCxnSpPr/>
        </xdr:nvCxnSpPr>
        <xdr:spPr>
          <a:xfrm>
            <a:off x="6477001" y="23555325"/>
            <a:ext cx="0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D17F3DC4-75A3-5D70-BB68-5521F2D01B8D}"/>
              </a:ext>
            </a:extLst>
          </xdr:cNvPr>
          <xdr:cNvCxnSpPr/>
        </xdr:nvCxnSpPr>
        <xdr:spPr>
          <a:xfrm flipH="1">
            <a:off x="6438899" y="2358866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68196105-9671-889E-AC6E-E1C73EE0244A}"/>
              </a:ext>
            </a:extLst>
          </xdr:cNvPr>
          <xdr:cNvCxnSpPr/>
        </xdr:nvCxnSpPr>
        <xdr:spPr>
          <a:xfrm flipH="1">
            <a:off x="6438895" y="2413160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E40AFFA1-B6EF-E451-526E-CD1612C39628}"/>
              </a:ext>
            </a:extLst>
          </xdr:cNvPr>
          <xdr:cNvCxnSpPr/>
        </xdr:nvCxnSpPr>
        <xdr:spPr>
          <a:xfrm>
            <a:off x="6086475" y="25479387"/>
            <a:ext cx="781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61EE63CD-C969-D99E-DEF1-B87E99A89D14}"/>
              </a:ext>
            </a:extLst>
          </xdr:cNvPr>
          <xdr:cNvCxnSpPr/>
        </xdr:nvCxnSpPr>
        <xdr:spPr>
          <a:xfrm flipH="1">
            <a:off x="6438892" y="2544606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AEA69198-7D16-425D-7842-0E6E925827BF}"/>
              </a:ext>
            </a:extLst>
          </xdr:cNvPr>
          <xdr:cNvCxnSpPr/>
        </xdr:nvCxnSpPr>
        <xdr:spPr>
          <a:xfrm>
            <a:off x="6800851" y="23560088"/>
            <a:ext cx="0" cy="1985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E3F65664-D2C4-E594-115B-86BD2C271C2A}"/>
              </a:ext>
            </a:extLst>
          </xdr:cNvPr>
          <xdr:cNvCxnSpPr/>
        </xdr:nvCxnSpPr>
        <xdr:spPr>
          <a:xfrm flipH="1">
            <a:off x="6762749" y="2358866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4" name="Straight Connector 3003">
            <a:extLst>
              <a:ext uri="{FF2B5EF4-FFF2-40B4-BE49-F238E27FC236}">
                <a16:creationId xmlns:a16="http://schemas.microsoft.com/office/drawing/2014/main" id="{B13B8FC4-F35E-5918-E1EE-FEFAC971E577}"/>
              </a:ext>
            </a:extLst>
          </xdr:cNvPr>
          <xdr:cNvCxnSpPr/>
        </xdr:nvCxnSpPr>
        <xdr:spPr>
          <a:xfrm flipH="1">
            <a:off x="6762742" y="254460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5" name="Straight Arrow Connector 3004">
            <a:extLst>
              <a:ext uri="{FF2B5EF4-FFF2-40B4-BE49-F238E27FC236}">
                <a16:creationId xmlns:a16="http://schemas.microsoft.com/office/drawing/2014/main" id="{0EF23DAD-3BA2-9A13-1910-2B0BD72E983C}"/>
              </a:ext>
            </a:extLst>
          </xdr:cNvPr>
          <xdr:cNvCxnSpPr/>
        </xdr:nvCxnSpPr>
        <xdr:spPr>
          <a:xfrm flipV="1">
            <a:off x="3724276" y="23774400"/>
            <a:ext cx="685799" cy="1704975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6" name="Straight Arrow Connector 3005">
            <a:extLst>
              <a:ext uri="{FF2B5EF4-FFF2-40B4-BE49-F238E27FC236}">
                <a16:creationId xmlns:a16="http://schemas.microsoft.com/office/drawing/2014/main" id="{F1FC6CC0-0CFA-ED71-FEAA-397ABC45E9D4}"/>
              </a:ext>
            </a:extLst>
          </xdr:cNvPr>
          <xdr:cNvCxnSpPr/>
        </xdr:nvCxnSpPr>
        <xdr:spPr>
          <a:xfrm>
            <a:off x="1471613" y="25479375"/>
            <a:ext cx="323850" cy="0"/>
          </a:xfrm>
          <a:prstGeom prst="straightConnector1">
            <a:avLst/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63F5ABE9-D07C-2582-BD59-555E57E38995}"/>
              </a:ext>
            </a:extLst>
          </xdr:cNvPr>
          <xdr:cNvCxnSpPr/>
        </xdr:nvCxnSpPr>
        <xdr:spPr>
          <a:xfrm>
            <a:off x="1223963" y="23622002"/>
            <a:ext cx="22859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FBF2E916-74ED-E7F0-BDA5-D0FC2496F733}"/>
              </a:ext>
            </a:extLst>
          </xdr:cNvPr>
          <xdr:cNvCxnSpPr/>
        </xdr:nvCxnSpPr>
        <xdr:spPr>
          <a:xfrm>
            <a:off x="1295399" y="23550563"/>
            <a:ext cx="0" cy="2005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7E0E051B-5283-1804-164B-FCA55E35FBFF}"/>
              </a:ext>
            </a:extLst>
          </xdr:cNvPr>
          <xdr:cNvCxnSpPr/>
        </xdr:nvCxnSpPr>
        <xdr:spPr>
          <a:xfrm flipH="1">
            <a:off x="1219203" y="25479375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EE6E3FD7-EC90-4460-A384-AE5824D18359}"/>
              </a:ext>
            </a:extLst>
          </xdr:cNvPr>
          <xdr:cNvCxnSpPr/>
        </xdr:nvCxnSpPr>
        <xdr:spPr>
          <a:xfrm flipH="1">
            <a:off x="1257297" y="235886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26C0F5EC-E331-A19E-8FFE-5D7E150B672B}"/>
              </a:ext>
            </a:extLst>
          </xdr:cNvPr>
          <xdr:cNvCxnSpPr/>
        </xdr:nvCxnSpPr>
        <xdr:spPr>
          <a:xfrm flipH="1">
            <a:off x="1257303" y="25446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57BDFE6E-7CAA-8FB3-1E48-54A0286CD9EF}"/>
              </a:ext>
            </a:extLst>
          </xdr:cNvPr>
          <xdr:cNvCxnSpPr/>
        </xdr:nvCxnSpPr>
        <xdr:spPr>
          <a:xfrm>
            <a:off x="1233488" y="24164913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ED458ED2-C139-05CC-1D04-7850DECEE090}"/>
              </a:ext>
            </a:extLst>
          </xdr:cNvPr>
          <xdr:cNvCxnSpPr/>
        </xdr:nvCxnSpPr>
        <xdr:spPr>
          <a:xfrm flipH="1">
            <a:off x="1257296" y="2413158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>
            <a:extLst>
              <a:ext uri="{FF2B5EF4-FFF2-40B4-BE49-F238E27FC236}">
                <a16:creationId xmlns:a16="http://schemas.microsoft.com/office/drawing/2014/main" id="{906268DB-519F-BC4A-2BAA-D9EC71A7A98D}"/>
              </a:ext>
            </a:extLst>
          </xdr:cNvPr>
          <xdr:cNvCxnSpPr/>
        </xdr:nvCxnSpPr>
        <xdr:spPr>
          <a:xfrm flipH="1" flipV="1">
            <a:off x="2438400" y="24160163"/>
            <a:ext cx="1290638" cy="1328737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1F5DF25F-D0A5-29A1-9D9E-D7BE837D6F23}"/>
              </a:ext>
            </a:extLst>
          </xdr:cNvPr>
          <xdr:cNvCxnSpPr/>
        </xdr:nvCxnSpPr>
        <xdr:spPr>
          <a:xfrm flipV="1">
            <a:off x="3719513" y="24169688"/>
            <a:ext cx="1290637" cy="13144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1" name="Arc 270">
            <a:extLst>
              <a:ext uri="{FF2B5EF4-FFF2-40B4-BE49-F238E27FC236}">
                <a16:creationId xmlns:a16="http://schemas.microsoft.com/office/drawing/2014/main" id="{7085B82E-4CA4-4BC0-D5F2-3B3B1094C7B4}"/>
              </a:ext>
            </a:extLst>
          </xdr:cNvPr>
          <xdr:cNvSpPr/>
        </xdr:nvSpPr>
        <xdr:spPr>
          <a:xfrm rot="14662438">
            <a:off x="3467101" y="25284114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2" name="Arc 271">
            <a:extLst>
              <a:ext uri="{FF2B5EF4-FFF2-40B4-BE49-F238E27FC236}">
                <a16:creationId xmlns:a16="http://schemas.microsoft.com/office/drawing/2014/main" id="{37533ACE-7A29-0DA9-E4A5-73EBBEBCF1EA}"/>
              </a:ext>
            </a:extLst>
          </xdr:cNvPr>
          <xdr:cNvSpPr/>
        </xdr:nvSpPr>
        <xdr:spPr>
          <a:xfrm rot="1806329">
            <a:off x="3700462" y="25279350"/>
            <a:ext cx="276224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5BCD5911-906C-84CD-F3AF-9377600A7C03}"/>
              </a:ext>
            </a:extLst>
          </xdr:cNvPr>
          <xdr:cNvCxnSpPr/>
        </xdr:nvCxnSpPr>
        <xdr:spPr>
          <a:xfrm>
            <a:off x="971558" y="23617238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Arrow Connector 407">
            <a:extLst>
              <a:ext uri="{FF2B5EF4-FFF2-40B4-BE49-F238E27FC236}">
                <a16:creationId xmlns:a16="http://schemas.microsoft.com/office/drawing/2014/main" id="{0CFD2F15-60A9-8A79-9E72-96ABA646BAEE}"/>
              </a:ext>
            </a:extLst>
          </xdr:cNvPr>
          <xdr:cNvCxnSpPr/>
        </xdr:nvCxnSpPr>
        <xdr:spPr>
          <a:xfrm>
            <a:off x="776296" y="236220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Arrow Connector 408">
            <a:extLst>
              <a:ext uri="{FF2B5EF4-FFF2-40B4-BE49-F238E27FC236}">
                <a16:creationId xmlns:a16="http://schemas.microsoft.com/office/drawing/2014/main" id="{8478BAFE-3D14-A6CA-459E-699229BCF6B4}"/>
              </a:ext>
            </a:extLst>
          </xdr:cNvPr>
          <xdr:cNvCxnSpPr/>
        </xdr:nvCxnSpPr>
        <xdr:spPr>
          <a:xfrm>
            <a:off x="781057" y="2376487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Arrow Connector 464">
            <a:extLst>
              <a:ext uri="{FF2B5EF4-FFF2-40B4-BE49-F238E27FC236}">
                <a16:creationId xmlns:a16="http://schemas.microsoft.com/office/drawing/2014/main" id="{B9676AF4-B550-1EB7-4A39-205CA0327346}"/>
              </a:ext>
            </a:extLst>
          </xdr:cNvPr>
          <xdr:cNvCxnSpPr/>
        </xdr:nvCxnSpPr>
        <xdr:spPr>
          <a:xfrm>
            <a:off x="771527" y="2390775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Arrow Connector 467">
            <a:extLst>
              <a:ext uri="{FF2B5EF4-FFF2-40B4-BE49-F238E27FC236}">
                <a16:creationId xmlns:a16="http://schemas.microsoft.com/office/drawing/2014/main" id="{60DB9110-E9EF-CDA4-7991-36AB45CB4C88}"/>
              </a:ext>
            </a:extLst>
          </xdr:cNvPr>
          <xdr:cNvCxnSpPr/>
        </xdr:nvCxnSpPr>
        <xdr:spPr>
          <a:xfrm>
            <a:off x="776288" y="24050629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95395BC2-0D00-97DF-28E3-1448E74831A2}"/>
              </a:ext>
            </a:extLst>
          </xdr:cNvPr>
          <xdr:cNvCxnSpPr/>
        </xdr:nvCxnSpPr>
        <xdr:spPr>
          <a:xfrm>
            <a:off x="776291" y="2419827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9AC1AF82-1EB6-91F1-9927-F511FA0D6F95}"/>
              </a:ext>
            </a:extLst>
          </xdr:cNvPr>
          <xdr:cNvCxnSpPr/>
        </xdr:nvCxnSpPr>
        <xdr:spPr>
          <a:xfrm>
            <a:off x="781052" y="24341149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Arrow Connector 576">
            <a:extLst>
              <a:ext uri="{FF2B5EF4-FFF2-40B4-BE49-F238E27FC236}">
                <a16:creationId xmlns:a16="http://schemas.microsoft.com/office/drawing/2014/main" id="{DD669D12-ABA6-053A-A62C-461AE1C3185B}"/>
              </a:ext>
            </a:extLst>
          </xdr:cNvPr>
          <xdr:cNvCxnSpPr/>
        </xdr:nvCxnSpPr>
        <xdr:spPr>
          <a:xfrm>
            <a:off x="771522" y="2448402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Arrow Connector 577">
            <a:extLst>
              <a:ext uri="{FF2B5EF4-FFF2-40B4-BE49-F238E27FC236}">
                <a16:creationId xmlns:a16="http://schemas.microsoft.com/office/drawing/2014/main" id="{F59FEF98-6595-013F-8C13-BA1D736FEC9B}"/>
              </a:ext>
            </a:extLst>
          </xdr:cNvPr>
          <xdr:cNvCxnSpPr/>
        </xdr:nvCxnSpPr>
        <xdr:spPr>
          <a:xfrm>
            <a:off x="776283" y="2462690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Arrow Connector 578">
            <a:extLst>
              <a:ext uri="{FF2B5EF4-FFF2-40B4-BE49-F238E27FC236}">
                <a16:creationId xmlns:a16="http://schemas.microsoft.com/office/drawing/2014/main" id="{BF4019D1-E74B-BAB4-E435-5F23BAAD906B}"/>
              </a:ext>
            </a:extLst>
          </xdr:cNvPr>
          <xdr:cNvCxnSpPr/>
        </xdr:nvCxnSpPr>
        <xdr:spPr>
          <a:xfrm>
            <a:off x="771547" y="24765000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4F24B008-D182-3115-76C4-BC90C211B85C}"/>
              </a:ext>
            </a:extLst>
          </xdr:cNvPr>
          <xdr:cNvCxnSpPr/>
        </xdr:nvCxnSpPr>
        <xdr:spPr>
          <a:xfrm>
            <a:off x="776308" y="24907876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57F4A534-86A0-4B08-0ABF-606101E53000}"/>
              </a:ext>
            </a:extLst>
          </xdr:cNvPr>
          <xdr:cNvCxnSpPr/>
        </xdr:nvCxnSpPr>
        <xdr:spPr>
          <a:xfrm>
            <a:off x="766778" y="2505075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4BD971CC-BCAF-8788-61A8-784438BD98DB}"/>
              </a:ext>
            </a:extLst>
          </xdr:cNvPr>
          <xdr:cNvCxnSpPr/>
        </xdr:nvCxnSpPr>
        <xdr:spPr>
          <a:xfrm>
            <a:off x="771539" y="2519362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Arrow Connector 582">
            <a:extLst>
              <a:ext uri="{FF2B5EF4-FFF2-40B4-BE49-F238E27FC236}">
                <a16:creationId xmlns:a16="http://schemas.microsoft.com/office/drawing/2014/main" id="{6A872FA0-7E79-D216-4125-417752C73DCA}"/>
              </a:ext>
            </a:extLst>
          </xdr:cNvPr>
          <xdr:cNvCxnSpPr/>
        </xdr:nvCxnSpPr>
        <xdr:spPr>
          <a:xfrm>
            <a:off x="771542" y="2534127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Arrow Connector 583">
            <a:extLst>
              <a:ext uri="{FF2B5EF4-FFF2-40B4-BE49-F238E27FC236}">
                <a16:creationId xmlns:a16="http://schemas.microsoft.com/office/drawing/2014/main" id="{C5783BBD-7C6E-F6DF-3241-FA1596B0CBC7}"/>
              </a:ext>
            </a:extLst>
          </xdr:cNvPr>
          <xdr:cNvCxnSpPr/>
        </xdr:nvCxnSpPr>
        <xdr:spPr>
          <a:xfrm>
            <a:off x="776303" y="2548414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190BE39A-7CBD-1566-1FF2-A502228110A6}"/>
              </a:ext>
            </a:extLst>
          </xdr:cNvPr>
          <xdr:cNvCxnSpPr/>
        </xdr:nvCxnSpPr>
        <xdr:spPr>
          <a:xfrm>
            <a:off x="771533" y="23622001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90B26E82-4A47-113B-7A17-D33880DB8093}"/>
              </a:ext>
            </a:extLst>
          </xdr:cNvPr>
          <xdr:cNvCxnSpPr/>
        </xdr:nvCxnSpPr>
        <xdr:spPr>
          <a:xfrm>
            <a:off x="3724278" y="23193368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587E7AC2-1A4E-4B14-9CB2-56E9482DE3CF}"/>
              </a:ext>
            </a:extLst>
          </xdr:cNvPr>
          <xdr:cNvCxnSpPr/>
        </xdr:nvCxnSpPr>
        <xdr:spPr>
          <a:xfrm>
            <a:off x="2428881" y="24288746"/>
            <a:ext cx="0" cy="10953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73D62D52-B7F7-4073-88A5-4833F4C7A256}"/>
              </a:ext>
            </a:extLst>
          </xdr:cNvPr>
          <xdr:cNvCxnSpPr/>
        </xdr:nvCxnSpPr>
        <xdr:spPr>
          <a:xfrm>
            <a:off x="5019695" y="24288746"/>
            <a:ext cx="0" cy="110490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Arrow Connector 624">
            <a:extLst>
              <a:ext uri="{FF2B5EF4-FFF2-40B4-BE49-F238E27FC236}">
                <a16:creationId xmlns:a16="http://schemas.microsoft.com/office/drawing/2014/main" id="{BBC99AF4-77FA-4719-B87E-D2723FC541E7}"/>
              </a:ext>
            </a:extLst>
          </xdr:cNvPr>
          <xdr:cNvCxnSpPr/>
        </xdr:nvCxnSpPr>
        <xdr:spPr>
          <a:xfrm>
            <a:off x="5019675" y="23793450"/>
            <a:ext cx="0" cy="32385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104775</xdr:colOff>
      <xdr:row>185</xdr:row>
      <xdr:rowOff>66675</xdr:rowOff>
    </xdr:from>
    <xdr:to>
      <xdr:col>46</xdr:col>
      <xdr:colOff>66675</xdr:colOff>
      <xdr:row>185</xdr:row>
      <xdr:rowOff>66675</xdr:rowOff>
    </xdr:to>
    <xdr:cxnSp macro="">
      <xdr:nvCxnSpPr>
        <xdr:cNvPr id="732" name="Straight Arrow Connector 731">
          <a:extLst>
            <a:ext uri="{FF2B5EF4-FFF2-40B4-BE49-F238E27FC236}">
              <a16:creationId xmlns:a16="http://schemas.microsoft.com/office/drawing/2014/main" id="{8EF606E2-AECE-4E71-AB28-A1EECEDFE5D2}"/>
            </a:ext>
          </a:extLst>
        </xdr:cNvPr>
        <xdr:cNvCxnSpPr/>
      </xdr:nvCxnSpPr>
      <xdr:spPr>
        <a:xfrm>
          <a:off x="7229475" y="37833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186</xdr:row>
      <xdr:rowOff>66675</xdr:rowOff>
    </xdr:from>
    <xdr:to>
      <xdr:col>28</xdr:col>
      <xdr:colOff>38100</xdr:colOff>
      <xdr:row>186</xdr:row>
      <xdr:rowOff>66675</xdr:rowOff>
    </xdr:to>
    <xdr:cxnSp macro="">
      <xdr:nvCxnSpPr>
        <xdr:cNvPr id="749" name="Straight Arrow Connector 748">
          <a:extLst>
            <a:ext uri="{FF2B5EF4-FFF2-40B4-BE49-F238E27FC236}">
              <a16:creationId xmlns:a16="http://schemas.microsoft.com/office/drawing/2014/main" id="{1B936E4E-65DE-4CF8-BA5C-6E1A9CEF1BEA}"/>
            </a:ext>
          </a:extLst>
        </xdr:cNvPr>
        <xdr:cNvCxnSpPr/>
      </xdr:nvCxnSpPr>
      <xdr:spPr>
        <a:xfrm>
          <a:off x="4286250" y="3797617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780</xdr:row>
      <xdr:rowOff>66014</xdr:rowOff>
    </xdr:from>
    <xdr:to>
      <xdr:col>25</xdr:col>
      <xdr:colOff>38100</xdr:colOff>
      <xdr:row>780</xdr:row>
      <xdr:rowOff>66014</xdr:rowOff>
    </xdr:to>
    <xdr:cxnSp macro="">
      <xdr:nvCxnSpPr>
        <xdr:cNvPr id="2801" name="Straight Arrow Connector 2800">
          <a:extLst>
            <a:ext uri="{FF2B5EF4-FFF2-40B4-BE49-F238E27FC236}">
              <a16:creationId xmlns:a16="http://schemas.microsoft.com/office/drawing/2014/main" id="{AEE94E54-E1E1-4630-B36C-45B42EFB7D6C}"/>
            </a:ext>
          </a:extLst>
        </xdr:cNvPr>
        <xdr:cNvCxnSpPr/>
      </xdr:nvCxnSpPr>
      <xdr:spPr>
        <a:xfrm>
          <a:off x="3800475" y="123700514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114311</xdr:colOff>
      <xdr:row>752</xdr:row>
      <xdr:rowOff>0</xdr:rowOff>
    </xdr:from>
    <xdr:to>
      <xdr:col>38</xdr:col>
      <xdr:colOff>57150</xdr:colOff>
      <xdr:row>780</xdr:row>
      <xdr:rowOff>133174</xdr:rowOff>
    </xdr:to>
    <xdr:grpSp>
      <xdr:nvGrpSpPr>
        <xdr:cNvPr id="2806" name="Group 2805">
          <a:extLst>
            <a:ext uri="{FF2B5EF4-FFF2-40B4-BE49-F238E27FC236}">
              <a16:creationId xmlns:a16="http://schemas.microsoft.com/office/drawing/2014/main" id="{875AD203-7DF8-3C94-10EC-0913106DEC26}"/>
            </a:ext>
          </a:extLst>
        </xdr:cNvPr>
        <xdr:cNvGrpSpPr/>
      </xdr:nvGrpSpPr>
      <xdr:grpSpPr>
        <a:xfrm>
          <a:off x="600086" y="107918250"/>
          <a:ext cx="5610214" cy="4133674"/>
          <a:chOff x="600086" y="107918250"/>
          <a:chExt cx="5610214" cy="4133674"/>
        </a:xfrm>
      </xdr:grpSpPr>
      <xdr:cxnSp macro="">
        <xdr:nvCxnSpPr>
          <xdr:cNvPr id="1438" name="Straight Connector 1437">
            <a:extLst>
              <a:ext uri="{FF2B5EF4-FFF2-40B4-BE49-F238E27FC236}">
                <a16:creationId xmlns:a16="http://schemas.microsoft.com/office/drawing/2014/main" id="{F720CF12-0B18-FB56-101A-2EB5F8BAE243}"/>
              </a:ext>
            </a:extLst>
          </xdr:cNvPr>
          <xdr:cNvCxnSpPr/>
        </xdr:nvCxnSpPr>
        <xdr:spPr>
          <a:xfrm>
            <a:off x="1719262" y="110204249"/>
            <a:ext cx="3690938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6637E910-F4E8-D136-1929-FB1CE0CBD5E2}"/>
              </a:ext>
            </a:extLst>
          </xdr:cNvPr>
          <xdr:cNvSpPr/>
        </xdr:nvSpPr>
        <xdr:spPr>
          <a:xfrm>
            <a:off x="1547812" y="110347776"/>
            <a:ext cx="338137" cy="143206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9" name="Arc 268">
            <a:extLst>
              <a:ext uri="{FF2B5EF4-FFF2-40B4-BE49-F238E27FC236}">
                <a16:creationId xmlns:a16="http://schemas.microsoft.com/office/drawing/2014/main" id="{43E1E0DD-65ED-1875-56E1-F8943D30A712}"/>
              </a:ext>
            </a:extLst>
          </xdr:cNvPr>
          <xdr:cNvSpPr/>
        </xdr:nvSpPr>
        <xdr:spPr>
          <a:xfrm>
            <a:off x="1714499" y="108347669"/>
            <a:ext cx="3695700" cy="3704255"/>
          </a:xfrm>
          <a:prstGeom prst="arc">
            <a:avLst>
              <a:gd name="adj1" fmla="val 10779291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87" name="Isosceles Triangle 586">
            <a:extLst>
              <a:ext uri="{FF2B5EF4-FFF2-40B4-BE49-F238E27FC236}">
                <a16:creationId xmlns:a16="http://schemas.microsoft.com/office/drawing/2014/main" id="{130F7B25-5B96-D9BC-80A4-19AA0FFC819A}"/>
              </a:ext>
            </a:extLst>
          </xdr:cNvPr>
          <xdr:cNvSpPr/>
        </xdr:nvSpPr>
        <xdr:spPr>
          <a:xfrm>
            <a:off x="1632394" y="110209346"/>
            <a:ext cx="154684" cy="133657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52745F0A-2C51-FC94-788F-4E29D971D48F}"/>
              </a:ext>
            </a:extLst>
          </xdr:cNvPr>
          <xdr:cNvCxnSpPr/>
        </xdr:nvCxnSpPr>
        <xdr:spPr>
          <a:xfrm>
            <a:off x="1538286" y="110343001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0" name="Oval 589">
            <a:extLst>
              <a:ext uri="{FF2B5EF4-FFF2-40B4-BE49-F238E27FC236}">
                <a16:creationId xmlns:a16="http://schemas.microsoft.com/office/drawing/2014/main" id="{D38ED893-E0F8-A081-8347-65BBE68FEB92}"/>
              </a:ext>
            </a:extLst>
          </xdr:cNvPr>
          <xdr:cNvSpPr/>
        </xdr:nvSpPr>
        <xdr:spPr>
          <a:xfrm>
            <a:off x="1666873" y="110152061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9F88B64E-D49E-0026-C7D1-0B905D9FF5D7}"/>
              </a:ext>
            </a:extLst>
          </xdr:cNvPr>
          <xdr:cNvSpPr/>
        </xdr:nvSpPr>
        <xdr:spPr>
          <a:xfrm>
            <a:off x="5243509" y="110347776"/>
            <a:ext cx="338137" cy="143206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92" name="Isosceles Triangle 591">
            <a:extLst>
              <a:ext uri="{FF2B5EF4-FFF2-40B4-BE49-F238E27FC236}">
                <a16:creationId xmlns:a16="http://schemas.microsoft.com/office/drawing/2014/main" id="{668A2146-0E6B-AA04-7805-F202CFC1F875}"/>
              </a:ext>
            </a:extLst>
          </xdr:cNvPr>
          <xdr:cNvSpPr/>
        </xdr:nvSpPr>
        <xdr:spPr>
          <a:xfrm>
            <a:off x="5334343" y="110181410"/>
            <a:ext cx="142180" cy="122854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95" name="Straight Connector 594">
            <a:extLst>
              <a:ext uri="{FF2B5EF4-FFF2-40B4-BE49-F238E27FC236}">
                <a16:creationId xmlns:a16="http://schemas.microsoft.com/office/drawing/2014/main" id="{54698F7D-886F-762F-7D92-AB6FA6816597}"/>
              </a:ext>
            </a:extLst>
          </xdr:cNvPr>
          <xdr:cNvCxnSpPr/>
        </xdr:nvCxnSpPr>
        <xdr:spPr>
          <a:xfrm>
            <a:off x="5233983" y="110343001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6" name="Oval 595">
            <a:extLst>
              <a:ext uri="{FF2B5EF4-FFF2-40B4-BE49-F238E27FC236}">
                <a16:creationId xmlns:a16="http://schemas.microsoft.com/office/drawing/2014/main" id="{082D318F-F458-E748-3AF1-CBF3EDCAD298}"/>
              </a:ext>
            </a:extLst>
          </xdr:cNvPr>
          <xdr:cNvSpPr/>
        </xdr:nvSpPr>
        <xdr:spPr>
          <a:xfrm>
            <a:off x="5362570" y="110152061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97" name="Straight Arrow Connector 596">
            <a:extLst>
              <a:ext uri="{FF2B5EF4-FFF2-40B4-BE49-F238E27FC236}">
                <a16:creationId xmlns:a16="http://schemas.microsoft.com/office/drawing/2014/main" id="{CF299906-CC53-3C4F-C80C-4C19C1D36ECC}"/>
              </a:ext>
            </a:extLst>
          </xdr:cNvPr>
          <xdr:cNvCxnSpPr/>
        </xdr:nvCxnSpPr>
        <xdr:spPr>
          <a:xfrm flipV="1">
            <a:off x="1700211" y="110486208"/>
            <a:ext cx="0" cy="295959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830EDD4F-73DE-96B9-1971-1E2E47ECD104}"/>
              </a:ext>
            </a:extLst>
          </xdr:cNvPr>
          <xdr:cNvCxnSpPr/>
        </xdr:nvCxnSpPr>
        <xdr:spPr>
          <a:xfrm flipV="1">
            <a:off x="5410198" y="110486207"/>
            <a:ext cx="0" cy="295959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2" name="Oval 751">
            <a:extLst>
              <a:ext uri="{FF2B5EF4-FFF2-40B4-BE49-F238E27FC236}">
                <a16:creationId xmlns:a16="http://schemas.microsoft.com/office/drawing/2014/main" id="{B67F0C51-0B7A-19EB-8542-947827BE9CCD}"/>
              </a:ext>
            </a:extLst>
          </xdr:cNvPr>
          <xdr:cNvSpPr/>
        </xdr:nvSpPr>
        <xdr:spPr>
          <a:xfrm>
            <a:off x="3519488" y="108304707"/>
            <a:ext cx="85726" cy="85924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53" name="Straight Connector 752">
            <a:extLst>
              <a:ext uri="{FF2B5EF4-FFF2-40B4-BE49-F238E27FC236}">
                <a16:creationId xmlns:a16="http://schemas.microsoft.com/office/drawing/2014/main" id="{A28011D6-CF6C-2549-48EC-B8E5BEB5D4FD}"/>
              </a:ext>
            </a:extLst>
          </xdr:cNvPr>
          <xdr:cNvCxnSpPr/>
        </xdr:nvCxnSpPr>
        <xdr:spPr>
          <a:xfrm>
            <a:off x="1633540" y="111059032"/>
            <a:ext cx="38480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CBBB6BD6-124B-411F-1C93-D22421D12702}"/>
              </a:ext>
            </a:extLst>
          </xdr:cNvPr>
          <xdr:cNvCxnSpPr/>
        </xdr:nvCxnSpPr>
        <xdr:spPr>
          <a:xfrm>
            <a:off x="1700213" y="110925378"/>
            <a:ext cx="0" cy="49166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Connector 754">
            <a:extLst>
              <a:ext uri="{FF2B5EF4-FFF2-40B4-BE49-F238E27FC236}">
                <a16:creationId xmlns:a16="http://schemas.microsoft.com/office/drawing/2014/main" id="{10449E6F-880A-FDDB-506D-F99ACB5AC3ED}"/>
              </a:ext>
            </a:extLst>
          </xdr:cNvPr>
          <xdr:cNvCxnSpPr/>
        </xdr:nvCxnSpPr>
        <xdr:spPr>
          <a:xfrm flipH="1">
            <a:off x="1662112" y="11102561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Connector 755">
            <a:extLst>
              <a:ext uri="{FF2B5EF4-FFF2-40B4-BE49-F238E27FC236}">
                <a16:creationId xmlns:a16="http://schemas.microsoft.com/office/drawing/2014/main" id="{B750E172-9DCC-B302-9D0E-2678960B1E34}"/>
              </a:ext>
            </a:extLst>
          </xdr:cNvPr>
          <xdr:cNvCxnSpPr/>
        </xdr:nvCxnSpPr>
        <xdr:spPr>
          <a:xfrm>
            <a:off x="1633538" y="111345449"/>
            <a:ext cx="38338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Connector 756">
            <a:extLst>
              <a:ext uri="{FF2B5EF4-FFF2-40B4-BE49-F238E27FC236}">
                <a16:creationId xmlns:a16="http://schemas.microsoft.com/office/drawing/2014/main" id="{A354AD93-6D0E-6F48-C676-35872A554BE7}"/>
              </a:ext>
            </a:extLst>
          </xdr:cNvPr>
          <xdr:cNvCxnSpPr/>
        </xdr:nvCxnSpPr>
        <xdr:spPr>
          <a:xfrm flipH="1">
            <a:off x="1662110" y="111312035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B8A5525A-6E48-1A40-3EE6-B32CF70FD859}"/>
              </a:ext>
            </a:extLst>
          </xdr:cNvPr>
          <xdr:cNvCxnSpPr/>
        </xdr:nvCxnSpPr>
        <xdr:spPr>
          <a:xfrm>
            <a:off x="5410207" y="110925373"/>
            <a:ext cx="0" cy="49166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C8E3BF13-7D99-C837-DFE0-755EDF04F5CB}"/>
              </a:ext>
            </a:extLst>
          </xdr:cNvPr>
          <xdr:cNvCxnSpPr/>
        </xdr:nvCxnSpPr>
        <xdr:spPr>
          <a:xfrm flipH="1">
            <a:off x="5372106" y="111025612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DBD2BB6D-7DE5-32DE-D922-6EC78B827917}"/>
              </a:ext>
            </a:extLst>
          </xdr:cNvPr>
          <xdr:cNvCxnSpPr/>
        </xdr:nvCxnSpPr>
        <xdr:spPr>
          <a:xfrm flipH="1">
            <a:off x="5372104" y="111312030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E5B7346F-DFB4-4B43-503B-6D0786ACFADA}"/>
              </a:ext>
            </a:extLst>
          </xdr:cNvPr>
          <xdr:cNvCxnSpPr/>
        </xdr:nvCxnSpPr>
        <xdr:spPr>
          <a:xfrm>
            <a:off x="2266945" y="110299500"/>
            <a:ext cx="0" cy="83590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Connector 761">
            <a:extLst>
              <a:ext uri="{FF2B5EF4-FFF2-40B4-BE49-F238E27FC236}">
                <a16:creationId xmlns:a16="http://schemas.microsoft.com/office/drawing/2014/main" id="{586C86C6-3EE7-3DAD-BD6E-0435D5434F1F}"/>
              </a:ext>
            </a:extLst>
          </xdr:cNvPr>
          <xdr:cNvCxnSpPr/>
        </xdr:nvCxnSpPr>
        <xdr:spPr>
          <a:xfrm flipH="1">
            <a:off x="2228847" y="11102561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5EC3CEE7-D36E-0B61-3966-2FB7C6E363D9}"/>
              </a:ext>
            </a:extLst>
          </xdr:cNvPr>
          <xdr:cNvCxnSpPr/>
        </xdr:nvCxnSpPr>
        <xdr:spPr>
          <a:xfrm>
            <a:off x="4857759" y="110337600"/>
            <a:ext cx="0" cy="79780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BC02015D-AFE1-F02B-5BB5-DC0718E84150}"/>
              </a:ext>
            </a:extLst>
          </xdr:cNvPr>
          <xdr:cNvCxnSpPr/>
        </xdr:nvCxnSpPr>
        <xdr:spPr>
          <a:xfrm flipH="1">
            <a:off x="4819661" y="111025615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082E6E92-11D3-7455-6527-DAC1071DAE04}"/>
              </a:ext>
            </a:extLst>
          </xdr:cNvPr>
          <xdr:cNvCxnSpPr/>
        </xdr:nvCxnSpPr>
        <xdr:spPr>
          <a:xfrm flipH="1" flipV="1">
            <a:off x="2228852" y="108834571"/>
            <a:ext cx="83925" cy="85921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Connector 765">
            <a:extLst>
              <a:ext uri="{FF2B5EF4-FFF2-40B4-BE49-F238E27FC236}">
                <a16:creationId xmlns:a16="http://schemas.microsoft.com/office/drawing/2014/main" id="{B1E84C57-9AB7-0B97-9326-7EB5755A3DD0}"/>
              </a:ext>
            </a:extLst>
          </xdr:cNvPr>
          <xdr:cNvCxnSpPr/>
        </xdr:nvCxnSpPr>
        <xdr:spPr>
          <a:xfrm flipV="1">
            <a:off x="4824413" y="108844115"/>
            <a:ext cx="71437" cy="7262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45B97443-B116-857E-6FE5-C1F96E5F85EC}"/>
              </a:ext>
            </a:extLst>
          </xdr:cNvPr>
          <xdr:cNvCxnSpPr/>
        </xdr:nvCxnSpPr>
        <xdr:spPr>
          <a:xfrm>
            <a:off x="3562351" y="110337600"/>
            <a:ext cx="0" cy="793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3A0106DB-634A-FC6F-9249-866337B32054}"/>
              </a:ext>
            </a:extLst>
          </xdr:cNvPr>
          <xdr:cNvCxnSpPr/>
        </xdr:nvCxnSpPr>
        <xdr:spPr>
          <a:xfrm flipH="1">
            <a:off x="3524252" y="11102561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C8F2299E-060C-8F01-43A0-F0F0BF6CD972}"/>
              </a:ext>
            </a:extLst>
          </xdr:cNvPr>
          <xdr:cNvCxnSpPr/>
        </xdr:nvCxnSpPr>
        <xdr:spPr>
          <a:xfrm>
            <a:off x="3924300" y="108347647"/>
            <a:ext cx="2286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879862D3-2B7A-8009-9A41-2D4DB879F5CA}"/>
              </a:ext>
            </a:extLst>
          </xdr:cNvPr>
          <xdr:cNvCxnSpPr/>
        </xdr:nvCxnSpPr>
        <xdr:spPr>
          <a:xfrm>
            <a:off x="4905375" y="108882309"/>
            <a:ext cx="1000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76EF9B80-3DED-7252-6B54-4A73512BCB95}"/>
              </a:ext>
            </a:extLst>
          </xdr:cNvPr>
          <xdr:cNvCxnSpPr/>
        </xdr:nvCxnSpPr>
        <xdr:spPr>
          <a:xfrm>
            <a:off x="5829301" y="108271292"/>
            <a:ext cx="0" cy="1995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Connector 772">
            <a:extLst>
              <a:ext uri="{FF2B5EF4-FFF2-40B4-BE49-F238E27FC236}">
                <a16:creationId xmlns:a16="http://schemas.microsoft.com/office/drawing/2014/main" id="{A89329C7-FCC5-4944-4B2C-967C624D23F7}"/>
              </a:ext>
            </a:extLst>
          </xdr:cNvPr>
          <xdr:cNvCxnSpPr/>
        </xdr:nvCxnSpPr>
        <xdr:spPr>
          <a:xfrm flipH="1">
            <a:off x="5791199" y="108314238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BCF6B34A-D75C-452D-F486-8BC5CDE76BE8}"/>
              </a:ext>
            </a:extLst>
          </xdr:cNvPr>
          <xdr:cNvCxnSpPr/>
        </xdr:nvCxnSpPr>
        <xdr:spPr>
          <a:xfrm flipH="1">
            <a:off x="5791195" y="10884890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DEA056F4-64B4-4487-4F13-336CB03A8B7D}"/>
              </a:ext>
            </a:extLst>
          </xdr:cNvPr>
          <xdr:cNvCxnSpPr/>
        </xdr:nvCxnSpPr>
        <xdr:spPr>
          <a:xfrm>
            <a:off x="5514975" y="110199808"/>
            <a:ext cx="676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F6B07005-9717-58AB-0CF9-7747691DD9A2}"/>
              </a:ext>
            </a:extLst>
          </xdr:cNvPr>
          <xdr:cNvCxnSpPr/>
        </xdr:nvCxnSpPr>
        <xdr:spPr>
          <a:xfrm flipH="1">
            <a:off x="5791192" y="110166406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751BE470-9F8B-3A0A-CD48-CD8B429E8581}"/>
              </a:ext>
            </a:extLst>
          </xdr:cNvPr>
          <xdr:cNvCxnSpPr/>
        </xdr:nvCxnSpPr>
        <xdr:spPr>
          <a:xfrm>
            <a:off x="6153151" y="108276066"/>
            <a:ext cx="0" cy="19905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Straight Connector 945">
            <a:extLst>
              <a:ext uri="{FF2B5EF4-FFF2-40B4-BE49-F238E27FC236}">
                <a16:creationId xmlns:a16="http://schemas.microsoft.com/office/drawing/2014/main" id="{0F834F49-2C7E-3356-205D-44903024CC25}"/>
              </a:ext>
            </a:extLst>
          </xdr:cNvPr>
          <xdr:cNvCxnSpPr/>
        </xdr:nvCxnSpPr>
        <xdr:spPr>
          <a:xfrm flipH="1">
            <a:off x="6115049" y="108314239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7" name="Straight Connector 946">
            <a:extLst>
              <a:ext uri="{FF2B5EF4-FFF2-40B4-BE49-F238E27FC236}">
                <a16:creationId xmlns:a16="http://schemas.microsoft.com/office/drawing/2014/main" id="{689BB771-62E8-57C9-DB7E-AC44E87263EE}"/>
              </a:ext>
            </a:extLst>
          </xdr:cNvPr>
          <xdr:cNvCxnSpPr/>
        </xdr:nvCxnSpPr>
        <xdr:spPr>
          <a:xfrm flipH="1">
            <a:off x="6115042" y="11016640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8" name="Straight Arrow Connector 947">
            <a:extLst>
              <a:ext uri="{FF2B5EF4-FFF2-40B4-BE49-F238E27FC236}">
                <a16:creationId xmlns:a16="http://schemas.microsoft.com/office/drawing/2014/main" id="{154DAB71-6FE2-9A9C-5B91-FFD87523CFC7}"/>
              </a:ext>
            </a:extLst>
          </xdr:cNvPr>
          <xdr:cNvCxnSpPr/>
        </xdr:nvCxnSpPr>
        <xdr:spPr>
          <a:xfrm flipV="1">
            <a:off x="3562351" y="108490874"/>
            <a:ext cx="685799" cy="1708922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Straight Arrow Connector 948">
            <a:extLst>
              <a:ext uri="{FF2B5EF4-FFF2-40B4-BE49-F238E27FC236}">
                <a16:creationId xmlns:a16="http://schemas.microsoft.com/office/drawing/2014/main" id="{18437502-56DB-3696-F29E-C67998688703}"/>
              </a:ext>
            </a:extLst>
          </xdr:cNvPr>
          <xdr:cNvCxnSpPr/>
        </xdr:nvCxnSpPr>
        <xdr:spPr>
          <a:xfrm>
            <a:off x="1309688" y="110199796"/>
            <a:ext cx="323850" cy="0"/>
          </a:xfrm>
          <a:prstGeom prst="straightConnector1">
            <a:avLst/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0" name="Straight Arrow Connector 949">
            <a:extLst>
              <a:ext uri="{FF2B5EF4-FFF2-40B4-BE49-F238E27FC236}">
                <a16:creationId xmlns:a16="http://schemas.microsoft.com/office/drawing/2014/main" id="{F20B406F-6B54-F5ED-FCB2-1BECE65DC972}"/>
              </a:ext>
            </a:extLst>
          </xdr:cNvPr>
          <xdr:cNvCxnSpPr/>
        </xdr:nvCxnSpPr>
        <xdr:spPr>
          <a:xfrm>
            <a:off x="4857750" y="108495649"/>
            <a:ext cx="0" cy="324600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1" name="Straight Connector 950">
            <a:extLst>
              <a:ext uri="{FF2B5EF4-FFF2-40B4-BE49-F238E27FC236}">
                <a16:creationId xmlns:a16="http://schemas.microsoft.com/office/drawing/2014/main" id="{2A2E3122-CC7C-3358-F283-6C2D29DFEBA6}"/>
              </a:ext>
            </a:extLst>
          </xdr:cNvPr>
          <xdr:cNvCxnSpPr/>
        </xdr:nvCxnSpPr>
        <xdr:spPr>
          <a:xfrm>
            <a:off x="1066800" y="108347649"/>
            <a:ext cx="2105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Straight Connector 951">
            <a:extLst>
              <a:ext uri="{FF2B5EF4-FFF2-40B4-BE49-F238E27FC236}">
                <a16:creationId xmlns:a16="http://schemas.microsoft.com/office/drawing/2014/main" id="{5E885C42-0CAF-CEA6-CAAF-66EA9CF18E9A}"/>
              </a:ext>
            </a:extLst>
          </xdr:cNvPr>
          <xdr:cNvCxnSpPr/>
        </xdr:nvCxnSpPr>
        <xdr:spPr>
          <a:xfrm>
            <a:off x="1133475" y="108266519"/>
            <a:ext cx="0" cy="20096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3" name="Straight Connector 952">
            <a:extLst>
              <a:ext uri="{FF2B5EF4-FFF2-40B4-BE49-F238E27FC236}">
                <a16:creationId xmlns:a16="http://schemas.microsoft.com/office/drawing/2014/main" id="{97EBB76D-0A76-51B3-64D4-4D5C20E7B128}"/>
              </a:ext>
            </a:extLst>
          </xdr:cNvPr>
          <xdr:cNvCxnSpPr/>
        </xdr:nvCxnSpPr>
        <xdr:spPr>
          <a:xfrm flipH="1">
            <a:off x="909638" y="110199796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4" name="Straight Connector 953">
            <a:extLst>
              <a:ext uri="{FF2B5EF4-FFF2-40B4-BE49-F238E27FC236}">
                <a16:creationId xmlns:a16="http://schemas.microsoft.com/office/drawing/2014/main" id="{2353471A-7CC1-AAA2-BBA6-49E99EE9F8B9}"/>
              </a:ext>
            </a:extLst>
          </xdr:cNvPr>
          <xdr:cNvCxnSpPr/>
        </xdr:nvCxnSpPr>
        <xdr:spPr>
          <a:xfrm flipH="1">
            <a:off x="1095373" y="108314237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Straight Connector 954">
            <a:extLst>
              <a:ext uri="{FF2B5EF4-FFF2-40B4-BE49-F238E27FC236}">
                <a16:creationId xmlns:a16="http://schemas.microsoft.com/office/drawing/2014/main" id="{28ECB5ED-DDB6-B2EC-F386-073CD2F12441}"/>
              </a:ext>
            </a:extLst>
          </xdr:cNvPr>
          <xdr:cNvCxnSpPr/>
        </xdr:nvCxnSpPr>
        <xdr:spPr>
          <a:xfrm flipH="1">
            <a:off x="1095379" y="110166384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Straight Connector 955">
            <a:extLst>
              <a:ext uri="{FF2B5EF4-FFF2-40B4-BE49-F238E27FC236}">
                <a16:creationId xmlns:a16="http://schemas.microsoft.com/office/drawing/2014/main" id="{3BEF168D-4362-FFDA-89AA-DFBD7B654D14}"/>
              </a:ext>
            </a:extLst>
          </xdr:cNvPr>
          <xdr:cNvCxnSpPr/>
        </xdr:nvCxnSpPr>
        <xdr:spPr>
          <a:xfrm>
            <a:off x="1071563" y="108882291"/>
            <a:ext cx="1114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7" name="Straight Connector 956">
            <a:extLst>
              <a:ext uri="{FF2B5EF4-FFF2-40B4-BE49-F238E27FC236}">
                <a16:creationId xmlns:a16="http://schemas.microsoft.com/office/drawing/2014/main" id="{7486A939-0300-E715-A959-0631BD352A92}"/>
              </a:ext>
            </a:extLst>
          </xdr:cNvPr>
          <xdr:cNvCxnSpPr/>
        </xdr:nvCxnSpPr>
        <xdr:spPr>
          <a:xfrm flipH="1">
            <a:off x="1095372" y="108848888"/>
            <a:ext cx="71437" cy="716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Arrow Connector 957">
            <a:extLst>
              <a:ext uri="{FF2B5EF4-FFF2-40B4-BE49-F238E27FC236}">
                <a16:creationId xmlns:a16="http://schemas.microsoft.com/office/drawing/2014/main" id="{4E4C8866-23C2-1D73-3E0B-7E0FECF788BA}"/>
              </a:ext>
            </a:extLst>
          </xdr:cNvPr>
          <xdr:cNvCxnSpPr/>
        </xdr:nvCxnSpPr>
        <xdr:spPr>
          <a:xfrm flipH="1" flipV="1">
            <a:off x="2276475" y="108877530"/>
            <a:ext cx="1290638" cy="1331813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Straight Arrow Connector 958">
            <a:extLst>
              <a:ext uri="{FF2B5EF4-FFF2-40B4-BE49-F238E27FC236}">
                <a16:creationId xmlns:a16="http://schemas.microsoft.com/office/drawing/2014/main" id="{33C46193-74D0-00DA-6B5F-6BE26BF87469}"/>
              </a:ext>
            </a:extLst>
          </xdr:cNvPr>
          <xdr:cNvCxnSpPr/>
        </xdr:nvCxnSpPr>
        <xdr:spPr>
          <a:xfrm flipV="1">
            <a:off x="3557588" y="108887078"/>
            <a:ext cx="1290637" cy="1317493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1" name="Arc 960">
            <a:extLst>
              <a:ext uri="{FF2B5EF4-FFF2-40B4-BE49-F238E27FC236}">
                <a16:creationId xmlns:a16="http://schemas.microsoft.com/office/drawing/2014/main" id="{0687753F-2082-D4E6-2487-93EEAB09C625}"/>
              </a:ext>
            </a:extLst>
          </xdr:cNvPr>
          <xdr:cNvSpPr/>
        </xdr:nvSpPr>
        <xdr:spPr>
          <a:xfrm rot="14662438">
            <a:off x="3304856" y="110004403"/>
            <a:ext cx="276863" cy="276224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2" name="Arc 961">
            <a:extLst>
              <a:ext uri="{FF2B5EF4-FFF2-40B4-BE49-F238E27FC236}">
                <a16:creationId xmlns:a16="http://schemas.microsoft.com/office/drawing/2014/main" id="{652435B2-F52F-CFC9-5287-55C396A0C920}"/>
              </a:ext>
            </a:extLst>
          </xdr:cNvPr>
          <xdr:cNvSpPr/>
        </xdr:nvSpPr>
        <xdr:spPr>
          <a:xfrm rot="1806329">
            <a:off x="3538537" y="109999308"/>
            <a:ext cx="276224" cy="276863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3" name="Straight Arrow Connector 962">
            <a:extLst>
              <a:ext uri="{FF2B5EF4-FFF2-40B4-BE49-F238E27FC236}">
                <a16:creationId xmlns:a16="http://schemas.microsoft.com/office/drawing/2014/main" id="{8EE4BE99-E757-B98F-6D7F-A5A1002F607A}"/>
              </a:ext>
            </a:extLst>
          </xdr:cNvPr>
          <xdr:cNvCxnSpPr/>
        </xdr:nvCxnSpPr>
        <xdr:spPr>
          <a:xfrm flipV="1">
            <a:off x="1704975" y="109508925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Arrow Connector 963">
            <a:extLst>
              <a:ext uri="{FF2B5EF4-FFF2-40B4-BE49-F238E27FC236}">
                <a16:creationId xmlns:a16="http://schemas.microsoft.com/office/drawing/2014/main" id="{0A990A2A-CA42-B9A4-0B2C-EA45510307E4}"/>
              </a:ext>
            </a:extLst>
          </xdr:cNvPr>
          <xdr:cNvCxnSpPr/>
        </xdr:nvCxnSpPr>
        <xdr:spPr>
          <a:xfrm>
            <a:off x="1704975" y="110204250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Connector 964">
            <a:extLst>
              <a:ext uri="{FF2B5EF4-FFF2-40B4-BE49-F238E27FC236}">
                <a16:creationId xmlns:a16="http://schemas.microsoft.com/office/drawing/2014/main" id="{22927F3E-CE4F-D456-37B1-01D3B81AC19C}"/>
              </a:ext>
            </a:extLst>
          </xdr:cNvPr>
          <xdr:cNvCxnSpPr/>
        </xdr:nvCxnSpPr>
        <xdr:spPr>
          <a:xfrm>
            <a:off x="804866" y="108342113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Arrow Connector 965">
            <a:extLst>
              <a:ext uri="{FF2B5EF4-FFF2-40B4-BE49-F238E27FC236}">
                <a16:creationId xmlns:a16="http://schemas.microsoft.com/office/drawing/2014/main" id="{28CF37A6-5DC7-3356-FC97-69C53350ABA1}"/>
              </a:ext>
            </a:extLst>
          </xdr:cNvPr>
          <xdr:cNvCxnSpPr/>
        </xdr:nvCxnSpPr>
        <xdr:spPr>
          <a:xfrm>
            <a:off x="609604" y="108346876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Arrow Connector 1284">
            <a:extLst>
              <a:ext uri="{FF2B5EF4-FFF2-40B4-BE49-F238E27FC236}">
                <a16:creationId xmlns:a16="http://schemas.microsoft.com/office/drawing/2014/main" id="{BFE497B4-26A3-C1D0-0C4C-6E563E8EC783}"/>
              </a:ext>
            </a:extLst>
          </xdr:cNvPr>
          <xdr:cNvCxnSpPr/>
        </xdr:nvCxnSpPr>
        <xdr:spPr>
          <a:xfrm>
            <a:off x="614365" y="108489752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Arrow Connector 1313">
            <a:extLst>
              <a:ext uri="{FF2B5EF4-FFF2-40B4-BE49-F238E27FC236}">
                <a16:creationId xmlns:a16="http://schemas.microsoft.com/office/drawing/2014/main" id="{5A3D16B5-B0CD-943E-1AB8-72EE8934D642}"/>
              </a:ext>
            </a:extLst>
          </xdr:cNvPr>
          <xdr:cNvCxnSpPr/>
        </xdr:nvCxnSpPr>
        <xdr:spPr>
          <a:xfrm>
            <a:off x="604835" y="10863262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5" name="Straight Arrow Connector 1314">
            <a:extLst>
              <a:ext uri="{FF2B5EF4-FFF2-40B4-BE49-F238E27FC236}">
                <a16:creationId xmlns:a16="http://schemas.microsoft.com/office/drawing/2014/main" id="{E8103383-7FDC-4641-EB1F-E47D8405BCC7}"/>
              </a:ext>
            </a:extLst>
          </xdr:cNvPr>
          <xdr:cNvCxnSpPr/>
        </xdr:nvCxnSpPr>
        <xdr:spPr>
          <a:xfrm>
            <a:off x="609596" y="108775504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Arrow Connector 1315">
            <a:extLst>
              <a:ext uri="{FF2B5EF4-FFF2-40B4-BE49-F238E27FC236}">
                <a16:creationId xmlns:a16="http://schemas.microsoft.com/office/drawing/2014/main" id="{375D0A4A-B501-DC36-3EA1-9176B9C718A7}"/>
              </a:ext>
            </a:extLst>
          </xdr:cNvPr>
          <xdr:cNvCxnSpPr/>
        </xdr:nvCxnSpPr>
        <xdr:spPr>
          <a:xfrm>
            <a:off x="609599" y="108923148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E0D8321B-A364-668A-1D7E-7B8B33367C54}"/>
              </a:ext>
            </a:extLst>
          </xdr:cNvPr>
          <xdr:cNvCxnSpPr/>
        </xdr:nvCxnSpPr>
        <xdr:spPr>
          <a:xfrm>
            <a:off x="614360" y="109066024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AC7A322C-9C70-406C-D3D4-4510FB9EBE54}"/>
              </a:ext>
            </a:extLst>
          </xdr:cNvPr>
          <xdr:cNvCxnSpPr/>
        </xdr:nvCxnSpPr>
        <xdr:spPr>
          <a:xfrm>
            <a:off x="604830" y="109208900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Arrow Connector 1318">
            <a:extLst>
              <a:ext uri="{FF2B5EF4-FFF2-40B4-BE49-F238E27FC236}">
                <a16:creationId xmlns:a16="http://schemas.microsoft.com/office/drawing/2014/main" id="{F587890B-0BDA-1922-B8EA-C4CEEB4D36C3}"/>
              </a:ext>
            </a:extLst>
          </xdr:cNvPr>
          <xdr:cNvCxnSpPr/>
        </xdr:nvCxnSpPr>
        <xdr:spPr>
          <a:xfrm>
            <a:off x="609591" y="109351776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Arrow Connector 1319">
            <a:extLst>
              <a:ext uri="{FF2B5EF4-FFF2-40B4-BE49-F238E27FC236}">
                <a16:creationId xmlns:a16="http://schemas.microsoft.com/office/drawing/2014/main" id="{1E789C6B-885D-9083-7D88-D004CA5F4345}"/>
              </a:ext>
            </a:extLst>
          </xdr:cNvPr>
          <xdr:cNvCxnSpPr/>
        </xdr:nvCxnSpPr>
        <xdr:spPr>
          <a:xfrm>
            <a:off x="604855" y="109489875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Arrow Connector 1320">
            <a:extLst>
              <a:ext uri="{FF2B5EF4-FFF2-40B4-BE49-F238E27FC236}">
                <a16:creationId xmlns:a16="http://schemas.microsoft.com/office/drawing/2014/main" id="{9DFA433E-D859-9444-BAE3-4F60E8616BC6}"/>
              </a:ext>
            </a:extLst>
          </xdr:cNvPr>
          <xdr:cNvCxnSpPr/>
        </xdr:nvCxnSpPr>
        <xdr:spPr>
          <a:xfrm>
            <a:off x="609616" y="109632751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Arrow Connector 1321">
            <a:extLst>
              <a:ext uri="{FF2B5EF4-FFF2-40B4-BE49-F238E27FC236}">
                <a16:creationId xmlns:a16="http://schemas.microsoft.com/office/drawing/2014/main" id="{8735C966-6FA5-2366-90B6-1745D6EA101E}"/>
              </a:ext>
            </a:extLst>
          </xdr:cNvPr>
          <xdr:cNvCxnSpPr/>
        </xdr:nvCxnSpPr>
        <xdr:spPr>
          <a:xfrm>
            <a:off x="600086" y="10977562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Arrow Connector 1322">
            <a:extLst>
              <a:ext uri="{FF2B5EF4-FFF2-40B4-BE49-F238E27FC236}">
                <a16:creationId xmlns:a16="http://schemas.microsoft.com/office/drawing/2014/main" id="{7B4340AE-E454-7B34-3B5B-445D053EACB1}"/>
              </a:ext>
            </a:extLst>
          </xdr:cNvPr>
          <xdr:cNvCxnSpPr/>
        </xdr:nvCxnSpPr>
        <xdr:spPr>
          <a:xfrm>
            <a:off x="604847" y="10991850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Arrow Connector 1323">
            <a:extLst>
              <a:ext uri="{FF2B5EF4-FFF2-40B4-BE49-F238E27FC236}">
                <a16:creationId xmlns:a16="http://schemas.microsoft.com/office/drawing/2014/main" id="{F2A53D92-4F4A-439E-7926-601C454CE0E9}"/>
              </a:ext>
            </a:extLst>
          </xdr:cNvPr>
          <xdr:cNvCxnSpPr/>
        </xdr:nvCxnSpPr>
        <xdr:spPr>
          <a:xfrm>
            <a:off x="604850" y="110066147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Arrow Connector 1324">
            <a:extLst>
              <a:ext uri="{FF2B5EF4-FFF2-40B4-BE49-F238E27FC236}">
                <a16:creationId xmlns:a16="http://schemas.microsoft.com/office/drawing/2014/main" id="{B25A4377-51A1-7459-99F7-95A3B7E04DA7}"/>
              </a:ext>
            </a:extLst>
          </xdr:cNvPr>
          <xdr:cNvCxnSpPr/>
        </xdr:nvCxnSpPr>
        <xdr:spPr>
          <a:xfrm>
            <a:off x="609611" y="110209023"/>
            <a:ext cx="1905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Straight Connector 1325">
            <a:extLst>
              <a:ext uri="{FF2B5EF4-FFF2-40B4-BE49-F238E27FC236}">
                <a16:creationId xmlns:a16="http://schemas.microsoft.com/office/drawing/2014/main" id="{802DEE41-250F-A521-69AD-A180327B671A}"/>
              </a:ext>
            </a:extLst>
          </xdr:cNvPr>
          <xdr:cNvCxnSpPr/>
        </xdr:nvCxnSpPr>
        <xdr:spPr>
          <a:xfrm>
            <a:off x="604841" y="108346876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Connector 1326">
            <a:extLst>
              <a:ext uri="{FF2B5EF4-FFF2-40B4-BE49-F238E27FC236}">
                <a16:creationId xmlns:a16="http://schemas.microsoft.com/office/drawing/2014/main" id="{F42D1637-D829-B369-6A0F-8FB89211CAEE}"/>
              </a:ext>
            </a:extLst>
          </xdr:cNvPr>
          <xdr:cNvCxnSpPr/>
        </xdr:nvCxnSpPr>
        <xdr:spPr>
          <a:xfrm>
            <a:off x="1714504" y="108208762"/>
            <a:ext cx="36909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Arrow Connector 1327">
            <a:extLst>
              <a:ext uri="{FF2B5EF4-FFF2-40B4-BE49-F238E27FC236}">
                <a16:creationId xmlns:a16="http://schemas.microsoft.com/office/drawing/2014/main" id="{49DC8EB7-DA89-96B5-EA4A-2329358F96D8}"/>
              </a:ext>
            </a:extLst>
          </xdr:cNvPr>
          <xdr:cNvCxnSpPr/>
        </xdr:nvCxnSpPr>
        <xdr:spPr>
          <a:xfrm>
            <a:off x="1714500" y="108018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Arrow Connector 1328">
            <a:extLst>
              <a:ext uri="{FF2B5EF4-FFF2-40B4-BE49-F238E27FC236}">
                <a16:creationId xmlns:a16="http://schemas.microsoft.com/office/drawing/2014/main" id="{669D6634-FFCD-EDCD-F893-A870D0E057DC}"/>
              </a:ext>
            </a:extLst>
          </xdr:cNvPr>
          <xdr:cNvCxnSpPr/>
        </xdr:nvCxnSpPr>
        <xdr:spPr>
          <a:xfrm>
            <a:off x="1943099" y="108018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Arrow Connector 1329">
            <a:extLst>
              <a:ext uri="{FF2B5EF4-FFF2-40B4-BE49-F238E27FC236}">
                <a16:creationId xmlns:a16="http://schemas.microsoft.com/office/drawing/2014/main" id="{AE9580F6-9B67-E563-1FED-701CAC7679AD}"/>
              </a:ext>
            </a:extLst>
          </xdr:cNvPr>
          <xdr:cNvCxnSpPr/>
        </xdr:nvCxnSpPr>
        <xdr:spPr>
          <a:xfrm>
            <a:off x="2105025" y="108018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1" name="Straight Arrow Connector 1330">
            <a:extLst>
              <a:ext uri="{FF2B5EF4-FFF2-40B4-BE49-F238E27FC236}">
                <a16:creationId xmlns:a16="http://schemas.microsoft.com/office/drawing/2014/main" id="{FA5206A1-EE27-1C1A-A36E-AB3A65767D42}"/>
              </a:ext>
            </a:extLst>
          </xdr:cNvPr>
          <xdr:cNvCxnSpPr/>
        </xdr:nvCxnSpPr>
        <xdr:spPr>
          <a:xfrm>
            <a:off x="2266944" y="108018263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2" name="Straight Arrow Connector 1331">
            <a:extLst>
              <a:ext uri="{FF2B5EF4-FFF2-40B4-BE49-F238E27FC236}">
                <a16:creationId xmlns:a16="http://schemas.microsoft.com/office/drawing/2014/main" id="{98DC34A1-0EE5-91F7-262D-0DC4456D44C2}"/>
              </a:ext>
            </a:extLst>
          </xdr:cNvPr>
          <xdr:cNvCxnSpPr/>
        </xdr:nvCxnSpPr>
        <xdr:spPr>
          <a:xfrm>
            <a:off x="2428875" y="1080182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Arrow Connector 1332">
            <a:extLst>
              <a:ext uri="{FF2B5EF4-FFF2-40B4-BE49-F238E27FC236}">
                <a16:creationId xmlns:a16="http://schemas.microsoft.com/office/drawing/2014/main" id="{1AD3E6A1-5826-6CE2-F8ED-B0B886AB88D2}"/>
              </a:ext>
            </a:extLst>
          </xdr:cNvPr>
          <xdr:cNvCxnSpPr/>
        </xdr:nvCxnSpPr>
        <xdr:spPr>
          <a:xfrm>
            <a:off x="2590801" y="1080182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Arrow Connector 1333">
            <a:extLst>
              <a:ext uri="{FF2B5EF4-FFF2-40B4-BE49-F238E27FC236}">
                <a16:creationId xmlns:a16="http://schemas.microsoft.com/office/drawing/2014/main" id="{45FBFF4D-F2BE-7742-F4CF-0B958AE72570}"/>
              </a:ext>
            </a:extLst>
          </xdr:cNvPr>
          <xdr:cNvCxnSpPr/>
        </xdr:nvCxnSpPr>
        <xdr:spPr>
          <a:xfrm>
            <a:off x="2752720" y="108018261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Arrow Connector 1334">
            <a:extLst>
              <a:ext uri="{FF2B5EF4-FFF2-40B4-BE49-F238E27FC236}">
                <a16:creationId xmlns:a16="http://schemas.microsoft.com/office/drawing/2014/main" id="{1DB4D130-BA3B-BAE9-4D92-C6296EE782A1}"/>
              </a:ext>
            </a:extLst>
          </xdr:cNvPr>
          <xdr:cNvCxnSpPr/>
        </xdr:nvCxnSpPr>
        <xdr:spPr>
          <a:xfrm>
            <a:off x="2914657" y="1080182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Arrow Connector 1335">
            <a:extLst>
              <a:ext uri="{FF2B5EF4-FFF2-40B4-BE49-F238E27FC236}">
                <a16:creationId xmlns:a16="http://schemas.microsoft.com/office/drawing/2014/main" id="{C6A97D3B-EE78-52DA-56AD-15404FC8F3E0}"/>
              </a:ext>
            </a:extLst>
          </xdr:cNvPr>
          <xdr:cNvCxnSpPr/>
        </xdr:nvCxnSpPr>
        <xdr:spPr>
          <a:xfrm>
            <a:off x="3076583" y="1080182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Arrow Connector 1336">
            <a:extLst>
              <a:ext uri="{FF2B5EF4-FFF2-40B4-BE49-F238E27FC236}">
                <a16:creationId xmlns:a16="http://schemas.microsoft.com/office/drawing/2014/main" id="{D7EF0A4B-4F8C-EBFD-CB24-E81CAA87A590}"/>
              </a:ext>
            </a:extLst>
          </xdr:cNvPr>
          <xdr:cNvCxnSpPr/>
        </xdr:nvCxnSpPr>
        <xdr:spPr>
          <a:xfrm>
            <a:off x="3238502" y="108018266"/>
            <a:ext cx="0" cy="1857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Arrow Connector 1337">
            <a:extLst>
              <a:ext uri="{FF2B5EF4-FFF2-40B4-BE49-F238E27FC236}">
                <a16:creationId xmlns:a16="http://schemas.microsoft.com/office/drawing/2014/main" id="{C44FD15B-91D9-EBBD-F461-77484B66DBDF}"/>
              </a:ext>
            </a:extLst>
          </xdr:cNvPr>
          <xdr:cNvCxnSpPr/>
        </xdr:nvCxnSpPr>
        <xdr:spPr>
          <a:xfrm>
            <a:off x="3400433" y="108018262"/>
            <a:ext cx="0" cy="1857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2" name="Straight Arrow Connector 1391">
            <a:extLst>
              <a:ext uri="{FF2B5EF4-FFF2-40B4-BE49-F238E27FC236}">
                <a16:creationId xmlns:a16="http://schemas.microsoft.com/office/drawing/2014/main" id="{CFAE989E-7F95-428F-FB83-2D444380760A}"/>
              </a:ext>
            </a:extLst>
          </xdr:cNvPr>
          <xdr:cNvCxnSpPr/>
        </xdr:nvCxnSpPr>
        <xdr:spPr>
          <a:xfrm>
            <a:off x="3562359" y="107923012"/>
            <a:ext cx="0" cy="2809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3" name="Straight Arrow Connector 1392">
            <a:extLst>
              <a:ext uri="{FF2B5EF4-FFF2-40B4-BE49-F238E27FC236}">
                <a16:creationId xmlns:a16="http://schemas.microsoft.com/office/drawing/2014/main" id="{361FF64F-B8CF-C4ED-08FA-72739A323333}"/>
              </a:ext>
            </a:extLst>
          </xdr:cNvPr>
          <xdr:cNvCxnSpPr/>
        </xdr:nvCxnSpPr>
        <xdr:spPr>
          <a:xfrm>
            <a:off x="3724278" y="107927775"/>
            <a:ext cx="0" cy="27622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4" name="Straight Arrow Connector 1393">
            <a:extLst>
              <a:ext uri="{FF2B5EF4-FFF2-40B4-BE49-F238E27FC236}">
                <a16:creationId xmlns:a16="http://schemas.microsoft.com/office/drawing/2014/main" id="{6ECF7CA7-D107-EDA6-A67A-D0C49A38768E}"/>
              </a:ext>
            </a:extLst>
          </xdr:cNvPr>
          <xdr:cNvCxnSpPr/>
        </xdr:nvCxnSpPr>
        <xdr:spPr>
          <a:xfrm>
            <a:off x="3886207" y="107918250"/>
            <a:ext cx="0" cy="28575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6" name="Straight Arrow Connector 1425">
            <a:extLst>
              <a:ext uri="{FF2B5EF4-FFF2-40B4-BE49-F238E27FC236}">
                <a16:creationId xmlns:a16="http://schemas.microsoft.com/office/drawing/2014/main" id="{BF96E88F-EA32-76B9-2B2C-AA89E7E9D2B9}"/>
              </a:ext>
            </a:extLst>
          </xdr:cNvPr>
          <xdr:cNvCxnSpPr/>
        </xdr:nvCxnSpPr>
        <xdr:spPr>
          <a:xfrm>
            <a:off x="4048133" y="1079230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7" name="Straight Arrow Connector 1426">
            <a:extLst>
              <a:ext uri="{FF2B5EF4-FFF2-40B4-BE49-F238E27FC236}">
                <a16:creationId xmlns:a16="http://schemas.microsoft.com/office/drawing/2014/main" id="{B7FB0E79-4F8F-8718-646C-7ED1706DBF64}"/>
              </a:ext>
            </a:extLst>
          </xdr:cNvPr>
          <xdr:cNvCxnSpPr/>
        </xdr:nvCxnSpPr>
        <xdr:spPr>
          <a:xfrm>
            <a:off x="4210052" y="107923012"/>
            <a:ext cx="0" cy="28099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8" name="Straight Arrow Connector 1427">
            <a:extLst>
              <a:ext uri="{FF2B5EF4-FFF2-40B4-BE49-F238E27FC236}">
                <a16:creationId xmlns:a16="http://schemas.microsoft.com/office/drawing/2014/main" id="{B4EA2022-CB13-61C6-F011-6949062E3909}"/>
              </a:ext>
            </a:extLst>
          </xdr:cNvPr>
          <xdr:cNvCxnSpPr/>
        </xdr:nvCxnSpPr>
        <xdr:spPr>
          <a:xfrm>
            <a:off x="4371983" y="107927775"/>
            <a:ext cx="0" cy="2762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9" name="Straight Arrow Connector 1428">
            <a:extLst>
              <a:ext uri="{FF2B5EF4-FFF2-40B4-BE49-F238E27FC236}">
                <a16:creationId xmlns:a16="http://schemas.microsoft.com/office/drawing/2014/main" id="{DCA46E79-73BB-1AE2-048E-B0F68FA97F78}"/>
              </a:ext>
            </a:extLst>
          </xdr:cNvPr>
          <xdr:cNvCxnSpPr/>
        </xdr:nvCxnSpPr>
        <xdr:spPr>
          <a:xfrm>
            <a:off x="4533909" y="1079230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0" name="Straight Arrow Connector 1429">
            <a:extLst>
              <a:ext uri="{FF2B5EF4-FFF2-40B4-BE49-F238E27FC236}">
                <a16:creationId xmlns:a16="http://schemas.microsoft.com/office/drawing/2014/main" id="{48555146-5AD1-8769-497A-7DBC7906AEDC}"/>
              </a:ext>
            </a:extLst>
          </xdr:cNvPr>
          <xdr:cNvCxnSpPr/>
        </xdr:nvCxnSpPr>
        <xdr:spPr>
          <a:xfrm>
            <a:off x="4695828" y="107923012"/>
            <a:ext cx="0" cy="28099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1" name="Straight Arrow Connector 1430">
            <a:extLst>
              <a:ext uri="{FF2B5EF4-FFF2-40B4-BE49-F238E27FC236}">
                <a16:creationId xmlns:a16="http://schemas.microsoft.com/office/drawing/2014/main" id="{4A7F0AE4-D74A-9842-155C-4B479B6D8A8B}"/>
              </a:ext>
            </a:extLst>
          </xdr:cNvPr>
          <xdr:cNvCxnSpPr/>
        </xdr:nvCxnSpPr>
        <xdr:spPr>
          <a:xfrm>
            <a:off x="4857765" y="1079230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2" name="Straight Arrow Connector 1431">
            <a:extLst>
              <a:ext uri="{FF2B5EF4-FFF2-40B4-BE49-F238E27FC236}">
                <a16:creationId xmlns:a16="http://schemas.microsoft.com/office/drawing/2014/main" id="{229ABA1A-8443-1E26-A5C2-F1D5150CB062}"/>
              </a:ext>
            </a:extLst>
          </xdr:cNvPr>
          <xdr:cNvCxnSpPr/>
        </xdr:nvCxnSpPr>
        <xdr:spPr>
          <a:xfrm>
            <a:off x="5019691" y="107923012"/>
            <a:ext cx="0" cy="28099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3" name="Straight Arrow Connector 1432">
            <a:extLst>
              <a:ext uri="{FF2B5EF4-FFF2-40B4-BE49-F238E27FC236}">
                <a16:creationId xmlns:a16="http://schemas.microsoft.com/office/drawing/2014/main" id="{8D499D34-7E8B-8C91-576F-AE968BFC8FA7}"/>
              </a:ext>
            </a:extLst>
          </xdr:cNvPr>
          <xdr:cNvCxnSpPr/>
        </xdr:nvCxnSpPr>
        <xdr:spPr>
          <a:xfrm>
            <a:off x="5181610" y="107918250"/>
            <a:ext cx="0" cy="28575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4" name="Straight Arrow Connector 1433">
            <a:extLst>
              <a:ext uri="{FF2B5EF4-FFF2-40B4-BE49-F238E27FC236}">
                <a16:creationId xmlns:a16="http://schemas.microsoft.com/office/drawing/2014/main" id="{D0299576-0DD9-7E93-3EED-813CCC0BF219}"/>
              </a:ext>
            </a:extLst>
          </xdr:cNvPr>
          <xdr:cNvCxnSpPr/>
        </xdr:nvCxnSpPr>
        <xdr:spPr>
          <a:xfrm>
            <a:off x="5410223" y="107923012"/>
            <a:ext cx="0" cy="28099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5" name="Straight Connector 1434">
            <a:extLst>
              <a:ext uri="{FF2B5EF4-FFF2-40B4-BE49-F238E27FC236}">
                <a16:creationId xmlns:a16="http://schemas.microsoft.com/office/drawing/2014/main" id="{A7487926-8823-506F-A2E9-16CD5C217901}"/>
              </a:ext>
            </a:extLst>
          </xdr:cNvPr>
          <xdr:cNvCxnSpPr/>
        </xdr:nvCxnSpPr>
        <xdr:spPr>
          <a:xfrm>
            <a:off x="1714502" y="108018256"/>
            <a:ext cx="1847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6" name="Straight Connector 1435">
            <a:extLst>
              <a:ext uri="{FF2B5EF4-FFF2-40B4-BE49-F238E27FC236}">
                <a16:creationId xmlns:a16="http://schemas.microsoft.com/office/drawing/2014/main" id="{41A4CA7B-63B9-1BE2-4687-E6CA802B281A}"/>
              </a:ext>
            </a:extLst>
          </xdr:cNvPr>
          <xdr:cNvCxnSpPr/>
        </xdr:nvCxnSpPr>
        <xdr:spPr>
          <a:xfrm>
            <a:off x="3562360" y="107923005"/>
            <a:ext cx="185261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3" name="Straight Connector 1442">
            <a:extLst>
              <a:ext uri="{FF2B5EF4-FFF2-40B4-BE49-F238E27FC236}">
                <a16:creationId xmlns:a16="http://schemas.microsoft.com/office/drawing/2014/main" id="{CA546133-A3F0-FC4A-6F5D-647A48C460BE}"/>
              </a:ext>
            </a:extLst>
          </xdr:cNvPr>
          <xdr:cNvCxnSpPr/>
        </xdr:nvCxnSpPr>
        <xdr:spPr>
          <a:xfrm>
            <a:off x="2266950" y="108966000"/>
            <a:ext cx="0" cy="1095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4" name="Straight Connector 1443">
            <a:extLst>
              <a:ext uri="{FF2B5EF4-FFF2-40B4-BE49-F238E27FC236}">
                <a16:creationId xmlns:a16="http://schemas.microsoft.com/office/drawing/2014/main" id="{EDB1A1BF-1434-47DD-92B6-D3C41D47C60D}"/>
              </a:ext>
            </a:extLst>
          </xdr:cNvPr>
          <xdr:cNvCxnSpPr/>
        </xdr:nvCxnSpPr>
        <xdr:spPr>
          <a:xfrm>
            <a:off x="4857750" y="108946950"/>
            <a:ext cx="0" cy="11191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104775</xdr:colOff>
      <xdr:row>188</xdr:row>
      <xdr:rowOff>66675</xdr:rowOff>
    </xdr:from>
    <xdr:to>
      <xdr:col>16</xdr:col>
      <xdr:colOff>66675</xdr:colOff>
      <xdr:row>188</xdr:row>
      <xdr:rowOff>66675</xdr:rowOff>
    </xdr:to>
    <xdr:cxnSp macro="">
      <xdr:nvCxnSpPr>
        <xdr:cNvPr id="1447" name="Straight Arrow Connector 1446">
          <a:extLst>
            <a:ext uri="{FF2B5EF4-FFF2-40B4-BE49-F238E27FC236}">
              <a16:creationId xmlns:a16="http://schemas.microsoft.com/office/drawing/2014/main" id="{8F47C80A-F084-488F-AEC5-AC3978274ED6}"/>
            </a:ext>
          </a:extLst>
        </xdr:cNvPr>
        <xdr:cNvCxnSpPr/>
      </xdr:nvCxnSpPr>
      <xdr:spPr>
        <a:xfrm>
          <a:off x="6743700" y="27403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781</xdr:row>
      <xdr:rowOff>66675</xdr:rowOff>
    </xdr:from>
    <xdr:to>
      <xdr:col>31</xdr:col>
      <xdr:colOff>66675</xdr:colOff>
      <xdr:row>781</xdr:row>
      <xdr:rowOff>66675</xdr:rowOff>
    </xdr:to>
    <xdr:cxnSp macro="">
      <xdr:nvCxnSpPr>
        <xdr:cNvPr id="2803" name="Straight Arrow Connector 2802">
          <a:extLst>
            <a:ext uri="{FF2B5EF4-FFF2-40B4-BE49-F238E27FC236}">
              <a16:creationId xmlns:a16="http://schemas.microsoft.com/office/drawing/2014/main" id="{8B25793C-0C27-4CB8-8209-A4492223EDB4}"/>
            </a:ext>
          </a:extLst>
        </xdr:cNvPr>
        <xdr:cNvCxnSpPr/>
      </xdr:nvCxnSpPr>
      <xdr:spPr>
        <a:xfrm>
          <a:off x="5286375" y="2726055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782</xdr:row>
      <xdr:rowOff>66675</xdr:rowOff>
    </xdr:from>
    <xdr:to>
      <xdr:col>13</xdr:col>
      <xdr:colOff>66675</xdr:colOff>
      <xdr:row>782</xdr:row>
      <xdr:rowOff>66675</xdr:rowOff>
    </xdr:to>
    <xdr:cxnSp macro="">
      <xdr:nvCxnSpPr>
        <xdr:cNvPr id="2804" name="Straight Arrow Connector 2803">
          <a:extLst>
            <a:ext uri="{FF2B5EF4-FFF2-40B4-BE49-F238E27FC236}">
              <a16:creationId xmlns:a16="http://schemas.microsoft.com/office/drawing/2014/main" id="{9DDA404A-7B2E-47B0-83DB-97D1558A5DBD}"/>
            </a:ext>
          </a:extLst>
        </xdr:cNvPr>
        <xdr:cNvCxnSpPr/>
      </xdr:nvCxnSpPr>
      <xdr:spPr>
        <a:xfrm>
          <a:off x="4800600" y="112128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755</xdr:row>
      <xdr:rowOff>57150</xdr:rowOff>
    </xdr:from>
    <xdr:to>
      <xdr:col>61</xdr:col>
      <xdr:colOff>157164</xdr:colOff>
      <xdr:row>780</xdr:row>
      <xdr:rowOff>76200</xdr:rowOff>
    </xdr:to>
    <xdr:grpSp>
      <xdr:nvGrpSpPr>
        <xdr:cNvPr id="1437" name="Group 1436">
          <a:extLst>
            <a:ext uri="{FF2B5EF4-FFF2-40B4-BE49-F238E27FC236}">
              <a16:creationId xmlns:a16="http://schemas.microsoft.com/office/drawing/2014/main" id="{DAAD3884-83F7-48A9-B7C4-3043180D3CBF}"/>
            </a:ext>
          </a:extLst>
        </xdr:cNvPr>
        <xdr:cNvGrpSpPr/>
      </xdr:nvGrpSpPr>
      <xdr:grpSpPr>
        <a:xfrm>
          <a:off x="6162675" y="108404025"/>
          <a:ext cx="3871914" cy="3590925"/>
          <a:chOff x="7872411" y="714375"/>
          <a:chExt cx="3871914" cy="3695700"/>
        </a:xfrm>
      </xdr:grpSpPr>
      <xdr:sp macro="" textlink="">
        <xdr:nvSpPr>
          <xdr:cNvPr id="1439" name="Arc 1438">
            <a:extLst>
              <a:ext uri="{FF2B5EF4-FFF2-40B4-BE49-F238E27FC236}">
                <a16:creationId xmlns:a16="http://schemas.microsoft.com/office/drawing/2014/main" id="{4D9BF932-5CEE-9E91-A8F9-7F99EDA1ED2C}"/>
              </a:ext>
            </a:extLst>
          </xdr:cNvPr>
          <xdr:cNvSpPr/>
        </xdr:nvSpPr>
        <xdr:spPr>
          <a:xfrm>
            <a:off x="8048625" y="714375"/>
            <a:ext cx="3695700" cy="3695700"/>
          </a:xfrm>
          <a:prstGeom prst="arc">
            <a:avLst>
              <a:gd name="adj1" fmla="val 10779291"/>
              <a:gd name="adj2" fmla="val 13489208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53B8B134-3F97-05D3-3ACD-7162221056AB}"/>
              </a:ext>
            </a:extLst>
          </xdr:cNvPr>
          <xdr:cNvSpPr/>
        </xdr:nvSpPr>
        <xdr:spPr>
          <a:xfrm>
            <a:off x="7881937" y="27193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41" name="Isosceles Triangle 1440">
            <a:extLst>
              <a:ext uri="{FF2B5EF4-FFF2-40B4-BE49-F238E27FC236}">
                <a16:creationId xmlns:a16="http://schemas.microsoft.com/office/drawing/2014/main" id="{17B8EFDA-25C5-3ABF-D2B1-EF658E79E918}"/>
              </a:ext>
            </a:extLst>
          </xdr:cNvPr>
          <xdr:cNvSpPr/>
        </xdr:nvSpPr>
        <xdr:spPr>
          <a:xfrm>
            <a:off x="7966519" y="25812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42" name="Straight Connector 1441">
            <a:extLst>
              <a:ext uri="{FF2B5EF4-FFF2-40B4-BE49-F238E27FC236}">
                <a16:creationId xmlns:a16="http://schemas.microsoft.com/office/drawing/2014/main" id="{9628B93E-7108-E0CF-FBE0-2407F8EF2695}"/>
              </a:ext>
            </a:extLst>
          </xdr:cNvPr>
          <xdr:cNvCxnSpPr/>
        </xdr:nvCxnSpPr>
        <xdr:spPr>
          <a:xfrm>
            <a:off x="7872411" y="27146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5" name="Oval 1444">
            <a:extLst>
              <a:ext uri="{FF2B5EF4-FFF2-40B4-BE49-F238E27FC236}">
                <a16:creationId xmlns:a16="http://schemas.microsoft.com/office/drawing/2014/main" id="{DAA9B5BB-BA7E-091B-59DC-7896E01F9D3C}"/>
              </a:ext>
            </a:extLst>
          </xdr:cNvPr>
          <xdr:cNvSpPr/>
        </xdr:nvSpPr>
        <xdr:spPr>
          <a:xfrm>
            <a:off x="8000998" y="25241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46" name="Straight Arrow Connector 1445">
            <a:extLst>
              <a:ext uri="{FF2B5EF4-FFF2-40B4-BE49-F238E27FC236}">
                <a16:creationId xmlns:a16="http://schemas.microsoft.com/office/drawing/2014/main" id="{18C8AABD-AE58-3D63-1D91-C744C971D0AF}"/>
              </a:ext>
            </a:extLst>
          </xdr:cNvPr>
          <xdr:cNvCxnSpPr/>
        </xdr:nvCxnSpPr>
        <xdr:spPr>
          <a:xfrm flipV="1">
            <a:off x="8601075" y="1009650"/>
            <a:ext cx="247650" cy="2381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8" name="Straight Arrow Connector 1447">
            <a:extLst>
              <a:ext uri="{FF2B5EF4-FFF2-40B4-BE49-F238E27FC236}">
                <a16:creationId xmlns:a16="http://schemas.microsoft.com/office/drawing/2014/main" id="{D85EF307-0517-25A3-A0AF-37392586C713}"/>
              </a:ext>
            </a:extLst>
          </xdr:cNvPr>
          <xdr:cNvCxnSpPr/>
        </xdr:nvCxnSpPr>
        <xdr:spPr>
          <a:xfrm>
            <a:off x="8467725" y="1114425"/>
            <a:ext cx="295275" cy="2762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9" name="Arc 1448">
            <a:extLst>
              <a:ext uri="{FF2B5EF4-FFF2-40B4-BE49-F238E27FC236}">
                <a16:creationId xmlns:a16="http://schemas.microsoft.com/office/drawing/2014/main" id="{F0DDA404-4A94-2E5D-763A-233B837C5CF9}"/>
              </a:ext>
            </a:extLst>
          </xdr:cNvPr>
          <xdr:cNvSpPr/>
        </xdr:nvSpPr>
        <xdr:spPr>
          <a:xfrm>
            <a:off x="8334375" y="1066800"/>
            <a:ext cx="457200" cy="457200"/>
          </a:xfrm>
          <a:prstGeom prst="arc">
            <a:avLst/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50" name="TextBox 1449">
            <a:extLst>
              <a:ext uri="{FF2B5EF4-FFF2-40B4-BE49-F238E27FC236}">
                <a16:creationId xmlns:a16="http://schemas.microsoft.com/office/drawing/2014/main" id="{ED462AED-F94E-2387-794B-E43F5430F28E}"/>
              </a:ext>
            </a:extLst>
          </xdr:cNvPr>
          <xdr:cNvSpPr txBox="1"/>
        </xdr:nvSpPr>
        <xdr:spPr>
          <a:xfrm>
            <a:off x="8724901" y="790576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</a:p>
        </xdr:txBody>
      </xdr:sp>
      <xdr:sp macro="" textlink="">
        <xdr:nvSpPr>
          <xdr:cNvPr id="1509" name="TextBox 1508">
            <a:extLst>
              <a:ext uri="{FF2B5EF4-FFF2-40B4-BE49-F238E27FC236}">
                <a16:creationId xmlns:a16="http://schemas.microsoft.com/office/drawing/2014/main" id="{59806379-C670-8FA4-2CE5-73D5B7D2E5A1}"/>
              </a:ext>
            </a:extLst>
          </xdr:cNvPr>
          <xdr:cNvSpPr txBox="1"/>
        </xdr:nvSpPr>
        <xdr:spPr>
          <a:xfrm>
            <a:off x="8353426" y="838201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</a:p>
        </xdr:txBody>
      </xdr:sp>
      <xdr:sp macro="" textlink="">
        <xdr:nvSpPr>
          <xdr:cNvPr id="1523" name="TextBox 1522">
            <a:extLst>
              <a:ext uri="{FF2B5EF4-FFF2-40B4-BE49-F238E27FC236}">
                <a16:creationId xmlns:a16="http://schemas.microsoft.com/office/drawing/2014/main" id="{01C23810-BE68-89CF-EB26-0BA0C0818509}"/>
              </a:ext>
            </a:extLst>
          </xdr:cNvPr>
          <xdr:cNvSpPr txBox="1"/>
        </xdr:nvSpPr>
        <xdr:spPr>
          <a:xfrm>
            <a:off x="8620125" y="1295400"/>
            <a:ext cx="3810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V</a:t>
            </a:r>
          </a:p>
        </xdr:txBody>
      </xdr:sp>
    </xdr:grpSp>
    <xdr:clientData/>
  </xdr:twoCellAnchor>
  <xdr:twoCellAnchor>
    <xdr:from>
      <xdr:col>4</xdr:col>
      <xdr:colOff>85725</xdr:colOff>
      <xdr:row>4</xdr:row>
      <xdr:rowOff>95249</xdr:rowOff>
    </xdr:from>
    <xdr:to>
      <xdr:col>37</xdr:col>
      <xdr:colOff>76198</xdr:colOff>
      <xdr:row>41</xdr:row>
      <xdr:rowOff>61913</xdr:rowOff>
    </xdr:to>
    <xdr:grpSp>
      <xdr:nvGrpSpPr>
        <xdr:cNvPr id="1527" name="Group 1526">
          <a:extLst>
            <a:ext uri="{FF2B5EF4-FFF2-40B4-BE49-F238E27FC236}">
              <a16:creationId xmlns:a16="http://schemas.microsoft.com/office/drawing/2014/main" id="{C82D38CD-61AD-D595-FB6F-18C6A7B26132}"/>
            </a:ext>
          </a:extLst>
        </xdr:cNvPr>
        <xdr:cNvGrpSpPr/>
      </xdr:nvGrpSpPr>
      <xdr:grpSpPr>
        <a:xfrm>
          <a:off x="733425" y="1142999"/>
          <a:ext cx="5333998" cy="5253039"/>
          <a:chOff x="733425" y="1142999"/>
          <a:chExt cx="5333998" cy="5253039"/>
        </a:xfrm>
      </xdr:grpSpPr>
      <xdr:cxnSp macro="">
        <xdr:nvCxnSpPr>
          <xdr:cNvPr id="2272" name="Straight Connector 2271">
            <a:extLst>
              <a:ext uri="{FF2B5EF4-FFF2-40B4-BE49-F238E27FC236}">
                <a16:creationId xmlns:a16="http://schemas.microsoft.com/office/drawing/2014/main" id="{E624937A-7F96-E320-F168-D64EB6C2AEBA}"/>
              </a:ext>
            </a:extLst>
          </xdr:cNvPr>
          <xdr:cNvCxnSpPr/>
        </xdr:nvCxnSpPr>
        <xdr:spPr>
          <a:xfrm>
            <a:off x="1938338" y="2905126"/>
            <a:ext cx="357187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1" name="Arc 1490">
            <a:extLst>
              <a:ext uri="{FF2B5EF4-FFF2-40B4-BE49-F238E27FC236}">
                <a16:creationId xmlns:a16="http://schemas.microsoft.com/office/drawing/2014/main" id="{367CD2D2-7098-89AB-8EE8-FBDB7C4DDDB1}"/>
              </a:ext>
            </a:extLst>
          </xdr:cNvPr>
          <xdr:cNvSpPr/>
        </xdr:nvSpPr>
        <xdr:spPr>
          <a:xfrm>
            <a:off x="1743075" y="1628775"/>
            <a:ext cx="3962400" cy="3962400"/>
          </a:xfrm>
          <a:prstGeom prst="arc">
            <a:avLst>
              <a:gd name="adj1" fmla="val 12054284"/>
              <a:gd name="adj2" fmla="val 20343441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40" name="Straight Connector 1639">
            <a:extLst>
              <a:ext uri="{FF2B5EF4-FFF2-40B4-BE49-F238E27FC236}">
                <a16:creationId xmlns:a16="http://schemas.microsoft.com/office/drawing/2014/main" id="{669C8B7D-A236-E8D7-819C-2139A187C3F8}"/>
              </a:ext>
            </a:extLst>
          </xdr:cNvPr>
          <xdr:cNvCxnSpPr/>
        </xdr:nvCxnSpPr>
        <xdr:spPr>
          <a:xfrm>
            <a:off x="1876425" y="290512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2" name="Straight Connector 1641">
            <a:extLst>
              <a:ext uri="{FF2B5EF4-FFF2-40B4-BE49-F238E27FC236}">
                <a16:creationId xmlns:a16="http://schemas.microsoft.com/office/drawing/2014/main" id="{D2B3CB01-F01E-BA31-8B8C-522FF7673C3F}"/>
              </a:ext>
            </a:extLst>
          </xdr:cNvPr>
          <xdr:cNvCxnSpPr/>
        </xdr:nvCxnSpPr>
        <xdr:spPr>
          <a:xfrm>
            <a:off x="5572125" y="2895600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EA923D82-FB54-B704-3677-FCF8D108BD16}"/>
              </a:ext>
            </a:extLst>
          </xdr:cNvPr>
          <xdr:cNvSpPr/>
        </xdr:nvSpPr>
        <xdr:spPr>
          <a:xfrm>
            <a:off x="1709737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68" name="Isosceles Triangle 1667">
            <a:extLst>
              <a:ext uri="{FF2B5EF4-FFF2-40B4-BE49-F238E27FC236}">
                <a16:creationId xmlns:a16="http://schemas.microsoft.com/office/drawing/2014/main" id="{A34C0FC3-C9B1-601A-7F53-977FC17C0300}"/>
              </a:ext>
            </a:extLst>
          </xdr:cNvPr>
          <xdr:cNvSpPr/>
        </xdr:nvSpPr>
        <xdr:spPr>
          <a:xfrm>
            <a:off x="1794319" y="5057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70" name="Straight Connector 1669">
            <a:extLst>
              <a:ext uri="{FF2B5EF4-FFF2-40B4-BE49-F238E27FC236}">
                <a16:creationId xmlns:a16="http://schemas.microsoft.com/office/drawing/2014/main" id="{8AE5D4DA-5EF2-70D3-3199-533C9605D111}"/>
              </a:ext>
            </a:extLst>
          </xdr:cNvPr>
          <xdr:cNvCxnSpPr/>
        </xdr:nvCxnSpPr>
        <xdr:spPr>
          <a:xfrm>
            <a:off x="1700211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2" name="Oval 1671">
            <a:extLst>
              <a:ext uri="{FF2B5EF4-FFF2-40B4-BE49-F238E27FC236}">
                <a16:creationId xmlns:a16="http://schemas.microsoft.com/office/drawing/2014/main" id="{3C000738-45E7-E8A2-7134-AD7A6CA5C804}"/>
              </a:ext>
            </a:extLst>
          </xdr:cNvPr>
          <xdr:cNvSpPr/>
        </xdr:nvSpPr>
        <xdr:spPr>
          <a:xfrm>
            <a:off x="1828798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73" name="Straight Arrow Connector 1672">
            <a:extLst>
              <a:ext uri="{FF2B5EF4-FFF2-40B4-BE49-F238E27FC236}">
                <a16:creationId xmlns:a16="http://schemas.microsoft.com/office/drawing/2014/main" id="{298145A0-5660-C904-8A45-DC12E3518B79}"/>
              </a:ext>
            </a:extLst>
          </xdr:cNvPr>
          <xdr:cNvCxnSpPr/>
        </xdr:nvCxnSpPr>
        <xdr:spPr>
          <a:xfrm flipV="1">
            <a:off x="1862136" y="53340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4" name="Straight Arrow Connector 1673">
            <a:extLst>
              <a:ext uri="{FF2B5EF4-FFF2-40B4-BE49-F238E27FC236}">
                <a16:creationId xmlns:a16="http://schemas.microsoft.com/office/drawing/2014/main" id="{EEBEEA4C-1E5D-F29E-B523-F9959360FF35}"/>
              </a:ext>
            </a:extLst>
          </xdr:cNvPr>
          <xdr:cNvCxnSpPr/>
        </xdr:nvCxnSpPr>
        <xdr:spPr>
          <a:xfrm>
            <a:off x="1471613" y="5048250"/>
            <a:ext cx="323850" cy="0"/>
          </a:xfrm>
          <a:prstGeom prst="straightConnector1">
            <a:avLst/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6" name="Straight Connector 1675">
            <a:extLst>
              <a:ext uri="{FF2B5EF4-FFF2-40B4-BE49-F238E27FC236}">
                <a16:creationId xmlns:a16="http://schemas.microsoft.com/office/drawing/2014/main" id="{B2D3CA12-357E-14E9-88DD-673BE1C29237}"/>
              </a:ext>
            </a:extLst>
          </xdr:cNvPr>
          <xdr:cNvCxnSpPr/>
        </xdr:nvCxnSpPr>
        <xdr:spPr>
          <a:xfrm flipH="1">
            <a:off x="1219203" y="5048250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9" name="Straight Connector 1688">
            <a:extLst>
              <a:ext uri="{FF2B5EF4-FFF2-40B4-BE49-F238E27FC236}">
                <a16:creationId xmlns:a16="http://schemas.microsoft.com/office/drawing/2014/main" id="{B2DC1FED-91BE-E2DB-ED55-EA1F9B65EBBD}"/>
              </a:ext>
            </a:extLst>
          </xdr:cNvPr>
          <xdr:cNvCxnSpPr/>
        </xdr:nvCxnSpPr>
        <xdr:spPr>
          <a:xfrm flipH="1">
            <a:off x="1257303" y="5014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9ABACDDE-3160-6197-6E13-21D684A222B4}"/>
              </a:ext>
            </a:extLst>
          </xdr:cNvPr>
          <xdr:cNvSpPr/>
        </xdr:nvSpPr>
        <xdr:spPr>
          <a:xfrm>
            <a:off x="5414962" y="5195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02" name="Isosceles Triangle 1701">
            <a:extLst>
              <a:ext uri="{FF2B5EF4-FFF2-40B4-BE49-F238E27FC236}">
                <a16:creationId xmlns:a16="http://schemas.microsoft.com/office/drawing/2014/main" id="{FBBC5DFB-1BDD-BD34-266C-E37CDAD7ABF5}"/>
              </a:ext>
            </a:extLst>
          </xdr:cNvPr>
          <xdr:cNvSpPr/>
        </xdr:nvSpPr>
        <xdr:spPr>
          <a:xfrm>
            <a:off x="5514972" y="5037737"/>
            <a:ext cx="123828" cy="1067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4" name="Straight Connector 1703">
            <a:extLst>
              <a:ext uri="{FF2B5EF4-FFF2-40B4-BE49-F238E27FC236}">
                <a16:creationId xmlns:a16="http://schemas.microsoft.com/office/drawing/2014/main" id="{7D388648-29E4-1426-85A1-D2DFFD8F59DB}"/>
              </a:ext>
            </a:extLst>
          </xdr:cNvPr>
          <xdr:cNvCxnSpPr/>
        </xdr:nvCxnSpPr>
        <xdr:spPr>
          <a:xfrm>
            <a:off x="5405436" y="5191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06" name="Oval 1705">
            <a:extLst>
              <a:ext uri="{FF2B5EF4-FFF2-40B4-BE49-F238E27FC236}">
                <a16:creationId xmlns:a16="http://schemas.microsoft.com/office/drawing/2014/main" id="{DBB1866F-5685-36EA-80B6-5EF181E99F87}"/>
              </a:ext>
            </a:extLst>
          </xdr:cNvPr>
          <xdr:cNvSpPr/>
        </xdr:nvSpPr>
        <xdr:spPr>
          <a:xfrm>
            <a:off x="5534023" y="5000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7" name="Straight Arrow Connector 1706">
            <a:extLst>
              <a:ext uri="{FF2B5EF4-FFF2-40B4-BE49-F238E27FC236}">
                <a16:creationId xmlns:a16="http://schemas.microsoft.com/office/drawing/2014/main" id="{DB653E6E-6386-A250-510A-141F4A2F575F}"/>
              </a:ext>
            </a:extLst>
          </xdr:cNvPr>
          <xdr:cNvCxnSpPr/>
        </xdr:nvCxnSpPr>
        <xdr:spPr>
          <a:xfrm flipV="1">
            <a:off x="5576886" y="53435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0" name="Straight Connector 1709">
            <a:extLst>
              <a:ext uri="{FF2B5EF4-FFF2-40B4-BE49-F238E27FC236}">
                <a16:creationId xmlns:a16="http://schemas.microsoft.com/office/drawing/2014/main" id="{C73567BE-1512-1AAD-68A9-772466A042C7}"/>
              </a:ext>
            </a:extLst>
          </xdr:cNvPr>
          <xdr:cNvCxnSpPr/>
        </xdr:nvCxnSpPr>
        <xdr:spPr>
          <a:xfrm>
            <a:off x="1876425" y="1476375"/>
            <a:ext cx="3700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2" name="Straight Arrow Connector 1711">
            <a:extLst>
              <a:ext uri="{FF2B5EF4-FFF2-40B4-BE49-F238E27FC236}">
                <a16:creationId xmlns:a16="http://schemas.microsoft.com/office/drawing/2014/main" id="{ADE5D506-BB94-823F-0771-FAB7988D0E98}"/>
              </a:ext>
            </a:extLst>
          </xdr:cNvPr>
          <xdr:cNvCxnSpPr/>
        </xdr:nvCxnSpPr>
        <xdr:spPr>
          <a:xfrm>
            <a:off x="1876425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5" name="Straight Connector 1714">
            <a:extLst>
              <a:ext uri="{FF2B5EF4-FFF2-40B4-BE49-F238E27FC236}">
                <a16:creationId xmlns:a16="http://schemas.microsoft.com/office/drawing/2014/main" id="{CCC838C1-CD52-EC27-BAC2-D82AEE112F0C}"/>
              </a:ext>
            </a:extLst>
          </xdr:cNvPr>
          <xdr:cNvCxnSpPr/>
        </xdr:nvCxnSpPr>
        <xdr:spPr>
          <a:xfrm>
            <a:off x="1876425" y="1266824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6" name="Straight Arrow Connector 1715">
            <a:extLst>
              <a:ext uri="{FF2B5EF4-FFF2-40B4-BE49-F238E27FC236}">
                <a16:creationId xmlns:a16="http://schemas.microsoft.com/office/drawing/2014/main" id="{6A70761D-9F9E-3597-1A6E-D85B669FADAC}"/>
              </a:ext>
            </a:extLst>
          </xdr:cNvPr>
          <xdr:cNvCxnSpPr/>
        </xdr:nvCxnSpPr>
        <xdr:spPr>
          <a:xfrm>
            <a:off x="2105025" y="1271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8" name="Straight Arrow Connector 1717">
            <a:extLst>
              <a:ext uri="{FF2B5EF4-FFF2-40B4-BE49-F238E27FC236}">
                <a16:creationId xmlns:a16="http://schemas.microsoft.com/office/drawing/2014/main" id="{0BDDA7C7-944C-4742-E1DE-C2E539931BB7}"/>
              </a:ext>
            </a:extLst>
          </xdr:cNvPr>
          <xdr:cNvCxnSpPr/>
        </xdr:nvCxnSpPr>
        <xdr:spPr>
          <a:xfrm>
            <a:off x="2266952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0" name="Straight Arrow Connector 1719">
            <a:extLst>
              <a:ext uri="{FF2B5EF4-FFF2-40B4-BE49-F238E27FC236}">
                <a16:creationId xmlns:a16="http://schemas.microsoft.com/office/drawing/2014/main" id="{04C60C5C-993B-FA3F-D2F8-9C3D3D9011BC}"/>
              </a:ext>
            </a:extLst>
          </xdr:cNvPr>
          <xdr:cNvCxnSpPr/>
        </xdr:nvCxnSpPr>
        <xdr:spPr>
          <a:xfrm>
            <a:off x="2428874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1" name="Straight Arrow Connector 1720">
            <a:extLst>
              <a:ext uri="{FF2B5EF4-FFF2-40B4-BE49-F238E27FC236}">
                <a16:creationId xmlns:a16="http://schemas.microsoft.com/office/drawing/2014/main" id="{8A07D252-3A5A-EDE5-445A-226AA1A3E98E}"/>
              </a:ext>
            </a:extLst>
          </xdr:cNvPr>
          <xdr:cNvCxnSpPr/>
        </xdr:nvCxnSpPr>
        <xdr:spPr>
          <a:xfrm>
            <a:off x="2590801" y="127158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Arrow Connector 1721">
            <a:extLst>
              <a:ext uri="{FF2B5EF4-FFF2-40B4-BE49-F238E27FC236}">
                <a16:creationId xmlns:a16="http://schemas.microsoft.com/office/drawing/2014/main" id="{F6A1D568-3712-BD43-5C07-9D8A22473E0D}"/>
              </a:ext>
            </a:extLst>
          </xdr:cNvPr>
          <xdr:cNvCxnSpPr/>
        </xdr:nvCxnSpPr>
        <xdr:spPr>
          <a:xfrm>
            <a:off x="2752725" y="1271586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Arrow Connector 1722">
            <a:extLst>
              <a:ext uri="{FF2B5EF4-FFF2-40B4-BE49-F238E27FC236}">
                <a16:creationId xmlns:a16="http://schemas.microsoft.com/office/drawing/2014/main" id="{6B18D814-BCFA-6D36-6FF1-D2A6FCA0E84D}"/>
              </a:ext>
            </a:extLst>
          </xdr:cNvPr>
          <xdr:cNvCxnSpPr/>
        </xdr:nvCxnSpPr>
        <xdr:spPr>
          <a:xfrm>
            <a:off x="2914652" y="1271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Arrow Connector 1724">
            <a:extLst>
              <a:ext uri="{FF2B5EF4-FFF2-40B4-BE49-F238E27FC236}">
                <a16:creationId xmlns:a16="http://schemas.microsoft.com/office/drawing/2014/main" id="{39FD7198-1830-C7AC-ED4C-B55FA843DA12}"/>
              </a:ext>
            </a:extLst>
          </xdr:cNvPr>
          <xdr:cNvCxnSpPr/>
        </xdr:nvCxnSpPr>
        <xdr:spPr>
          <a:xfrm>
            <a:off x="3076574" y="1271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Arrow Connector 1725">
            <a:extLst>
              <a:ext uri="{FF2B5EF4-FFF2-40B4-BE49-F238E27FC236}">
                <a16:creationId xmlns:a16="http://schemas.microsoft.com/office/drawing/2014/main" id="{4D57C730-91E0-1C3B-31D2-5B39FC759750}"/>
              </a:ext>
            </a:extLst>
          </xdr:cNvPr>
          <xdr:cNvCxnSpPr/>
        </xdr:nvCxnSpPr>
        <xdr:spPr>
          <a:xfrm>
            <a:off x="3238501" y="1271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Arrow Connector 1727">
            <a:extLst>
              <a:ext uri="{FF2B5EF4-FFF2-40B4-BE49-F238E27FC236}">
                <a16:creationId xmlns:a16="http://schemas.microsoft.com/office/drawing/2014/main" id="{A7A0C8C3-8995-21D4-750A-030BA8AE8AC5}"/>
              </a:ext>
            </a:extLst>
          </xdr:cNvPr>
          <xdr:cNvCxnSpPr/>
        </xdr:nvCxnSpPr>
        <xdr:spPr>
          <a:xfrm>
            <a:off x="3400431" y="126681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1" name="Straight Arrow Connector 1730">
            <a:extLst>
              <a:ext uri="{FF2B5EF4-FFF2-40B4-BE49-F238E27FC236}">
                <a16:creationId xmlns:a16="http://schemas.microsoft.com/office/drawing/2014/main" id="{6C025FB8-4119-0601-25F6-2F1926445B49}"/>
              </a:ext>
            </a:extLst>
          </xdr:cNvPr>
          <xdr:cNvCxnSpPr/>
        </xdr:nvCxnSpPr>
        <xdr:spPr>
          <a:xfrm>
            <a:off x="3562358" y="1266820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3" name="Straight Arrow Connector 1732">
            <a:extLst>
              <a:ext uri="{FF2B5EF4-FFF2-40B4-BE49-F238E27FC236}">
                <a16:creationId xmlns:a16="http://schemas.microsoft.com/office/drawing/2014/main" id="{2E849970-1ABC-9514-9EA0-F2D220BE0FE6}"/>
              </a:ext>
            </a:extLst>
          </xdr:cNvPr>
          <xdr:cNvCxnSpPr/>
        </xdr:nvCxnSpPr>
        <xdr:spPr>
          <a:xfrm>
            <a:off x="3724280" y="114300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4" name="Straight Arrow Connector 1733">
            <a:extLst>
              <a:ext uri="{FF2B5EF4-FFF2-40B4-BE49-F238E27FC236}">
                <a16:creationId xmlns:a16="http://schemas.microsoft.com/office/drawing/2014/main" id="{73349C34-7AB9-D7C1-7829-823AC97F040E}"/>
              </a:ext>
            </a:extLst>
          </xdr:cNvPr>
          <xdr:cNvCxnSpPr/>
        </xdr:nvCxnSpPr>
        <xdr:spPr>
          <a:xfrm>
            <a:off x="3886207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6" name="Straight Connector 1735">
            <a:extLst>
              <a:ext uri="{FF2B5EF4-FFF2-40B4-BE49-F238E27FC236}">
                <a16:creationId xmlns:a16="http://schemas.microsoft.com/office/drawing/2014/main" id="{0EA99D38-D15F-20FD-456B-37F4D0417D22}"/>
              </a:ext>
            </a:extLst>
          </xdr:cNvPr>
          <xdr:cNvCxnSpPr/>
        </xdr:nvCxnSpPr>
        <xdr:spPr>
          <a:xfrm>
            <a:off x="3724275" y="1142999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2" name="Straight Arrow Connector 1761">
            <a:extLst>
              <a:ext uri="{FF2B5EF4-FFF2-40B4-BE49-F238E27FC236}">
                <a16:creationId xmlns:a16="http://schemas.microsoft.com/office/drawing/2014/main" id="{6B5572AE-A3EF-C982-83E3-E554ADCF6CB8}"/>
              </a:ext>
            </a:extLst>
          </xdr:cNvPr>
          <xdr:cNvCxnSpPr/>
        </xdr:nvCxnSpPr>
        <xdr:spPr>
          <a:xfrm>
            <a:off x="4048133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4" name="Straight Arrow Connector 1763">
            <a:extLst>
              <a:ext uri="{FF2B5EF4-FFF2-40B4-BE49-F238E27FC236}">
                <a16:creationId xmlns:a16="http://schemas.microsoft.com/office/drawing/2014/main" id="{E015F0DC-9A06-8329-AC47-231B6691570B}"/>
              </a:ext>
            </a:extLst>
          </xdr:cNvPr>
          <xdr:cNvCxnSpPr/>
        </xdr:nvCxnSpPr>
        <xdr:spPr>
          <a:xfrm>
            <a:off x="4210058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5" name="Straight Arrow Connector 1764">
            <a:extLst>
              <a:ext uri="{FF2B5EF4-FFF2-40B4-BE49-F238E27FC236}">
                <a16:creationId xmlns:a16="http://schemas.microsoft.com/office/drawing/2014/main" id="{8E57881B-4B48-E757-E2B8-5949BF6EB4AC}"/>
              </a:ext>
            </a:extLst>
          </xdr:cNvPr>
          <xdr:cNvCxnSpPr/>
        </xdr:nvCxnSpPr>
        <xdr:spPr>
          <a:xfrm>
            <a:off x="4371984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6" name="Straight Arrow Connector 1765">
            <a:extLst>
              <a:ext uri="{FF2B5EF4-FFF2-40B4-BE49-F238E27FC236}">
                <a16:creationId xmlns:a16="http://schemas.microsoft.com/office/drawing/2014/main" id="{8B9CAF27-4DBD-8CA5-086D-0CC7AAF026F5}"/>
              </a:ext>
            </a:extLst>
          </xdr:cNvPr>
          <xdr:cNvCxnSpPr/>
        </xdr:nvCxnSpPr>
        <xdr:spPr>
          <a:xfrm>
            <a:off x="4533905" y="114300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8" name="Straight Arrow Connector 1767">
            <a:extLst>
              <a:ext uri="{FF2B5EF4-FFF2-40B4-BE49-F238E27FC236}">
                <a16:creationId xmlns:a16="http://schemas.microsoft.com/office/drawing/2014/main" id="{F1058A72-12F9-5B0D-267F-053F00170CBE}"/>
              </a:ext>
            </a:extLst>
          </xdr:cNvPr>
          <xdr:cNvCxnSpPr/>
        </xdr:nvCxnSpPr>
        <xdr:spPr>
          <a:xfrm>
            <a:off x="4695832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9" name="Straight Arrow Connector 1768">
            <a:extLst>
              <a:ext uri="{FF2B5EF4-FFF2-40B4-BE49-F238E27FC236}">
                <a16:creationId xmlns:a16="http://schemas.microsoft.com/office/drawing/2014/main" id="{C0EE4832-AA5D-85B9-46F6-0754F4FD128E}"/>
              </a:ext>
            </a:extLst>
          </xdr:cNvPr>
          <xdr:cNvCxnSpPr/>
        </xdr:nvCxnSpPr>
        <xdr:spPr>
          <a:xfrm>
            <a:off x="4857758" y="1143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0" name="Straight Arrow Connector 1769">
            <a:extLst>
              <a:ext uri="{FF2B5EF4-FFF2-40B4-BE49-F238E27FC236}">
                <a16:creationId xmlns:a16="http://schemas.microsoft.com/office/drawing/2014/main" id="{42D48306-81C8-4DF7-D49C-E5EB2B3BE6F8}"/>
              </a:ext>
            </a:extLst>
          </xdr:cNvPr>
          <xdr:cNvCxnSpPr/>
        </xdr:nvCxnSpPr>
        <xdr:spPr>
          <a:xfrm>
            <a:off x="5019683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3" name="Straight Arrow Connector 1782">
            <a:extLst>
              <a:ext uri="{FF2B5EF4-FFF2-40B4-BE49-F238E27FC236}">
                <a16:creationId xmlns:a16="http://schemas.microsoft.com/office/drawing/2014/main" id="{B5AB4BC5-1752-3906-7975-E20359AB0137}"/>
              </a:ext>
            </a:extLst>
          </xdr:cNvPr>
          <xdr:cNvCxnSpPr/>
        </xdr:nvCxnSpPr>
        <xdr:spPr>
          <a:xfrm>
            <a:off x="5181609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5" name="Straight Arrow Connector 1784">
            <a:extLst>
              <a:ext uri="{FF2B5EF4-FFF2-40B4-BE49-F238E27FC236}">
                <a16:creationId xmlns:a16="http://schemas.microsoft.com/office/drawing/2014/main" id="{C420FBE0-C059-FD94-5FB9-F5D3A439B049}"/>
              </a:ext>
            </a:extLst>
          </xdr:cNvPr>
          <xdr:cNvCxnSpPr/>
        </xdr:nvCxnSpPr>
        <xdr:spPr>
          <a:xfrm>
            <a:off x="5343533" y="1147763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6" name="Straight Arrow Connector 1785">
            <a:extLst>
              <a:ext uri="{FF2B5EF4-FFF2-40B4-BE49-F238E27FC236}">
                <a16:creationId xmlns:a16="http://schemas.microsoft.com/office/drawing/2014/main" id="{A9DC438C-831D-E124-6970-C7D1F4CD5B55}"/>
              </a:ext>
            </a:extLst>
          </xdr:cNvPr>
          <xdr:cNvCxnSpPr/>
        </xdr:nvCxnSpPr>
        <xdr:spPr>
          <a:xfrm>
            <a:off x="5572138" y="1147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87" name="Oval 1786">
            <a:extLst>
              <a:ext uri="{FF2B5EF4-FFF2-40B4-BE49-F238E27FC236}">
                <a16:creationId xmlns:a16="http://schemas.microsoft.com/office/drawing/2014/main" id="{EF58E18C-1727-D055-375A-82A4BCC5B8D6}"/>
              </a:ext>
            </a:extLst>
          </xdr:cNvPr>
          <xdr:cNvSpPr/>
        </xdr:nvSpPr>
        <xdr:spPr>
          <a:xfrm>
            <a:off x="3681412" y="158591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89" name="Straight Connector 1788">
            <a:extLst>
              <a:ext uri="{FF2B5EF4-FFF2-40B4-BE49-F238E27FC236}">
                <a16:creationId xmlns:a16="http://schemas.microsoft.com/office/drawing/2014/main" id="{2447BDCD-500D-3E90-E9EF-D3BCA0703E08}"/>
              </a:ext>
            </a:extLst>
          </xdr:cNvPr>
          <xdr:cNvCxnSpPr/>
        </xdr:nvCxnSpPr>
        <xdr:spPr>
          <a:xfrm>
            <a:off x="1295401" y="1547813"/>
            <a:ext cx="0" cy="3581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0" name="Straight Connector 1789">
            <a:extLst>
              <a:ext uri="{FF2B5EF4-FFF2-40B4-BE49-F238E27FC236}">
                <a16:creationId xmlns:a16="http://schemas.microsoft.com/office/drawing/2014/main" id="{14E74179-C818-DFFF-B23A-86FA05690BB0}"/>
              </a:ext>
            </a:extLst>
          </xdr:cNvPr>
          <xdr:cNvCxnSpPr/>
        </xdr:nvCxnSpPr>
        <xdr:spPr>
          <a:xfrm flipH="1">
            <a:off x="1209675" y="1619251"/>
            <a:ext cx="217646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1" name="Straight Connector 1790">
            <a:extLst>
              <a:ext uri="{FF2B5EF4-FFF2-40B4-BE49-F238E27FC236}">
                <a16:creationId xmlns:a16="http://schemas.microsoft.com/office/drawing/2014/main" id="{9AE94690-9BA4-4BCE-47F8-04C7D1AC9B2E}"/>
              </a:ext>
            </a:extLst>
          </xdr:cNvPr>
          <xdr:cNvCxnSpPr/>
        </xdr:nvCxnSpPr>
        <xdr:spPr>
          <a:xfrm flipH="1">
            <a:off x="1257299" y="1585912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2" name="Straight Connector 1791">
            <a:extLst>
              <a:ext uri="{FF2B5EF4-FFF2-40B4-BE49-F238E27FC236}">
                <a16:creationId xmlns:a16="http://schemas.microsoft.com/office/drawing/2014/main" id="{7555E232-F423-3EEA-5804-F9719908B390}"/>
              </a:ext>
            </a:extLst>
          </xdr:cNvPr>
          <xdr:cNvCxnSpPr/>
        </xdr:nvCxnSpPr>
        <xdr:spPr>
          <a:xfrm flipH="1">
            <a:off x="1209678" y="2905127"/>
            <a:ext cx="5905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6" name="Straight Connector 1795">
            <a:extLst>
              <a:ext uri="{FF2B5EF4-FFF2-40B4-BE49-F238E27FC236}">
                <a16:creationId xmlns:a16="http://schemas.microsoft.com/office/drawing/2014/main" id="{6AA1C2BA-D651-8299-9BC9-E0D55B5B5A88}"/>
              </a:ext>
            </a:extLst>
          </xdr:cNvPr>
          <xdr:cNvCxnSpPr/>
        </xdr:nvCxnSpPr>
        <xdr:spPr>
          <a:xfrm flipH="1">
            <a:off x="1257302" y="2871788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7" name="Straight Connector 1796">
            <a:extLst>
              <a:ext uri="{FF2B5EF4-FFF2-40B4-BE49-F238E27FC236}">
                <a16:creationId xmlns:a16="http://schemas.microsoft.com/office/drawing/2014/main" id="{0B3F7698-D1CD-D9A0-BA58-CF38BE4CC83B}"/>
              </a:ext>
            </a:extLst>
          </xdr:cNvPr>
          <xdr:cNvCxnSpPr/>
        </xdr:nvCxnSpPr>
        <xdr:spPr>
          <a:xfrm>
            <a:off x="1857375" y="5800725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3" name="Straight Connector 1802">
            <a:extLst>
              <a:ext uri="{FF2B5EF4-FFF2-40B4-BE49-F238E27FC236}">
                <a16:creationId xmlns:a16="http://schemas.microsoft.com/office/drawing/2014/main" id="{ACC524BB-712E-EDEB-6741-91C0D8D3A42F}"/>
              </a:ext>
            </a:extLst>
          </xdr:cNvPr>
          <xdr:cNvCxnSpPr/>
        </xdr:nvCxnSpPr>
        <xdr:spPr>
          <a:xfrm>
            <a:off x="3305175" y="3609976"/>
            <a:ext cx="8667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4" name="Straight Connector 1803">
            <a:extLst>
              <a:ext uri="{FF2B5EF4-FFF2-40B4-BE49-F238E27FC236}">
                <a16:creationId xmlns:a16="http://schemas.microsoft.com/office/drawing/2014/main" id="{C12A67C9-4356-C2F4-08C3-BC61F9EC95A7}"/>
              </a:ext>
            </a:extLst>
          </xdr:cNvPr>
          <xdr:cNvCxnSpPr/>
        </xdr:nvCxnSpPr>
        <xdr:spPr>
          <a:xfrm flipV="1">
            <a:off x="1619249" y="1547814"/>
            <a:ext cx="0" cy="14239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5" name="Straight Connector 1804">
            <a:extLst>
              <a:ext uri="{FF2B5EF4-FFF2-40B4-BE49-F238E27FC236}">
                <a16:creationId xmlns:a16="http://schemas.microsoft.com/office/drawing/2014/main" id="{3EA0E713-4544-D1CC-1B15-2CE2D3E3F02D}"/>
              </a:ext>
            </a:extLst>
          </xdr:cNvPr>
          <xdr:cNvCxnSpPr/>
        </xdr:nvCxnSpPr>
        <xdr:spPr>
          <a:xfrm flipH="1">
            <a:off x="1581151" y="15811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8" name="Straight Connector 1807">
            <a:extLst>
              <a:ext uri="{FF2B5EF4-FFF2-40B4-BE49-F238E27FC236}">
                <a16:creationId xmlns:a16="http://schemas.microsoft.com/office/drawing/2014/main" id="{A9CDD06B-78B9-FD80-8347-1616FD53945D}"/>
              </a:ext>
            </a:extLst>
          </xdr:cNvPr>
          <xdr:cNvCxnSpPr/>
        </xdr:nvCxnSpPr>
        <xdr:spPr>
          <a:xfrm>
            <a:off x="1547815" y="1985958"/>
            <a:ext cx="9905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2" name="Straight Connector 1811">
            <a:extLst>
              <a:ext uri="{FF2B5EF4-FFF2-40B4-BE49-F238E27FC236}">
                <a16:creationId xmlns:a16="http://schemas.microsoft.com/office/drawing/2014/main" id="{7C79B822-9F13-86B3-6213-4DE9C8604DAF}"/>
              </a:ext>
            </a:extLst>
          </xdr:cNvPr>
          <xdr:cNvCxnSpPr/>
        </xdr:nvCxnSpPr>
        <xdr:spPr>
          <a:xfrm flipH="1">
            <a:off x="1581150" y="194786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5" name="Straight Connector 1814">
            <a:extLst>
              <a:ext uri="{FF2B5EF4-FFF2-40B4-BE49-F238E27FC236}">
                <a16:creationId xmlns:a16="http://schemas.microsoft.com/office/drawing/2014/main" id="{2A3B4C5C-F4A4-9814-961D-021AE636A14C}"/>
              </a:ext>
            </a:extLst>
          </xdr:cNvPr>
          <xdr:cNvCxnSpPr/>
        </xdr:nvCxnSpPr>
        <xdr:spPr>
          <a:xfrm>
            <a:off x="1038225" y="1614488"/>
            <a:ext cx="0" cy="3433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7" name="Straight Arrow Connector 1816">
            <a:extLst>
              <a:ext uri="{FF2B5EF4-FFF2-40B4-BE49-F238E27FC236}">
                <a16:creationId xmlns:a16="http://schemas.microsoft.com/office/drawing/2014/main" id="{58F1B5B0-E585-A5DC-29F5-BDCFA60B0086}"/>
              </a:ext>
            </a:extLst>
          </xdr:cNvPr>
          <xdr:cNvCxnSpPr/>
        </xdr:nvCxnSpPr>
        <xdr:spPr>
          <a:xfrm>
            <a:off x="838200" y="161925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5" name="Straight Arrow Connector 1824">
            <a:extLst>
              <a:ext uri="{FF2B5EF4-FFF2-40B4-BE49-F238E27FC236}">
                <a16:creationId xmlns:a16="http://schemas.microsoft.com/office/drawing/2014/main" id="{CD88474F-83E6-6DE4-76DA-D3EC58191E5D}"/>
              </a:ext>
            </a:extLst>
          </xdr:cNvPr>
          <xdr:cNvCxnSpPr/>
        </xdr:nvCxnSpPr>
        <xdr:spPr>
          <a:xfrm>
            <a:off x="838201" y="176212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2" name="Straight Arrow Connector 1831">
            <a:extLst>
              <a:ext uri="{FF2B5EF4-FFF2-40B4-BE49-F238E27FC236}">
                <a16:creationId xmlns:a16="http://schemas.microsoft.com/office/drawing/2014/main" id="{9838B0CC-8B87-37B6-BF53-FEFC40CA5E13}"/>
              </a:ext>
            </a:extLst>
          </xdr:cNvPr>
          <xdr:cNvCxnSpPr/>
        </xdr:nvCxnSpPr>
        <xdr:spPr>
          <a:xfrm>
            <a:off x="833437" y="190500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3" name="Straight Arrow Connector 1832">
            <a:extLst>
              <a:ext uri="{FF2B5EF4-FFF2-40B4-BE49-F238E27FC236}">
                <a16:creationId xmlns:a16="http://schemas.microsoft.com/office/drawing/2014/main" id="{D287A111-CDB4-4787-F7BC-3189C795B25D}"/>
              </a:ext>
            </a:extLst>
          </xdr:cNvPr>
          <xdr:cNvCxnSpPr/>
        </xdr:nvCxnSpPr>
        <xdr:spPr>
          <a:xfrm>
            <a:off x="833438" y="204787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1" name="Straight Arrow Connector 1840">
            <a:extLst>
              <a:ext uri="{FF2B5EF4-FFF2-40B4-BE49-F238E27FC236}">
                <a16:creationId xmlns:a16="http://schemas.microsoft.com/office/drawing/2014/main" id="{F338EC0F-F79A-9818-B143-EEC4FD39F629}"/>
              </a:ext>
            </a:extLst>
          </xdr:cNvPr>
          <xdr:cNvCxnSpPr/>
        </xdr:nvCxnSpPr>
        <xdr:spPr>
          <a:xfrm>
            <a:off x="838197" y="219075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3" name="Straight Arrow Connector 1842">
            <a:extLst>
              <a:ext uri="{FF2B5EF4-FFF2-40B4-BE49-F238E27FC236}">
                <a16:creationId xmlns:a16="http://schemas.microsoft.com/office/drawing/2014/main" id="{1D6CBD24-DC74-B87B-8813-B3BDDE7A13D2}"/>
              </a:ext>
            </a:extLst>
          </xdr:cNvPr>
          <xdr:cNvCxnSpPr/>
        </xdr:nvCxnSpPr>
        <xdr:spPr>
          <a:xfrm>
            <a:off x="838198" y="233363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Straight Arrow Connector 1845">
            <a:extLst>
              <a:ext uri="{FF2B5EF4-FFF2-40B4-BE49-F238E27FC236}">
                <a16:creationId xmlns:a16="http://schemas.microsoft.com/office/drawing/2014/main" id="{0FDA7A24-0489-5237-14B3-F4B2DA916DB3}"/>
              </a:ext>
            </a:extLst>
          </xdr:cNvPr>
          <xdr:cNvCxnSpPr/>
        </xdr:nvCxnSpPr>
        <xdr:spPr>
          <a:xfrm>
            <a:off x="833434" y="247650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7" name="Straight Arrow Connector 1846">
            <a:extLst>
              <a:ext uri="{FF2B5EF4-FFF2-40B4-BE49-F238E27FC236}">
                <a16:creationId xmlns:a16="http://schemas.microsoft.com/office/drawing/2014/main" id="{BFC5498F-9AA1-5ED5-105E-9DFDB5426424}"/>
              </a:ext>
            </a:extLst>
          </xdr:cNvPr>
          <xdr:cNvCxnSpPr/>
        </xdr:nvCxnSpPr>
        <xdr:spPr>
          <a:xfrm>
            <a:off x="833435" y="261938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Arrow Connector 1856">
            <a:extLst>
              <a:ext uri="{FF2B5EF4-FFF2-40B4-BE49-F238E27FC236}">
                <a16:creationId xmlns:a16="http://schemas.microsoft.com/office/drawing/2014/main" id="{65E1AB4D-3F4A-487E-B803-3846C664D3BD}"/>
              </a:ext>
            </a:extLst>
          </xdr:cNvPr>
          <xdr:cNvCxnSpPr/>
        </xdr:nvCxnSpPr>
        <xdr:spPr>
          <a:xfrm>
            <a:off x="838200" y="276225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1" name="Straight Arrow Connector 1860">
            <a:extLst>
              <a:ext uri="{FF2B5EF4-FFF2-40B4-BE49-F238E27FC236}">
                <a16:creationId xmlns:a16="http://schemas.microsoft.com/office/drawing/2014/main" id="{C99645DF-A989-6D66-E511-D1267D791C60}"/>
              </a:ext>
            </a:extLst>
          </xdr:cNvPr>
          <xdr:cNvCxnSpPr/>
        </xdr:nvCxnSpPr>
        <xdr:spPr>
          <a:xfrm>
            <a:off x="733425" y="2905125"/>
            <a:ext cx="30480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Arrow Connector 1861">
            <a:extLst>
              <a:ext uri="{FF2B5EF4-FFF2-40B4-BE49-F238E27FC236}">
                <a16:creationId xmlns:a16="http://schemas.microsoft.com/office/drawing/2014/main" id="{4B91F2C7-4192-408E-1EAA-C74F9D475377}"/>
              </a:ext>
            </a:extLst>
          </xdr:cNvPr>
          <xdr:cNvCxnSpPr/>
        </xdr:nvCxnSpPr>
        <xdr:spPr>
          <a:xfrm>
            <a:off x="738188" y="3048000"/>
            <a:ext cx="29527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5" name="Straight Arrow Connector 1864">
            <a:extLst>
              <a:ext uri="{FF2B5EF4-FFF2-40B4-BE49-F238E27FC236}">
                <a16:creationId xmlns:a16="http://schemas.microsoft.com/office/drawing/2014/main" id="{537EBEDB-883F-7119-3F7C-F7728AD4164D}"/>
              </a:ext>
            </a:extLst>
          </xdr:cNvPr>
          <xdr:cNvCxnSpPr/>
        </xdr:nvCxnSpPr>
        <xdr:spPr>
          <a:xfrm>
            <a:off x="733425" y="3190875"/>
            <a:ext cx="30003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6" name="Straight Arrow Connector 1865">
            <a:extLst>
              <a:ext uri="{FF2B5EF4-FFF2-40B4-BE49-F238E27FC236}">
                <a16:creationId xmlns:a16="http://schemas.microsoft.com/office/drawing/2014/main" id="{E6867069-DDDF-CEC4-7889-2B213F4C9847}"/>
              </a:ext>
            </a:extLst>
          </xdr:cNvPr>
          <xdr:cNvCxnSpPr/>
        </xdr:nvCxnSpPr>
        <xdr:spPr>
          <a:xfrm>
            <a:off x="742950" y="333375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Arrow Connector 1866">
            <a:extLst>
              <a:ext uri="{FF2B5EF4-FFF2-40B4-BE49-F238E27FC236}">
                <a16:creationId xmlns:a16="http://schemas.microsoft.com/office/drawing/2014/main" id="{DDD87810-B3A1-0018-8B1F-487FBB18AC68}"/>
              </a:ext>
            </a:extLst>
          </xdr:cNvPr>
          <xdr:cNvCxnSpPr/>
        </xdr:nvCxnSpPr>
        <xdr:spPr>
          <a:xfrm>
            <a:off x="738188" y="3476632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8" name="Straight Arrow Connector 1867">
            <a:extLst>
              <a:ext uri="{FF2B5EF4-FFF2-40B4-BE49-F238E27FC236}">
                <a16:creationId xmlns:a16="http://schemas.microsoft.com/office/drawing/2014/main" id="{985CA251-EC7C-A900-A64F-AD5282980898}"/>
              </a:ext>
            </a:extLst>
          </xdr:cNvPr>
          <xdr:cNvCxnSpPr/>
        </xdr:nvCxnSpPr>
        <xdr:spPr>
          <a:xfrm>
            <a:off x="738188" y="3619507"/>
            <a:ext cx="29527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9" name="Straight Arrow Connector 1868">
            <a:extLst>
              <a:ext uri="{FF2B5EF4-FFF2-40B4-BE49-F238E27FC236}">
                <a16:creationId xmlns:a16="http://schemas.microsoft.com/office/drawing/2014/main" id="{52747092-ABF0-20ED-6753-2FC9A75E4580}"/>
              </a:ext>
            </a:extLst>
          </xdr:cNvPr>
          <xdr:cNvCxnSpPr/>
        </xdr:nvCxnSpPr>
        <xdr:spPr>
          <a:xfrm>
            <a:off x="738188" y="3762382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4" name="Straight Arrow Connector 1873">
            <a:extLst>
              <a:ext uri="{FF2B5EF4-FFF2-40B4-BE49-F238E27FC236}">
                <a16:creationId xmlns:a16="http://schemas.microsoft.com/office/drawing/2014/main" id="{FE919BBB-4CCC-7C5F-E519-78854A36247E}"/>
              </a:ext>
            </a:extLst>
          </xdr:cNvPr>
          <xdr:cNvCxnSpPr/>
        </xdr:nvCxnSpPr>
        <xdr:spPr>
          <a:xfrm>
            <a:off x="738188" y="3905250"/>
            <a:ext cx="2952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5" name="Straight Arrow Connector 1874">
            <a:extLst>
              <a:ext uri="{FF2B5EF4-FFF2-40B4-BE49-F238E27FC236}">
                <a16:creationId xmlns:a16="http://schemas.microsoft.com/office/drawing/2014/main" id="{C37F8080-E9EA-F699-427A-6E99D4968966}"/>
              </a:ext>
            </a:extLst>
          </xdr:cNvPr>
          <xdr:cNvCxnSpPr/>
        </xdr:nvCxnSpPr>
        <xdr:spPr>
          <a:xfrm>
            <a:off x="733425" y="4048125"/>
            <a:ext cx="300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Arrow Connector 1876">
            <a:extLst>
              <a:ext uri="{FF2B5EF4-FFF2-40B4-BE49-F238E27FC236}">
                <a16:creationId xmlns:a16="http://schemas.microsoft.com/office/drawing/2014/main" id="{14EDD42F-C183-5258-6540-CDD29E10AB2E}"/>
              </a:ext>
            </a:extLst>
          </xdr:cNvPr>
          <xdr:cNvCxnSpPr/>
        </xdr:nvCxnSpPr>
        <xdr:spPr>
          <a:xfrm>
            <a:off x="742950" y="4191000"/>
            <a:ext cx="28575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Arrow Connector 1877">
            <a:extLst>
              <a:ext uri="{FF2B5EF4-FFF2-40B4-BE49-F238E27FC236}">
                <a16:creationId xmlns:a16="http://schemas.microsoft.com/office/drawing/2014/main" id="{3C4EFF54-5185-B9D2-7108-6E69CD6433F7}"/>
              </a:ext>
            </a:extLst>
          </xdr:cNvPr>
          <xdr:cNvCxnSpPr/>
        </xdr:nvCxnSpPr>
        <xdr:spPr>
          <a:xfrm>
            <a:off x="738188" y="4333875"/>
            <a:ext cx="29051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9" name="Straight Arrow Connector 1878">
            <a:extLst>
              <a:ext uri="{FF2B5EF4-FFF2-40B4-BE49-F238E27FC236}">
                <a16:creationId xmlns:a16="http://schemas.microsoft.com/office/drawing/2014/main" id="{055B4D41-1E57-3792-C814-4AE814BEFABC}"/>
              </a:ext>
            </a:extLst>
          </xdr:cNvPr>
          <xdr:cNvCxnSpPr/>
        </xdr:nvCxnSpPr>
        <xdr:spPr>
          <a:xfrm>
            <a:off x="738188" y="447675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Arrow Connector 1879">
            <a:extLst>
              <a:ext uri="{FF2B5EF4-FFF2-40B4-BE49-F238E27FC236}">
                <a16:creationId xmlns:a16="http://schemas.microsoft.com/office/drawing/2014/main" id="{FBBA29A4-725E-DCBD-F1F2-05FE576866CC}"/>
              </a:ext>
            </a:extLst>
          </xdr:cNvPr>
          <xdr:cNvCxnSpPr/>
        </xdr:nvCxnSpPr>
        <xdr:spPr>
          <a:xfrm>
            <a:off x="742950" y="4619632"/>
            <a:ext cx="2905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Arrow Connector 1881">
            <a:extLst>
              <a:ext uri="{FF2B5EF4-FFF2-40B4-BE49-F238E27FC236}">
                <a16:creationId xmlns:a16="http://schemas.microsoft.com/office/drawing/2014/main" id="{1941D97F-46BC-E9C4-0DA2-EAA56B7EA160}"/>
              </a:ext>
            </a:extLst>
          </xdr:cNvPr>
          <xdr:cNvCxnSpPr/>
        </xdr:nvCxnSpPr>
        <xdr:spPr>
          <a:xfrm>
            <a:off x="738188" y="4762507"/>
            <a:ext cx="29051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3" name="Straight Arrow Connector 1882">
            <a:extLst>
              <a:ext uri="{FF2B5EF4-FFF2-40B4-BE49-F238E27FC236}">
                <a16:creationId xmlns:a16="http://schemas.microsoft.com/office/drawing/2014/main" id="{E86E747A-605E-4716-A545-DD4D25B71E85}"/>
              </a:ext>
            </a:extLst>
          </xdr:cNvPr>
          <xdr:cNvCxnSpPr/>
        </xdr:nvCxnSpPr>
        <xdr:spPr>
          <a:xfrm>
            <a:off x="742950" y="4905382"/>
            <a:ext cx="2857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4" name="Straight Connector 1883">
            <a:extLst>
              <a:ext uri="{FF2B5EF4-FFF2-40B4-BE49-F238E27FC236}">
                <a16:creationId xmlns:a16="http://schemas.microsoft.com/office/drawing/2014/main" id="{6394F813-FAA7-1568-F383-E33575F2FE74}"/>
              </a:ext>
            </a:extLst>
          </xdr:cNvPr>
          <xdr:cNvCxnSpPr/>
        </xdr:nvCxnSpPr>
        <xdr:spPr>
          <a:xfrm>
            <a:off x="833437" y="1619252"/>
            <a:ext cx="0" cy="1290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5" name="Straight Arrow Connector 1884">
            <a:extLst>
              <a:ext uri="{FF2B5EF4-FFF2-40B4-BE49-F238E27FC236}">
                <a16:creationId xmlns:a16="http://schemas.microsoft.com/office/drawing/2014/main" id="{71214DB5-2BCA-7766-6FDB-FFABF9D7B63B}"/>
              </a:ext>
            </a:extLst>
          </xdr:cNvPr>
          <xdr:cNvCxnSpPr/>
        </xdr:nvCxnSpPr>
        <xdr:spPr>
          <a:xfrm>
            <a:off x="733425" y="5048258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6" name="Straight Connector 1885">
            <a:extLst>
              <a:ext uri="{FF2B5EF4-FFF2-40B4-BE49-F238E27FC236}">
                <a16:creationId xmlns:a16="http://schemas.microsoft.com/office/drawing/2014/main" id="{29DCEBA8-2D63-0257-165E-D98F0E2533D8}"/>
              </a:ext>
            </a:extLst>
          </xdr:cNvPr>
          <xdr:cNvCxnSpPr/>
        </xdr:nvCxnSpPr>
        <xdr:spPr>
          <a:xfrm flipH="1">
            <a:off x="1581149" y="28670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0" name="Straight Connector 1889">
            <a:extLst>
              <a:ext uri="{FF2B5EF4-FFF2-40B4-BE49-F238E27FC236}">
                <a16:creationId xmlns:a16="http://schemas.microsoft.com/office/drawing/2014/main" id="{A13AAE74-36DB-F353-4230-2BAD9E6C88B6}"/>
              </a:ext>
            </a:extLst>
          </xdr:cNvPr>
          <xdr:cNvCxnSpPr/>
        </xdr:nvCxnSpPr>
        <xdr:spPr>
          <a:xfrm flipH="1" flipV="1">
            <a:off x="2590800" y="1984273"/>
            <a:ext cx="1133475" cy="16257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1" name="Straight Connector 1890">
            <a:extLst>
              <a:ext uri="{FF2B5EF4-FFF2-40B4-BE49-F238E27FC236}">
                <a16:creationId xmlns:a16="http://schemas.microsoft.com/office/drawing/2014/main" id="{F7301249-513D-0174-B317-24B914A57A80}"/>
              </a:ext>
            </a:extLst>
          </xdr:cNvPr>
          <xdr:cNvCxnSpPr/>
        </xdr:nvCxnSpPr>
        <xdr:spPr>
          <a:xfrm flipV="1">
            <a:off x="3724275" y="1985963"/>
            <a:ext cx="1128225" cy="1628775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2" name="Straight Connector 1891">
            <a:extLst>
              <a:ext uri="{FF2B5EF4-FFF2-40B4-BE49-F238E27FC236}">
                <a16:creationId xmlns:a16="http://schemas.microsoft.com/office/drawing/2014/main" id="{141AFD41-28ED-6737-9F3C-09F200885BC3}"/>
              </a:ext>
            </a:extLst>
          </xdr:cNvPr>
          <xdr:cNvCxnSpPr/>
        </xdr:nvCxnSpPr>
        <xdr:spPr>
          <a:xfrm flipH="1">
            <a:off x="3990973" y="1619249"/>
            <a:ext cx="20526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6" name="Straight Connector 1895">
            <a:extLst>
              <a:ext uri="{FF2B5EF4-FFF2-40B4-BE49-F238E27FC236}">
                <a16:creationId xmlns:a16="http://schemas.microsoft.com/office/drawing/2014/main" id="{77B22E17-D8D7-C60E-1FE7-7C990ABF76E0}"/>
              </a:ext>
            </a:extLst>
          </xdr:cNvPr>
          <xdr:cNvCxnSpPr/>
        </xdr:nvCxnSpPr>
        <xdr:spPr>
          <a:xfrm flipV="1">
            <a:off x="5991227" y="1547812"/>
            <a:ext cx="0" cy="14239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7" name="Straight Connector 1896">
            <a:extLst>
              <a:ext uri="{FF2B5EF4-FFF2-40B4-BE49-F238E27FC236}">
                <a16:creationId xmlns:a16="http://schemas.microsoft.com/office/drawing/2014/main" id="{5EFC4C3D-42F4-FA91-01FD-960F9FE47DAC}"/>
              </a:ext>
            </a:extLst>
          </xdr:cNvPr>
          <xdr:cNvCxnSpPr/>
        </xdr:nvCxnSpPr>
        <xdr:spPr>
          <a:xfrm flipH="1">
            <a:off x="5953129" y="15811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9" name="Straight Connector 1898">
            <a:extLst>
              <a:ext uri="{FF2B5EF4-FFF2-40B4-BE49-F238E27FC236}">
                <a16:creationId xmlns:a16="http://schemas.microsoft.com/office/drawing/2014/main" id="{8F02AE8C-DDDC-295E-9248-FC40D1B01F9B}"/>
              </a:ext>
            </a:extLst>
          </xdr:cNvPr>
          <xdr:cNvCxnSpPr/>
        </xdr:nvCxnSpPr>
        <xdr:spPr>
          <a:xfrm>
            <a:off x="4953000" y="1985956"/>
            <a:ext cx="11096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0" name="Straight Connector 1899">
            <a:extLst>
              <a:ext uri="{FF2B5EF4-FFF2-40B4-BE49-F238E27FC236}">
                <a16:creationId xmlns:a16="http://schemas.microsoft.com/office/drawing/2014/main" id="{1A1271CC-5485-E609-8DC1-AF2CE995A444}"/>
              </a:ext>
            </a:extLst>
          </xdr:cNvPr>
          <xdr:cNvCxnSpPr/>
        </xdr:nvCxnSpPr>
        <xdr:spPr>
          <a:xfrm flipH="1">
            <a:off x="5953128" y="194786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2" name="Straight Connector 1901">
            <a:extLst>
              <a:ext uri="{FF2B5EF4-FFF2-40B4-BE49-F238E27FC236}">
                <a16:creationId xmlns:a16="http://schemas.microsoft.com/office/drawing/2014/main" id="{ECED1705-275B-0A3F-05CA-FFB4E4510F11}"/>
              </a:ext>
            </a:extLst>
          </xdr:cNvPr>
          <xdr:cNvCxnSpPr/>
        </xdr:nvCxnSpPr>
        <xdr:spPr>
          <a:xfrm flipH="1">
            <a:off x="5953127" y="28670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5" name="Straight Connector 1904">
            <a:extLst>
              <a:ext uri="{FF2B5EF4-FFF2-40B4-BE49-F238E27FC236}">
                <a16:creationId xmlns:a16="http://schemas.microsoft.com/office/drawing/2014/main" id="{BCF3D683-F0AA-9936-F614-62A9AB2404B5}"/>
              </a:ext>
            </a:extLst>
          </xdr:cNvPr>
          <xdr:cNvCxnSpPr/>
        </xdr:nvCxnSpPr>
        <xdr:spPr>
          <a:xfrm flipH="1">
            <a:off x="5657850" y="2905128"/>
            <a:ext cx="40957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6" name="Straight Connector 1905">
            <a:extLst>
              <a:ext uri="{FF2B5EF4-FFF2-40B4-BE49-F238E27FC236}">
                <a16:creationId xmlns:a16="http://schemas.microsoft.com/office/drawing/2014/main" id="{12204791-4E9C-3DCD-4137-4139EC03D585}"/>
              </a:ext>
            </a:extLst>
          </xdr:cNvPr>
          <xdr:cNvCxnSpPr/>
        </xdr:nvCxnSpPr>
        <xdr:spPr>
          <a:xfrm flipH="1" flipV="1">
            <a:off x="2571750" y="1950931"/>
            <a:ext cx="44345" cy="63602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8" name="Straight Connector 1907">
            <a:extLst>
              <a:ext uri="{FF2B5EF4-FFF2-40B4-BE49-F238E27FC236}">
                <a16:creationId xmlns:a16="http://schemas.microsoft.com/office/drawing/2014/main" id="{618962B6-3323-21CD-33A6-20B7A6E37AC6}"/>
              </a:ext>
            </a:extLst>
          </xdr:cNvPr>
          <xdr:cNvCxnSpPr/>
        </xdr:nvCxnSpPr>
        <xdr:spPr>
          <a:xfrm flipV="1">
            <a:off x="4829176" y="1947863"/>
            <a:ext cx="49483" cy="71437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9" name="Straight Arrow Connector 1908">
            <a:extLst>
              <a:ext uri="{FF2B5EF4-FFF2-40B4-BE49-F238E27FC236}">
                <a16:creationId xmlns:a16="http://schemas.microsoft.com/office/drawing/2014/main" id="{B4E864F3-7C15-5070-613D-E6ED226FDE2F}"/>
              </a:ext>
            </a:extLst>
          </xdr:cNvPr>
          <xdr:cNvCxnSpPr/>
        </xdr:nvCxnSpPr>
        <xdr:spPr>
          <a:xfrm flipV="1">
            <a:off x="3724275" y="1690688"/>
            <a:ext cx="495300" cy="19240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1" name="Arc 1910">
            <a:extLst>
              <a:ext uri="{FF2B5EF4-FFF2-40B4-BE49-F238E27FC236}">
                <a16:creationId xmlns:a16="http://schemas.microsoft.com/office/drawing/2014/main" id="{316FCBF8-43F2-F5BF-78C8-A5C4D35471CC}"/>
              </a:ext>
            </a:extLst>
          </xdr:cNvPr>
          <xdr:cNvSpPr/>
        </xdr:nvSpPr>
        <xdr:spPr>
          <a:xfrm rot="15003847">
            <a:off x="3548063" y="3462338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12" name="Arc 1911">
            <a:extLst>
              <a:ext uri="{FF2B5EF4-FFF2-40B4-BE49-F238E27FC236}">
                <a16:creationId xmlns:a16="http://schemas.microsoft.com/office/drawing/2014/main" id="{0BAC0EA0-3775-EE37-2668-D39B8F51E0AD}"/>
              </a:ext>
            </a:extLst>
          </xdr:cNvPr>
          <xdr:cNvSpPr/>
        </xdr:nvSpPr>
        <xdr:spPr>
          <a:xfrm rot="1295282">
            <a:off x="3671888" y="3457574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13" name="Straight Connector 1912">
            <a:extLst>
              <a:ext uri="{FF2B5EF4-FFF2-40B4-BE49-F238E27FC236}">
                <a16:creationId xmlns:a16="http://schemas.microsoft.com/office/drawing/2014/main" id="{C2A189BB-0118-9A7E-2BC1-2A8E1B812BA7}"/>
              </a:ext>
            </a:extLst>
          </xdr:cNvPr>
          <xdr:cNvCxnSpPr/>
        </xdr:nvCxnSpPr>
        <xdr:spPr>
          <a:xfrm>
            <a:off x="1790701" y="6048374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4" name="Straight Connector 1913">
            <a:extLst>
              <a:ext uri="{FF2B5EF4-FFF2-40B4-BE49-F238E27FC236}">
                <a16:creationId xmlns:a16="http://schemas.microsoft.com/office/drawing/2014/main" id="{06418081-5041-322B-D90B-AD36DF5BB382}"/>
              </a:ext>
            </a:extLst>
          </xdr:cNvPr>
          <xdr:cNvCxnSpPr/>
        </xdr:nvCxnSpPr>
        <xdr:spPr>
          <a:xfrm flipH="1">
            <a:off x="1824038" y="6019801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5" name="Straight Connector 1914">
            <a:extLst>
              <a:ext uri="{FF2B5EF4-FFF2-40B4-BE49-F238E27FC236}">
                <a16:creationId xmlns:a16="http://schemas.microsoft.com/office/drawing/2014/main" id="{8651CFD5-BE0D-AE51-810F-57B8DE0C4AFC}"/>
              </a:ext>
            </a:extLst>
          </xdr:cNvPr>
          <xdr:cNvCxnSpPr/>
        </xdr:nvCxnSpPr>
        <xdr:spPr>
          <a:xfrm>
            <a:off x="1785938" y="6334122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6" name="Straight Connector 1915">
            <a:extLst>
              <a:ext uri="{FF2B5EF4-FFF2-40B4-BE49-F238E27FC236}">
                <a16:creationId xmlns:a16="http://schemas.microsoft.com/office/drawing/2014/main" id="{4AE22D7A-4ECC-2A06-8B0A-8833BBF7C75B}"/>
              </a:ext>
            </a:extLst>
          </xdr:cNvPr>
          <xdr:cNvCxnSpPr/>
        </xdr:nvCxnSpPr>
        <xdr:spPr>
          <a:xfrm flipH="1">
            <a:off x="1819275" y="6305549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7" name="Straight Connector 1916">
            <a:extLst>
              <a:ext uri="{FF2B5EF4-FFF2-40B4-BE49-F238E27FC236}">
                <a16:creationId xmlns:a16="http://schemas.microsoft.com/office/drawing/2014/main" id="{B2123F29-9F76-ADEF-8A91-68AA8C5553EB}"/>
              </a:ext>
            </a:extLst>
          </xdr:cNvPr>
          <xdr:cNvCxnSpPr/>
        </xdr:nvCxnSpPr>
        <xdr:spPr>
          <a:xfrm>
            <a:off x="5576887" y="5795969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5" name="Straight Connector 1924">
            <a:extLst>
              <a:ext uri="{FF2B5EF4-FFF2-40B4-BE49-F238E27FC236}">
                <a16:creationId xmlns:a16="http://schemas.microsoft.com/office/drawing/2014/main" id="{F4F6C75B-9ECF-86A5-E9FB-FBA2F8D189FB}"/>
              </a:ext>
            </a:extLst>
          </xdr:cNvPr>
          <xdr:cNvCxnSpPr/>
        </xdr:nvCxnSpPr>
        <xdr:spPr>
          <a:xfrm flipH="1">
            <a:off x="5543550" y="6015045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6" name="Straight Connector 1925">
            <a:extLst>
              <a:ext uri="{FF2B5EF4-FFF2-40B4-BE49-F238E27FC236}">
                <a16:creationId xmlns:a16="http://schemas.microsoft.com/office/drawing/2014/main" id="{98912481-0434-5464-DDA6-D3E5088E8A78}"/>
              </a:ext>
            </a:extLst>
          </xdr:cNvPr>
          <xdr:cNvCxnSpPr/>
        </xdr:nvCxnSpPr>
        <xdr:spPr>
          <a:xfrm flipH="1">
            <a:off x="5543550" y="6300793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2" name="Straight Connector 1931">
            <a:extLst>
              <a:ext uri="{FF2B5EF4-FFF2-40B4-BE49-F238E27FC236}">
                <a16:creationId xmlns:a16="http://schemas.microsoft.com/office/drawing/2014/main" id="{7CFB7419-B372-16B4-2367-46C00978C44F}"/>
              </a:ext>
            </a:extLst>
          </xdr:cNvPr>
          <xdr:cNvCxnSpPr/>
        </xdr:nvCxnSpPr>
        <xdr:spPr>
          <a:xfrm>
            <a:off x="2590805" y="3019425"/>
            <a:ext cx="0" cy="3090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Connector 1933">
            <a:extLst>
              <a:ext uri="{FF2B5EF4-FFF2-40B4-BE49-F238E27FC236}">
                <a16:creationId xmlns:a16="http://schemas.microsoft.com/office/drawing/2014/main" id="{20F5472B-A98F-92FB-BC3C-B03388DC45C3}"/>
              </a:ext>
            </a:extLst>
          </xdr:cNvPr>
          <xdr:cNvCxnSpPr/>
        </xdr:nvCxnSpPr>
        <xdr:spPr>
          <a:xfrm flipH="1">
            <a:off x="2552705" y="601979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4" name="Straight Connector 1943">
            <a:extLst>
              <a:ext uri="{FF2B5EF4-FFF2-40B4-BE49-F238E27FC236}">
                <a16:creationId xmlns:a16="http://schemas.microsoft.com/office/drawing/2014/main" id="{DB225771-C7AE-1B39-D22E-85E6C133569E}"/>
              </a:ext>
            </a:extLst>
          </xdr:cNvPr>
          <xdr:cNvCxnSpPr/>
        </xdr:nvCxnSpPr>
        <xdr:spPr>
          <a:xfrm>
            <a:off x="4857758" y="3009900"/>
            <a:ext cx="0" cy="31003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Straight Connector 1946">
            <a:extLst>
              <a:ext uri="{FF2B5EF4-FFF2-40B4-BE49-F238E27FC236}">
                <a16:creationId xmlns:a16="http://schemas.microsoft.com/office/drawing/2014/main" id="{AC3F9EF1-65E4-22DF-F111-6DD3A26DD77D}"/>
              </a:ext>
            </a:extLst>
          </xdr:cNvPr>
          <xdr:cNvCxnSpPr/>
        </xdr:nvCxnSpPr>
        <xdr:spPr>
          <a:xfrm flipH="1">
            <a:off x="4819658" y="6019799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8" name="Straight Connector 1947">
            <a:extLst>
              <a:ext uri="{FF2B5EF4-FFF2-40B4-BE49-F238E27FC236}">
                <a16:creationId xmlns:a16="http://schemas.microsoft.com/office/drawing/2014/main" id="{CEB1C682-BB5E-0C39-2B89-6946058CA1DE}"/>
              </a:ext>
            </a:extLst>
          </xdr:cNvPr>
          <xdr:cNvCxnSpPr/>
        </xdr:nvCxnSpPr>
        <xdr:spPr>
          <a:xfrm>
            <a:off x="3724275" y="3748088"/>
            <a:ext cx="0" cy="2357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2" name="Straight Connector 1951">
            <a:extLst>
              <a:ext uri="{FF2B5EF4-FFF2-40B4-BE49-F238E27FC236}">
                <a16:creationId xmlns:a16="http://schemas.microsoft.com/office/drawing/2014/main" id="{9A834CC2-F681-D4A9-ACFE-A8B95842D8C9}"/>
              </a:ext>
            </a:extLst>
          </xdr:cNvPr>
          <xdr:cNvCxnSpPr/>
        </xdr:nvCxnSpPr>
        <xdr:spPr>
          <a:xfrm flipH="1">
            <a:off x="3686175" y="601503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DBB5532A-2CF9-C025-6617-07046542055B}"/>
              </a:ext>
            </a:extLst>
          </xdr:cNvPr>
          <xdr:cNvCxnSpPr/>
        </xdr:nvCxnSpPr>
        <xdr:spPr>
          <a:xfrm>
            <a:off x="738187" y="2905126"/>
            <a:ext cx="0" cy="21431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9" name="Oval 2268">
            <a:extLst>
              <a:ext uri="{FF2B5EF4-FFF2-40B4-BE49-F238E27FC236}">
                <a16:creationId xmlns:a16="http://schemas.microsoft.com/office/drawing/2014/main" id="{0876C80A-13E2-419D-B3D1-342116B3C9A4}"/>
              </a:ext>
            </a:extLst>
          </xdr:cNvPr>
          <xdr:cNvSpPr/>
        </xdr:nvSpPr>
        <xdr:spPr>
          <a:xfrm>
            <a:off x="1890711" y="286226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70" name="Oval 2269">
            <a:extLst>
              <a:ext uri="{FF2B5EF4-FFF2-40B4-BE49-F238E27FC236}">
                <a16:creationId xmlns:a16="http://schemas.microsoft.com/office/drawing/2014/main" id="{5F016A89-EF75-4BDD-8E2F-128F749B6D54}"/>
              </a:ext>
            </a:extLst>
          </xdr:cNvPr>
          <xdr:cNvSpPr/>
        </xdr:nvSpPr>
        <xdr:spPr>
          <a:xfrm>
            <a:off x="5472113" y="2862263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5F1C7620-2904-A3C3-F6A0-44D760613B43}"/>
              </a:ext>
            </a:extLst>
          </xdr:cNvPr>
          <xdr:cNvCxnSpPr/>
        </xdr:nvCxnSpPr>
        <xdr:spPr>
          <a:xfrm>
            <a:off x="4857750" y="2105025"/>
            <a:ext cx="0" cy="685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5" name="Straight Connector 1524">
            <a:extLst>
              <a:ext uri="{FF2B5EF4-FFF2-40B4-BE49-F238E27FC236}">
                <a16:creationId xmlns:a16="http://schemas.microsoft.com/office/drawing/2014/main" id="{FA0CFE75-82AB-495E-9EE2-7523293EDD4D}"/>
              </a:ext>
            </a:extLst>
          </xdr:cNvPr>
          <xdr:cNvCxnSpPr/>
        </xdr:nvCxnSpPr>
        <xdr:spPr>
          <a:xfrm>
            <a:off x="2590800" y="2105025"/>
            <a:ext cx="0" cy="657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76200</xdr:colOff>
      <xdr:row>660</xdr:row>
      <xdr:rowOff>66675</xdr:rowOff>
    </xdr:from>
    <xdr:to>
      <xdr:col>22</xdr:col>
      <xdr:colOff>38100</xdr:colOff>
      <xdr:row>660</xdr:row>
      <xdr:rowOff>66675</xdr:rowOff>
    </xdr:to>
    <xdr:cxnSp macro="">
      <xdr:nvCxnSpPr>
        <xdr:cNvPr id="2396" name="Straight Arrow Connector 2395">
          <a:extLst>
            <a:ext uri="{FF2B5EF4-FFF2-40B4-BE49-F238E27FC236}">
              <a16:creationId xmlns:a16="http://schemas.microsoft.com/office/drawing/2014/main" id="{26A1AA15-6912-4011-8723-4FB87E0B3159}"/>
            </a:ext>
          </a:extLst>
        </xdr:cNvPr>
        <xdr:cNvCxnSpPr/>
      </xdr:nvCxnSpPr>
      <xdr:spPr>
        <a:xfrm>
          <a:off x="3314700" y="948404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661</xdr:row>
      <xdr:rowOff>66675</xdr:rowOff>
    </xdr:from>
    <xdr:to>
      <xdr:col>19</xdr:col>
      <xdr:colOff>38100</xdr:colOff>
      <xdr:row>661</xdr:row>
      <xdr:rowOff>66675</xdr:rowOff>
    </xdr:to>
    <xdr:cxnSp macro="">
      <xdr:nvCxnSpPr>
        <xdr:cNvPr id="2519" name="Straight Arrow Connector 2518">
          <a:extLst>
            <a:ext uri="{FF2B5EF4-FFF2-40B4-BE49-F238E27FC236}">
              <a16:creationId xmlns:a16="http://schemas.microsoft.com/office/drawing/2014/main" id="{B07CF739-F515-43ED-8127-4463004A4C45}"/>
            </a:ext>
          </a:extLst>
        </xdr:cNvPr>
        <xdr:cNvCxnSpPr/>
      </xdr:nvCxnSpPr>
      <xdr:spPr>
        <a:xfrm>
          <a:off x="2828925" y="94983300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620</xdr:row>
      <xdr:rowOff>95249</xdr:rowOff>
    </xdr:from>
    <xdr:to>
      <xdr:col>35</xdr:col>
      <xdr:colOff>85724</xdr:colOff>
      <xdr:row>657</xdr:row>
      <xdr:rowOff>61913</xdr:rowOff>
    </xdr:to>
    <xdr:grpSp>
      <xdr:nvGrpSpPr>
        <xdr:cNvPr id="1533" name="Group 1532">
          <a:extLst>
            <a:ext uri="{FF2B5EF4-FFF2-40B4-BE49-F238E27FC236}">
              <a16:creationId xmlns:a16="http://schemas.microsoft.com/office/drawing/2014/main" id="{FF9DFDF7-2925-14B7-38CB-C4F69D143BE8}"/>
            </a:ext>
          </a:extLst>
        </xdr:cNvPr>
        <xdr:cNvGrpSpPr/>
      </xdr:nvGrpSpPr>
      <xdr:grpSpPr>
        <a:xfrm>
          <a:off x="733425" y="89153999"/>
          <a:ext cx="5019674" cy="5253039"/>
          <a:chOff x="733425" y="89153999"/>
          <a:chExt cx="5019674" cy="5253039"/>
        </a:xfrm>
      </xdr:grpSpPr>
      <xdr:cxnSp macro="">
        <xdr:nvCxnSpPr>
          <xdr:cNvPr id="2517" name="Straight Connector 2516">
            <a:extLst>
              <a:ext uri="{FF2B5EF4-FFF2-40B4-BE49-F238E27FC236}">
                <a16:creationId xmlns:a16="http://schemas.microsoft.com/office/drawing/2014/main" id="{314A01CE-777E-E9E3-0211-BAF5DD737392}"/>
              </a:ext>
            </a:extLst>
          </xdr:cNvPr>
          <xdr:cNvCxnSpPr/>
        </xdr:nvCxnSpPr>
        <xdr:spPr>
          <a:xfrm>
            <a:off x="1947862" y="90911363"/>
            <a:ext cx="3567113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13" name="Arc 2412">
            <a:extLst>
              <a:ext uri="{FF2B5EF4-FFF2-40B4-BE49-F238E27FC236}">
                <a16:creationId xmlns:a16="http://schemas.microsoft.com/office/drawing/2014/main" id="{380FBBF6-2D65-ABDF-A792-822C1439631A}"/>
              </a:ext>
            </a:extLst>
          </xdr:cNvPr>
          <xdr:cNvSpPr/>
        </xdr:nvSpPr>
        <xdr:spPr>
          <a:xfrm>
            <a:off x="1743075" y="89639775"/>
            <a:ext cx="3962400" cy="3962400"/>
          </a:xfrm>
          <a:prstGeom prst="arc">
            <a:avLst>
              <a:gd name="adj1" fmla="val 12054284"/>
              <a:gd name="adj2" fmla="val 20343441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414" name="Straight Connector 2413">
            <a:extLst>
              <a:ext uri="{FF2B5EF4-FFF2-40B4-BE49-F238E27FC236}">
                <a16:creationId xmlns:a16="http://schemas.microsoft.com/office/drawing/2014/main" id="{51BFBD4F-154A-1D72-1D9A-B789A75E55CC}"/>
              </a:ext>
            </a:extLst>
          </xdr:cNvPr>
          <xdr:cNvCxnSpPr/>
        </xdr:nvCxnSpPr>
        <xdr:spPr>
          <a:xfrm>
            <a:off x="1876425" y="90916125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5" name="Straight Connector 2414">
            <a:extLst>
              <a:ext uri="{FF2B5EF4-FFF2-40B4-BE49-F238E27FC236}">
                <a16:creationId xmlns:a16="http://schemas.microsoft.com/office/drawing/2014/main" id="{42235AA5-0BF0-5C70-3D42-BD35382ABA0E}"/>
              </a:ext>
            </a:extLst>
          </xdr:cNvPr>
          <xdr:cNvCxnSpPr/>
        </xdr:nvCxnSpPr>
        <xdr:spPr>
          <a:xfrm>
            <a:off x="5572125" y="90906600"/>
            <a:ext cx="0" cy="21431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C3FD99A0-2E91-FDF8-5B1F-376C05AE0A8A}"/>
              </a:ext>
            </a:extLst>
          </xdr:cNvPr>
          <xdr:cNvSpPr/>
        </xdr:nvSpPr>
        <xdr:spPr>
          <a:xfrm>
            <a:off x="1709737" y="93206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17" name="Isosceles Triangle 2416">
            <a:extLst>
              <a:ext uri="{FF2B5EF4-FFF2-40B4-BE49-F238E27FC236}">
                <a16:creationId xmlns:a16="http://schemas.microsoft.com/office/drawing/2014/main" id="{8A460B14-A183-3A9D-028A-CC35693B39EC}"/>
              </a:ext>
            </a:extLst>
          </xdr:cNvPr>
          <xdr:cNvSpPr/>
        </xdr:nvSpPr>
        <xdr:spPr>
          <a:xfrm>
            <a:off x="1794319" y="93068778"/>
            <a:ext cx="154684" cy="133348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18" name="Straight Connector 2417">
            <a:extLst>
              <a:ext uri="{FF2B5EF4-FFF2-40B4-BE49-F238E27FC236}">
                <a16:creationId xmlns:a16="http://schemas.microsoft.com/office/drawing/2014/main" id="{21BE2023-EAAE-7311-8464-93FEDCC0E805}"/>
              </a:ext>
            </a:extLst>
          </xdr:cNvPr>
          <xdr:cNvCxnSpPr/>
        </xdr:nvCxnSpPr>
        <xdr:spPr>
          <a:xfrm>
            <a:off x="1700211" y="93202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19" name="Oval 2418">
            <a:extLst>
              <a:ext uri="{FF2B5EF4-FFF2-40B4-BE49-F238E27FC236}">
                <a16:creationId xmlns:a16="http://schemas.microsoft.com/office/drawing/2014/main" id="{3B42F78F-9EFB-2DAF-0866-F7EAF655BBEA}"/>
              </a:ext>
            </a:extLst>
          </xdr:cNvPr>
          <xdr:cNvSpPr/>
        </xdr:nvSpPr>
        <xdr:spPr>
          <a:xfrm>
            <a:off x="1828798" y="93011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20" name="Straight Arrow Connector 2419">
            <a:extLst>
              <a:ext uri="{FF2B5EF4-FFF2-40B4-BE49-F238E27FC236}">
                <a16:creationId xmlns:a16="http://schemas.microsoft.com/office/drawing/2014/main" id="{811AABE5-C260-F46E-CA7C-EA9377D237FD}"/>
              </a:ext>
            </a:extLst>
          </xdr:cNvPr>
          <xdr:cNvCxnSpPr/>
        </xdr:nvCxnSpPr>
        <xdr:spPr>
          <a:xfrm flipV="1">
            <a:off x="1862136" y="93345000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1" name="Straight Arrow Connector 2420">
            <a:extLst>
              <a:ext uri="{FF2B5EF4-FFF2-40B4-BE49-F238E27FC236}">
                <a16:creationId xmlns:a16="http://schemas.microsoft.com/office/drawing/2014/main" id="{3D355834-28CA-14B1-3E1A-5C231CD739F0}"/>
              </a:ext>
            </a:extLst>
          </xdr:cNvPr>
          <xdr:cNvCxnSpPr/>
        </xdr:nvCxnSpPr>
        <xdr:spPr>
          <a:xfrm>
            <a:off x="1471613" y="93059250"/>
            <a:ext cx="323850" cy="0"/>
          </a:xfrm>
          <a:prstGeom prst="straightConnector1">
            <a:avLst/>
          </a:prstGeom>
          <a:ln w="1270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2" name="Straight Connector 2421">
            <a:extLst>
              <a:ext uri="{FF2B5EF4-FFF2-40B4-BE49-F238E27FC236}">
                <a16:creationId xmlns:a16="http://schemas.microsoft.com/office/drawing/2014/main" id="{918E6CAE-7B55-22E1-FC6D-1A8759CB4D4C}"/>
              </a:ext>
            </a:extLst>
          </xdr:cNvPr>
          <xdr:cNvCxnSpPr/>
        </xdr:nvCxnSpPr>
        <xdr:spPr>
          <a:xfrm flipH="1">
            <a:off x="1219203" y="93059250"/>
            <a:ext cx="1952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3" name="Straight Connector 2422">
            <a:extLst>
              <a:ext uri="{FF2B5EF4-FFF2-40B4-BE49-F238E27FC236}">
                <a16:creationId xmlns:a16="http://schemas.microsoft.com/office/drawing/2014/main" id="{2CEF83EA-B43F-CA4E-4EB0-0376610B7535}"/>
              </a:ext>
            </a:extLst>
          </xdr:cNvPr>
          <xdr:cNvCxnSpPr/>
        </xdr:nvCxnSpPr>
        <xdr:spPr>
          <a:xfrm flipH="1">
            <a:off x="1257303" y="93025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F8CA5506-9689-A192-4D19-DB35F1910A4C}"/>
              </a:ext>
            </a:extLst>
          </xdr:cNvPr>
          <xdr:cNvSpPr/>
        </xdr:nvSpPr>
        <xdr:spPr>
          <a:xfrm>
            <a:off x="5414962" y="93206888"/>
            <a:ext cx="338137" cy="1428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5" name="Isosceles Triangle 2424">
            <a:extLst>
              <a:ext uri="{FF2B5EF4-FFF2-40B4-BE49-F238E27FC236}">
                <a16:creationId xmlns:a16="http://schemas.microsoft.com/office/drawing/2014/main" id="{49F8E76F-C4F9-FF2F-E849-51520751EE51}"/>
              </a:ext>
            </a:extLst>
          </xdr:cNvPr>
          <xdr:cNvSpPr/>
        </xdr:nvSpPr>
        <xdr:spPr>
          <a:xfrm>
            <a:off x="5505447" y="93040528"/>
            <a:ext cx="142878" cy="123170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26" name="Straight Connector 2425">
            <a:extLst>
              <a:ext uri="{FF2B5EF4-FFF2-40B4-BE49-F238E27FC236}">
                <a16:creationId xmlns:a16="http://schemas.microsoft.com/office/drawing/2014/main" id="{5459B368-DDDB-E847-7137-157D7E2408A5}"/>
              </a:ext>
            </a:extLst>
          </xdr:cNvPr>
          <xdr:cNvCxnSpPr/>
        </xdr:nvCxnSpPr>
        <xdr:spPr>
          <a:xfrm>
            <a:off x="5405436" y="93202124"/>
            <a:ext cx="3429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7" name="Oval 2426">
            <a:extLst>
              <a:ext uri="{FF2B5EF4-FFF2-40B4-BE49-F238E27FC236}">
                <a16:creationId xmlns:a16="http://schemas.microsoft.com/office/drawing/2014/main" id="{8DAED1B9-5DD2-048A-32CA-3E58D758D127}"/>
              </a:ext>
            </a:extLst>
          </xdr:cNvPr>
          <xdr:cNvSpPr/>
        </xdr:nvSpPr>
        <xdr:spPr>
          <a:xfrm>
            <a:off x="5534023" y="93011625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28" name="Straight Arrow Connector 2427">
            <a:extLst>
              <a:ext uri="{FF2B5EF4-FFF2-40B4-BE49-F238E27FC236}">
                <a16:creationId xmlns:a16="http://schemas.microsoft.com/office/drawing/2014/main" id="{CF516AE2-C9AC-39C9-32A5-B4BC8686BFF6}"/>
              </a:ext>
            </a:extLst>
          </xdr:cNvPr>
          <xdr:cNvCxnSpPr/>
        </xdr:nvCxnSpPr>
        <xdr:spPr>
          <a:xfrm flipV="1">
            <a:off x="5576886" y="93354525"/>
            <a:ext cx="0" cy="295275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0" name="Straight Connector 2429">
            <a:extLst>
              <a:ext uri="{FF2B5EF4-FFF2-40B4-BE49-F238E27FC236}">
                <a16:creationId xmlns:a16="http://schemas.microsoft.com/office/drawing/2014/main" id="{0012310E-53A6-B17C-DE4E-EE04BCB440B5}"/>
              </a:ext>
            </a:extLst>
          </xdr:cNvPr>
          <xdr:cNvCxnSpPr/>
        </xdr:nvCxnSpPr>
        <xdr:spPr>
          <a:xfrm>
            <a:off x="1876425" y="89487375"/>
            <a:ext cx="37004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1" name="Straight Arrow Connector 2430">
            <a:extLst>
              <a:ext uri="{FF2B5EF4-FFF2-40B4-BE49-F238E27FC236}">
                <a16:creationId xmlns:a16="http://schemas.microsoft.com/office/drawing/2014/main" id="{EE82A27D-58EA-3DC8-CA3D-AF005498500E}"/>
              </a:ext>
            </a:extLst>
          </xdr:cNvPr>
          <xdr:cNvCxnSpPr/>
        </xdr:nvCxnSpPr>
        <xdr:spPr>
          <a:xfrm>
            <a:off x="1876425" y="89282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2" name="Straight Connector 2431">
            <a:extLst>
              <a:ext uri="{FF2B5EF4-FFF2-40B4-BE49-F238E27FC236}">
                <a16:creationId xmlns:a16="http://schemas.microsoft.com/office/drawing/2014/main" id="{14B69D2B-EE73-EAD3-6385-B3F4EE0D0203}"/>
              </a:ext>
            </a:extLst>
          </xdr:cNvPr>
          <xdr:cNvCxnSpPr/>
        </xdr:nvCxnSpPr>
        <xdr:spPr>
          <a:xfrm>
            <a:off x="1876425" y="89277824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3" name="Straight Arrow Connector 2432">
            <a:extLst>
              <a:ext uri="{FF2B5EF4-FFF2-40B4-BE49-F238E27FC236}">
                <a16:creationId xmlns:a16="http://schemas.microsoft.com/office/drawing/2014/main" id="{42E4B216-5A75-768E-EF22-6A3444DFF7A6}"/>
              </a:ext>
            </a:extLst>
          </xdr:cNvPr>
          <xdr:cNvCxnSpPr/>
        </xdr:nvCxnSpPr>
        <xdr:spPr>
          <a:xfrm>
            <a:off x="2105025" y="89282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4" name="Straight Arrow Connector 2433">
            <a:extLst>
              <a:ext uri="{FF2B5EF4-FFF2-40B4-BE49-F238E27FC236}">
                <a16:creationId xmlns:a16="http://schemas.microsoft.com/office/drawing/2014/main" id="{8E0E0CB8-B15C-BDDC-192F-465D8D23CDBE}"/>
              </a:ext>
            </a:extLst>
          </xdr:cNvPr>
          <xdr:cNvCxnSpPr/>
        </xdr:nvCxnSpPr>
        <xdr:spPr>
          <a:xfrm>
            <a:off x="2266952" y="89282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5" name="Straight Arrow Connector 2434">
            <a:extLst>
              <a:ext uri="{FF2B5EF4-FFF2-40B4-BE49-F238E27FC236}">
                <a16:creationId xmlns:a16="http://schemas.microsoft.com/office/drawing/2014/main" id="{A325EBE7-38B1-1850-F2B4-88FA8C3376E8}"/>
              </a:ext>
            </a:extLst>
          </xdr:cNvPr>
          <xdr:cNvCxnSpPr/>
        </xdr:nvCxnSpPr>
        <xdr:spPr>
          <a:xfrm>
            <a:off x="2428874" y="89282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6" name="Straight Arrow Connector 2435">
            <a:extLst>
              <a:ext uri="{FF2B5EF4-FFF2-40B4-BE49-F238E27FC236}">
                <a16:creationId xmlns:a16="http://schemas.microsoft.com/office/drawing/2014/main" id="{80F5DCBC-C889-DD7F-660A-A9935575DF52}"/>
              </a:ext>
            </a:extLst>
          </xdr:cNvPr>
          <xdr:cNvCxnSpPr/>
        </xdr:nvCxnSpPr>
        <xdr:spPr>
          <a:xfrm>
            <a:off x="2590801" y="8928258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7" name="Straight Arrow Connector 2436">
            <a:extLst>
              <a:ext uri="{FF2B5EF4-FFF2-40B4-BE49-F238E27FC236}">
                <a16:creationId xmlns:a16="http://schemas.microsoft.com/office/drawing/2014/main" id="{D3E4559A-BEF1-695B-5ABA-C7CFEE476CC5}"/>
              </a:ext>
            </a:extLst>
          </xdr:cNvPr>
          <xdr:cNvCxnSpPr/>
        </xdr:nvCxnSpPr>
        <xdr:spPr>
          <a:xfrm>
            <a:off x="2752725" y="89282586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8" name="Straight Arrow Connector 2437">
            <a:extLst>
              <a:ext uri="{FF2B5EF4-FFF2-40B4-BE49-F238E27FC236}">
                <a16:creationId xmlns:a16="http://schemas.microsoft.com/office/drawing/2014/main" id="{09EC0D53-6500-9CF1-E193-1FA7A95DB529}"/>
              </a:ext>
            </a:extLst>
          </xdr:cNvPr>
          <xdr:cNvCxnSpPr/>
        </xdr:nvCxnSpPr>
        <xdr:spPr>
          <a:xfrm>
            <a:off x="2914652" y="89282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9" name="Straight Arrow Connector 2438">
            <a:extLst>
              <a:ext uri="{FF2B5EF4-FFF2-40B4-BE49-F238E27FC236}">
                <a16:creationId xmlns:a16="http://schemas.microsoft.com/office/drawing/2014/main" id="{888CF374-67C5-A5B2-6926-536734A5819C}"/>
              </a:ext>
            </a:extLst>
          </xdr:cNvPr>
          <xdr:cNvCxnSpPr/>
        </xdr:nvCxnSpPr>
        <xdr:spPr>
          <a:xfrm>
            <a:off x="3076574" y="89282587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0" name="Straight Arrow Connector 2439">
            <a:extLst>
              <a:ext uri="{FF2B5EF4-FFF2-40B4-BE49-F238E27FC236}">
                <a16:creationId xmlns:a16="http://schemas.microsoft.com/office/drawing/2014/main" id="{F45596E5-8DD3-D9A4-B931-0D27995D2792}"/>
              </a:ext>
            </a:extLst>
          </xdr:cNvPr>
          <xdr:cNvCxnSpPr/>
        </xdr:nvCxnSpPr>
        <xdr:spPr>
          <a:xfrm>
            <a:off x="3238501" y="89282588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1" name="Straight Arrow Connector 2440">
            <a:extLst>
              <a:ext uri="{FF2B5EF4-FFF2-40B4-BE49-F238E27FC236}">
                <a16:creationId xmlns:a16="http://schemas.microsoft.com/office/drawing/2014/main" id="{7D7EFB92-AF23-2CEB-EAAA-C3EAE68511AB}"/>
              </a:ext>
            </a:extLst>
          </xdr:cNvPr>
          <xdr:cNvCxnSpPr/>
        </xdr:nvCxnSpPr>
        <xdr:spPr>
          <a:xfrm>
            <a:off x="3400431" y="89277819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2" name="Straight Arrow Connector 2441">
            <a:extLst>
              <a:ext uri="{FF2B5EF4-FFF2-40B4-BE49-F238E27FC236}">
                <a16:creationId xmlns:a16="http://schemas.microsoft.com/office/drawing/2014/main" id="{B43CBA30-5FCE-C696-7B99-3D916ED37A10}"/>
              </a:ext>
            </a:extLst>
          </xdr:cNvPr>
          <xdr:cNvCxnSpPr/>
        </xdr:nvCxnSpPr>
        <xdr:spPr>
          <a:xfrm>
            <a:off x="3562358" y="89277820"/>
            <a:ext cx="0" cy="2000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3" name="Straight Arrow Connector 2442">
            <a:extLst>
              <a:ext uri="{FF2B5EF4-FFF2-40B4-BE49-F238E27FC236}">
                <a16:creationId xmlns:a16="http://schemas.microsoft.com/office/drawing/2014/main" id="{25E557E7-8A4C-1F58-C7A1-4776BA010B5A}"/>
              </a:ext>
            </a:extLst>
          </xdr:cNvPr>
          <xdr:cNvCxnSpPr/>
        </xdr:nvCxnSpPr>
        <xdr:spPr>
          <a:xfrm>
            <a:off x="3724280" y="8915400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4" name="Straight Arrow Connector 2443">
            <a:extLst>
              <a:ext uri="{FF2B5EF4-FFF2-40B4-BE49-F238E27FC236}">
                <a16:creationId xmlns:a16="http://schemas.microsoft.com/office/drawing/2014/main" id="{BB499316-9235-E72D-D99F-8001732D3BAE}"/>
              </a:ext>
            </a:extLst>
          </xdr:cNvPr>
          <xdr:cNvCxnSpPr/>
        </xdr:nvCxnSpPr>
        <xdr:spPr>
          <a:xfrm>
            <a:off x="3886207" y="89154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5" name="Straight Connector 2444">
            <a:extLst>
              <a:ext uri="{FF2B5EF4-FFF2-40B4-BE49-F238E27FC236}">
                <a16:creationId xmlns:a16="http://schemas.microsoft.com/office/drawing/2014/main" id="{1566B752-3AB9-939F-066A-0FD48EBB28F3}"/>
              </a:ext>
            </a:extLst>
          </xdr:cNvPr>
          <xdr:cNvCxnSpPr/>
        </xdr:nvCxnSpPr>
        <xdr:spPr>
          <a:xfrm>
            <a:off x="3724275" y="89153999"/>
            <a:ext cx="1852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6" name="Straight Arrow Connector 2445">
            <a:extLst>
              <a:ext uri="{FF2B5EF4-FFF2-40B4-BE49-F238E27FC236}">
                <a16:creationId xmlns:a16="http://schemas.microsoft.com/office/drawing/2014/main" id="{235209DB-DBB3-65C0-DF70-5536E7795A7D}"/>
              </a:ext>
            </a:extLst>
          </xdr:cNvPr>
          <xdr:cNvCxnSpPr/>
        </xdr:nvCxnSpPr>
        <xdr:spPr>
          <a:xfrm>
            <a:off x="4048133" y="89154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7" name="Straight Arrow Connector 2446">
            <a:extLst>
              <a:ext uri="{FF2B5EF4-FFF2-40B4-BE49-F238E27FC236}">
                <a16:creationId xmlns:a16="http://schemas.microsoft.com/office/drawing/2014/main" id="{01580925-45A8-550E-5FD7-EDCD4AAC9462}"/>
              </a:ext>
            </a:extLst>
          </xdr:cNvPr>
          <xdr:cNvCxnSpPr/>
        </xdr:nvCxnSpPr>
        <xdr:spPr>
          <a:xfrm>
            <a:off x="4210058" y="89158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8" name="Straight Arrow Connector 2447">
            <a:extLst>
              <a:ext uri="{FF2B5EF4-FFF2-40B4-BE49-F238E27FC236}">
                <a16:creationId xmlns:a16="http://schemas.microsoft.com/office/drawing/2014/main" id="{A4D39E48-2EE2-A8EB-B3D4-9F7CB0B0D4C1}"/>
              </a:ext>
            </a:extLst>
          </xdr:cNvPr>
          <xdr:cNvCxnSpPr/>
        </xdr:nvCxnSpPr>
        <xdr:spPr>
          <a:xfrm>
            <a:off x="4371984" y="89158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9" name="Straight Arrow Connector 2448">
            <a:extLst>
              <a:ext uri="{FF2B5EF4-FFF2-40B4-BE49-F238E27FC236}">
                <a16:creationId xmlns:a16="http://schemas.microsoft.com/office/drawing/2014/main" id="{F5D902A1-6E9F-1ADD-EF52-D98D428D9DB2}"/>
              </a:ext>
            </a:extLst>
          </xdr:cNvPr>
          <xdr:cNvCxnSpPr/>
        </xdr:nvCxnSpPr>
        <xdr:spPr>
          <a:xfrm>
            <a:off x="4533905" y="89154000"/>
            <a:ext cx="0" cy="32384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0" name="Straight Arrow Connector 2449">
            <a:extLst>
              <a:ext uri="{FF2B5EF4-FFF2-40B4-BE49-F238E27FC236}">
                <a16:creationId xmlns:a16="http://schemas.microsoft.com/office/drawing/2014/main" id="{EBD25477-35FD-56F6-DFAA-A2808EECAD84}"/>
              </a:ext>
            </a:extLst>
          </xdr:cNvPr>
          <xdr:cNvCxnSpPr/>
        </xdr:nvCxnSpPr>
        <xdr:spPr>
          <a:xfrm>
            <a:off x="4695832" y="89154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1" name="Straight Arrow Connector 2450">
            <a:extLst>
              <a:ext uri="{FF2B5EF4-FFF2-40B4-BE49-F238E27FC236}">
                <a16:creationId xmlns:a16="http://schemas.microsoft.com/office/drawing/2014/main" id="{181AF6BE-0A35-B92D-B6AA-8025F89EA77C}"/>
              </a:ext>
            </a:extLst>
          </xdr:cNvPr>
          <xdr:cNvCxnSpPr/>
        </xdr:nvCxnSpPr>
        <xdr:spPr>
          <a:xfrm>
            <a:off x="4857758" y="89154000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2" name="Straight Arrow Connector 2451">
            <a:extLst>
              <a:ext uri="{FF2B5EF4-FFF2-40B4-BE49-F238E27FC236}">
                <a16:creationId xmlns:a16="http://schemas.microsoft.com/office/drawing/2014/main" id="{4362898C-529B-C491-5FEB-60D5BA02FB1F}"/>
              </a:ext>
            </a:extLst>
          </xdr:cNvPr>
          <xdr:cNvCxnSpPr/>
        </xdr:nvCxnSpPr>
        <xdr:spPr>
          <a:xfrm>
            <a:off x="5019683" y="89158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3" name="Straight Arrow Connector 2452">
            <a:extLst>
              <a:ext uri="{FF2B5EF4-FFF2-40B4-BE49-F238E27FC236}">
                <a16:creationId xmlns:a16="http://schemas.microsoft.com/office/drawing/2014/main" id="{974E4DD7-85F5-C4C2-3E3A-6C75753C1BE6}"/>
              </a:ext>
            </a:extLst>
          </xdr:cNvPr>
          <xdr:cNvCxnSpPr/>
        </xdr:nvCxnSpPr>
        <xdr:spPr>
          <a:xfrm>
            <a:off x="5181609" y="89158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4" name="Straight Arrow Connector 2453">
            <a:extLst>
              <a:ext uri="{FF2B5EF4-FFF2-40B4-BE49-F238E27FC236}">
                <a16:creationId xmlns:a16="http://schemas.microsoft.com/office/drawing/2014/main" id="{A8BFDAA8-831D-81A3-936C-4939D674D3F1}"/>
              </a:ext>
            </a:extLst>
          </xdr:cNvPr>
          <xdr:cNvCxnSpPr/>
        </xdr:nvCxnSpPr>
        <xdr:spPr>
          <a:xfrm>
            <a:off x="5343533" y="89158763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5" name="Straight Arrow Connector 2454">
            <a:extLst>
              <a:ext uri="{FF2B5EF4-FFF2-40B4-BE49-F238E27FC236}">
                <a16:creationId xmlns:a16="http://schemas.microsoft.com/office/drawing/2014/main" id="{2D45911B-1731-958C-2E61-E89BFBC22482}"/>
              </a:ext>
            </a:extLst>
          </xdr:cNvPr>
          <xdr:cNvCxnSpPr/>
        </xdr:nvCxnSpPr>
        <xdr:spPr>
          <a:xfrm>
            <a:off x="5572138" y="89158762"/>
            <a:ext cx="0" cy="32384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56" name="Oval 2455">
            <a:extLst>
              <a:ext uri="{FF2B5EF4-FFF2-40B4-BE49-F238E27FC236}">
                <a16:creationId xmlns:a16="http://schemas.microsoft.com/office/drawing/2014/main" id="{977A036E-8296-CFE2-5DD4-343FB03B1A95}"/>
              </a:ext>
            </a:extLst>
          </xdr:cNvPr>
          <xdr:cNvSpPr/>
        </xdr:nvSpPr>
        <xdr:spPr>
          <a:xfrm>
            <a:off x="3681412" y="89596912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57" name="Straight Connector 2456">
            <a:extLst>
              <a:ext uri="{FF2B5EF4-FFF2-40B4-BE49-F238E27FC236}">
                <a16:creationId xmlns:a16="http://schemas.microsoft.com/office/drawing/2014/main" id="{832B441A-E4EE-F03B-251A-7B67CED1B2CB}"/>
              </a:ext>
            </a:extLst>
          </xdr:cNvPr>
          <xdr:cNvCxnSpPr/>
        </xdr:nvCxnSpPr>
        <xdr:spPr>
          <a:xfrm>
            <a:off x="1295401" y="89558813"/>
            <a:ext cx="0" cy="3581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8" name="Straight Connector 2457">
            <a:extLst>
              <a:ext uri="{FF2B5EF4-FFF2-40B4-BE49-F238E27FC236}">
                <a16:creationId xmlns:a16="http://schemas.microsoft.com/office/drawing/2014/main" id="{19BCAE64-CD2C-7384-960E-92EBED96A215}"/>
              </a:ext>
            </a:extLst>
          </xdr:cNvPr>
          <xdr:cNvCxnSpPr/>
        </xdr:nvCxnSpPr>
        <xdr:spPr>
          <a:xfrm flipH="1">
            <a:off x="1209675" y="89630251"/>
            <a:ext cx="217646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9" name="Straight Connector 2458">
            <a:extLst>
              <a:ext uri="{FF2B5EF4-FFF2-40B4-BE49-F238E27FC236}">
                <a16:creationId xmlns:a16="http://schemas.microsoft.com/office/drawing/2014/main" id="{DC5BF8B2-29CE-AB1D-4186-B0488B680B7D}"/>
              </a:ext>
            </a:extLst>
          </xdr:cNvPr>
          <xdr:cNvCxnSpPr/>
        </xdr:nvCxnSpPr>
        <xdr:spPr>
          <a:xfrm flipH="1">
            <a:off x="1257299" y="89596912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0" name="Straight Connector 2459">
            <a:extLst>
              <a:ext uri="{FF2B5EF4-FFF2-40B4-BE49-F238E27FC236}">
                <a16:creationId xmlns:a16="http://schemas.microsoft.com/office/drawing/2014/main" id="{DC56E5BB-702F-C528-AF61-E30A7DA86C79}"/>
              </a:ext>
            </a:extLst>
          </xdr:cNvPr>
          <xdr:cNvCxnSpPr/>
        </xdr:nvCxnSpPr>
        <xdr:spPr>
          <a:xfrm flipH="1">
            <a:off x="1209678" y="90916127"/>
            <a:ext cx="5905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1" name="Straight Connector 2460">
            <a:extLst>
              <a:ext uri="{FF2B5EF4-FFF2-40B4-BE49-F238E27FC236}">
                <a16:creationId xmlns:a16="http://schemas.microsoft.com/office/drawing/2014/main" id="{4391B48F-4437-D1C5-EE12-66A50A66A381}"/>
              </a:ext>
            </a:extLst>
          </xdr:cNvPr>
          <xdr:cNvCxnSpPr/>
        </xdr:nvCxnSpPr>
        <xdr:spPr>
          <a:xfrm flipH="1">
            <a:off x="1257302" y="90882788"/>
            <a:ext cx="71439" cy="71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2" name="Straight Connector 2461">
            <a:extLst>
              <a:ext uri="{FF2B5EF4-FFF2-40B4-BE49-F238E27FC236}">
                <a16:creationId xmlns:a16="http://schemas.microsoft.com/office/drawing/2014/main" id="{402E52EB-F7C8-5771-DF3F-09A687CEB04D}"/>
              </a:ext>
            </a:extLst>
          </xdr:cNvPr>
          <xdr:cNvCxnSpPr/>
        </xdr:nvCxnSpPr>
        <xdr:spPr>
          <a:xfrm>
            <a:off x="1857375" y="93811725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3" name="Straight Connector 2462">
            <a:extLst>
              <a:ext uri="{FF2B5EF4-FFF2-40B4-BE49-F238E27FC236}">
                <a16:creationId xmlns:a16="http://schemas.microsoft.com/office/drawing/2014/main" id="{C34ABF75-E66B-66C4-F89A-EF09493B340E}"/>
              </a:ext>
            </a:extLst>
          </xdr:cNvPr>
          <xdr:cNvCxnSpPr/>
        </xdr:nvCxnSpPr>
        <xdr:spPr>
          <a:xfrm>
            <a:off x="3305175" y="91620976"/>
            <a:ext cx="866775" cy="0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4" name="Straight Connector 2463">
            <a:extLst>
              <a:ext uri="{FF2B5EF4-FFF2-40B4-BE49-F238E27FC236}">
                <a16:creationId xmlns:a16="http://schemas.microsoft.com/office/drawing/2014/main" id="{314D5F1F-BA52-FFF1-BAD2-059CD0C9E53E}"/>
              </a:ext>
            </a:extLst>
          </xdr:cNvPr>
          <xdr:cNvCxnSpPr/>
        </xdr:nvCxnSpPr>
        <xdr:spPr>
          <a:xfrm flipV="1">
            <a:off x="1619249" y="89558814"/>
            <a:ext cx="0" cy="14239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5" name="Straight Connector 2464">
            <a:extLst>
              <a:ext uri="{FF2B5EF4-FFF2-40B4-BE49-F238E27FC236}">
                <a16:creationId xmlns:a16="http://schemas.microsoft.com/office/drawing/2014/main" id="{23106DEF-21C2-15A3-9796-6E16BC751876}"/>
              </a:ext>
            </a:extLst>
          </xdr:cNvPr>
          <xdr:cNvCxnSpPr/>
        </xdr:nvCxnSpPr>
        <xdr:spPr>
          <a:xfrm flipH="1">
            <a:off x="1581151" y="895921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6" name="Straight Connector 2465">
            <a:extLst>
              <a:ext uri="{FF2B5EF4-FFF2-40B4-BE49-F238E27FC236}">
                <a16:creationId xmlns:a16="http://schemas.microsoft.com/office/drawing/2014/main" id="{293D56FE-052F-497A-31C0-F1DB67E12BB9}"/>
              </a:ext>
            </a:extLst>
          </xdr:cNvPr>
          <xdr:cNvCxnSpPr/>
        </xdr:nvCxnSpPr>
        <xdr:spPr>
          <a:xfrm>
            <a:off x="1547815" y="89996958"/>
            <a:ext cx="99059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7" name="Straight Connector 2466">
            <a:extLst>
              <a:ext uri="{FF2B5EF4-FFF2-40B4-BE49-F238E27FC236}">
                <a16:creationId xmlns:a16="http://schemas.microsoft.com/office/drawing/2014/main" id="{6A260FD7-4496-A7C5-F072-EA9847AED74F}"/>
              </a:ext>
            </a:extLst>
          </xdr:cNvPr>
          <xdr:cNvCxnSpPr/>
        </xdr:nvCxnSpPr>
        <xdr:spPr>
          <a:xfrm flipH="1">
            <a:off x="1581150" y="8995886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8" name="Straight Connector 2467">
            <a:extLst>
              <a:ext uri="{FF2B5EF4-FFF2-40B4-BE49-F238E27FC236}">
                <a16:creationId xmlns:a16="http://schemas.microsoft.com/office/drawing/2014/main" id="{D0243EDF-4EF5-58F4-A479-724A315A20E9}"/>
              </a:ext>
            </a:extLst>
          </xdr:cNvPr>
          <xdr:cNvCxnSpPr/>
        </xdr:nvCxnSpPr>
        <xdr:spPr>
          <a:xfrm>
            <a:off x="1038225" y="89625488"/>
            <a:ext cx="0" cy="3433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9" name="Straight Arrow Connector 2468">
            <a:extLst>
              <a:ext uri="{FF2B5EF4-FFF2-40B4-BE49-F238E27FC236}">
                <a16:creationId xmlns:a16="http://schemas.microsoft.com/office/drawing/2014/main" id="{4710D941-B99C-C6FC-9145-3ADC03EC567B}"/>
              </a:ext>
            </a:extLst>
          </xdr:cNvPr>
          <xdr:cNvCxnSpPr/>
        </xdr:nvCxnSpPr>
        <xdr:spPr>
          <a:xfrm>
            <a:off x="838200" y="8963025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0" name="Straight Arrow Connector 2469">
            <a:extLst>
              <a:ext uri="{FF2B5EF4-FFF2-40B4-BE49-F238E27FC236}">
                <a16:creationId xmlns:a16="http://schemas.microsoft.com/office/drawing/2014/main" id="{1BB4452E-34DA-D6B8-76B4-B7EC67B72CDB}"/>
              </a:ext>
            </a:extLst>
          </xdr:cNvPr>
          <xdr:cNvCxnSpPr/>
        </xdr:nvCxnSpPr>
        <xdr:spPr>
          <a:xfrm>
            <a:off x="838201" y="8977312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1" name="Straight Arrow Connector 2470">
            <a:extLst>
              <a:ext uri="{FF2B5EF4-FFF2-40B4-BE49-F238E27FC236}">
                <a16:creationId xmlns:a16="http://schemas.microsoft.com/office/drawing/2014/main" id="{4EDE45C7-651F-3C59-AF15-A8189446726D}"/>
              </a:ext>
            </a:extLst>
          </xdr:cNvPr>
          <xdr:cNvCxnSpPr/>
        </xdr:nvCxnSpPr>
        <xdr:spPr>
          <a:xfrm>
            <a:off x="833437" y="8991600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2" name="Straight Arrow Connector 2471">
            <a:extLst>
              <a:ext uri="{FF2B5EF4-FFF2-40B4-BE49-F238E27FC236}">
                <a16:creationId xmlns:a16="http://schemas.microsoft.com/office/drawing/2014/main" id="{189B236D-C2F3-87DA-48B0-72A459BACDAB}"/>
              </a:ext>
            </a:extLst>
          </xdr:cNvPr>
          <xdr:cNvCxnSpPr/>
        </xdr:nvCxnSpPr>
        <xdr:spPr>
          <a:xfrm>
            <a:off x="833438" y="90058875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3" name="Straight Arrow Connector 2472">
            <a:extLst>
              <a:ext uri="{FF2B5EF4-FFF2-40B4-BE49-F238E27FC236}">
                <a16:creationId xmlns:a16="http://schemas.microsoft.com/office/drawing/2014/main" id="{343EC924-99B7-56E0-B2BF-82CBC81BF9D9}"/>
              </a:ext>
            </a:extLst>
          </xdr:cNvPr>
          <xdr:cNvCxnSpPr/>
        </xdr:nvCxnSpPr>
        <xdr:spPr>
          <a:xfrm>
            <a:off x="838197" y="9020175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4" name="Straight Arrow Connector 2473">
            <a:extLst>
              <a:ext uri="{FF2B5EF4-FFF2-40B4-BE49-F238E27FC236}">
                <a16:creationId xmlns:a16="http://schemas.microsoft.com/office/drawing/2014/main" id="{98FB961D-8D7E-99AD-D7F7-42184EBADAD5}"/>
              </a:ext>
            </a:extLst>
          </xdr:cNvPr>
          <xdr:cNvCxnSpPr/>
        </xdr:nvCxnSpPr>
        <xdr:spPr>
          <a:xfrm>
            <a:off x="838198" y="9034463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5" name="Straight Arrow Connector 2474">
            <a:extLst>
              <a:ext uri="{FF2B5EF4-FFF2-40B4-BE49-F238E27FC236}">
                <a16:creationId xmlns:a16="http://schemas.microsoft.com/office/drawing/2014/main" id="{E6655488-5C85-74CD-1B80-8FFD7EFCBA49}"/>
              </a:ext>
            </a:extLst>
          </xdr:cNvPr>
          <xdr:cNvCxnSpPr/>
        </xdr:nvCxnSpPr>
        <xdr:spPr>
          <a:xfrm>
            <a:off x="833434" y="9048750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6" name="Straight Arrow Connector 2475">
            <a:extLst>
              <a:ext uri="{FF2B5EF4-FFF2-40B4-BE49-F238E27FC236}">
                <a16:creationId xmlns:a16="http://schemas.microsoft.com/office/drawing/2014/main" id="{0DE65055-B436-7FC3-44B3-1A0E57656948}"/>
              </a:ext>
            </a:extLst>
          </xdr:cNvPr>
          <xdr:cNvCxnSpPr/>
        </xdr:nvCxnSpPr>
        <xdr:spPr>
          <a:xfrm>
            <a:off x="833435" y="9063038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7" name="Straight Arrow Connector 2476">
            <a:extLst>
              <a:ext uri="{FF2B5EF4-FFF2-40B4-BE49-F238E27FC236}">
                <a16:creationId xmlns:a16="http://schemas.microsoft.com/office/drawing/2014/main" id="{1886C2F4-5A1E-BE5A-2CB2-5D2B75872B63}"/>
              </a:ext>
            </a:extLst>
          </xdr:cNvPr>
          <xdr:cNvCxnSpPr/>
        </xdr:nvCxnSpPr>
        <xdr:spPr>
          <a:xfrm>
            <a:off x="838200" y="90773250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8" name="Straight Arrow Connector 2477">
            <a:extLst>
              <a:ext uri="{FF2B5EF4-FFF2-40B4-BE49-F238E27FC236}">
                <a16:creationId xmlns:a16="http://schemas.microsoft.com/office/drawing/2014/main" id="{814EF5AD-A955-FF94-50EF-B6B330D4995B}"/>
              </a:ext>
            </a:extLst>
          </xdr:cNvPr>
          <xdr:cNvCxnSpPr/>
        </xdr:nvCxnSpPr>
        <xdr:spPr>
          <a:xfrm>
            <a:off x="733425" y="90916125"/>
            <a:ext cx="30480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9" name="Straight Arrow Connector 2478">
            <a:extLst>
              <a:ext uri="{FF2B5EF4-FFF2-40B4-BE49-F238E27FC236}">
                <a16:creationId xmlns:a16="http://schemas.microsoft.com/office/drawing/2014/main" id="{EEC09918-B173-2662-95F0-065A601D665D}"/>
              </a:ext>
            </a:extLst>
          </xdr:cNvPr>
          <xdr:cNvCxnSpPr/>
        </xdr:nvCxnSpPr>
        <xdr:spPr>
          <a:xfrm>
            <a:off x="738188" y="91059000"/>
            <a:ext cx="29527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0" name="Straight Arrow Connector 2479">
            <a:extLst>
              <a:ext uri="{FF2B5EF4-FFF2-40B4-BE49-F238E27FC236}">
                <a16:creationId xmlns:a16="http://schemas.microsoft.com/office/drawing/2014/main" id="{9B5CDF9E-8AF4-C523-4F85-4680C5ECF2D9}"/>
              </a:ext>
            </a:extLst>
          </xdr:cNvPr>
          <xdr:cNvCxnSpPr/>
        </xdr:nvCxnSpPr>
        <xdr:spPr>
          <a:xfrm>
            <a:off x="733425" y="91201875"/>
            <a:ext cx="30003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1" name="Straight Arrow Connector 2480">
            <a:extLst>
              <a:ext uri="{FF2B5EF4-FFF2-40B4-BE49-F238E27FC236}">
                <a16:creationId xmlns:a16="http://schemas.microsoft.com/office/drawing/2014/main" id="{92CA2302-52D3-A362-84CB-920AA4B676A5}"/>
              </a:ext>
            </a:extLst>
          </xdr:cNvPr>
          <xdr:cNvCxnSpPr/>
        </xdr:nvCxnSpPr>
        <xdr:spPr>
          <a:xfrm>
            <a:off x="742950" y="9134475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2" name="Straight Arrow Connector 2481">
            <a:extLst>
              <a:ext uri="{FF2B5EF4-FFF2-40B4-BE49-F238E27FC236}">
                <a16:creationId xmlns:a16="http://schemas.microsoft.com/office/drawing/2014/main" id="{603ACF60-9253-7C99-5423-70B76582AA16}"/>
              </a:ext>
            </a:extLst>
          </xdr:cNvPr>
          <xdr:cNvCxnSpPr/>
        </xdr:nvCxnSpPr>
        <xdr:spPr>
          <a:xfrm>
            <a:off x="738188" y="91487632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3" name="Straight Arrow Connector 2482">
            <a:extLst>
              <a:ext uri="{FF2B5EF4-FFF2-40B4-BE49-F238E27FC236}">
                <a16:creationId xmlns:a16="http://schemas.microsoft.com/office/drawing/2014/main" id="{6C16A082-B804-6E5E-8A53-59DD7B8412A7}"/>
              </a:ext>
            </a:extLst>
          </xdr:cNvPr>
          <xdr:cNvCxnSpPr/>
        </xdr:nvCxnSpPr>
        <xdr:spPr>
          <a:xfrm>
            <a:off x="738188" y="91630507"/>
            <a:ext cx="29527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4" name="Straight Arrow Connector 2483">
            <a:extLst>
              <a:ext uri="{FF2B5EF4-FFF2-40B4-BE49-F238E27FC236}">
                <a16:creationId xmlns:a16="http://schemas.microsoft.com/office/drawing/2014/main" id="{C1DEC871-D0D4-764B-7450-4C236979677E}"/>
              </a:ext>
            </a:extLst>
          </xdr:cNvPr>
          <xdr:cNvCxnSpPr/>
        </xdr:nvCxnSpPr>
        <xdr:spPr>
          <a:xfrm>
            <a:off x="738188" y="91773382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5" name="Straight Arrow Connector 2484">
            <a:extLst>
              <a:ext uri="{FF2B5EF4-FFF2-40B4-BE49-F238E27FC236}">
                <a16:creationId xmlns:a16="http://schemas.microsoft.com/office/drawing/2014/main" id="{2D2498FF-2364-EE79-A073-2ACE03D0F1D3}"/>
              </a:ext>
            </a:extLst>
          </xdr:cNvPr>
          <xdr:cNvCxnSpPr/>
        </xdr:nvCxnSpPr>
        <xdr:spPr>
          <a:xfrm>
            <a:off x="738188" y="91916250"/>
            <a:ext cx="29527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6" name="Straight Arrow Connector 2485">
            <a:extLst>
              <a:ext uri="{FF2B5EF4-FFF2-40B4-BE49-F238E27FC236}">
                <a16:creationId xmlns:a16="http://schemas.microsoft.com/office/drawing/2014/main" id="{0BCC916B-7624-FDFA-E4E8-FDF08763C46B}"/>
              </a:ext>
            </a:extLst>
          </xdr:cNvPr>
          <xdr:cNvCxnSpPr/>
        </xdr:nvCxnSpPr>
        <xdr:spPr>
          <a:xfrm>
            <a:off x="733425" y="92059125"/>
            <a:ext cx="30004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7" name="Straight Arrow Connector 2486">
            <a:extLst>
              <a:ext uri="{FF2B5EF4-FFF2-40B4-BE49-F238E27FC236}">
                <a16:creationId xmlns:a16="http://schemas.microsoft.com/office/drawing/2014/main" id="{CE30A01F-F5D3-B850-0F6D-7CA49594B668}"/>
              </a:ext>
            </a:extLst>
          </xdr:cNvPr>
          <xdr:cNvCxnSpPr/>
        </xdr:nvCxnSpPr>
        <xdr:spPr>
          <a:xfrm>
            <a:off x="742950" y="92202000"/>
            <a:ext cx="28575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8" name="Straight Arrow Connector 2487">
            <a:extLst>
              <a:ext uri="{FF2B5EF4-FFF2-40B4-BE49-F238E27FC236}">
                <a16:creationId xmlns:a16="http://schemas.microsoft.com/office/drawing/2014/main" id="{D6A91282-9DFC-3699-8560-0688B42EAB16}"/>
              </a:ext>
            </a:extLst>
          </xdr:cNvPr>
          <xdr:cNvCxnSpPr/>
        </xdr:nvCxnSpPr>
        <xdr:spPr>
          <a:xfrm>
            <a:off x="738188" y="92344875"/>
            <a:ext cx="29051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9" name="Straight Arrow Connector 2488">
            <a:extLst>
              <a:ext uri="{FF2B5EF4-FFF2-40B4-BE49-F238E27FC236}">
                <a16:creationId xmlns:a16="http://schemas.microsoft.com/office/drawing/2014/main" id="{30993BC6-4FF1-BFA7-28E8-0E66E08FF0DF}"/>
              </a:ext>
            </a:extLst>
          </xdr:cNvPr>
          <xdr:cNvCxnSpPr/>
        </xdr:nvCxnSpPr>
        <xdr:spPr>
          <a:xfrm>
            <a:off x="738188" y="92487757"/>
            <a:ext cx="2952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0" name="Straight Arrow Connector 2489">
            <a:extLst>
              <a:ext uri="{FF2B5EF4-FFF2-40B4-BE49-F238E27FC236}">
                <a16:creationId xmlns:a16="http://schemas.microsoft.com/office/drawing/2014/main" id="{36BFCB9F-F742-0570-E75C-6F5E5837301C}"/>
              </a:ext>
            </a:extLst>
          </xdr:cNvPr>
          <xdr:cNvCxnSpPr/>
        </xdr:nvCxnSpPr>
        <xdr:spPr>
          <a:xfrm>
            <a:off x="742950" y="92630632"/>
            <a:ext cx="2905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1" name="Straight Arrow Connector 2490">
            <a:extLst>
              <a:ext uri="{FF2B5EF4-FFF2-40B4-BE49-F238E27FC236}">
                <a16:creationId xmlns:a16="http://schemas.microsoft.com/office/drawing/2014/main" id="{7FCBB0BB-4F34-CE38-5048-ED7AD5036BA4}"/>
              </a:ext>
            </a:extLst>
          </xdr:cNvPr>
          <xdr:cNvCxnSpPr/>
        </xdr:nvCxnSpPr>
        <xdr:spPr>
          <a:xfrm>
            <a:off x="738188" y="92773507"/>
            <a:ext cx="29051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2" name="Straight Arrow Connector 2491">
            <a:extLst>
              <a:ext uri="{FF2B5EF4-FFF2-40B4-BE49-F238E27FC236}">
                <a16:creationId xmlns:a16="http://schemas.microsoft.com/office/drawing/2014/main" id="{A66B58A5-4284-C643-166F-34E7B69FEEA4}"/>
              </a:ext>
            </a:extLst>
          </xdr:cNvPr>
          <xdr:cNvCxnSpPr/>
        </xdr:nvCxnSpPr>
        <xdr:spPr>
          <a:xfrm>
            <a:off x="742950" y="92916382"/>
            <a:ext cx="28574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3" name="Straight Connector 2492">
            <a:extLst>
              <a:ext uri="{FF2B5EF4-FFF2-40B4-BE49-F238E27FC236}">
                <a16:creationId xmlns:a16="http://schemas.microsoft.com/office/drawing/2014/main" id="{87BCA444-8C8D-0300-7F73-7E9D3D85DF12}"/>
              </a:ext>
            </a:extLst>
          </xdr:cNvPr>
          <xdr:cNvCxnSpPr/>
        </xdr:nvCxnSpPr>
        <xdr:spPr>
          <a:xfrm>
            <a:off x="833437" y="89630252"/>
            <a:ext cx="0" cy="12906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4" name="Straight Arrow Connector 2493">
            <a:extLst>
              <a:ext uri="{FF2B5EF4-FFF2-40B4-BE49-F238E27FC236}">
                <a16:creationId xmlns:a16="http://schemas.microsoft.com/office/drawing/2014/main" id="{A94B89BF-3617-790B-C0DA-B92BAEC0706B}"/>
              </a:ext>
            </a:extLst>
          </xdr:cNvPr>
          <xdr:cNvCxnSpPr/>
        </xdr:nvCxnSpPr>
        <xdr:spPr>
          <a:xfrm>
            <a:off x="733425" y="93059258"/>
            <a:ext cx="30003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5" name="Straight Connector 2494">
            <a:extLst>
              <a:ext uri="{FF2B5EF4-FFF2-40B4-BE49-F238E27FC236}">
                <a16:creationId xmlns:a16="http://schemas.microsoft.com/office/drawing/2014/main" id="{8190D4F9-BF33-3DEB-2BA8-8B4755D43892}"/>
              </a:ext>
            </a:extLst>
          </xdr:cNvPr>
          <xdr:cNvCxnSpPr/>
        </xdr:nvCxnSpPr>
        <xdr:spPr>
          <a:xfrm flipH="1">
            <a:off x="1581149" y="908780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6" name="Straight Connector 2495">
            <a:extLst>
              <a:ext uri="{FF2B5EF4-FFF2-40B4-BE49-F238E27FC236}">
                <a16:creationId xmlns:a16="http://schemas.microsoft.com/office/drawing/2014/main" id="{75D2E2AA-5267-0F31-D3B9-9A3B7A42B5E5}"/>
              </a:ext>
            </a:extLst>
          </xdr:cNvPr>
          <xdr:cNvCxnSpPr/>
        </xdr:nvCxnSpPr>
        <xdr:spPr>
          <a:xfrm flipH="1" flipV="1">
            <a:off x="2590800" y="89995273"/>
            <a:ext cx="1133475" cy="1625702"/>
          </a:xfrm>
          <a:prstGeom prst="line">
            <a:avLst/>
          </a:prstGeom>
          <a:ln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7" name="Straight Connector 2496">
            <a:extLst>
              <a:ext uri="{FF2B5EF4-FFF2-40B4-BE49-F238E27FC236}">
                <a16:creationId xmlns:a16="http://schemas.microsoft.com/office/drawing/2014/main" id="{A4CF1892-37D3-3F63-AB15-2201400E12B0}"/>
              </a:ext>
            </a:extLst>
          </xdr:cNvPr>
          <xdr:cNvCxnSpPr/>
        </xdr:nvCxnSpPr>
        <xdr:spPr>
          <a:xfrm flipH="1" flipV="1">
            <a:off x="2571750" y="89961931"/>
            <a:ext cx="44345" cy="63602"/>
          </a:xfrm>
          <a:prstGeom prst="line">
            <a:avLst/>
          </a:prstGeom>
          <a:ln w="9525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8" name="Straight Arrow Connector 2497">
            <a:extLst>
              <a:ext uri="{FF2B5EF4-FFF2-40B4-BE49-F238E27FC236}">
                <a16:creationId xmlns:a16="http://schemas.microsoft.com/office/drawing/2014/main" id="{056DB6F0-5C6D-E080-AE65-A82FFA692927}"/>
              </a:ext>
            </a:extLst>
          </xdr:cNvPr>
          <xdr:cNvCxnSpPr/>
        </xdr:nvCxnSpPr>
        <xdr:spPr>
          <a:xfrm flipV="1">
            <a:off x="3724275" y="89701688"/>
            <a:ext cx="495300" cy="1924050"/>
          </a:xfrm>
          <a:prstGeom prst="straightConnector1">
            <a:avLst/>
          </a:prstGeom>
          <a:ln>
            <a:solidFill>
              <a:schemeClr val="bg1">
                <a:lumMod val="6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99" name="Arc 2498">
            <a:extLst>
              <a:ext uri="{FF2B5EF4-FFF2-40B4-BE49-F238E27FC236}">
                <a16:creationId xmlns:a16="http://schemas.microsoft.com/office/drawing/2014/main" id="{1438EF21-81B3-62EF-09AF-78EB9574DD6F}"/>
              </a:ext>
            </a:extLst>
          </xdr:cNvPr>
          <xdr:cNvSpPr/>
        </xdr:nvSpPr>
        <xdr:spPr>
          <a:xfrm rot="15003847">
            <a:off x="3548063" y="91473338"/>
            <a:ext cx="228600" cy="2286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00" name="Straight Connector 2499">
            <a:extLst>
              <a:ext uri="{FF2B5EF4-FFF2-40B4-BE49-F238E27FC236}">
                <a16:creationId xmlns:a16="http://schemas.microsoft.com/office/drawing/2014/main" id="{ECA50CD0-CB13-5044-BE64-35FA022A1414}"/>
              </a:ext>
            </a:extLst>
          </xdr:cNvPr>
          <xdr:cNvCxnSpPr/>
        </xdr:nvCxnSpPr>
        <xdr:spPr>
          <a:xfrm>
            <a:off x="1790701" y="94059374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1" name="Straight Connector 2500">
            <a:extLst>
              <a:ext uri="{FF2B5EF4-FFF2-40B4-BE49-F238E27FC236}">
                <a16:creationId xmlns:a16="http://schemas.microsoft.com/office/drawing/2014/main" id="{5A6BC844-1EA0-1BDF-CAC6-6AE5841E3F37}"/>
              </a:ext>
            </a:extLst>
          </xdr:cNvPr>
          <xdr:cNvCxnSpPr/>
        </xdr:nvCxnSpPr>
        <xdr:spPr>
          <a:xfrm flipH="1">
            <a:off x="1824038" y="94030801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2" name="Straight Connector 2501">
            <a:extLst>
              <a:ext uri="{FF2B5EF4-FFF2-40B4-BE49-F238E27FC236}">
                <a16:creationId xmlns:a16="http://schemas.microsoft.com/office/drawing/2014/main" id="{3C61A76F-1F08-CD4D-21E7-07348E7746D5}"/>
              </a:ext>
            </a:extLst>
          </xdr:cNvPr>
          <xdr:cNvCxnSpPr/>
        </xdr:nvCxnSpPr>
        <xdr:spPr>
          <a:xfrm>
            <a:off x="1785938" y="94345122"/>
            <a:ext cx="38623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3" name="Straight Connector 2502">
            <a:extLst>
              <a:ext uri="{FF2B5EF4-FFF2-40B4-BE49-F238E27FC236}">
                <a16:creationId xmlns:a16="http://schemas.microsoft.com/office/drawing/2014/main" id="{E8AFB44E-1E6B-94F1-9EBD-7A438FF821B2}"/>
              </a:ext>
            </a:extLst>
          </xdr:cNvPr>
          <xdr:cNvCxnSpPr/>
        </xdr:nvCxnSpPr>
        <xdr:spPr>
          <a:xfrm flipH="1">
            <a:off x="1819275" y="94316549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4" name="Straight Connector 2503">
            <a:extLst>
              <a:ext uri="{FF2B5EF4-FFF2-40B4-BE49-F238E27FC236}">
                <a16:creationId xmlns:a16="http://schemas.microsoft.com/office/drawing/2014/main" id="{2798481B-920D-2551-6A0C-E4403E329CB0}"/>
              </a:ext>
            </a:extLst>
          </xdr:cNvPr>
          <xdr:cNvCxnSpPr/>
        </xdr:nvCxnSpPr>
        <xdr:spPr>
          <a:xfrm>
            <a:off x="5576887" y="93806969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5" name="Straight Connector 2504">
            <a:extLst>
              <a:ext uri="{FF2B5EF4-FFF2-40B4-BE49-F238E27FC236}">
                <a16:creationId xmlns:a16="http://schemas.microsoft.com/office/drawing/2014/main" id="{0F43BAC9-5E08-98B7-B33C-E29C682390E0}"/>
              </a:ext>
            </a:extLst>
          </xdr:cNvPr>
          <xdr:cNvCxnSpPr/>
        </xdr:nvCxnSpPr>
        <xdr:spPr>
          <a:xfrm flipH="1">
            <a:off x="5543550" y="94026045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6" name="Straight Connector 2505">
            <a:extLst>
              <a:ext uri="{FF2B5EF4-FFF2-40B4-BE49-F238E27FC236}">
                <a16:creationId xmlns:a16="http://schemas.microsoft.com/office/drawing/2014/main" id="{56833A3E-2AAA-B4BD-0B69-CA01CA865A3A}"/>
              </a:ext>
            </a:extLst>
          </xdr:cNvPr>
          <xdr:cNvCxnSpPr/>
        </xdr:nvCxnSpPr>
        <xdr:spPr>
          <a:xfrm flipH="1">
            <a:off x="5543550" y="94311793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7" name="Straight Connector 2506">
            <a:extLst>
              <a:ext uri="{FF2B5EF4-FFF2-40B4-BE49-F238E27FC236}">
                <a16:creationId xmlns:a16="http://schemas.microsoft.com/office/drawing/2014/main" id="{629A048E-4633-13DB-DF19-F109FFDE2A5B}"/>
              </a:ext>
            </a:extLst>
          </xdr:cNvPr>
          <xdr:cNvCxnSpPr/>
        </xdr:nvCxnSpPr>
        <xdr:spPr>
          <a:xfrm>
            <a:off x="2590805" y="91020900"/>
            <a:ext cx="0" cy="3100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8" name="Straight Connector 2507">
            <a:extLst>
              <a:ext uri="{FF2B5EF4-FFF2-40B4-BE49-F238E27FC236}">
                <a16:creationId xmlns:a16="http://schemas.microsoft.com/office/drawing/2014/main" id="{1899B505-3D87-0C20-DEC7-9EA081B09860}"/>
              </a:ext>
            </a:extLst>
          </xdr:cNvPr>
          <xdr:cNvCxnSpPr/>
        </xdr:nvCxnSpPr>
        <xdr:spPr>
          <a:xfrm flipH="1">
            <a:off x="2552705" y="9403079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9" name="Straight Connector 2508">
            <a:extLst>
              <a:ext uri="{FF2B5EF4-FFF2-40B4-BE49-F238E27FC236}">
                <a16:creationId xmlns:a16="http://schemas.microsoft.com/office/drawing/2014/main" id="{06CF39F3-9047-C803-9E0D-78C2C691CC4C}"/>
              </a:ext>
            </a:extLst>
          </xdr:cNvPr>
          <xdr:cNvCxnSpPr/>
        </xdr:nvCxnSpPr>
        <xdr:spPr>
          <a:xfrm>
            <a:off x="3724275" y="91759088"/>
            <a:ext cx="0" cy="23574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0" name="Straight Connector 2509">
            <a:extLst>
              <a:ext uri="{FF2B5EF4-FFF2-40B4-BE49-F238E27FC236}">
                <a16:creationId xmlns:a16="http://schemas.microsoft.com/office/drawing/2014/main" id="{8C69C07D-D431-6797-685B-5CA04FFBA5A1}"/>
              </a:ext>
            </a:extLst>
          </xdr:cNvPr>
          <xdr:cNvCxnSpPr/>
        </xdr:nvCxnSpPr>
        <xdr:spPr>
          <a:xfrm flipH="1">
            <a:off x="3686175" y="94026038"/>
            <a:ext cx="66673" cy="6667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1" name="Straight Connector 2510">
            <a:extLst>
              <a:ext uri="{FF2B5EF4-FFF2-40B4-BE49-F238E27FC236}">
                <a16:creationId xmlns:a16="http://schemas.microsoft.com/office/drawing/2014/main" id="{47D8FF4D-860B-18F5-99E0-5A3F411A68A7}"/>
              </a:ext>
            </a:extLst>
          </xdr:cNvPr>
          <xdr:cNvCxnSpPr/>
        </xdr:nvCxnSpPr>
        <xdr:spPr>
          <a:xfrm>
            <a:off x="738187" y="90916126"/>
            <a:ext cx="0" cy="21431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2" name="Straight Arrow Connector 2511">
            <a:extLst>
              <a:ext uri="{FF2B5EF4-FFF2-40B4-BE49-F238E27FC236}">
                <a16:creationId xmlns:a16="http://schemas.microsoft.com/office/drawing/2014/main" id="{5FD9772E-C2F5-E97B-D71E-2F460CA33114}"/>
              </a:ext>
            </a:extLst>
          </xdr:cNvPr>
          <xdr:cNvCxnSpPr/>
        </xdr:nvCxnSpPr>
        <xdr:spPr>
          <a:xfrm flipV="1">
            <a:off x="1876425" y="90220800"/>
            <a:ext cx="0" cy="6858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3" name="Straight Arrow Connector 2512">
            <a:extLst>
              <a:ext uri="{FF2B5EF4-FFF2-40B4-BE49-F238E27FC236}">
                <a16:creationId xmlns:a16="http://schemas.microsoft.com/office/drawing/2014/main" id="{1577B106-3B15-EEA4-4973-FECF7E062AD6}"/>
              </a:ext>
            </a:extLst>
          </xdr:cNvPr>
          <xdr:cNvCxnSpPr/>
        </xdr:nvCxnSpPr>
        <xdr:spPr>
          <a:xfrm>
            <a:off x="1876425" y="90916125"/>
            <a:ext cx="4572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14" name="Oval 2513">
            <a:extLst>
              <a:ext uri="{FF2B5EF4-FFF2-40B4-BE49-F238E27FC236}">
                <a16:creationId xmlns:a16="http://schemas.microsoft.com/office/drawing/2014/main" id="{0FF5A677-D893-49DE-81CB-2BA95522FFE4}"/>
              </a:ext>
            </a:extLst>
          </xdr:cNvPr>
          <xdr:cNvSpPr/>
        </xdr:nvSpPr>
        <xdr:spPr>
          <a:xfrm>
            <a:off x="5472114" y="9087326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15" name="Oval 2514">
            <a:extLst>
              <a:ext uri="{FF2B5EF4-FFF2-40B4-BE49-F238E27FC236}">
                <a16:creationId xmlns:a16="http://schemas.microsoft.com/office/drawing/2014/main" id="{458EDEE6-D295-4E6C-AC9C-B9F5F524352B}"/>
              </a:ext>
            </a:extLst>
          </xdr:cNvPr>
          <xdr:cNvSpPr/>
        </xdr:nvSpPr>
        <xdr:spPr>
          <a:xfrm>
            <a:off x="1881188" y="90873264"/>
            <a:ext cx="85726" cy="85726"/>
          </a:xfrm>
          <a:prstGeom prst="ellipse">
            <a:avLst/>
          </a:prstGeom>
          <a:solidFill>
            <a:schemeClr val="bg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30" name="Straight Connector 1529">
            <a:extLst>
              <a:ext uri="{FF2B5EF4-FFF2-40B4-BE49-F238E27FC236}">
                <a16:creationId xmlns:a16="http://schemas.microsoft.com/office/drawing/2014/main" id="{D424B848-FC55-D9C4-7DFB-EBA5DADC91E4}"/>
              </a:ext>
            </a:extLst>
          </xdr:cNvPr>
          <xdr:cNvCxnSpPr/>
        </xdr:nvCxnSpPr>
        <xdr:spPr>
          <a:xfrm>
            <a:off x="2590800" y="90116025"/>
            <a:ext cx="0" cy="695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E59B-E246-4BDE-B8F6-40CA0FD068A7}">
  <dimension ref="B1:CB1149"/>
  <sheetViews>
    <sheetView showGridLines="0" tabSelected="1" zoomScaleNormal="100" workbookViewId="0">
      <selection activeCell="BA5" sqref="BA5"/>
    </sheetView>
  </sheetViews>
  <sheetFormatPr defaultRowHeight="11.25"/>
  <cols>
    <col min="1" max="1200" width="2.83203125" style="1" customWidth="1"/>
    <col min="1201" max="16384" width="9.33203125" style="1"/>
  </cols>
  <sheetData>
    <row r="1" spans="2:62" ht="12" thickBot="1"/>
    <row r="2" spans="2:62" ht="48" customHeight="1">
      <c r="B2" s="77" t="s">
        <v>56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/>
    </row>
    <row r="3" spans="2:62" ht="11.25" customHeight="1">
      <c r="B3" s="2"/>
      <c r="AF3" s="13" t="s">
        <v>57</v>
      </c>
      <c r="BJ3" s="3"/>
    </row>
    <row r="4" spans="2:62" ht="11.25" customHeight="1">
      <c r="B4" s="2"/>
      <c r="E4" s="12" t="s">
        <v>99</v>
      </c>
      <c r="AB4" s="34">
        <v>15</v>
      </c>
      <c r="AC4" s="34"/>
      <c r="AD4" s="1" t="s">
        <v>3</v>
      </c>
      <c r="AF4" s="13"/>
      <c r="BJ4" s="3"/>
    </row>
    <row r="5" spans="2:62" ht="11.25" customHeight="1">
      <c r="B5" s="2"/>
      <c r="Q5" s="34">
        <v>20</v>
      </c>
      <c r="R5" s="34"/>
      <c r="S5" s="1" t="s">
        <v>3</v>
      </c>
      <c r="AF5" s="13"/>
      <c r="BJ5" s="3"/>
    </row>
    <row r="6" spans="2:62" ht="11.25" customHeight="1">
      <c r="B6" s="2"/>
      <c r="AF6" s="18"/>
      <c r="BJ6" s="3"/>
    </row>
    <row r="7" spans="2:62" ht="11.25" customHeight="1">
      <c r="B7" s="2"/>
      <c r="AF7" s="18"/>
      <c r="BJ7" s="3"/>
    </row>
    <row r="8" spans="2:62" ht="11.25" customHeight="1">
      <c r="B8" s="2"/>
      <c r="W8" s="1" t="s">
        <v>18</v>
      </c>
      <c r="AF8" s="18"/>
      <c r="AK8" s="5" t="s">
        <v>1</v>
      </c>
      <c r="BJ8" s="3"/>
    </row>
    <row r="9" spans="2:62" ht="11.25" customHeight="1">
      <c r="B9" s="2"/>
      <c r="J9" s="37">
        <f>Y13-SQRT(Y13^2-S39^2)</f>
        <v>1.3340136167756995</v>
      </c>
      <c r="AF9" s="18"/>
      <c r="AK9" s="37">
        <f>Y13-SQRT(Y13^2-Z39^2)</f>
        <v>1.3340136167756995</v>
      </c>
      <c r="BJ9" s="3"/>
    </row>
    <row r="10" spans="2:62" ht="11.25" customHeight="1">
      <c r="B10" s="2"/>
      <c r="E10" s="37" t="s">
        <v>3</v>
      </c>
      <c r="J10" s="37"/>
      <c r="P10" s="1" t="s">
        <v>17</v>
      </c>
      <c r="AE10" s="1" t="s">
        <v>30</v>
      </c>
      <c r="AF10" s="18"/>
      <c r="AK10" s="37"/>
      <c r="BJ10" s="3"/>
    </row>
    <row r="11" spans="2:62" ht="11.25" customHeight="1">
      <c r="B11" s="2"/>
      <c r="E11" s="37"/>
      <c r="H11" s="5" t="s">
        <v>1</v>
      </c>
      <c r="J11" s="37"/>
      <c r="AF11" s="18"/>
      <c r="AK11" s="37"/>
      <c r="BJ11" s="3"/>
    </row>
    <row r="12" spans="2:62" ht="11.25" customHeight="1">
      <c r="B12" s="2"/>
      <c r="E12" s="37"/>
      <c r="H12" s="38">
        <v>6</v>
      </c>
      <c r="AF12" s="18"/>
      <c r="BJ12" s="3"/>
    </row>
    <row r="13" spans="2:62" ht="11.25" customHeight="1">
      <c r="B13" s="2"/>
      <c r="E13" s="38">
        <v>8</v>
      </c>
      <c r="H13" s="38"/>
      <c r="J13" s="5" t="s">
        <v>1</v>
      </c>
      <c r="X13" s="1" t="s">
        <v>2</v>
      </c>
      <c r="Y13" s="24">
        <f>(W41^2+4*H12^2)/(8*H12)</f>
        <v>21.75</v>
      </c>
      <c r="Z13" s="24"/>
      <c r="AA13" s="1" t="s">
        <v>1</v>
      </c>
      <c r="AF13" s="18"/>
      <c r="AK13" s="5" t="s">
        <v>1</v>
      </c>
      <c r="BJ13" s="3"/>
    </row>
    <row r="14" spans="2:62" ht="11.25" customHeight="1">
      <c r="B14" s="2"/>
      <c r="E14" s="38"/>
      <c r="H14" s="38"/>
      <c r="J14" s="37">
        <f>+H12-J9</f>
        <v>4.6659863832243005</v>
      </c>
      <c r="AF14" s="18"/>
      <c r="AK14" s="37">
        <f>+H12-AK9</f>
        <v>4.6659863832243005</v>
      </c>
      <c r="BJ14" s="3"/>
    </row>
    <row r="15" spans="2:62" ht="11.25" customHeight="1">
      <c r="B15" s="2"/>
      <c r="E15" s="38"/>
      <c r="J15" s="37"/>
      <c r="AF15" s="18"/>
      <c r="AK15" s="37"/>
      <c r="BJ15" s="3"/>
    </row>
    <row r="16" spans="2:62" ht="11.25" customHeight="1">
      <c r="B16" s="2"/>
      <c r="J16" s="37"/>
      <c r="AF16" s="18"/>
      <c r="AK16" s="37"/>
      <c r="BJ16" s="3"/>
    </row>
    <row r="17" spans="2:62" ht="11.25" customHeight="1">
      <c r="B17" s="2"/>
      <c r="M17" s="1" t="s">
        <v>84</v>
      </c>
      <c r="V17" s="1" t="s">
        <v>76</v>
      </c>
      <c r="AF17" s="18"/>
      <c r="AH17" s="1" t="s">
        <v>33</v>
      </c>
      <c r="BJ17" s="3"/>
    </row>
    <row r="18" spans="2:62" ht="11.25" customHeight="1">
      <c r="B18" s="2"/>
      <c r="AF18" s="18"/>
      <c r="BJ18" s="3"/>
    </row>
    <row r="19" spans="2:62" ht="11.25" customHeight="1">
      <c r="B19" s="2"/>
      <c r="AF19" s="18"/>
      <c r="BJ19" s="3"/>
    </row>
    <row r="20" spans="2:62" ht="11.25" customHeight="1">
      <c r="B20" s="2"/>
      <c r="AF20" s="18"/>
      <c r="BJ20" s="3"/>
    </row>
    <row r="21" spans="2:62" ht="11.25" customHeight="1">
      <c r="B21" s="2"/>
      <c r="AF21" s="18"/>
      <c r="BJ21" s="3"/>
    </row>
    <row r="22" spans="2:62" ht="11.25" customHeight="1">
      <c r="B22" s="2"/>
      <c r="U22" s="24">
        <f>ACOS(S39/Y13)*180/PI()</f>
        <v>69.828728653535023</v>
      </c>
      <c r="V22" s="24"/>
      <c r="W22" s="8" t="s">
        <v>8</v>
      </c>
      <c r="Y22" s="24">
        <f>ACOS(Z39/Y13)*180/PI()</f>
        <v>69.828728653535023</v>
      </c>
      <c r="Z22" s="24"/>
      <c r="AA22" s="8" t="s">
        <v>8</v>
      </c>
      <c r="AF22" s="18"/>
      <c r="BJ22" s="3"/>
    </row>
    <row r="23" spans="2:62" ht="11.25" customHeight="1">
      <c r="B23" s="2"/>
      <c r="D23" s="37" t="s">
        <v>3</v>
      </c>
      <c r="H23" s="5" t="s">
        <v>1</v>
      </c>
      <c r="AF23" s="18"/>
      <c r="BJ23" s="3"/>
    </row>
    <row r="24" spans="2:62" ht="11.25" customHeight="1">
      <c r="B24" s="2"/>
      <c r="D24" s="37"/>
      <c r="H24" s="38">
        <v>4.5</v>
      </c>
      <c r="AF24" s="18"/>
      <c r="BJ24" s="3"/>
    </row>
    <row r="25" spans="2:62" ht="11.25" customHeight="1">
      <c r="B25" s="2"/>
      <c r="D25" s="37"/>
      <c r="H25" s="38"/>
      <c r="AF25" s="18"/>
      <c r="BJ25" s="3"/>
    </row>
    <row r="26" spans="2:62" ht="11.25" customHeight="1">
      <c r="B26" s="2"/>
      <c r="D26" s="38">
        <v>10</v>
      </c>
      <c r="H26" s="38"/>
      <c r="AF26" s="18"/>
      <c r="BJ26" s="3"/>
    </row>
    <row r="27" spans="2:62" ht="11.25" customHeight="1">
      <c r="B27" s="2"/>
      <c r="D27" s="38"/>
      <c r="AF27" s="18"/>
      <c r="BJ27" s="3"/>
    </row>
    <row r="28" spans="2:62" ht="11.25" customHeight="1">
      <c r="B28" s="2"/>
      <c r="D28" s="38"/>
      <c r="AF28" s="18"/>
      <c r="BJ28" s="3"/>
    </row>
    <row r="29" spans="2:62" ht="11.25" customHeight="1">
      <c r="B29" s="2"/>
      <c r="AF29" s="18"/>
      <c r="BJ29" s="3"/>
    </row>
    <row r="30" spans="2:62" ht="11.25" customHeight="1">
      <c r="B30" s="2"/>
      <c r="AF30" s="18"/>
      <c r="BJ30" s="3"/>
    </row>
    <row r="31" spans="2:62" ht="11.25" customHeight="1">
      <c r="B31" s="2"/>
      <c r="AF31" s="18"/>
      <c r="BJ31" s="3"/>
    </row>
    <row r="32" spans="2:62" ht="11.25" customHeight="1">
      <c r="B32" s="2"/>
      <c r="G32" s="1" t="s">
        <v>5</v>
      </c>
      <c r="I32" s="24">
        <f>+W46</f>
        <v>93</v>
      </c>
      <c r="J32" s="24"/>
      <c r="K32" s="1" t="s">
        <v>0</v>
      </c>
      <c r="AF32" s="18"/>
      <c r="BJ32" s="3"/>
    </row>
    <row r="33" spans="2:62" ht="11.25" customHeight="1">
      <c r="B33" s="2"/>
      <c r="AF33" s="18"/>
      <c r="BJ33" s="3"/>
    </row>
    <row r="34" spans="2:62" ht="11.25" customHeight="1">
      <c r="B34" s="2"/>
      <c r="AF34" s="18"/>
      <c r="BJ34" s="3"/>
    </row>
    <row r="35" spans="2:62" ht="11.25" customHeight="1">
      <c r="B35" s="2"/>
      <c r="AF35" s="18"/>
      <c r="BJ35" s="3"/>
    </row>
    <row r="36" spans="2:62" ht="11.25" customHeight="1">
      <c r="B36" s="2"/>
      <c r="AF36" s="18"/>
      <c r="BJ36" s="3"/>
    </row>
    <row r="37" spans="2:62" ht="11.25" customHeight="1">
      <c r="B37" s="2"/>
      <c r="I37" s="1" t="s">
        <v>4</v>
      </c>
      <c r="K37" s="24">
        <f>+AX44</f>
        <v>265.875</v>
      </c>
      <c r="L37" s="24"/>
      <c r="M37" s="1" t="s">
        <v>0</v>
      </c>
      <c r="AF37" s="1" t="s">
        <v>7</v>
      </c>
      <c r="AH37" s="24">
        <f>+Z45</f>
        <v>259.125</v>
      </c>
      <c r="AI37" s="24"/>
      <c r="AJ37" s="1" t="s">
        <v>0</v>
      </c>
      <c r="BJ37" s="3"/>
    </row>
    <row r="38" spans="2:62" ht="11.25" customHeight="1">
      <c r="B38" s="2"/>
      <c r="AF38" s="18"/>
      <c r="BJ38" s="3"/>
    </row>
    <row r="39" spans="2:62" ht="11.25" customHeight="1">
      <c r="B39" s="2"/>
      <c r="M39" s="34">
        <v>7.5</v>
      </c>
      <c r="N39" s="34"/>
      <c r="O39" s="1" t="s">
        <v>1</v>
      </c>
      <c r="S39" s="24">
        <f>+W41/2-M39</f>
        <v>7.5</v>
      </c>
      <c r="T39" s="24"/>
      <c r="U39" s="1" t="s">
        <v>1</v>
      </c>
      <c r="Z39" s="24">
        <f>+W41/2-AF39</f>
        <v>7.5</v>
      </c>
      <c r="AA39" s="24"/>
      <c r="AB39" s="1" t="s">
        <v>1</v>
      </c>
      <c r="AF39" s="74">
        <v>7.5</v>
      </c>
      <c r="AG39" s="74"/>
      <c r="AH39" s="1" t="s">
        <v>1</v>
      </c>
      <c r="BJ39" s="3"/>
    </row>
    <row r="40" spans="2:62" ht="11.25" customHeight="1">
      <c r="B40" s="2"/>
      <c r="AF40" s="18"/>
      <c r="BJ40" s="3"/>
    </row>
    <row r="41" spans="2:62" ht="11.25" customHeight="1">
      <c r="B41" s="2"/>
      <c r="W41" s="34">
        <v>30</v>
      </c>
      <c r="X41" s="34"/>
      <c r="Y41" s="1" t="s">
        <v>1</v>
      </c>
      <c r="AF41" s="18"/>
      <c r="BJ41" s="3"/>
    </row>
    <row r="42" spans="2:62" ht="11.25" customHeight="1">
      <c r="B42" s="2"/>
      <c r="AF42" s="18"/>
      <c r="BJ42" s="3"/>
    </row>
    <row r="43" spans="2:62" ht="11.25" customHeight="1">
      <c r="B43" s="2"/>
      <c r="C43" s="4" t="s">
        <v>28</v>
      </c>
      <c r="BJ43" s="3"/>
    </row>
    <row r="44" spans="2:62" ht="11.25" customHeight="1">
      <c r="B44" s="2"/>
      <c r="C44" s="1" t="s">
        <v>11</v>
      </c>
      <c r="E44" s="24">
        <f>+W41</f>
        <v>30</v>
      </c>
      <c r="F44" s="24"/>
      <c r="G44" s="7" t="s">
        <v>9</v>
      </c>
      <c r="H44" s="24">
        <f>+Q5</f>
        <v>20</v>
      </c>
      <c r="I44" s="24"/>
      <c r="J44" s="7" t="s">
        <v>10</v>
      </c>
      <c r="K44" s="24">
        <f>+W41/2</f>
        <v>15</v>
      </c>
      <c r="L44" s="24"/>
      <c r="M44" s="7" t="s">
        <v>10</v>
      </c>
      <c r="N44" s="24">
        <f>+W41/2+W41/2/2</f>
        <v>22.5</v>
      </c>
      <c r="O44" s="24"/>
      <c r="P44" s="7" t="s">
        <v>9</v>
      </c>
      <c r="Q44" s="24">
        <f>+AB4</f>
        <v>15</v>
      </c>
      <c r="R44" s="24"/>
      <c r="S44" s="7" t="s">
        <v>10</v>
      </c>
      <c r="T44" s="24">
        <f>+W41/2</f>
        <v>15</v>
      </c>
      <c r="U44" s="24"/>
      <c r="V44" s="7" t="s">
        <v>10</v>
      </c>
      <c r="W44" s="24">
        <f>+T44/2</f>
        <v>7.5</v>
      </c>
      <c r="X44" s="24"/>
      <c r="Y44" s="7" t="s">
        <v>15</v>
      </c>
      <c r="Z44" s="24">
        <f>+E13</f>
        <v>8</v>
      </c>
      <c r="AA44" s="24"/>
      <c r="AB44" s="7" t="s">
        <v>10</v>
      </c>
      <c r="AC44" s="24">
        <f>+H12</f>
        <v>6</v>
      </c>
      <c r="AD44" s="24"/>
      <c r="AE44" s="7" t="s">
        <v>10</v>
      </c>
      <c r="AF44" s="24">
        <f>+H24+H12/2</f>
        <v>7.5</v>
      </c>
      <c r="AG44" s="24"/>
      <c r="AH44" s="7" t="s">
        <v>15</v>
      </c>
      <c r="AI44" s="24">
        <f>+D26</f>
        <v>10</v>
      </c>
      <c r="AJ44" s="24"/>
      <c r="AK44" s="7" t="s">
        <v>10</v>
      </c>
      <c r="AL44" s="24">
        <f>+H24</f>
        <v>4.5</v>
      </c>
      <c r="AM44" s="24"/>
      <c r="AN44" s="7" t="s">
        <v>10</v>
      </c>
      <c r="AO44" s="24">
        <f>+AL44/2</f>
        <v>2.25</v>
      </c>
      <c r="AP44" s="24"/>
      <c r="AQ44" s="7" t="s">
        <v>12</v>
      </c>
      <c r="AR44" s="1">
        <v>0</v>
      </c>
      <c r="AV44" s="1" t="s">
        <v>4</v>
      </c>
      <c r="AX44" s="24">
        <f>(H44*K44*N44+Q44*T44*W44-Z44*AC44*AF44-AI44*AL44*AO44)/E44</f>
        <v>265.875</v>
      </c>
      <c r="AY44" s="24"/>
      <c r="AZ44" s="1" t="s">
        <v>0</v>
      </c>
      <c r="BJ44" s="3"/>
    </row>
    <row r="45" spans="2:62" ht="11.25" customHeight="1">
      <c r="B45" s="2"/>
      <c r="C45" s="1" t="s">
        <v>13</v>
      </c>
      <c r="E45" s="24">
        <f>+AX44</f>
        <v>265.875</v>
      </c>
      <c r="F45" s="24"/>
      <c r="G45" s="7" t="s">
        <v>9</v>
      </c>
      <c r="H45" s="24">
        <f>+Q5</f>
        <v>20</v>
      </c>
      <c r="I45" s="24"/>
      <c r="J45" s="7" t="s">
        <v>10</v>
      </c>
      <c r="K45" s="24">
        <f>+W41/2</f>
        <v>15</v>
      </c>
      <c r="L45" s="24"/>
      <c r="M45" s="7" t="s">
        <v>9</v>
      </c>
      <c r="N45" s="24">
        <f>+AB4</f>
        <v>15</v>
      </c>
      <c r="O45" s="24"/>
      <c r="P45" s="7" t="s">
        <v>10</v>
      </c>
      <c r="Q45" s="24">
        <f>+W41/2</f>
        <v>15</v>
      </c>
      <c r="R45" s="24"/>
      <c r="S45" s="7" t="s">
        <v>12</v>
      </c>
      <c r="T45" s="1">
        <v>0</v>
      </c>
      <c r="X45" s="1" t="s">
        <v>7</v>
      </c>
      <c r="Z45" s="24">
        <f>-E45+H45*K45+N45*Q45</f>
        <v>259.125</v>
      </c>
      <c r="AA45" s="24"/>
      <c r="AB45" s="1" t="s">
        <v>0</v>
      </c>
      <c r="BJ45" s="3"/>
    </row>
    <row r="46" spans="2:62" ht="11.25" customHeight="1">
      <c r="B46" s="2"/>
      <c r="C46" s="1" t="s">
        <v>94</v>
      </c>
      <c r="E46" s="24">
        <f>+D26</f>
        <v>10</v>
      </c>
      <c r="F46" s="24"/>
      <c r="G46" s="7" t="s">
        <v>10</v>
      </c>
      <c r="H46" s="24">
        <f>+H24</f>
        <v>4.5</v>
      </c>
      <c r="I46" s="24"/>
      <c r="J46" s="7" t="s">
        <v>9</v>
      </c>
      <c r="K46" s="24">
        <f>+E13</f>
        <v>8</v>
      </c>
      <c r="L46" s="24"/>
      <c r="M46" s="7" t="s">
        <v>10</v>
      </c>
      <c r="N46" s="24">
        <f>+H12</f>
        <v>6</v>
      </c>
      <c r="O46" s="24"/>
      <c r="P46" s="7" t="s">
        <v>12</v>
      </c>
      <c r="Q46" s="1">
        <v>0</v>
      </c>
      <c r="U46" s="1" t="s">
        <v>5</v>
      </c>
      <c r="W46" s="24">
        <f>+E46*H46+K46*N46</f>
        <v>93</v>
      </c>
      <c r="X46" s="24"/>
      <c r="Y46" s="1" t="s">
        <v>0</v>
      </c>
      <c r="AX46" s="1" t="s">
        <v>95</v>
      </c>
      <c r="BJ46" s="3"/>
    </row>
    <row r="47" spans="2:62" ht="11.25" customHeight="1">
      <c r="B47" s="2"/>
      <c r="C47" s="24">
        <f>+I32</f>
        <v>93</v>
      </c>
      <c r="D47" s="24"/>
      <c r="E47" s="7" t="s">
        <v>10</v>
      </c>
      <c r="F47" s="24">
        <f>+H24+H12</f>
        <v>10.5</v>
      </c>
      <c r="G47" s="24"/>
      <c r="H47" s="7" t="s">
        <v>15</v>
      </c>
      <c r="I47" s="24">
        <f>+K37</f>
        <v>265.875</v>
      </c>
      <c r="J47" s="24"/>
      <c r="K47" s="7" t="s">
        <v>10</v>
      </c>
      <c r="L47" s="24">
        <f>+W41/2</f>
        <v>15</v>
      </c>
      <c r="M47" s="24"/>
      <c r="N47" s="7" t="s">
        <v>9</v>
      </c>
      <c r="O47" s="24">
        <f>+Q5</f>
        <v>20</v>
      </c>
      <c r="P47" s="24"/>
      <c r="Q47" s="7" t="s">
        <v>10</v>
      </c>
      <c r="R47" s="24">
        <f>+W41/2</f>
        <v>15</v>
      </c>
      <c r="S47" s="24"/>
      <c r="T47" s="7" t="s">
        <v>10</v>
      </c>
      <c r="U47" s="24">
        <f>+R47/2</f>
        <v>7.5</v>
      </c>
      <c r="V47" s="24"/>
      <c r="W47" s="7" t="s">
        <v>9</v>
      </c>
      <c r="X47" s="24">
        <f>+E13</f>
        <v>8</v>
      </c>
      <c r="Y47" s="24"/>
      <c r="Z47" s="7" t="s">
        <v>10</v>
      </c>
      <c r="AA47" s="24">
        <f>+H12</f>
        <v>6</v>
      </c>
      <c r="AB47" s="24"/>
      <c r="AC47" s="7" t="s">
        <v>10</v>
      </c>
      <c r="AD47" s="24">
        <f>+AA47/2</f>
        <v>3</v>
      </c>
      <c r="AE47" s="24"/>
      <c r="AF47" s="7" t="s">
        <v>9</v>
      </c>
      <c r="AG47" s="24">
        <f>+D26</f>
        <v>10</v>
      </c>
      <c r="AH47" s="24"/>
      <c r="AI47" s="7" t="s">
        <v>10</v>
      </c>
      <c r="AJ47" s="24">
        <f>+H24</f>
        <v>4.5</v>
      </c>
      <c r="AK47" s="24"/>
      <c r="AL47" s="7" t="s">
        <v>10</v>
      </c>
      <c r="AM47" s="24">
        <f>+H24/2+H12</f>
        <v>8.25</v>
      </c>
      <c r="AN47" s="24"/>
      <c r="AO47" s="7" t="s">
        <v>9</v>
      </c>
      <c r="AP47" s="7" t="s">
        <v>73</v>
      </c>
      <c r="AQ47" s="7" t="s">
        <v>10</v>
      </c>
      <c r="AR47" s="24">
        <f>+H12</f>
        <v>6</v>
      </c>
      <c r="AS47" s="24"/>
      <c r="AT47" s="7" t="s">
        <v>12</v>
      </c>
      <c r="AU47" s="1">
        <v>0</v>
      </c>
      <c r="AY47" s="1" t="s">
        <v>74</v>
      </c>
      <c r="BA47" s="24">
        <f>(C47*F47+I47*L47-O47*R47*U47-X47*AA47*AD47-AG47*AJ47*AM47)/AR47</f>
        <v>366.5625</v>
      </c>
      <c r="BB47" s="24"/>
      <c r="BC47" s="1" t="s">
        <v>0</v>
      </c>
      <c r="BJ47" s="3"/>
    </row>
    <row r="48" spans="2:62" ht="11.25" customHeight="1">
      <c r="B48" s="2"/>
      <c r="C48" s="4" t="s">
        <v>29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AL48" s="7"/>
      <c r="AM48" s="7"/>
      <c r="BJ48" s="3"/>
    </row>
    <row r="49" spans="2:80" ht="11.25" customHeight="1">
      <c r="B49" s="2"/>
      <c r="C49" s="1" t="s">
        <v>19</v>
      </c>
      <c r="E49" s="24">
        <f>-K37</f>
        <v>-265.875</v>
      </c>
      <c r="F49" s="24"/>
      <c r="G49" s="7" t="s">
        <v>10</v>
      </c>
      <c r="H49" s="1" t="s">
        <v>21</v>
      </c>
      <c r="J49" s="24">
        <f>+U22</f>
        <v>69.828728653535023</v>
      </c>
      <c r="K49" s="24"/>
      <c r="L49" s="1" t="s">
        <v>23</v>
      </c>
      <c r="M49" s="24">
        <f>+I32</f>
        <v>93</v>
      </c>
      <c r="N49" s="24"/>
      <c r="O49" s="7" t="s">
        <v>10</v>
      </c>
      <c r="P49" s="1" t="s">
        <v>20</v>
      </c>
      <c r="R49" s="24">
        <f>+J49</f>
        <v>69.828728653535023</v>
      </c>
      <c r="S49" s="24"/>
      <c r="T49" s="1" t="s">
        <v>23</v>
      </c>
      <c r="U49" s="24">
        <f>+Q5</f>
        <v>20</v>
      </c>
      <c r="V49" s="24"/>
      <c r="W49" s="7" t="s">
        <v>10</v>
      </c>
      <c r="X49" s="24">
        <f>+M39</f>
        <v>7.5</v>
      </c>
      <c r="Y49" s="24"/>
      <c r="Z49" s="7" t="s">
        <v>10</v>
      </c>
      <c r="AA49" s="1" t="s">
        <v>21</v>
      </c>
      <c r="AC49" s="24">
        <f>+R49</f>
        <v>69.828728653535023</v>
      </c>
      <c r="AD49" s="24"/>
      <c r="AE49" s="1" t="s">
        <v>22</v>
      </c>
      <c r="AF49" s="24">
        <f>+E13</f>
        <v>8</v>
      </c>
      <c r="AG49" s="24"/>
      <c r="AH49" s="7" t="s">
        <v>10</v>
      </c>
      <c r="AI49" s="24">
        <f>+J14</f>
        <v>4.6659863832243005</v>
      </c>
      <c r="AJ49" s="24"/>
      <c r="AK49" s="7" t="s">
        <v>10</v>
      </c>
      <c r="AL49" s="1" t="s">
        <v>20</v>
      </c>
      <c r="AN49" s="24">
        <f>+AC49</f>
        <v>69.828728653535023</v>
      </c>
      <c r="AO49" s="24"/>
      <c r="AP49" s="1" t="s">
        <v>22</v>
      </c>
      <c r="AQ49" s="24">
        <f>+D26</f>
        <v>10</v>
      </c>
      <c r="AR49" s="24"/>
      <c r="AS49" s="7" t="s">
        <v>10</v>
      </c>
      <c r="AT49" s="24">
        <f>+H24</f>
        <v>4.5</v>
      </c>
      <c r="AU49" s="24"/>
      <c r="AV49" s="7" t="s">
        <v>10</v>
      </c>
      <c r="AW49" s="1" t="s">
        <v>20</v>
      </c>
      <c r="AY49" s="24">
        <f>+AN49</f>
        <v>69.828728653535023</v>
      </c>
      <c r="AZ49" s="24"/>
      <c r="BA49" s="1" t="s">
        <v>22</v>
      </c>
      <c r="BB49" s="24">
        <f>+BA47</f>
        <v>366.5625</v>
      </c>
      <c r="BC49" s="24"/>
      <c r="BD49" s="1" t="s">
        <v>20</v>
      </c>
      <c r="BF49" s="24">
        <f>+AY49</f>
        <v>69.828728653535023</v>
      </c>
      <c r="BG49" s="24"/>
      <c r="BH49" s="1" t="s">
        <v>49</v>
      </c>
      <c r="BJ49" s="3"/>
      <c r="CA49" s="24"/>
      <c r="CB49" s="24"/>
    </row>
    <row r="50" spans="2:80" ht="11.25" customHeight="1">
      <c r="B50" s="2"/>
      <c r="C50" s="1" t="s">
        <v>19</v>
      </c>
      <c r="E50" s="24">
        <f>E49*COS(J49*PI()/180)+M49*SIN(R49*PI()/180)+U49*X49*COS(AC49*PI()/180)-AF49*AI49*SIN(AN49*PI()/180)-AQ49*AT49*SIN(AY49*PI()/180)-BB49*SIN(BF49*PI()/180)</f>
        <v>-374.01912082389106</v>
      </c>
      <c r="F50" s="24"/>
      <c r="G50" s="1" t="s">
        <v>0</v>
      </c>
      <c r="J50" s="7"/>
      <c r="K50" s="7"/>
      <c r="M50" s="7"/>
      <c r="N50" s="7"/>
      <c r="O50" s="7"/>
      <c r="R50" s="7"/>
      <c r="S50" s="7"/>
      <c r="U50" s="7"/>
      <c r="V50" s="7"/>
      <c r="W50" s="7"/>
      <c r="X50" s="7"/>
      <c r="Y50" s="7"/>
      <c r="Z50" s="7"/>
      <c r="AC50" s="7"/>
      <c r="AD50" s="7"/>
      <c r="AF50" s="7"/>
      <c r="AG50" s="7"/>
      <c r="AH50" s="7"/>
      <c r="AI50" s="7"/>
      <c r="AJ50" s="7"/>
      <c r="AK50" s="7"/>
      <c r="AN50" s="7"/>
      <c r="AO50" s="7"/>
      <c r="AQ50" s="7"/>
      <c r="AR50" s="7"/>
      <c r="AS50" s="7"/>
      <c r="AT50" s="7"/>
      <c r="AU50" s="7"/>
      <c r="AV50" s="7"/>
      <c r="AY50" s="7"/>
      <c r="AZ50" s="7"/>
      <c r="BB50" s="7"/>
      <c r="BC50" s="7"/>
      <c r="BF50" s="7"/>
      <c r="BG50" s="7"/>
      <c r="BJ50" s="3"/>
      <c r="BT50" s="7"/>
      <c r="BU50" s="7"/>
    </row>
    <row r="51" spans="2:80" ht="11.25" customHeight="1">
      <c r="B51" s="2"/>
      <c r="C51" s="1" t="s">
        <v>25</v>
      </c>
      <c r="E51" s="24">
        <f>+K37</f>
        <v>265.875</v>
      </c>
      <c r="F51" s="24"/>
      <c r="G51" s="7" t="s">
        <v>10</v>
      </c>
      <c r="H51" s="1" t="s">
        <v>20</v>
      </c>
      <c r="J51" s="24">
        <f>+J49</f>
        <v>69.828728653535023</v>
      </c>
      <c r="K51" s="24"/>
      <c r="L51" s="1" t="s">
        <v>23</v>
      </c>
      <c r="M51" s="24">
        <f>+I32</f>
        <v>93</v>
      </c>
      <c r="N51" s="24"/>
      <c r="O51" s="7" t="s">
        <v>10</v>
      </c>
      <c r="P51" s="1" t="s">
        <v>21</v>
      </c>
      <c r="R51" s="24">
        <f>+J51</f>
        <v>69.828728653535023</v>
      </c>
      <c r="S51" s="24"/>
      <c r="T51" s="1" t="s">
        <v>22</v>
      </c>
      <c r="U51" s="24">
        <f>+U49</f>
        <v>20</v>
      </c>
      <c r="V51" s="24"/>
      <c r="W51" s="7" t="s">
        <v>10</v>
      </c>
      <c r="X51" s="24">
        <f>+X49</f>
        <v>7.5</v>
      </c>
      <c r="Y51" s="24"/>
      <c r="Z51" s="7" t="s">
        <v>10</v>
      </c>
      <c r="AA51" s="1" t="s">
        <v>20</v>
      </c>
      <c r="AC51" s="24">
        <f>+R51</f>
        <v>69.828728653535023</v>
      </c>
      <c r="AD51" s="24"/>
      <c r="AE51" s="1" t="s">
        <v>22</v>
      </c>
      <c r="AF51" s="24">
        <f>+AF49</f>
        <v>8</v>
      </c>
      <c r="AG51" s="24"/>
      <c r="AH51" s="7" t="s">
        <v>10</v>
      </c>
      <c r="AI51" s="24">
        <f>+AI49</f>
        <v>4.6659863832243005</v>
      </c>
      <c r="AJ51" s="24"/>
      <c r="AK51" s="7" t="s">
        <v>10</v>
      </c>
      <c r="AL51" s="1" t="s">
        <v>21</v>
      </c>
      <c r="AN51" s="24">
        <f>+AC51</f>
        <v>69.828728653535023</v>
      </c>
      <c r="AO51" s="24"/>
      <c r="AP51" s="1" t="s">
        <v>22</v>
      </c>
      <c r="AQ51" s="24">
        <f>+AQ49</f>
        <v>10</v>
      </c>
      <c r="AR51" s="24"/>
      <c r="AS51" s="7" t="s">
        <v>10</v>
      </c>
      <c r="AT51" s="24">
        <f>+AT49</f>
        <v>4.5</v>
      </c>
      <c r="AU51" s="24"/>
      <c r="AV51" s="7" t="s">
        <v>10</v>
      </c>
      <c r="AW51" s="1" t="s">
        <v>21</v>
      </c>
      <c r="AY51" s="24">
        <f>+AN51</f>
        <v>69.828728653535023</v>
      </c>
      <c r="AZ51" s="24"/>
      <c r="BA51" s="1" t="s">
        <v>22</v>
      </c>
      <c r="BB51" s="24">
        <f>+BB49</f>
        <v>366.5625</v>
      </c>
      <c r="BC51" s="24"/>
      <c r="BD51" s="7" t="s">
        <v>10</v>
      </c>
      <c r="BE51" s="1" t="s">
        <v>21</v>
      </c>
      <c r="BG51" s="24">
        <f>+AY51</f>
        <v>69.828728653535023</v>
      </c>
      <c r="BH51" s="24"/>
      <c r="BI51" s="1" t="s">
        <v>49</v>
      </c>
      <c r="BJ51" s="3"/>
    </row>
    <row r="52" spans="2:80" ht="11.25" customHeight="1">
      <c r="B52" s="2"/>
      <c r="C52" s="1" t="s">
        <v>25</v>
      </c>
      <c r="E52" s="24">
        <f>E51*SIN(J51*PI()/180)+M51*COS(R51*PI()/180)-U51*X51*SIN(AC51*PI()/180)-AF51*AI51*COS(AN51*PI()/180)-AQ51*AT51*COS(AY51*PI()/180)-BB51*COS(BG51*PI()/180)</f>
        <v>-13.952897049992728</v>
      </c>
      <c r="F52" s="24"/>
      <c r="G52" s="1" t="s">
        <v>0</v>
      </c>
      <c r="J52" s="7"/>
      <c r="K52" s="7"/>
      <c r="M52" s="7"/>
      <c r="N52" s="7"/>
      <c r="O52" s="7"/>
      <c r="R52" s="7"/>
      <c r="S52" s="7"/>
      <c r="U52" s="7"/>
      <c r="V52" s="7"/>
      <c r="W52" s="7"/>
      <c r="X52" s="7"/>
      <c r="Y52" s="7"/>
      <c r="Z52" s="7"/>
      <c r="AC52" s="7"/>
      <c r="AD52" s="7"/>
      <c r="AF52" s="7"/>
      <c r="AG52" s="7"/>
      <c r="AH52" s="7"/>
      <c r="AI52" s="7"/>
      <c r="AJ52" s="7"/>
      <c r="AK52" s="7"/>
      <c r="AN52" s="7"/>
      <c r="AO52" s="7"/>
      <c r="AQ52" s="7"/>
      <c r="AR52" s="7"/>
      <c r="AS52" s="7"/>
      <c r="AT52" s="7"/>
      <c r="AU52" s="7"/>
      <c r="AV52" s="7"/>
      <c r="AY52" s="7"/>
      <c r="AZ52" s="7"/>
      <c r="BB52" s="7"/>
      <c r="BC52" s="7"/>
      <c r="BD52" s="7"/>
      <c r="BG52" s="7"/>
      <c r="BH52" s="7"/>
      <c r="BJ52" s="3"/>
    </row>
    <row r="53" spans="2:80" ht="11.25" customHeight="1">
      <c r="B53" s="2"/>
      <c r="C53" s="1" t="s">
        <v>26</v>
      </c>
      <c r="E53" s="24">
        <f>+K37</f>
        <v>265.875</v>
      </c>
      <c r="F53" s="24"/>
      <c r="G53" s="7" t="s">
        <v>10</v>
      </c>
      <c r="H53" s="24">
        <f>+M39</f>
        <v>7.5</v>
      </c>
      <c r="I53" s="24"/>
      <c r="J53" s="7" t="s">
        <v>15</v>
      </c>
      <c r="K53" s="24">
        <f>+I32</f>
        <v>93</v>
      </c>
      <c r="L53" s="24"/>
      <c r="M53" s="7" t="s">
        <v>10</v>
      </c>
      <c r="N53" s="24">
        <f>+H24+J14</f>
        <v>9.1659863832243005</v>
      </c>
      <c r="O53" s="24"/>
      <c r="P53" s="7" t="s">
        <v>9</v>
      </c>
      <c r="Q53" s="24">
        <f>+Q5</f>
        <v>20</v>
      </c>
      <c r="R53" s="24"/>
      <c r="S53" s="7" t="s">
        <v>10</v>
      </c>
      <c r="T53" s="24">
        <f>+M39</f>
        <v>7.5</v>
      </c>
      <c r="U53" s="24"/>
      <c r="V53" s="7" t="s">
        <v>10</v>
      </c>
      <c r="W53" s="24">
        <f>+T53/2</f>
        <v>3.75</v>
      </c>
      <c r="X53" s="24"/>
      <c r="Y53" s="7" t="s">
        <v>9</v>
      </c>
      <c r="Z53" s="24">
        <f>+E13</f>
        <v>8</v>
      </c>
      <c r="AA53" s="24"/>
      <c r="AB53" s="7" t="s">
        <v>10</v>
      </c>
      <c r="AC53" s="24">
        <f>+J14</f>
        <v>4.6659863832243005</v>
      </c>
      <c r="AD53" s="24"/>
      <c r="AE53" s="7" t="s">
        <v>10</v>
      </c>
      <c r="AF53" s="24">
        <f>+AC53/2</f>
        <v>2.3329931916121502</v>
      </c>
      <c r="AG53" s="24"/>
      <c r="AH53" s="7" t="s">
        <v>9</v>
      </c>
      <c r="AI53" s="24">
        <f>+D26</f>
        <v>10</v>
      </c>
      <c r="AJ53" s="24"/>
      <c r="AK53" s="7" t="s">
        <v>10</v>
      </c>
      <c r="AL53" s="24">
        <f>+H24</f>
        <v>4.5</v>
      </c>
      <c r="AM53" s="24"/>
      <c r="AN53" s="7" t="s">
        <v>10</v>
      </c>
      <c r="AO53" s="24">
        <f>+H24/2+J14</f>
        <v>6.9159863832243005</v>
      </c>
      <c r="AP53" s="24"/>
      <c r="AQ53" s="7" t="s">
        <v>9</v>
      </c>
      <c r="AR53" s="24">
        <f>+BA47</f>
        <v>366.5625</v>
      </c>
      <c r="AS53" s="24"/>
      <c r="AT53" s="7" t="s">
        <v>10</v>
      </c>
      <c r="AU53" s="24">
        <f>+J14</f>
        <v>4.6659863832243005</v>
      </c>
      <c r="AV53" s="24"/>
      <c r="AW53" s="7" t="s">
        <v>12</v>
      </c>
      <c r="AX53" s="24">
        <f>E53*H53+K53*N53-Q53*T53*W53-Z53*AC53*AF53-AI53*AL53*AO53-AR53*AU53</f>
        <v>175.31849708037043</v>
      </c>
      <c r="AY53" s="24"/>
      <c r="AZ53" s="1" t="s">
        <v>27</v>
      </c>
      <c r="BJ53" s="3"/>
      <c r="BO53" s="24"/>
      <c r="BP53" s="24"/>
      <c r="BQ53" s="24"/>
      <c r="BR53" s="24"/>
      <c r="BS53" s="24"/>
      <c r="BT53" s="24"/>
    </row>
    <row r="54" spans="2:80" ht="11.25" customHeight="1">
      <c r="B54" s="2"/>
      <c r="C54" s="1" t="s">
        <v>77</v>
      </c>
      <c r="E54" s="24">
        <f>-AH37</f>
        <v>-259.125</v>
      </c>
      <c r="F54" s="24"/>
      <c r="G54" s="7" t="s">
        <v>10</v>
      </c>
      <c r="H54" s="1" t="s">
        <v>21</v>
      </c>
      <c r="J54" s="24">
        <f>+Y22</f>
        <v>69.828728653535023</v>
      </c>
      <c r="K54" s="24"/>
      <c r="L54" s="1" t="s">
        <v>23</v>
      </c>
      <c r="M54" s="24">
        <f>+AB4</f>
        <v>15</v>
      </c>
      <c r="N54" s="24"/>
      <c r="O54" s="7" t="s">
        <v>10</v>
      </c>
      <c r="P54" s="24">
        <f>+AF39</f>
        <v>7.5</v>
      </c>
      <c r="Q54" s="24"/>
      <c r="R54" s="7" t="s">
        <v>10</v>
      </c>
      <c r="S54" s="1" t="s">
        <v>21</v>
      </c>
      <c r="U54" s="24">
        <f>+J54</f>
        <v>69.828728653535023</v>
      </c>
      <c r="V54" s="24"/>
      <c r="W54" s="1" t="s">
        <v>22</v>
      </c>
      <c r="X54" s="24">
        <f>+BA47</f>
        <v>366.5625</v>
      </c>
      <c r="Y54" s="24"/>
      <c r="Z54" s="7" t="s">
        <v>10</v>
      </c>
      <c r="AA54" s="1" t="s">
        <v>20</v>
      </c>
      <c r="AC54" s="24">
        <f>+U54</f>
        <v>69.828728653535023</v>
      </c>
      <c r="AD54" s="24"/>
      <c r="AE54" s="1" t="s">
        <v>24</v>
      </c>
      <c r="AF54" s="24">
        <f>E54*COS(J54*PI()/180)+M54*P54*COS(U54*PI()/180)-X54*SIN(AC54*PI()/180)</f>
        <v>-394.64011533796128</v>
      </c>
      <c r="AG54" s="24"/>
      <c r="AH54" s="1" t="s">
        <v>0</v>
      </c>
      <c r="BJ54" s="3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</row>
    <row r="55" spans="2:80" ht="11.25" customHeight="1">
      <c r="B55" s="2"/>
      <c r="C55" s="1" t="s">
        <v>78</v>
      </c>
      <c r="E55" s="24">
        <f>-AH37</f>
        <v>-259.125</v>
      </c>
      <c r="F55" s="24"/>
      <c r="G55" s="7" t="s">
        <v>10</v>
      </c>
      <c r="H55" s="1" t="s">
        <v>20</v>
      </c>
      <c r="J55" s="24">
        <f>+J54</f>
        <v>69.828728653535023</v>
      </c>
      <c r="K55" s="24"/>
      <c r="L55" s="1" t="s">
        <v>23</v>
      </c>
      <c r="M55" s="24">
        <f>+M54</f>
        <v>15</v>
      </c>
      <c r="N55" s="24"/>
      <c r="O55" s="7" t="s">
        <v>10</v>
      </c>
      <c r="P55" s="24">
        <f>+P54</f>
        <v>7.5</v>
      </c>
      <c r="Q55" s="24"/>
      <c r="R55" s="7" t="s">
        <v>10</v>
      </c>
      <c r="S55" s="1" t="s">
        <v>20</v>
      </c>
      <c r="U55" s="24">
        <f>+J55</f>
        <v>69.828728653535023</v>
      </c>
      <c r="V55" s="24"/>
      <c r="W55" s="1" t="s">
        <v>23</v>
      </c>
      <c r="X55" s="24">
        <f>+BA47</f>
        <v>366.5625</v>
      </c>
      <c r="Y55" s="24"/>
      <c r="Z55" s="7" t="s">
        <v>10</v>
      </c>
      <c r="AA55" s="1" t="s">
        <v>21</v>
      </c>
      <c r="AC55" s="24">
        <f>+U55</f>
        <v>69.828728653535023</v>
      </c>
      <c r="AD55" s="24"/>
      <c r="AE55" s="1" t="s">
        <v>24</v>
      </c>
      <c r="AF55" s="24">
        <f>E55*SIN(J55*PI()/180)+M55*P55*SIN(U55*PI()/180)+X55*COS(AC55*PI()/180)</f>
        <v>-11.231046135184499</v>
      </c>
      <c r="AG55" s="24"/>
      <c r="AH55" s="1" t="s">
        <v>0</v>
      </c>
      <c r="BJ55" s="3"/>
    </row>
    <row r="56" spans="2:80" ht="11.25" customHeight="1">
      <c r="B56" s="2"/>
      <c r="C56" s="1" t="s">
        <v>79</v>
      </c>
      <c r="E56" s="24">
        <f>+AH37</f>
        <v>259.125</v>
      </c>
      <c r="F56" s="24"/>
      <c r="G56" s="7" t="s">
        <v>10</v>
      </c>
      <c r="H56" s="24">
        <f>+AF39</f>
        <v>7.5</v>
      </c>
      <c r="I56" s="24"/>
      <c r="J56" s="7" t="s">
        <v>9</v>
      </c>
      <c r="K56" s="24">
        <f>+BA47</f>
        <v>366.5625</v>
      </c>
      <c r="L56" s="24"/>
      <c r="M56" s="7" t="s">
        <v>10</v>
      </c>
      <c r="N56" s="24">
        <f>+AK14</f>
        <v>4.6659863832243005</v>
      </c>
      <c r="O56" s="24"/>
      <c r="P56" s="7" t="s">
        <v>9</v>
      </c>
      <c r="Q56" s="24">
        <f>+AB4</f>
        <v>15</v>
      </c>
      <c r="R56" s="24"/>
      <c r="S56" s="7" t="s">
        <v>10</v>
      </c>
      <c r="T56" s="24">
        <f>+AF39</f>
        <v>7.5</v>
      </c>
      <c r="U56" s="24"/>
      <c r="V56" s="7" t="s">
        <v>10</v>
      </c>
      <c r="W56" s="24">
        <f>+T56/2</f>
        <v>3.75</v>
      </c>
      <c r="X56" s="24"/>
      <c r="Y56" s="7" t="s">
        <v>12</v>
      </c>
      <c r="Z56" s="24">
        <f>E56*H56-K56*N56-Q56*T56*W56</f>
        <v>-188.81313360065769</v>
      </c>
      <c r="AA56" s="24"/>
      <c r="AB56" s="1" t="s">
        <v>27</v>
      </c>
      <c r="BJ56" s="3"/>
    </row>
    <row r="57" spans="2:80" ht="11.25" customHeight="1">
      <c r="B57" s="2"/>
      <c r="C57" s="23" t="s">
        <v>96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BJ57" s="3"/>
    </row>
    <row r="58" spans="2:80" ht="11.25" customHeight="1">
      <c r="B58" s="2"/>
      <c r="C58" s="1" t="s">
        <v>85</v>
      </c>
      <c r="E58" s="24">
        <f>-K37</f>
        <v>-265.875</v>
      </c>
      <c r="F58" s="24"/>
      <c r="G58" s="7" t="s">
        <v>0</v>
      </c>
      <c r="H58" s="7"/>
      <c r="I58" s="20" t="s">
        <v>86</v>
      </c>
      <c r="J58" s="7"/>
      <c r="K58" s="24">
        <f>I32</f>
        <v>93</v>
      </c>
      <c r="L58" s="24"/>
      <c r="M58" s="7" t="s">
        <v>9</v>
      </c>
      <c r="N58" s="24">
        <f>+D26</f>
        <v>10</v>
      </c>
      <c r="O58" s="24"/>
      <c r="P58" s="7" t="s">
        <v>10</v>
      </c>
      <c r="Q58" s="24">
        <f>+H24</f>
        <v>4.5</v>
      </c>
      <c r="R58" s="24"/>
      <c r="S58" s="7" t="s">
        <v>12</v>
      </c>
      <c r="T58" s="24">
        <f>+K58-N58*Q58</f>
        <v>48</v>
      </c>
      <c r="U58" s="24"/>
      <c r="V58" s="20" t="s">
        <v>0</v>
      </c>
      <c r="W58" s="7"/>
      <c r="X58" s="7"/>
      <c r="Y58" s="7"/>
      <c r="Z58" s="20" t="s">
        <v>87</v>
      </c>
      <c r="AA58" s="7"/>
      <c r="AB58" s="24">
        <f>I32</f>
        <v>93</v>
      </c>
      <c r="AC58" s="24"/>
      <c r="AD58" s="7" t="s">
        <v>10</v>
      </c>
      <c r="AE58" s="24">
        <f>+H24</f>
        <v>4.5</v>
      </c>
      <c r="AF58" s="24"/>
      <c r="AG58" s="7" t="s">
        <v>9</v>
      </c>
      <c r="AH58" s="24">
        <f>+D26</f>
        <v>10</v>
      </c>
      <c r="AI58" s="24"/>
      <c r="AJ58" s="7" t="s">
        <v>10</v>
      </c>
      <c r="AK58" s="24">
        <f>+H24</f>
        <v>4.5</v>
      </c>
      <c r="AL58" s="24"/>
      <c r="AM58" s="7" t="s">
        <v>10</v>
      </c>
      <c r="AN58" s="24">
        <f>+AK58/2</f>
        <v>2.25</v>
      </c>
      <c r="AO58" s="24"/>
      <c r="AP58" s="7" t="s">
        <v>12</v>
      </c>
      <c r="AQ58" s="24">
        <f>+AB58*AE58-AH58*AK58*AN58</f>
        <v>317.25</v>
      </c>
      <c r="AR58" s="24"/>
      <c r="AS58" s="1" t="s">
        <v>27</v>
      </c>
      <c r="BJ58" s="3"/>
    </row>
    <row r="59" spans="2:80" ht="11.25" customHeight="1">
      <c r="B59" s="2"/>
      <c r="C59" s="1" t="s">
        <v>88</v>
      </c>
      <c r="E59" s="24">
        <f>-AH37</f>
        <v>-259.125</v>
      </c>
      <c r="F59" s="24"/>
      <c r="G59" s="7" t="s">
        <v>0</v>
      </c>
      <c r="H59" s="7"/>
      <c r="I59" s="20" t="s">
        <v>89</v>
      </c>
      <c r="J59" s="7"/>
      <c r="K59" s="24">
        <v>0</v>
      </c>
      <c r="L59" s="24"/>
      <c r="M59" s="20" t="s">
        <v>0</v>
      </c>
      <c r="O59" s="20" t="s">
        <v>90</v>
      </c>
      <c r="P59" s="7"/>
      <c r="Q59" s="24">
        <v>0</v>
      </c>
      <c r="R59" s="24"/>
      <c r="S59" s="1" t="s">
        <v>27</v>
      </c>
      <c r="AM59" s="7"/>
      <c r="BJ59" s="3"/>
    </row>
    <row r="60" spans="2:80" ht="11.25" customHeight="1">
      <c r="B60" s="2"/>
      <c r="AF60" s="18"/>
      <c r="BJ60" s="3"/>
    </row>
    <row r="61" spans="2:80" ht="11.25" customHeight="1">
      <c r="B61" s="2"/>
      <c r="AF61" s="18"/>
      <c r="BJ61" s="3"/>
    </row>
    <row r="62" spans="2:80" ht="11.25" customHeight="1">
      <c r="B62" s="2"/>
      <c r="E62" s="12" t="s">
        <v>83</v>
      </c>
      <c r="AB62" s="34">
        <v>15</v>
      </c>
      <c r="AC62" s="34"/>
      <c r="AD62" s="1" t="s">
        <v>3</v>
      </c>
      <c r="AF62" s="13"/>
      <c r="BJ62" s="3"/>
    </row>
    <row r="63" spans="2:80" ht="11.25" customHeight="1">
      <c r="B63" s="2"/>
      <c r="Q63" s="34">
        <v>20</v>
      </c>
      <c r="R63" s="34"/>
      <c r="S63" s="1" t="s">
        <v>3</v>
      </c>
      <c r="AF63" s="13"/>
      <c r="BJ63" s="3"/>
    </row>
    <row r="64" spans="2:80" ht="11.25" customHeight="1">
      <c r="B64" s="2"/>
      <c r="AF64" s="18"/>
      <c r="BJ64" s="3"/>
    </row>
    <row r="65" spans="2:62" ht="11.25" customHeight="1">
      <c r="B65" s="2"/>
      <c r="AF65" s="18"/>
      <c r="BJ65" s="3"/>
    </row>
    <row r="66" spans="2:62" ht="11.25" customHeight="1">
      <c r="B66" s="2"/>
      <c r="W66" s="1" t="s">
        <v>18</v>
      </c>
      <c r="AF66" s="18"/>
      <c r="AK66" s="5" t="s">
        <v>1</v>
      </c>
      <c r="BJ66" s="3"/>
    </row>
    <row r="67" spans="2:62" ht="11.25" customHeight="1">
      <c r="B67" s="2"/>
      <c r="J67" s="37">
        <f>Y71-SQRT(Y71^2-S97^2)</f>
        <v>1.3340136167756995</v>
      </c>
      <c r="AF67" s="18"/>
      <c r="AK67" s="37">
        <f>Y71-SQRT(Y71^2-Z97^2)</f>
        <v>1.3340136167756995</v>
      </c>
      <c r="BJ67" s="3"/>
    </row>
    <row r="68" spans="2:62" ht="11.25" customHeight="1">
      <c r="B68" s="2"/>
      <c r="E68" s="37" t="s">
        <v>3</v>
      </c>
      <c r="J68" s="37"/>
      <c r="P68" s="1" t="s">
        <v>17</v>
      </c>
      <c r="AE68" s="1" t="s">
        <v>30</v>
      </c>
      <c r="AF68" s="18"/>
      <c r="AK68" s="37"/>
      <c r="BJ68" s="3"/>
    </row>
    <row r="69" spans="2:62" ht="11.25" customHeight="1">
      <c r="B69" s="2"/>
      <c r="E69" s="37"/>
      <c r="H69" s="5" t="s">
        <v>1</v>
      </c>
      <c r="J69" s="37"/>
      <c r="AF69" s="18"/>
      <c r="AK69" s="37"/>
      <c r="BJ69" s="3"/>
    </row>
    <row r="70" spans="2:62" ht="11.25" customHeight="1">
      <c r="B70" s="2"/>
      <c r="E70" s="37"/>
      <c r="H70" s="38">
        <v>6</v>
      </c>
      <c r="AF70" s="18"/>
      <c r="BJ70" s="3"/>
    </row>
    <row r="71" spans="2:62" ht="11.25" customHeight="1">
      <c r="B71" s="2"/>
      <c r="E71" s="38">
        <v>8</v>
      </c>
      <c r="H71" s="38"/>
      <c r="J71" s="5" t="s">
        <v>1</v>
      </c>
      <c r="X71" s="1" t="s">
        <v>2</v>
      </c>
      <c r="Y71" s="24">
        <f>(W99^2+4*H70^2)/(8*H70)</f>
        <v>21.75</v>
      </c>
      <c r="Z71" s="24"/>
      <c r="AA71" s="1" t="s">
        <v>1</v>
      </c>
      <c r="AF71" s="18"/>
      <c r="AK71" s="5" t="s">
        <v>1</v>
      </c>
      <c r="BJ71" s="3"/>
    </row>
    <row r="72" spans="2:62" ht="11.25" customHeight="1">
      <c r="B72" s="2"/>
      <c r="E72" s="38"/>
      <c r="H72" s="38"/>
      <c r="J72" s="37">
        <f>+H70-J67</f>
        <v>4.6659863832243005</v>
      </c>
      <c r="AF72" s="18"/>
      <c r="AK72" s="37">
        <f>+H70-AK67</f>
        <v>4.6659863832243005</v>
      </c>
      <c r="BJ72" s="3"/>
    </row>
    <row r="73" spans="2:62" ht="11.25" customHeight="1">
      <c r="B73" s="2"/>
      <c r="E73" s="38"/>
      <c r="J73" s="37"/>
      <c r="AF73" s="18"/>
      <c r="AK73" s="37"/>
      <c r="BJ73" s="3"/>
    </row>
    <row r="74" spans="2:62" ht="11.25" customHeight="1">
      <c r="B74" s="2"/>
      <c r="J74" s="37"/>
      <c r="AF74" s="18"/>
      <c r="AK74" s="37"/>
      <c r="BJ74" s="3"/>
    </row>
    <row r="75" spans="2:62" ht="11.25" customHeight="1">
      <c r="B75" s="2"/>
      <c r="M75" s="1" t="s">
        <v>84</v>
      </c>
      <c r="AF75" s="18"/>
      <c r="AH75" s="1" t="s">
        <v>33</v>
      </c>
      <c r="BJ75" s="3"/>
    </row>
    <row r="76" spans="2:62" ht="11.25" customHeight="1">
      <c r="B76" s="2"/>
      <c r="AF76" s="18"/>
      <c r="BJ76" s="3"/>
    </row>
    <row r="77" spans="2:62" ht="11.25" customHeight="1">
      <c r="B77" s="2"/>
      <c r="AF77" s="18"/>
      <c r="BJ77" s="3"/>
    </row>
    <row r="78" spans="2:62" ht="11.25" customHeight="1">
      <c r="B78" s="2"/>
      <c r="AF78" s="18"/>
      <c r="BJ78" s="3"/>
    </row>
    <row r="79" spans="2:62" ht="11.25" customHeight="1">
      <c r="B79" s="2"/>
      <c r="AF79" s="18"/>
      <c r="BJ79" s="3"/>
    </row>
    <row r="80" spans="2:62" ht="11.25" customHeight="1">
      <c r="B80" s="2"/>
      <c r="U80" s="24">
        <f>ACOS(S97/Y71)*180/PI()</f>
        <v>69.828728653535023</v>
      </c>
      <c r="V80" s="24"/>
      <c r="W80" s="8" t="s">
        <v>8</v>
      </c>
      <c r="Y80" s="24">
        <f>ACOS(Z97/Y71)*180/PI()</f>
        <v>69.828728653535023</v>
      </c>
      <c r="Z80" s="24"/>
      <c r="AA80" s="8" t="s">
        <v>8</v>
      </c>
      <c r="AF80" s="18"/>
      <c r="BJ80" s="3"/>
    </row>
    <row r="81" spans="2:62" ht="11.25" customHeight="1">
      <c r="B81" s="2"/>
      <c r="D81" s="37" t="s">
        <v>3</v>
      </c>
      <c r="H81" s="5" t="s">
        <v>1</v>
      </c>
      <c r="AF81" s="18"/>
      <c r="BJ81" s="3"/>
    </row>
    <row r="82" spans="2:62" ht="11.25" customHeight="1">
      <c r="B82" s="2"/>
      <c r="D82" s="37"/>
      <c r="H82" s="38">
        <v>4.5</v>
      </c>
      <c r="AF82" s="18"/>
      <c r="BJ82" s="3"/>
    </row>
    <row r="83" spans="2:62" ht="11.25" customHeight="1">
      <c r="B83" s="2"/>
      <c r="D83" s="37"/>
      <c r="H83" s="38"/>
      <c r="AF83" s="18"/>
      <c r="BJ83" s="3"/>
    </row>
    <row r="84" spans="2:62" ht="11.25" customHeight="1">
      <c r="B84" s="2"/>
      <c r="D84" s="38">
        <v>10</v>
      </c>
      <c r="H84" s="38"/>
      <c r="AF84" s="18"/>
      <c r="BJ84" s="3"/>
    </row>
    <row r="85" spans="2:62" ht="11.25" customHeight="1">
      <c r="B85" s="2"/>
      <c r="D85" s="38"/>
      <c r="AF85" s="18"/>
      <c r="BJ85" s="3"/>
    </row>
    <row r="86" spans="2:62" ht="11.25" customHeight="1">
      <c r="B86" s="2"/>
      <c r="D86" s="38"/>
      <c r="AF86" s="18"/>
      <c r="BJ86" s="3"/>
    </row>
    <row r="87" spans="2:62" ht="11.25" customHeight="1">
      <c r="B87" s="2"/>
      <c r="AF87" s="18"/>
      <c r="BJ87" s="3"/>
    </row>
    <row r="88" spans="2:62" ht="11.25" customHeight="1">
      <c r="B88" s="2"/>
      <c r="AF88" s="18"/>
      <c r="BJ88" s="3"/>
    </row>
    <row r="89" spans="2:62" ht="11.25" customHeight="1">
      <c r="B89" s="2"/>
      <c r="AF89" s="18"/>
      <c r="BJ89" s="3"/>
    </row>
    <row r="90" spans="2:62" ht="11.25" customHeight="1">
      <c r="B90" s="2"/>
      <c r="G90" s="1" t="s">
        <v>5</v>
      </c>
      <c r="I90" s="24">
        <f>+AU104</f>
        <v>116.46428571428571</v>
      </c>
      <c r="J90" s="24"/>
      <c r="K90" s="1" t="s">
        <v>0</v>
      </c>
      <c r="AF90" s="18"/>
      <c r="AJ90" s="1" t="s">
        <v>6</v>
      </c>
      <c r="AL90" s="24">
        <f>+AC105</f>
        <v>209.46428571428572</v>
      </c>
      <c r="AM90" s="24"/>
      <c r="AN90" s="1" t="s">
        <v>0</v>
      </c>
      <c r="BJ90" s="3"/>
    </row>
    <row r="91" spans="2:62" ht="11.25" customHeight="1">
      <c r="B91" s="2"/>
      <c r="AF91" s="18"/>
      <c r="BJ91" s="3"/>
    </row>
    <row r="92" spans="2:62" ht="11.25" customHeight="1">
      <c r="B92" s="2"/>
      <c r="AF92" s="18"/>
      <c r="BJ92" s="3"/>
    </row>
    <row r="93" spans="2:62" ht="11.25" customHeight="1">
      <c r="B93" s="2"/>
      <c r="AF93" s="18"/>
      <c r="BJ93" s="3"/>
    </row>
    <row r="94" spans="2:62" ht="11.25" customHeight="1">
      <c r="B94" s="2"/>
      <c r="AF94" s="18"/>
      <c r="BJ94" s="3"/>
    </row>
    <row r="95" spans="2:62" ht="11.25" customHeight="1">
      <c r="B95" s="2"/>
      <c r="I95" s="1" t="s">
        <v>4</v>
      </c>
      <c r="K95" s="24">
        <f>+AX102</f>
        <v>265.875</v>
      </c>
      <c r="L95" s="24"/>
      <c r="M95" s="1" t="s">
        <v>0</v>
      </c>
      <c r="AF95" s="1" t="s">
        <v>7</v>
      </c>
      <c r="AH95" s="24">
        <f>+Z103</f>
        <v>259.125</v>
      </c>
      <c r="AI95" s="24"/>
      <c r="AJ95" s="1" t="s">
        <v>0</v>
      </c>
      <c r="BJ95" s="3"/>
    </row>
    <row r="96" spans="2:62" ht="11.25" customHeight="1">
      <c r="B96" s="2"/>
      <c r="AF96" s="18"/>
      <c r="BJ96" s="3"/>
    </row>
    <row r="97" spans="2:62" ht="11.25" customHeight="1">
      <c r="B97" s="2"/>
      <c r="M97" s="34">
        <v>7.5</v>
      </c>
      <c r="N97" s="34"/>
      <c r="O97" s="1" t="s">
        <v>1</v>
      </c>
      <c r="S97" s="24">
        <f>+W99/2-M97</f>
        <v>7.5</v>
      </c>
      <c r="T97" s="24"/>
      <c r="U97" s="1" t="s">
        <v>1</v>
      </c>
      <c r="Z97" s="24">
        <f>+W99/2-AF97</f>
        <v>7.5</v>
      </c>
      <c r="AA97" s="24"/>
      <c r="AB97" s="1" t="s">
        <v>1</v>
      </c>
      <c r="AF97" s="74">
        <v>7.5</v>
      </c>
      <c r="AG97" s="74"/>
      <c r="AH97" s="1" t="s">
        <v>1</v>
      </c>
      <c r="BJ97" s="3"/>
    </row>
    <row r="98" spans="2:62" ht="11.25" customHeight="1">
      <c r="B98" s="2"/>
      <c r="AF98" s="18"/>
      <c r="BJ98" s="3"/>
    </row>
    <row r="99" spans="2:62" ht="11.25" customHeight="1">
      <c r="B99" s="2"/>
      <c r="W99" s="34">
        <v>30</v>
      </c>
      <c r="X99" s="34"/>
      <c r="Y99" s="1" t="s">
        <v>1</v>
      </c>
      <c r="AF99" s="18"/>
      <c r="BJ99" s="3"/>
    </row>
    <row r="100" spans="2:62" ht="11.25" customHeight="1">
      <c r="B100" s="2"/>
      <c r="AF100" s="18"/>
      <c r="BJ100" s="3"/>
    </row>
    <row r="101" spans="2:62" ht="11.25" customHeight="1">
      <c r="B101" s="2"/>
      <c r="C101" s="4" t="s">
        <v>28</v>
      </c>
      <c r="BJ101" s="3"/>
    </row>
    <row r="102" spans="2:62" ht="11.25" customHeight="1">
      <c r="B102" s="2"/>
      <c r="C102" s="1" t="s">
        <v>11</v>
      </c>
      <c r="E102" s="24">
        <f>+W99</f>
        <v>30</v>
      </c>
      <c r="F102" s="24"/>
      <c r="G102" s="7" t="s">
        <v>9</v>
      </c>
      <c r="H102" s="24">
        <f>+Q63</f>
        <v>20</v>
      </c>
      <c r="I102" s="24"/>
      <c r="J102" s="7" t="s">
        <v>10</v>
      </c>
      <c r="K102" s="24">
        <f>+W99/2</f>
        <v>15</v>
      </c>
      <c r="L102" s="24"/>
      <c r="M102" s="7" t="s">
        <v>10</v>
      </c>
      <c r="N102" s="24">
        <f>+W99/2+W99/2/2</f>
        <v>22.5</v>
      </c>
      <c r="O102" s="24"/>
      <c r="P102" s="7" t="s">
        <v>9</v>
      </c>
      <c r="Q102" s="24">
        <f>+AB62</f>
        <v>15</v>
      </c>
      <c r="R102" s="24"/>
      <c r="S102" s="7" t="s">
        <v>10</v>
      </c>
      <c r="T102" s="24">
        <f>+W99/2</f>
        <v>15</v>
      </c>
      <c r="U102" s="24"/>
      <c r="V102" s="7" t="s">
        <v>10</v>
      </c>
      <c r="W102" s="24">
        <f>+T102/2</f>
        <v>7.5</v>
      </c>
      <c r="X102" s="24"/>
      <c r="Y102" s="7" t="s">
        <v>15</v>
      </c>
      <c r="Z102" s="24">
        <f>+E71</f>
        <v>8</v>
      </c>
      <c r="AA102" s="24"/>
      <c r="AB102" s="7" t="s">
        <v>10</v>
      </c>
      <c r="AC102" s="24">
        <f>+H70</f>
        <v>6</v>
      </c>
      <c r="AD102" s="24"/>
      <c r="AE102" s="7" t="s">
        <v>10</v>
      </c>
      <c r="AF102" s="24">
        <f>+H82+H70/2</f>
        <v>7.5</v>
      </c>
      <c r="AG102" s="24"/>
      <c r="AH102" s="7" t="s">
        <v>15</v>
      </c>
      <c r="AI102" s="24">
        <f>+D84</f>
        <v>10</v>
      </c>
      <c r="AJ102" s="24"/>
      <c r="AK102" s="7" t="s">
        <v>10</v>
      </c>
      <c r="AL102" s="24">
        <f>+H82</f>
        <v>4.5</v>
      </c>
      <c r="AM102" s="24"/>
      <c r="AN102" s="7" t="s">
        <v>10</v>
      </c>
      <c r="AO102" s="24">
        <f>+AL102/2</f>
        <v>2.25</v>
      </c>
      <c r="AP102" s="24"/>
      <c r="AQ102" s="7" t="s">
        <v>12</v>
      </c>
      <c r="AR102" s="1">
        <v>0</v>
      </c>
      <c r="AV102" s="1" t="s">
        <v>4</v>
      </c>
      <c r="AX102" s="24">
        <f>(H102*K102*N102+Q102*T102*W102-Z102*AC102*AF102-AI102*AL102*AO102)/E102</f>
        <v>265.875</v>
      </c>
      <c r="AY102" s="24"/>
      <c r="AZ102" s="1" t="s">
        <v>0</v>
      </c>
      <c r="BJ102" s="3"/>
    </row>
    <row r="103" spans="2:62" ht="11.25" customHeight="1">
      <c r="B103" s="2"/>
      <c r="C103" s="1" t="s">
        <v>13</v>
      </c>
      <c r="E103" s="24">
        <f>+AX102</f>
        <v>265.875</v>
      </c>
      <c r="F103" s="24"/>
      <c r="G103" s="7" t="s">
        <v>9</v>
      </c>
      <c r="H103" s="24">
        <f>+Q63</f>
        <v>20</v>
      </c>
      <c r="I103" s="24"/>
      <c r="J103" s="7" t="s">
        <v>10</v>
      </c>
      <c r="K103" s="24">
        <f>+W99/2</f>
        <v>15</v>
      </c>
      <c r="L103" s="24"/>
      <c r="M103" s="7" t="s">
        <v>9</v>
      </c>
      <c r="N103" s="24">
        <f>+AB62</f>
        <v>15</v>
      </c>
      <c r="O103" s="24"/>
      <c r="P103" s="7" t="s">
        <v>10</v>
      </c>
      <c r="Q103" s="24">
        <f>+W99/2</f>
        <v>15</v>
      </c>
      <c r="R103" s="24"/>
      <c r="S103" s="7" t="s">
        <v>12</v>
      </c>
      <c r="T103" s="1">
        <v>0</v>
      </c>
      <c r="X103" s="1" t="s">
        <v>7</v>
      </c>
      <c r="Z103" s="24">
        <f>-E103+H103*K103+N103*Q103</f>
        <v>259.125</v>
      </c>
      <c r="AA103" s="24"/>
      <c r="AB103" s="1" t="s">
        <v>0</v>
      </c>
      <c r="BJ103" s="3"/>
    </row>
    <row r="104" spans="2:62" ht="11.25" customHeight="1">
      <c r="B104" s="2"/>
      <c r="C104" s="1" t="s">
        <v>14</v>
      </c>
      <c r="E104" s="24">
        <f>+H82+H70</f>
        <v>10.5</v>
      </c>
      <c r="F104" s="24"/>
      <c r="G104" s="7" t="s">
        <v>9</v>
      </c>
      <c r="H104" s="24">
        <f>+K95</f>
        <v>265.875</v>
      </c>
      <c r="I104" s="24"/>
      <c r="J104" s="7" t="s">
        <v>10</v>
      </c>
      <c r="K104" s="24">
        <f>+W99/2</f>
        <v>15</v>
      </c>
      <c r="L104" s="24"/>
      <c r="M104" s="7" t="s">
        <v>15</v>
      </c>
      <c r="N104" s="24">
        <f>+Q63</f>
        <v>20</v>
      </c>
      <c r="O104" s="24"/>
      <c r="P104" s="7" t="s">
        <v>10</v>
      </c>
      <c r="Q104" s="24">
        <f>+W99/2</f>
        <v>15</v>
      </c>
      <c r="R104" s="24"/>
      <c r="S104" s="7" t="s">
        <v>10</v>
      </c>
      <c r="T104" s="24">
        <f>+Q104/2</f>
        <v>7.5</v>
      </c>
      <c r="U104" s="24"/>
      <c r="V104" s="7" t="s">
        <v>15</v>
      </c>
      <c r="W104" s="24">
        <f>+E71</f>
        <v>8</v>
      </c>
      <c r="X104" s="24"/>
      <c r="Y104" s="7" t="s">
        <v>10</v>
      </c>
      <c r="Z104" s="24">
        <f>+H70</f>
        <v>6</v>
      </c>
      <c r="AA104" s="24"/>
      <c r="AB104" s="7" t="s">
        <v>10</v>
      </c>
      <c r="AC104" s="24">
        <f>+Z104/2</f>
        <v>3</v>
      </c>
      <c r="AD104" s="24"/>
      <c r="AE104" s="7" t="s">
        <v>15</v>
      </c>
      <c r="AF104" s="24">
        <f>+D84</f>
        <v>10</v>
      </c>
      <c r="AG104" s="24"/>
      <c r="AH104" s="7" t="s">
        <v>10</v>
      </c>
      <c r="AI104" s="24">
        <f>+H82</f>
        <v>4.5</v>
      </c>
      <c r="AJ104" s="24"/>
      <c r="AK104" s="7" t="s">
        <v>10</v>
      </c>
      <c r="AL104" s="24">
        <f>+H82/2+H70</f>
        <v>8.25</v>
      </c>
      <c r="AM104" s="24"/>
      <c r="AN104" s="7" t="s">
        <v>12</v>
      </c>
      <c r="AO104" s="1">
        <v>0</v>
      </c>
      <c r="AS104" s="1" t="s">
        <v>5</v>
      </c>
      <c r="AU104" s="24">
        <f>(H104*K104-N104*Q104*T104-W104*Z104*AC104-AF104*AI104*AL104)/E104</f>
        <v>116.46428571428571</v>
      </c>
      <c r="AV104" s="24"/>
      <c r="AW104" s="1" t="s">
        <v>0</v>
      </c>
      <c r="BJ104" s="3"/>
    </row>
    <row r="105" spans="2:62" ht="11.25" customHeight="1">
      <c r="B105" s="2"/>
      <c r="C105" s="1" t="s">
        <v>16</v>
      </c>
      <c r="E105" s="24">
        <f>+H82+H70</f>
        <v>10.5</v>
      </c>
      <c r="F105" s="24"/>
      <c r="G105" s="7" t="s">
        <v>9</v>
      </c>
      <c r="H105" s="24">
        <f>+AH95</f>
        <v>259.125</v>
      </c>
      <c r="I105" s="24"/>
      <c r="J105" s="7" t="s">
        <v>10</v>
      </c>
      <c r="K105" s="24">
        <f>+W99/2</f>
        <v>15</v>
      </c>
      <c r="L105" s="24"/>
      <c r="M105" s="7" t="s">
        <v>15</v>
      </c>
      <c r="N105" s="24">
        <f>+AB62</f>
        <v>15</v>
      </c>
      <c r="O105" s="24"/>
      <c r="P105" s="7" t="s">
        <v>10</v>
      </c>
      <c r="Q105" s="24">
        <f>+W99/2</f>
        <v>15</v>
      </c>
      <c r="R105" s="24"/>
      <c r="S105" s="7" t="s">
        <v>10</v>
      </c>
      <c r="T105" s="24">
        <f>+Q105/2</f>
        <v>7.5</v>
      </c>
      <c r="U105" s="24"/>
      <c r="V105" s="7" t="s">
        <v>12</v>
      </c>
      <c r="W105" s="1">
        <v>0</v>
      </c>
      <c r="AA105" s="1" t="s">
        <v>6</v>
      </c>
      <c r="AC105" s="24">
        <f>(H105*K105-N105*Q105*T105)/E105</f>
        <v>209.46428571428572</v>
      </c>
      <c r="AD105" s="24"/>
      <c r="AE105" s="1" t="s">
        <v>0</v>
      </c>
      <c r="BJ105" s="3"/>
    </row>
    <row r="106" spans="2:62" ht="11.25" customHeight="1">
      <c r="B106" s="2"/>
      <c r="C106" s="4" t="s">
        <v>29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AL106" s="7"/>
      <c r="AM106" s="7"/>
      <c r="BJ106" s="3"/>
    </row>
    <row r="107" spans="2:62" ht="11.25" customHeight="1">
      <c r="B107" s="2"/>
      <c r="C107" s="1" t="s">
        <v>19</v>
      </c>
      <c r="E107" s="24">
        <f>-K95</f>
        <v>-265.875</v>
      </c>
      <c r="F107" s="24"/>
      <c r="G107" s="7" t="s">
        <v>10</v>
      </c>
      <c r="H107" s="1" t="s">
        <v>21</v>
      </c>
      <c r="J107" s="24">
        <f>+U80</f>
        <v>69.828728653535023</v>
      </c>
      <c r="K107" s="24"/>
      <c r="L107" s="1" t="s">
        <v>22</v>
      </c>
      <c r="M107" s="24">
        <f>+I90</f>
        <v>116.46428571428571</v>
      </c>
      <c r="N107" s="24"/>
      <c r="O107" s="7" t="s">
        <v>10</v>
      </c>
      <c r="P107" s="1" t="s">
        <v>20</v>
      </c>
      <c r="R107" s="24">
        <f>+J107</f>
        <v>69.828728653535023</v>
      </c>
      <c r="S107" s="24"/>
      <c r="T107" s="1" t="s">
        <v>23</v>
      </c>
      <c r="U107" s="24">
        <f>+Q63</f>
        <v>20</v>
      </c>
      <c r="V107" s="24"/>
      <c r="W107" s="7" t="s">
        <v>10</v>
      </c>
      <c r="X107" s="24">
        <f>+M97</f>
        <v>7.5</v>
      </c>
      <c r="Y107" s="24"/>
      <c r="Z107" s="7" t="s">
        <v>10</v>
      </c>
      <c r="AA107" s="1" t="s">
        <v>21</v>
      </c>
      <c r="AC107" s="24">
        <f>+R107</f>
        <v>69.828728653535023</v>
      </c>
      <c r="AD107" s="24"/>
      <c r="AE107" s="1" t="s">
        <v>22</v>
      </c>
      <c r="AF107" s="24">
        <f>+E71</f>
        <v>8</v>
      </c>
      <c r="AG107" s="24"/>
      <c r="AH107" s="7" t="s">
        <v>10</v>
      </c>
      <c r="AI107" s="24">
        <f>+J72</f>
        <v>4.6659863832243005</v>
      </c>
      <c r="AJ107" s="24"/>
      <c r="AK107" s="7" t="s">
        <v>10</v>
      </c>
      <c r="AL107" s="1" t="s">
        <v>20</v>
      </c>
      <c r="AN107" s="24">
        <f>+AC107</f>
        <v>69.828728653535023</v>
      </c>
      <c r="AO107" s="24"/>
      <c r="AP107" s="1" t="s">
        <v>22</v>
      </c>
      <c r="AQ107" s="24">
        <f>+D84</f>
        <v>10</v>
      </c>
      <c r="AR107" s="24"/>
      <c r="AS107" s="7" t="s">
        <v>10</v>
      </c>
      <c r="AT107" s="24">
        <f>+H82</f>
        <v>4.5</v>
      </c>
      <c r="AU107" s="24"/>
      <c r="AV107" s="7" t="s">
        <v>10</v>
      </c>
      <c r="AW107" s="1" t="s">
        <v>20</v>
      </c>
      <c r="AY107" s="24">
        <f>+AN107</f>
        <v>69.828728653535023</v>
      </c>
      <c r="AZ107" s="24"/>
      <c r="BA107" s="1" t="s">
        <v>24</v>
      </c>
      <c r="BB107" s="24">
        <f>E107*COS(J107*PI()/180)-M107*SIN(R107*PI()/180)+U107*X107*COS(AC107*PI()/180)-AF107*AI107*SIN(AN107*PI()/180)-AQ107*AT107*SIN(AY107*PI()/180)</f>
        <v>-226.55636203373027</v>
      </c>
      <c r="BC107" s="24"/>
      <c r="BD107" s="1" t="s">
        <v>0</v>
      </c>
      <c r="BJ107" s="3"/>
    </row>
    <row r="108" spans="2:62" ht="11.25" customHeight="1">
      <c r="B108" s="2"/>
      <c r="C108" s="1" t="s">
        <v>25</v>
      </c>
      <c r="E108" s="24">
        <f>+K95</f>
        <v>265.875</v>
      </c>
      <c r="F108" s="24"/>
      <c r="G108" s="7" t="s">
        <v>10</v>
      </c>
      <c r="H108" s="1" t="s">
        <v>20</v>
      </c>
      <c r="J108" s="24">
        <f>+J107</f>
        <v>69.828728653535023</v>
      </c>
      <c r="K108" s="24"/>
      <c r="L108" s="1" t="s">
        <v>22</v>
      </c>
      <c r="M108" s="24">
        <f>+I90</f>
        <v>116.46428571428571</v>
      </c>
      <c r="N108" s="24"/>
      <c r="O108" s="7" t="s">
        <v>10</v>
      </c>
      <c r="P108" s="1" t="s">
        <v>21</v>
      </c>
      <c r="R108" s="24">
        <f>+J108</f>
        <v>69.828728653535023</v>
      </c>
      <c r="S108" s="24"/>
      <c r="T108" s="1" t="s">
        <v>22</v>
      </c>
      <c r="U108" s="24">
        <f>+U107</f>
        <v>20</v>
      </c>
      <c r="V108" s="24"/>
      <c r="W108" s="7" t="s">
        <v>10</v>
      </c>
      <c r="X108" s="24">
        <f>+X107</f>
        <v>7.5</v>
      </c>
      <c r="Y108" s="24"/>
      <c r="Z108" s="7" t="s">
        <v>10</v>
      </c>
      <c r="AA108" s="1" t="s">
        <v>20</v>
      </c>
      <c r="AC108" s="24">
        <f>+R108</f>
        <v>69.828728653535023</v>
      </c>
      <c r="AD108" s="24"/>
      <c r="AE108" s="1" t="s">
        <v>22</v>
      </c>
      <c r="AF108" s="24">
        <f>+AF107</f>
        <v>8</v>
      </c>
      <c r="AG108" s="24"/>
      <c r="AH108" s="7" t="s">
        <v>10</v>
      </c>
      <c r="AI108" s="24">
        <f>+AI107</f>
        <v>4.6659863832243005</v>
      </c>
      <c r="AJ108" s="24"/>
      <c r="AK108" s="7" t="s">
        <v>10</v>
      </c>
      <c r="AL108" s="1" t="s">
        <v>21</v>
      </c>
      <c r="AN108" s="24">
        <f>+AC108</f>
        <v>69.828728653535023</v>
      </c>
      <c r="AO108" s="24"/>
      <c r="AP108" s="1" t="s">
        <v>22</v>
      </c>
      <c r="AQ108" s="24">
        <f>+AQ107</f>
        <v>10</v>
      </c>
      <c r="AR108" s="24"/>
      <c r="AS108" s="7" t="s">
        <v>10</v>
      </c>
      <c r="AT108" s="24">
        <f>+AT107</f>
        <v>4.5</v>
      </c>
      <c r="AU108" s="24"/>
      <c r="AV108" s="7" t="s">
        <v>10</v>
      </c>
      <c r="AW108" s="1" t="s">
        <v>21</v>
      </c>
      <c r="AY108" s="24">
        <f>+AN108</f>
        <v>69.828728653535023</v>
      </c>
      <c r="AZ108" s="24"/>
      <c r="BA108" s="1" t="s">
        <v>24</v>
      </c>
      <c r="BB108" s="24">
        <f>E108*SIN(J108*PI()/180)-M108*COS(R108*PI()/180)-U108*X108*SIN(AC108*PI()/180)-AF108*AI108*COS(AN108*PI()/180)-AQ108*AT108*COS(AY108*PI()/180)</f>
        <v>40.218900979563912</v>
      </c>
      <c r="BC108" s="24"/>
      <c r="BD108" s="1" t="s">
        <v>0</v>
      </c>
      <c r="BJ108" s="3"/>
    </row>
    <row r="109" spans="2:62" ht="11.25" customHeight="1">
      <c r="B109" s="2"/>
      <c r="C109" s="1" t="s">
        <v>26</v>
      </c>
      <c r="E109" s="24">
        <f>+K95</f>
        <v>265.875</v>
      </c>
      <c r="F109" s="24"/>
      <c r="G109" s="7" t="s">
        <v>10</v>
      </c>
      <c r="H109" s="24">
        <f>+M97</f>
        <v>7.5</v>
      </c>
      <c r="I109" s="24"/>
      <c r="J109" s="7" t="s">
        <v>9</v>
      </c>
      <c r="K109" s="24">
        <f>+I90</f>
        <v>116.46428571428571</v>
      </c>
      <c r="L109" s="24"/>
      <c r="M109" s="7" t="s">
        <v>10</v>
      </c>
      <c r="N109" s="24">
        <f>+H82+J72</f>
        <v>9.1659863832243005</v>
      </c>
      <c r="O109" s="24"/>
      <c r="P109" s="7" t="s">
        <v>9</v>
      </c>
      <c r="Q109" s="24">
        <f>+Q63</f>
        <v>20</v>
      </c>
      <c r="R109" s="24"/>
      <c r="S109" s="7" t="s">
        <v>10</v>
      </c>
      <c r="T109" s="24">
        <f>+M97</f>
        <v>7.5</v>
      </c>
      <c r="U109" s="24"/>
      <c r="V109" s="7" t="s">
        <v>10</v>
      </c>
      <c r="W109" s="24">
        <f>+T109/2</f>
        <v>3.75</v>
      </c>
      <c r="X109" s="24"/>
      <c r="Y109" s="7" t="s">
        <v>9</v>
      </c>
      <c r="Z109" s="24">
        <f>+E71</f>
        <v>8</v>
      </c>
      <c r="AA109" s="24"/>
      <c r="AB109" s="7" t="s">
        <v>10</v>
      </c>
      <c r="AC109" s="24">
        <f>+J72</f>
        <v>4.6659863832243005</v>
      </c>
      <c r="AD109" s="24"/>
      <c r="AE109" s="7" t="s">
        <v>10</v>
      </c>
      <c r="AF109" s="24">
        <f>+AC109/2</f>
        <v>2.3329931916121502</v>
      </c>
      <c r="AG109" s="24"/>
      <c r="AH109" s="7" t="s">
        <v>9</v>
      </c>
      <c r="AI109" s="24">
        <f>+D84</f>
        <v>10</v>
      </c>
      <c r="AJ109" s="24"/>
      <c r="AK109" s="7" t="s">
        <v>10</v>
      </c>
      <c r="AL109" s="24">
        <f>+H82</f>
        <v>4.5</v>
      </c>
      <c r="AM109" s="24"/>
      <c r="AN109" s="7" t="s">
        <v>10</v>
      </c>
      <c r="AO109" s="24">
        <f>+H82/2+J72</f>
        <v>6.9159863832243005</v>
      </c>
      <c r="AP109" s="24"/>
      <c r="AQ109" s="7" t="s">
        <v>12</v>
      </c>
      <c r="AR109" s="24">
        <f>E109*H109-K109*N109-Q109*T109*W109-Z109*AC109*AF109-AI109*AL109*AO109</f>
        <v>-34.252659947919028</v>
      </c>
      <c r="AS109" s="24"/>
      <c r="AT109" s="1" t="s">
        <v>27</v>
      </c>
      <c r="BJ109" s="3"/>
    </row>
    <row r="110" spans="2:62" ht="11.25" customHeight="1">
      <c r="B110" s="2"/>
      <c r="C110" s="1" t="s">
        <v>77</v>
      </c>
      <c r="E110" s="24">
        <f>-AH95</f>
        <v>-259.125</v>
      </c>
      <c r="F110" s="24"/>
      <c r="G110" s="7" t="s">
        <v>10</v>
      </c>
      <c r="H110" s="1" t="s">
        <v>21</v>
      </c>
      <c r="J110" s="24">
        <f>+Y80</f>
        <v>69.828728653535023</v>
      </c>
      <c r="K110" s="24"/>
      <c r="L110" s="1" t="s">
        <v>22</v>
      </c>
      <c r="M110" s="24">
        <f>+AL90</f>
        <v>209.46428571428572</v>
      </c>
      <c r="N110" s="24"/>
      <c r="O110" s="7" t="s">
        <v>10</v>
      </c>
      <c r="P110" s="1" t="s">
        <v>20</v>
      </c>
      <c r="R110" s="24">
        <f>+J110</f>
        <v>69.828728653535023</v>
      </c>
      <c r="S110" s="24"/>
      <c r="T110" s="1" t="s">
        <v>23</v>
      </c>
      <c r="U110" s="24">
        <f>+AB62</f>
        <v>15</v>
      </c>
      <c r="V110" s="24"/>
      <c r="W110" s="7" t="s">
        <v>10</v>
      </c>
      <c r="X110" s="24">
        <f>+AF97</f>
        <v>7.5</v>
      </c>
      <c r="Y110" s="24"/>
      <c r="Z110" s="7" t="s">
        <v>10</v>
      </c>
      <c r="AA110" s="1" t="s">
        <v>21</v>
      </c>
      <c r="AC110" s="24">
        <f>+R110</f>
        <v>69.828728653535023</v>
      </c>
      <c r="AD110" s="24"/>
      <c r="AE110" s="1" t="s">
        <v>24</v>
      </c>
      <c r="AF110" s="24">
        <f>E110*COS(J110*PI()/180)-M110*SIN(R110*PI()/180)+U110*X110*COS(AC110*PI()/180)</f>
        <v>-247.17735654780051</v>
      </c>
      <c r="AG110" s="24"/>
      <c r="AH110" s="1" t="s">
        <v>0</v>
      </c>
      <c r="BJ110" s="3"/>
    </row>
    <row r="111" spans="2:62" ht="11.25" customHeight="1">
      <c r="B111" s="2"/>
      <c r="C111" s="1" t="s">
        <v>78</v>
      </c>
      <c r="E111" s="24">
        <f>-AH95</f>
        <v>-259.125</v>
      </c>
      <c r="F111" s="24"/>
      <c r="G111" s="7" t="s">
        <v>10</v>
      </c>
      <c r="H111" s="1" t="s">
        <v>20</v>
      </c>
      <c r="J111" s="24">
        <f>+J110</f>
        <v>69.828728653535023</v>
      </c>
      <c r="K111" s="24"/>
      <c r="L111" s="1" t="s">
        <v>23</v>
      </c>
      <c r="M111" s="24">
        <f>+AL90</f>
        <v>209.46428571428572</v>
      </c>
      <c r="N111" s="24"/>
      <c r="O111" s="7" t="s">
        <v>10</v>
      </c>
      <c r="P111" s="1" t="s">
        <v>21</v>
      </c>
      <c r="R111" s="24">
        <f>+J111</f>
        <v>69.828728653535023</v>
      </c>
      <c r="S111" s="24"/>
      <c r="T111" s="1" t="s">
        <v>23</v>
      </c>
      <c r="U111" s="24">
        <f>+U110</f>
        <v>15</v>
      </c>
      <c r="V111" s="24"/>
      <c r="W111" s="7" t="s">
        <v>10</v>
      </c>
      <c r="X111" s="24">
        <f>+X110</f>
        <v>7.5</v>
      </c>
      <c r="Y111" s="24"/>
      <c r="Z111" s="7" t="s">
        <v>10</v>
      </c>
      <c r="AA111" s="1" t="s">
        <v>20</v>
      </c>
      <c r="AC111" s="24">
        <f>+R111</f>
        <v>69.828728653535023</v>
      </c>
      <c r="AD111" s="24"/>
      <c r="AE111" s="1" t="s">
        <v>24</v>
      </c>
      <c r="AF111" s="24">
        <f>E111*SIN(J111*PI()/180)+M111*COS(R111*PI()/180)+U111*X111*SIN(AC111*PI()/180)</f>
        <v>-65.402844164741154</v>
      </c>
      <c r="AG111" s="24"/>
      <c r="AH111" s="1" t="s">
        <v>0</v>
      </c>
      <c r="BJ111" s="3"/>
    </row>
    <row r="112" spans="2:62" ht="11.25" customHeight="1">
      <c r="B112" s="2"/>
      <c r="C112" s="1" t="s">
        <v>79</v>
      </c>
      <c r="E112" s="24">
        <f>+AH95</f>
        <v>259.125</v>
      </c>
      <c r="F112" s="24"/>
      <c r="G112" s="7" t="s">
        <v>10</v>
      </c>
      <c r="H112" s="24">
        <f>+AF97</f>
        <v>7.5</v>
      </c>
      <c r="I112" s="24"/>
      <c r="J112" s="7" t="s">
        <v>9</v>
      </c>
      <c r="K112" s="24">
        <f>+AL90</f>
        <v>209.46428571428572</v>
      </c>
      <c r="L112" s="24"/>
      <c r="M112" s="7" t="s">
        <v>10</v>
      </c>
      <c r="N112" s="24">
        <f>+H82+AK72</f>
        <v>9.1659863832243005</v>
      </c>
      <c r="O112" s="24"/>
      <c r="P112" s="7" t="s">
        <v>9</v>
      </c>
      <c r="Q112" s="24">
        <f>+AB62</f>
        <v>15</v>
      </c>
      <c r="R112" s="24"/>
      <c r="S112" s="7" t="s">
        <v>10</v>
      </c>
      <c r="T112" s="24">
        <f>+AF97</f>
        <v>7.5</v>
      </c>
      <c r="U112" s="24"/>
      <c r="V112" s="7" t="s">
        <v>10</v>
      </c>
      <c r="W112" s="24">
        <f>+T112/2</f>
        <v>3.75</v>
      </c>
      <c r="X112" s="24"/>
      <c r="Y112" s="7" t="s">
        <v>12</v>
      </c>
      <c r="Z112" s="24">
        <f>E112*H112-K112*N112-Q112*T112*W112</f>
        <v>-398.38429062894738</v>
      </c>
      <c r="AA112" s="24"/>
      <c r="AB112" s="1" t="s">
        <v>27</v>
      </c>
      <c r="BJ112" s="3"/>
    </row>
    <row r="113" spans="2:62" ht="11.25" customHeight="1">
      <c r="B113" s="2"/>
      <c r="C113" s="23" t="s">
        <v>96</v>
      </c>
      <c r="BJ113" s="3"/>
    </row>
    <row r="114" spans="2:62" ht="11.25" customHeight="1">
      <c r="B114" s="2"/>
      <c r="C114" s="1" t="s">
        <v>85</v>
      </c>
      <c r="E114" s="24">
        <f>-K95</f>
        <v>-265.875</v>
      </c>
      <c r="F114" s="24"/>
      <c r="G114" s="7" t="s">
        <v>0</v>
      </c>
      <c r="H114" s="7"/>
      <c r="I114" s="20" t="s">
        <v>86</v>
      </c>
      <c r="J114" s="7"/>
      <c r="K114" s="24">
        <f>-I90</f>
        <v>-116.46428571428571</v>
      </c>
      <c r="L114" s="24"/>
      <c r="M114" s="7" t="s">
        <v>9</v>
      </c>
      <c r="N114" s="24">
        <f>+D84</f>
        <v>10</v>
      </c>
      <c r="O114" s="24"/>
      <c r="P114" s="7" t="s">
        <v>10</v>
      </c>
      <c r="Q114" s="24">
        <f>+H82</f>
        <v>4.5</v>
      </c>
      <c r="R114" s="24"/>
      <c r="S114" s="7" t="s">
        <v>12</v>
      </c>
      <c r="T114" s="24">
        <f>+K114-N114*Q114</f>
        <v>-161.46428571428572</v>
      </c>
      <c r="U114" s="24"/>
      <c r="V114" s="20" t="s">
        <v>0</v>
      </c>
      <c r="W114" s="7"/>
      <c r="X114" s="7"/>
      <c r="Y114" s="7"/>
      <c r="Z114" s="20" t="s">
        <v>87</v>
      </c>
      <c r="AA114" s="7"/>
      <c r="AB114" s="24">
        <f>-I90</f>
        <v>-116.46428571428571</v>
      </c>
      <c r="AC114" s="24"/>
      <c r="AD114" s="7" t="s">
        <v>10</v>
      </c>
      <c r="AE114" s="24">
        <f>+H82</f>
        <v>4.5</v>
      </c>
      <c r="AF114" s="24"/>
      <c r="AG114" s="7" t="s">
        <v>9</v>
      </c>
      <c r="AH114" s="24">
        <f>+D84</f>
        <v>10</v>
      </c>
      <c r="AI114" s="24"/>
      <c r="AJ114" s="7" t="s">
        <v>10</v>
      </c>
      <c r="AK114" s="24">
        <f>+H82</f>
        <v>4.5</v>
      </c>
      <c r="AL114" s="24"/>
      <c r="AM114" s="7" t="s">
        <v>10</v>
      </c>
      <c r="AN114" s="24">
        <f>+AK114/2</f>
        <v>2.25</v>
      </c>
      <c r="AO114" s="24"/>
      <c r="AP114" s="7" t="s">
        <v>12</v>
      </c>
      <c r="AQ114" s="24">
        <f>+AB114*AE114-AH114*AK114*AN114</f>
        <v>-625.33928571428567</v>
      </c>
      <c r="AR114" s="24"/>
      <c r="AS114" s="1" t="s">
        <v>27</v>
      </c>
      <c r="BJ114" s="3"/>
    </row>
    <row r="115" spans="2:62" ht="11.25" customHeight="1">
      <c r="B115" s="2"/>
      <c r="C115" s="1" t="s">
        <v>88</v>
      </c>
      <c r="E115" s="24">
        <f>-AH95</f>
        <v>-259.125</v>
      </c>
      <c r="F115" s="24"/>
      <c r="G115" s="7" t="s">
        <v>0</v>
      </c>
      <c r="H115" s="7"/>
      <c r="I115" s="20" t="s">
        <v>89</v>
      </c>
      <c r="J115" s="7"/>
      <c r="K115" s="24">
        <f>+AL90</f>
        <v>209.46428571428572</v>
      </c>
      <c r="L115" s="24"/>
      <c r="M115" s="20" t="s">
        <v>0</v>
      </c>
      <c r="O115" s="20" t="s">
        <v>90</v>
      </c>
      <c r="P115" s="7"/>
      <c r="Q115" s="24">
        <f>-AL90</f>
        <v>-209.46428571428572</v>
      </c>
      <c r="R115" s="24"/>
      <c r="S115" s="7" t="s">
        <v>10</v>
      </c>
      <c r="T115" s="24">
        <f>+H82</f>
        <v>4.5</v>
      </c>
      <c r="U115" s="24"/>
      <c r="V115" s="7" t="s">
        <v>12</v>
      </c>
      <c r="W115" s="24">
        <f>+Q115*T115</f>
        <v>-942.58928571428578</v>
      </c>
      <c r="X115" s="24"/>
      <c r="Y115" s="1" t="s">
        <v>27</v>
      </c>
      <c r="AM115" s="7"/>
      <c r="BJ115" s="3"/>
    </row>
    <row r="116" spans="2:62" ht="11.25" customHeight="1">
      <c r="B116" s="2"/>
      <c r="E116" s="7"/>
      <c r="F116" s="7"/>
      <c r="G116" s="7"/>
      <c r="H116" s="7"/>
      <c r="I116" s="20"/>
      <c r="J116" s="7"/>
      <c r="K116" s="7"/>
      <c r="L116" s="7"/>
      <c r="M116" s="20"/>
      <c r="O116" s="20"/>
      <c r="P116" s="7"/>
      <c r="Q116" s="7"/>
      <c r="R116" s="7"/>
      <c r="S116" s="7"/>
      <c r="T116" s="7"/>
      <c r="U116" s="7"/>
      <c r="V116" s="7"/>
      <c r="W116" s="7"/>
      <c r="X116" s="7"/>
      <c r="AM116" s="7"/>
      <c r="BJ116" s="3"/>
    </row>
    <row r="117" spans="2:62" ht="11.25" customHeight="1">
      <c r="B117" s="2"/>
      <c r="AF117" s="18"/>
      <c r="BJ117" s="3"/>
    </row>
    <row r="118" spans="2:62" ht="11.25" customHeight="1">
      <c r="B118" s="2"/>
      <c r="H118" s="12" t="s">
        <v>82</v>
      </c>
      <c r="AB118" s="34">
        <v>15</v>
      </c>
      <c r="AC118" s="34"/>
      <c r="AD118" s="1" t="s">
        <v>3</v>
      </c>
      <c r="AF118" s="18"/>
      <c r="BJ118" s="3"/>
    </row>
    <row r="119" spans="2:62" ht="11.25" customHeight="1">
      <c r="B119" s="2"/>
      <c r="Q119" s="34">
        <v>20</v>
      </c>
      <c r="R119" s="34"/>
      <c r="S119" s="1" t="s">
        <v>3</v>
      </c>
      <c r="AF119" s="18"/>
      <c r="BJ119" s="3"/>
    </row>
    <row r="120" spans="2:62" ht="11.25" customHeight="1">
      <c r="B120" s="2"/>
      <c r="AF120" s="18"/>
      <c r="BJ120" s="3"/>
    </row>
    <row r="121" spans="2:62" ht="11.25" customHeight="1">
      <c r="B121" s="2"/>
      <c r="AF121" s="18"/>
      <c r="BJ121" s="3"/>
    </row>
    <row r="122" spans="2:62" ht="11.25" customHeight="1">
      <c r="B122" s="2"/>
      <c r="W122" s="1" t="s">
        <v>18</v>
      </c>
      <c r="AF122" s="18"/>
      <c r="BJ122" s="3"/>
    </row>
    <row r="123" spans="2:62" ht="11.25" customHeight="1">
      <c r="B123" s="2"/>
      <c r="G123" s="24">
        <f>X129-SQRT(X129^2-T140^2)</f>
        <v>1.9494318263338712</v>
      </c>
      <c r="H123" s="24"/>
      <c r="I123" s="75" t="s">
        <v>1</v>
      </c>
      <c r="AF123" s="18"/>
      <c r="AI123" s="24">
        <f>X129-SQRT(X129^2-Z140^2)</f>
        <v>0.84396020285046802</v>
      </c>
      <c r="AJ123" s="24"/>
      <c r="AK123" s="75" t="s">
        <v>1</v>
      </c>
      <c r="AL123" s="5" t="s">
        <v>1</v>
      </c>
      <c r="BJ123" s="3"/>
    </row>
    <row r="124" spans="2:62" ht="11.25" customHeight="1">
      <c r="B124" s="2"/>
      <c r="G124" s="24"/>
      <c r="H124" s="24"/>
      <c r="I124" s="75"/>
      <c r="Q124" s="1" t="s">
        <v>17</v>
      </c>
      <c r="AD124" s="7" t="s">
        <v>30</v>
      </c>
      <c r="AF124" s="18"/>
      <c r="AI124" s="24"/>
      <c r="AJ124" s="24"/>
      <c r="AK124" s="75"/>
      <c r="AL124" s="37">
        <f>X129-AB138*TAN(AA136*PI()/180)</f>
        <v>3.609920066328268</v>
      </c>
      <c r="BJ124" s="3"/>
    </row>
    <row r="125" spans="2:62" ht="11.25" customHeight="1">
      <c r="B125" s="2"/>
      <c r="AF125" s="18"/>
      <c r="AL125" s="37"/>
      <c r="AN125" s="5" t="s">
        <v>1</v>
      </c>
      <c r="BJ125" s="3"/>
    </row>
    <row r="126" spans="2:62" ht="11.25" customHeight="1">
      <c r="B126" s="2"/>
      <c r="H126" s="5" t="s">
        <v>1</v>
      </c>
      <c r="AF126" s="18"/>
      <c r="AJ126" s="5" t="s">
        <v>1</v>
      </c>
      <c r="AL126" s="37"/>
      <c r="AN126" s="38">
        <v>6</v>
      </c>
      <c r="BJ126" s="3"/>
    </row>
    <row r="127" spans="2:62" ht="11.25" customHeight="1">
      <c r="B127" s="2"/>
      <c r="H127" s="37">
        <f>+AN126-G123</f>
        <v>4.0505681736661288</v>
      </c>
      <c r="V127" s="1" t="s">
        <v>76</v>
      </c>
      <c r="AF127" s="18"/>
      <c r="AJ127" s="37">
        <f>+AN126-AI123</f>
        <v>5.156039797149532</v>
      </c>
      <c r="AL127" s="5" t="s">
        <v>1</v>
      </c>
      <c r="AN127" s="38"/>
      <c r="BJ127" s="3"/>
    </row>
    <row r="128" spans="2:62" ht="11.25" customHeight="1">
      <c r="B128" s="2"/>
      <c r="H128" s="37"/>
      <c r="AF128" s="18"/>
      <c r="AJ128" s="37"/>
      <c r="AL128" s="37">
        <f>+AN126-AL124</f>
        <v>2.390079933671732</v>
      </c>
      <c r="AN128" s="38"/>
      <c r="BJ128" s="3"/>
    </row>
    <row r="129" spans="2:62" ht="11.25" customHeight="1">
      <c r="B129" s="2"/>
      <c r="H129" s="37"/>
      <c r="W129" s="1" t="s">
        <v>2</v>
      </c>
      <c r="X129" s="24">
        <f>(W142^2+4*AN126^2)/(8*AN126)</f>
        <v>21.75</v>
      </c>
      <c r="Y129" s="24"/>
      <c r="Z129" s="1" t="s">
        <v>1</v>
      </c>
      <c r="AF129" s="18"/>
      <c r="AJ129" s="37"/>
      <c r="AL129" s="37"/>
      <c r="BJ129" s="3"/>
    </row>
    <row r="130" spans="2:62" ht="11.25" customHeight="1">
      <c r="B130" s="2"/>
      <c r="AF130" s="18"/>
      <c r="AL130" s="37"/>
      <c r="BJ130" s="3"/>
    </row>
    <row r="131" spans="2:62" ht="11.25" customHeight="1">
      <c r="B131" s="2"/>
      <c r="G131" s="1" t="s">
        <v>5</v>
      </c>
      <c r="I131" s="24">
        <v>0</v>
      </c>
      <c r="J131" s="24"/>
      <c r="K131" s="1" t="s">
        <v>0</v>
      </c>
      <c r="AF131" s="18"/>
      <c r="AH131" s="1" t="s">
        <v>33</v>
      </c>
      <c r="BJ131" s="3"/>
    </row>
    <row r="132" spans="2:62" ht="11.25" customHeight="1">
      <c r="B132" s="2"/>
      <c r="AF132" s="18"/>
      <c r="BJ132" s="3"/>
    </row>
    <row r="133" spans="2:62" ht="11.25" customHeight="1">
      <c r="B133" s="2"/>
      <c r="AF133" s="18"/>
      <c r="BJ133" s="3"/>
    </row>
    <row r="134" spans="2:62" ht="11.25" customHeight="1">
      <c r="B134" s="2"/>
      <c r="AF134" s="18"/>
      <c r="BJ134" s="3"/>
    </row>
    <row r="135" spans="2:62" ht="11.25" customHeight="1">
      <c r="B135" s="2"/>
      <c r="U135" s="24">
        <f>ACOS(T140/X129)*180/PI()</f>
        <v>65.556664572302608</v>
      </c>
      <c r="V135" s="24"/>
      <c r="W135" s="8" t="s">
        <v>8</v>
      </c>
      <c r="Z135" s="24">
        <f>ACOS(Z140/X129)*180/PI()</f>
        <v>73.986605576051502</v>
      </c>
      <c r="AA135" s="24"/>
      <c r="AB135" s="8" t="s">
        <v>8</v>
      </c>
      <c r="AF135" s="18"/>
      <c r="BJ135" s="3"/>
    </row>
    <row r="136" spans="2:62" ht="11.25" customHeight="1">
      <c r="B136" s="2"/>
      <c r="I136" s="1" t="s">
        <v>4</v>
      </c>
      <c r="K136" s="24">
        <f>+AJ145</f>
        <v>281.25</v>
      </c>
      <c r="L136" s="24"/>
      <c r="M136" s="1" t="s">
        <v>0</v>
      </c>
      <c r="S136" s="24">
        <f>ACOS(R138/X129)*180/PI()</f>
        <v>56.514623377007531</v>
      </c>
      <c r="T136" s="24"/>
      <c r="U136" s="8" t="s">
        <v>8</v>
      </c>
      <c r="AA136" s="24">
        <f>+S136</f>
        <v>56.514623377007531</v>
      </c>
      <c r="AB136" s="24"/>
      <c r="AC136" s="8" t="s">
        <v>8</v>
      </c>
      <c r="AF136" s="1" t="s">
        <v>7</v>
      </c>
      <c r="AH136" s="24">
        <f>+AD146</f>
        <v>243.75</v>
      </c>
      <c r="AI136" s="24"/>
      <c r="AJ136" s="1" t="s">
        <v>0</v>
      </c>
      <c r="BJ136" s="3"/>
    </row>
    <row r="137" spans="2:62" ht="11.25" customHeight="1">
      <c r="B137" s="2"/>
      <c r="AF137" s="18"/>
      <c r="BJ137" s="3"/>
    </row>
    <row r="138" spans="2:62" ht="11.25" customHeight="1">
      <c r="B138" s="2"/>
      <c r="M138" s="34">
        <v>3</v>
      </c>
      <c r="N138" s="34"/>
      <c r="O138" s="1" t="s">
        <v>1</v>
      </c>
      <c r="R138" s="24">
        <f>+W142/2-M138</f>
        <v>12</v>
      </c>
      <c r="S138" s="24"/>
      <c r="T138" s="1" t="s">
        <v>1</v>
      </c>
      <c r="AB138" s="24">
        <f>+W142/2-AG138</f>
        <v>12</v>
      </c>
      <c r="AC138" s="24"/>
      <c r="AD138" s="1" t="s">
        <v>1</v>
      </c>
      <c r="AF138" s="18"/>
      <c r="AG138" s="24">
        <f>+M138</f>
        <v>3</v>
      </c>
      <c r="AH138" s="24"/>
      <c r="AI138" s="1" t="s">
        <v>1</v>
      </c>
      <c r="BJ138" s="3"/>
    </row>
    <row r="139" spans="2:62" ht="11.25" customHeight="1">
      <c r="B139" s="2"/>
      <c r="AF139" s="18"/>
      <c r="BJ139" s="3"/>
    </row>
    <row r="140" spans="2:62" ht="11.25" customHeight="1">
      <c r="B140" s="2"/>
      <c r="N140" s="34">
        <v>6</v>
      </c>
      <c r="O140" s="34"/>
      <c r="P140" s="1" t="s">
        <v>1</v>
      </c>
      <c r="T140" s="24">
        <f>+W142/2-N140</f>
        <v>9</v>
      </c>
      <c r="U140" s="24"/>
      <c r="V140" s="1" t="s">
        <v>1</v>
      </c>
      <c r="Z140" s="24">
        <f>+W142/2-AF140</f>
        <v>6</v>
      </c>
      <c r="AA140" s="24"/>
      <c r="AB140" s="1" t="s">
        <v>1</v>
      </c>
      <c r="AF140" s="74">
        <v>9</v>
      </c>
      <c r="AG140" s="74"/>
      <c r="AH140" s="1" t="s">
        <v>1</v>
      </c>
      <c r="BJ140" s="3"/>
    </row>
    <row r="141" spans="2:62" ht="11.25" customHeight="1">
      <c r="B141" s="2"/>
      <c r="AF141" s="18"/>
      <c r="BJ141" s="3"/>
    </row>
    <row r="142" spans="2:62" ht="11.25" customHeight="1">
      <c r="B142" s="2"/>
      <c r="W142" s="34">
        <v>30</v>
      </c>
      <c r="X142" s="34"/>
      <c r="Y142" s="1" t="s">
        <v>1</v>
      </c>
      <c r="AF142" s="18"/>
      <c r="BJ142" s="3"/>
    </row>
    <row r="143" spans="2:62" ht="11.25" customHeight="1">
      <c r="B143" s="2"/>
      <c r="AF143" s="18"/>
      <c r="BJ143" s="3"/>
    </row>
    <row r="144" spans="2:62" ht="11.25" customHeight="1">
      <c r="B144" s="2"/>
      <c r="G144" s="4" t="s">
        <v>28</v>
      </c>
      <c r="BJ144" s="3"/>
    </row>
    <row r="145" spans="2:62" ht="11.25" customHeight="1">
      <c r="B145" s="2"/>
      <c r="G145" s="1" t="s">
        <v>11</v>
      </c>
      <c r="I145" s="24">
        <f>+W142</f>
        <v>30</v>
      </c>
      <c r="J145" s="24"/>
      <c r="K145" s="7" t="s">
        <v>9</v>
      </c>
      <c r="L145" s="24">
        <f>+Q119</f>
        <v>20</v>
      </c>
      <c r="M145" s="24"/>
      <c r="N145" s="7" t="s">
        <v>10</v>
      </c>
      <c r="O145" s="24">
        <f>+W142/2</f>
        <v>15</v>
      </c>
      <c r="P145" s="24"/>
      <c r="Q145" s="7" t="s">
        <v>10</v>
      </c>
      <c r="R145" s="24">
        <f>+W142/2+W142/2/2</f>
        <v>22.5</v>
      </c>
      <c r="S145" s="24"/>
      <c r="T145" s="7" t="s">
        <v>9</v>
      </c>
      <c r="U145" s="24">
        <f>+AB118</f>
        <v>15</v>
      </c>
      <c r="V145" s="24"/>
      <c r="W145" s="7" t="s">
        <v>10</v>
      </c>
      <c r="X145" s="24">
        <f>+W142/2</f>
        <v>15</v>
      </c>
      <c r="Y145" s="24"/>
      <c r="Z145" s="7" t="s">
        <v>10</v>
      </c>
      <c r="AA145" s="24">
        <f>+X145/2</f>
        <v>7.5</v>
      </c>
      <c r="AB145" s="24"/>
      <c r="AC145" s="7" t="s">
        <v>12</v>
      </c>
      <c r="AD145" s="1">
        <v>0</v>
      </c>
      <c r="AH145" s="1" t="s">
        <v>4</v>
      </c>
      <c r="AJ145" s="24">
        <f>(L145*O145*R145+U145*X145*AA145)/I145</f>
        <v>281.25</v>
      </c>
      <c r="AK145" s="24"/>
      <c r="AL145" s="1" t="s">
        <v>0</v>
      </c>
      <c r="BJ145" s="3"/>
    </row>
    <row r="146" spans="2:62" ht="11.25" customHeight="1">
      <c r="B146" s="2"/>
      <c r="G146" s="1" t="s">
        <v>13</v>
      </c>
      <c r="I146" s="24">
        <f>+AJ145</f>
        <v>281.25</v>
      </c>
      <c r="J146" s="24"/>
      <c r="K146" s="7" t="s">
        <v>9</v>
      </c>
      <c r="L146" s="24">
        <f>+Q119</f>
        <v>20</v>
      </c>
      <c r="M146" s="24"/>
      <c r="N146" s="7" t="s">
        <v>10</v>
      </c>
      <c r="O146" s="24">
        <f>+W142/2</f>
        <v>15</v>
      </c>
      <c r="P146" s="24"/>
      <c r="Q146" s="7" t="s">
        <v>9</v>
      </c>
      <c r="R146" s="24">
        <f>+AB118</f>
        <v>15</v>
      </c>
      <c r="S146" s="24"/>
      <c r="T146" s="7" t="s">
        <v>10</v>
      </c>
      <c r="U146" s="24">
        <f>+W142/2</f>
        <v>15</v>
      </c>
      <c r="V146" s="24"/>
      <c r="W146" s="7" t="s">
        <v>12</v>
      </c>
      <c r="X146" s="1">
        <v>0</v>
      </c>
      <c r="AB146" s="1" t="s">
        <v>7</v>
      </c>
      <c r="AD146" s="24">
        <f>L146*O146+R146*U146-I146</f>
        <v>243.75</v>
      </c>
      <c r="AE146" s="24"/>
      <c r="AF146" s="1" t="s">
        <v>0</v>
      </c>
      <c r="BJ146" s="3"/>
    </row>
    <row r="147" spans="2:62" ht="11.25" customHeight="1">
      <c r="B147" s="2"/>
      <c r="G147" s="7" t="s">
        <v>73</v>
      </c>
      <c r="H147" s="7" t="s">
        <v>10</v>
      </c>
      <c r="I147" s="24">
        <f>+AL124</f>
        <v>3.609920066328268</v>
      </c>
      <c r="J147" s="24"/>
      <c r="K147" s="7" t="s">
        <v>9</v>
      </c>
      <c r="L147" s="24">
        <f>+AH136</f>
        <v>243.75</v>
      </c>
      <c r="M147" s="24"/>
      <c r="N147" s="7" t="s">
        <v>10</v>
      </c>
      <c r="O147" s="24">
        <f>+W142/2</f>
        <v>15</v>
      </c>
      <c r="P147" s="24"/>
      <c r="Q147" s="7" t="s">
        <v>15</v>
      </c>
      <c r="R147" s="24">
        <f>+AB118</f>
        <v>15</v>
      </c>
      <c r="S147" s="24"/>
      <c r="T147" s="7" t="s">
        <v>10</v>
      </c>
      <c r="U147" s="24">
        <f>+W142/2</f>
        <v>15</v>
      </c>
      <c r="V147" s="24"/>
      <c r="W147" s="7" t="s">
        <v>10</v>
      </c>
      <c r="X147" s="24">
        <f>+U147/2</f>
        <v>7.5</v>
      </c>
      <c r="Y147" s="24"/>
      <c r="Z147" s="7" t="s">
        <v>12</v>
      </c>
      <c r="AA147" s="1">
        <v>0</v>
      </c>
      <c r="AE147" s="1" t="s">
        <v>74</v>
      </c>
      <c r="AG147" s="24">
        <f>(L147*O147-R147*U147*X147)/I147</f>
        <v>545.37218659316761</v>
      </c>
      <c r="AH147" s="24"/>
      <c r="AI147" s="1" t="s">
        <v>80</v>
      </c>
      <c r="AJ147" s="18"/>
      <c r="BJ147" s="3"/>
    </row>
    <row r="148" spans="2:62" ht="11.25" customHeight="1">
      <c r="B148" s="2"/>
      <c r="G148" s="1" t="s">
        <v>75</v>
      </c>
      <c r="AJ148" s="18"/>
      <c r="BJ148" s="3"/>
    </row>
    <row r="149" spans="2:62" ht="11.25" customHeight="1">
      <c r="B149" s="2"/>
      <c r="G149" s="4" t="s">
        <v>29</v>
      </c>
      <c r="AJ149" s="18"/>
      <c r="BJ149" s="3"/>
    </row>
    <row r="150" spans="2:62" ht="11.25" customHeight="1">
      <c r="B150" s="2"/>
      <c r="G150" s="1" t="s">
        <v>19</v>
      </c>
      <c r="I150" s="24">
        <f>-K136</f>
        <v>-281.25</v>
      </c>
      <c r="J150" s="24"/>
      <c r="K150" s="7" t="s">
        <v>10</v>
      </c>
      <c r="L150" s="1" t="s">
        <v>21</v>
      </c>
      <c r="N150" s="24">
        <f>+U135</f>
        <v>65.556664572302608</v>
      </c>
      <c r="O150" s="24"/>
      <c r="P150" s="1" t="s">
        <v>22</v>
      </c>
      <c r="Q150" s="24">
        <f>IF(M138&lt;=N140,+AG147,0)</f>
        <v>545.37218659316761</v>
      </c>
      <c r="R150" s="24"/>
      <c r="S150" s="7" t="s">
        <v>10</v>
      </c>
      <c r="T150" s="1" t="s">
        <v>20</v>
      </c>
      <c r="V150" s="24">
        <f>+N150</f>
        <v>65.556664572302608</v>
      </c>
      <c r="W150" s="24"/>
      <c r="X150" s="1" t="s">
        <v>23</v>
      </c>
      <c r="Y150" s="24">
        <f>+Q119</f>
        <v>20</v>
      </c>
      <c r="Z150" s="24"/>
      <c r="AA150" s="7" t="s">
        <v>10</v>
      </c>
      <c r="AB150" s="24">
        <f>+N140</f>
        <v>6</v>
      </c>
      <c r="AC150" s="24"/>
      <c r="AD150" s="7" t="s">
        <v>10</v>
      </c>
      <c r="AE150" s="1" t="s">
        <v>21</v>
      </c>
      <c r="AG150" s="24">
        <f>+V150</f>
        <v>65.556664572302608</v>
      </c>
      <c r="AH150" s="24"/>
      <c r="AI150" s="1" t="s">
        <v>24</v>
      </c>
      <c r="AJ150" s="24">
        <f>I150*COS(N150*PI()/180)-Q150*SIN(V150*PI()/180)+Y150*AB150*COS(AG150*PI()/180)</f>
        <v>-563.21513382341971</v>
      </c>
      <c r="AK150" s="24"/>
      <c r="AL150" s="1" t="s">
        <v>0</v>
      </c>
      <c r="BJ150" s="3"/>
    </row>
    <row r="151" spans="2:62" ht="11.25" customHeight="1">
      <c r="B151" s="2"/>
      <c r="G151" s="1" t="s">
        <v>25</v>
      </c>
      <c r="I151" s="24">
        <f>+K136</f>
        <v>281.25</v>
      </c>
      <c r="J151" s="24"/>
      <c r="K151" s="7" t="s">
        <v>10</v>
      </c>
      <c r="L151" s="1" t="s">
        <v>20</v>
      </c>
      <c r="N151" s="24">
        <f>+N150</f>
        <v>65.556664572302608</v>
      </c>
      <c r="O151" s="24"/>
      <c r="P151" s="1" t="s">
        <v>22</v>
      </c>
      <c r="Q151" s="24">
        <f>+Q150</f>
        <v>545.37218659316761</v>
      </c>
      <c r="R151" s="24"/>
      <c r="S151" s="7" t="s">
        <v>10</v>
      </c>
      <c r="T151" s="1" t="s">
        <v>21</v>
      </c>
      <c r="V151" s="24">
        <f>+N151</f>
        <v>65.556664572302608</v>
      </c>
      <c r="W151" s="24"/>
      <c r="X151" s="1" t="s">
        <v>22</v>
      </c>
      <c r="Y151" s="24">
        <f>+Y150</f>
        <v>20</v>
      </c>
      <c r="Z151" s="24"/>
      <c r="AA151" s="7" t="s">
        <v>10</v>
      </c>
      <c r="AB151" s="24">
        <f>+AB150</f>
        <v>6</v>
      </c>
      <c r="AC151" s="24"/>
      <c r="AD151" s="7" t="s">
        <v>10</v>
      </c>
      <c r="AE151" s="1" t="s">
        <v>20</v>
      </c>
      <c r="AG151" s="24">
        <f>+V151</f>
        <v>65.556664572302608</v>
      </c>
      <c r="AH151" s="24"/>
      <c r="AI151" s="1" t="s">
        <v>24</v>
      </c>
      <c r="AJ151" s="24">
        <f>I151*SIN(N151*PI()/180)-Q151*COS(V151*PI()/180)-Y151*AB151*SIN(AG151*PI()/180)</f>
        <v>-78.873933854475766</v>
      </c>
      <c r="AK151" s="24"/>
      <c r="AL151" s="1" t="s">
        <v>0</v>
      </c>
      <c r="BJ151" s="3"/>
    </row>
    <row r="152" spans="2:62" ht="11.25" customHeight="1">
      <c r="B152" s="2"/>
      <c r="G152" s="1" t="s">
        <v>26</v>
      </c>
      <c r="I152" s="24">
        <f>+K136</f>
        <v>281.25</v>
      </c>
      <c r="J152" s="24"/>
      <c r="K152" s="7" t="s">
        <v>10</v>
      </c>
      <c r="L152" s="24">
        <f>+N140</f>
        <v>6</v>
      </c>
      <c r="M152" s="24"/>
      <c r="N152" s="7" t="s">
        <v>9</v>
      </c>
      <c r="O152" s="24">
        <f>+Q151</f>
        <v>545.37218659316761</v>
      </c>
      <c r="P152" s="24"/>
      <c r="Q152" s="7" t="s">
        <v>10</v>
      </c>
      <c r="R152" s="24">
        <f>+H127-AL128</f>
        <v>1.6604882399943968</v>
      </c>
      <c r="S152" s="24"/>
      <c r="T152" s="7" t="s">
        <v>9</v>
      </c>
      <c r="U152" s="24">
        <f>+Q119</f>
        <v>20</v>
      </c>
      <c r="V152" s="24"/>
      <c r="W152" s="7" t="s">
        <v>10</v>
      </c>
      <c r="X152" s="24">
        <f>+N140</f>
        <v>6</v>
      </c>
      <c r="Y152" s="24"/>
      <c r="Z152" s="7" t="s">
        <v>10</v>
      </c>
      <c r="AA152" s="24">
        <f>+X152/2</f>
        <v>3</v>
      </c>
      <c r="AB152" s="24"/>
      <c r="AC152" s="7" t="s">
        <v>12</v>
      </c>
      <c r="AD152" s="24">
        <f>I152*L152-O152*R152-U152*X152*AA152</f>
        <v>421.91589774201532</v>
      </c>
      <c r="AE152" s="24"/>
      <c r="AF152" s="1" t="s">
        <v>27</v>
      </c>
      <c r="BJ152" s="3"/>
    </row>
    <row r="153" spans="2:62" ht="11.25" customHeight="1">
      <c r="B153" s="2"/>
      <c r="G153" s="1" t="s">
        <v>77</v>
      </c>
      <c r="I153" s="24">
        <f>-AH136</f>
        <v>-243.75</v>
      </c>
      <c r="J153" s="24"/>
      <c r="K153" s="7" t="s">
        <v>10</v>
      </c>
      <c r="L153" s="1" t="s">
        <v>21</v>
      </c>
      <c r="N153" s="24">
        <f>+Z135</f>
        <v>73.986605576051502</v>
      </c>
      <c r="O153" s="24"/>
      <c r="P153" s="1" t="s">
        <v>22</v>
      </c>
      <c r="Q153" s="24">
        <f>IF(AG138&lt;=AF140,+O152,0)</f>
        <v>545.37218659316761</v>
      </c>
      <c r="R153" s="24"/>
      <c r="S153" s="7" t="s">
        <v>10</v>
      </c>
      <c r="T153" s="1" t="s">
        <v>20</v>
      </c>
      <c r="V153" s="24">
        <f>+N153</f>
        <v>73.986605576051502</v>
      </c>
      <c r="W153" s="24"/>
      <c r="X153" s="1" t="s">
        <v>23</v>
      </c>
      <c r="Y153" s="24">
        <f>+AB118</f>
        <v>15</v>
      </c>
      <c r="Z153" s="24"/>
      <c r="AA153" s="7" t="s">
        <v>10</v>
      </c>
      <c r="AB153" s="24">
        <f>+AF140</f>
        <v>9</v>
      </c>
      <c r="AC153" s="24"/>
      <c r="AD153" s="7" t="s">
        <v>10</v>
      </c>
      <c r="AE153" s="1" t="s">
        <v>21</v>
      </c>
      <c r="AG153" s="24">
        <f>+V153</f>
        <v>73.986605576051502</v>
      </c>
      <c r="AH153" s="24"/>
      <c r="AI153" s="1" t="s">
        <v>24</v>
      </c>
      <c r="AJ153" s="24">
        <f>I153*COS(N153*PI()/180)-Q153*SIN(V153*PI()/180)+Y153*AB153*COS(AG153*PI()/180)</f>
        <v>-554.21023619196421</v>
      </c>
      <c r="AK153" s="24"/>
      <c r="AL153" s="1" t="s">
        <v>0</v>
      </c>
      <c r="BJ153" s="3"/>
    </row>
    <row r="154" spans="2:62" ht="11.25" customHeight="1">
      <c r="B154" s="2"/>
      <c r="G154" s="1" t="s">
        <v>78</v>
      </c>
      <c r="I154" s="24">
        <f>-AH136</f>
        <v>-243.75</v>
      </c>
      <c r="J154" s="24"/>
      <c r="K154" s="7" t="s">
        <v>10</v>
      </c>
      <c r="L154" s="1" t="s">
        <v>20</v>
      </c>
      <c r="N154" s="24">
        <f>+N153</f>
        <v>73.986605576051502</v>
      </c>
      <c r="O154" s="24"/>
      <c r="P154" s="1" t="s">
        <v>23</v>
      </c>
      <c r="Q154" s="24">
        <f>+Q153</f>
        <v>545.37218659316761</v>
      </c>
      <c r="R154" s="24"/>
      <c r="S154" s="7" t="s">
        <v>10</v>
      </c>
      <c r="T154" s="1" t="s">
        <v>21</v>
      </c>
      <c r="V154" s="24">
        <f>+N154</f>
        <v>73.986605576051502</v>
      </c>
      <c r="W154" s="24"/>
      <c r="X154" s="1" t="s">
        <v>23</v>
      </c>
      <c r="Y154" s="24">
        <f>+Y153</f>
        <v>15</v>
      </c>
      <c r="Z154" s="24"/>
      <c r="AA154" s="7" t="s">
        <v>10</v>
      </c>
      <c r="AB154" s="24">
        <f>+AB153</f>
        <v>9</v>
      </c>
      <c r="AC154" s="24"/>
      <c r="AD154" s="7" t="s">
        <v>10</v>
      </c>
      <c r="AE154" s="1" t="s">
        <v>20</v>
      </c>
      <c r="AG154" s="24">
        <f>+V154</f>
        <v>73.986605576051502</v>
      </c>
      <c r="AH154" s="24"/>
      <c r="AI154" s="1" t="s">
        <v>24</v>
      </c>
      <c r="AJ154" s="24">
        <f>I154*SIN(N154*PI()/180)+Q154*COS(V154*PI()/180)+Y154*AB154*SIN(AG154*PI()/180)</f>
        <v>45.917300764091692</v>
      </c>
      <c r="AK154" s="24"/>
      <c r="AL154" s="1" t="s">
        <v>0</v>
      </c>
      <c r="BJ154" s="3"/>
    </row>
    <row r="155" spans="2:62" ht="11.25" customHeight="1">
      <c r="B155" s="2"/>
      <c r="G155" s="1" t="s">
        <v>79</v>
      </c>
      <c r="I155" s="24">
        <f>+AH136</f>
        <v>243.75</v>
      </c>
      <c r="J155" s="24"/>
      <c r="K155" s="7" t="s">
        <v>10</v>
      </c>
      <c r="L155" s="24">
        <f>+AF140</f>
        <v>9</v>
      </c>
      <c r="M155" s="24"/>
      <c r="N155" s="7" t="s">
        <v>9</v>
      </c>
      <c r="O155" s="24">
        <f>+Q154</f>
        <v>545.37218659316761</v>
      </c>
      <c r="P155" s="24"/>
      <c r="Q155" s="7" t="s">
        <v>10</v>
      </c>
      <c r="R155" s="24">
        <f>+AJ127-AL128</f>
        <v>2.7659598634778</v>
      </c>
      <c r="S155" s="24"/>
      <c r="T155" s="7" t="s">
        <v>9</v>
      </c>
      <c r="U155" s="24">
        <f>+AB118</f>
        <v>15</v>
      </c>
      <c r="V155" s="24"/>
      <c r="W155" s="7" t="s">
        <v>10</v>
      </c>
      <c r="X155" s="24">
        <f>+AF140</f>
        <v>9</v>
      </c>
      <c r="Y155" s="24"/>
      <c r="Z155" s="7" t="s">
        <v>10</v>
      </c>
      <c r="AA155" s="24">
        <f>+X155/2</f>
        <v>4.5</v>
      </c>
      <c r="AB155" s="24"/>
      <c r="AC155" s="7" t="s">
        <v>12</v>
      </c>
      <c r="AD155" s="24">
        <f>I155*L155-O155*R155-U155*X155*AA155</f>
        <v>77.77242122617281</v>
      </c>
      <c r="AE155" s="24"/>
      <c r="AF155" s="1" t="s">
        <v>27</v>
      </c>
      <c r="BJ155" s="3"/>
    </row>
    <row r="156" spans="2:62" ht="11.25" customHeight="1">
      <c r="B156" s="2"/>
      <c r="AF156" s="18"/>
      <c r="BJ156" s="3"/>
    </row>
    <row r="157" spans="2:62" ht="11.25" customHeight="1">
      <c r="B157" s="2"/>
      <c r="AF157" s="18"/>
      <c r="BJ157" s="3"/>
    </row>
    <row r="158" spans="2:62" ht="11.25" customHeight="1">
      <c r="B158" s="2"/>
      <c r="D158" s="12" t="s">
        <v>98</v>
      </c>
      <c r="AF158" s="18"/>
      <c r="BJ158" s="3"/>
    </row>
    <row r="159" spans="2:62" ht="11.25" customHeight="1">
      <c r="B159" s="2"/>
      <c r="Q159" s="34">
        <v>15</v>
      </c>
      <c r="R159" s="34"/>
      <c r="S159" s="1" t="s">
        <v>3</v>
      </c>
      <c r="AA159" s="34">
        <v>20</v>
      </c>
      <c r="AB159" s="34"/>
      <c r="AC159" s="1" t="s">
        <v>3</v>
      </c>
      <c r="AF159" s="18"/>
      <c r="BJ159" s="3"/>
    </row>
    <row r="160" spans="2:62" ht="11.25" customHeight="1">
      <c r="B160" s="2"/>
      <c r="BJ160" s="3"/>
    </row>
    <row r="161" spans="2:62" ht="11.25" customHeight="1">
      <c r="B161" s="2"/>
      <c r="BJ161" s="3"/>
    </row>
    <row r="162" spans="2:62" ht="11.25" customHeight="1">
      <c r="B162" s="2"/>
      <c r="H162" s="5" t="s">
        <v>1</v>
      </c>
      <c r="AN162" s="5" t="s">
        <v>1</v>
      </c>
      <c r="BJ162" s="3"/>
    </row>
    <row r="163" spans="2:62" ht="11.25" customHeight="1">
      <c r="B163" s="2"/>
      <c r="H163" s="37">
        <f>+Z169-H170</f>
        <v>1.071796769724493</v>
      </c>
      <c r="W163" s="1" t="s">
        <v>18</v>
      </c>
      <c r="AE163" s="34">
        <v>50</v>
      </c>
      <c r="AF163" s="34"/>
      <c r="AG163" s="1" t="s">
        <v>0</v>
      </c>
      <c r="AN163" s="37">
        <f>+Z169-AN170</f>
        <v>2.7084973778708195</v>
      </c>
      <c r="BJ163" s="3"/>
    </row>
    <row r="164" spans="2:62" ht="11.25" customHeight="1">
      <c r="B164" s="2"/>
      <c r="H164" s="37"/>
      <c r="AN164" s="37"/>
      <c r="BJ164" s="3"/>
    </row>
    <row r="165" spans="2:62" ht="11.25" customHeight="1">
      <c r="B165" s="2"/>
      <c r="H165" s="37"/>
      <c r="O165" s="1" t="s">
        <v>17</v>
      </c>
      <c r="AN165" s="37"/>
      <c r="BJ165" s="3"/>
    </row>
    <row r="166" spans="2:62" ht="11.25" customHeight="1">
      <c r="B166" s="2"/>
      <c r="D166" s="37" t="s">
        <v>3</v>
      </c>
      <c r="AF166" s="6" t="s">
        <v>30</v>
      </c>
      <c r="BJ166" s="3"/>
    </row>
    <row r="167" spans="2:62" ht="11.25" customHeight="1">
      <c r="B167" s="2"/>
      <c r="D167" s="37"/>
      <c r="AP167" s="5" t="s">
        <v>1</v>
      </c>
      <c r="BJ167" s="3"/>
    </row>
    <row r="168" spans="2:62" ht="11.25" customHeight="1">
      <c r="B168" s="2"/>
      <c r="D168" s="37"/>
      <c r="AP168" s="37">
        <f>+W183/2</f>
        <v>8</v>
      </c>
      <c r="BJ168" s="3"/>
    </row>
    <row r="169" spans="2:62" ht="11.25" customHeight="1">
      <c r="B169" s="2"/>
      <c r="D169" s="38">
        <v>10</v>
      </c>
      <c r="H169" s="5" t="s">
        <v>1</v>
      </c>
      <c r="Y169" s="1" t="s">
        <v>2</v>
      </c>
      <c r="Z169" s="24">
        <f>+W183/2</f>
        <v>8</v>
      </c>
      <c r="AA169" s="24"/>
      <c r="AB169" s="1" t="s">
        <v>1</v>
      </c>
      <c r="AN169" s="5" t="s">
        <v>1</v>
      </c>
      <c r="AP169" s="37"/>
      <c r="BJ169" s="3"/>
    </row>
    <row r="170" spans="2:62" ht="11.25" customHeight="1">
      <c r="B170" s="2"/>
      <c r="D170" s="38"/>
      <c r="H170" s="37">
        <f>S181*TAN(T175*PI()/180)</f>
        <v>6.928203230275507</v>
      </c>
      <c r="AN170" s="37">
        <f>Z181*TAN(Z175*PI()/180)</f>
        <v>5.2915026221291805</v>
      </c>
      <c r="AP170" s="37"/>
      <c r="BJ170" s="3"/>
    </row>
    <row r="171" spans="2:62" ht="11.25" customHeight="1">
      <c r="B171" s="2"/>
      <c r="D171" s="38"/>
      <c r="H171" s="37"/>
      <c r="AN171" s="37"/>
      <c r="BJ171" s="3"/>
    </row>
    <row r="172" spans="2:62" ht="11.25" customHeight="1">
      <c r="B172" s="2"/>
      <c r="H172" s="37"/>
      <c r="AN172" s="37"/>
      <c r="BJ172" s="3"/>
    </row>
    <row r="173" spans="2:62" ht="11.25" customHeight="1">
      <c r="B173" s="2"/>
      <c r="BJ173" s="3"/>
    </row>
    <row r="174" spans="2:62" ht="11.25" customHeight="1">
      <c r="B174" s="2"/>
      <c r="BJ174" s="3"/>
    </row>
    <row r="175" spans="2:62" ht="11.25" customHeight="1">
      <c r="B175" s="2"/>
      <c r="G175" s="1" t="s">
        <v>5</v>
      </c>
      <c r="I175" s="24">
        <f>+T189</f>
        <v>80</v>
      </c>
      <c r="J175" s="24"/>
      <c r="K175" s="1" t="s">
        <v>0</v>
      </c>
      <c r="P175" s="1" t="s">
        <v>76</v>
      </c>
      <c r="T175" s="24">
        <f>ACOS(S181/Z169)*180/PI()</f>
        <v>59.999999999999993</v>
      </c>
      <c r="U175" s="24"/>
      <c r="V175" s="8" t="s">
        <v>8</v>
      </c>
      <c r="Z175" s="24">
        <f>ACOS(Z181/Z169)*180/PI()</f>
        <v>41.409622109270856</v>
      </c>
      <c r="AA175" s="24"/>
      <c r="AB175" s="8" t="s">
        <v>8</v>
      </c>
      <c r="AH175" s="1" t="s">
        <v>33</v>
      </c>
      <c r="BJ175" s="3"/>
    </row>
    <row r="176" spans="2:62" ht="11.25" customHeight="1">
      <c r="B176" s="2"/>
      <c r="BJ176" s="3"/>
    </row>
    <row r="177" spans="2:62" ht="11.25" customHeight="1">
      <c r="B177" s="2"/>
      <c r="BJ177" s="3"/>
    </row>
    <row r="178" spans="2:62" ht="11.25" customHeight="1">
      <c r="B178" s="2"/>
      <c r="BJ178" s="3"/>
    </row>
    <row r="179" spans="2:62" ht="11.25" customHeight="1">
      <c r="B179" s="2"/>
      <c r="BJ179" s="3"/>
    </row>
    <row r="180" spans="2:62" ht="11.25" customHeight="1">
      <c r="B180" s="2"/>
      <c r="I180" s="1" t="s">
        <v>4</v>
      </c>
      <c r="K180" s="24">
        <f>+AX186</f>
        <v>116.25</v>
      </c>
      <c r="L180" s="24"/>
      <c r="M180" s="1" t="s">
        <v>0</v>
      </c>
      <c r="AF180" s="1" t="s">
        <v>7</v>
      </c>
      <c r="AH180" s="24">
        <f>+AF187</f>
        <v>213.75</v>
      </c>
      <c r="AI180" s="24"/>
      <c r="AJ180" s="1" t="s">
        <v>0</v>
      </c>
      <c r="BJ180" s="3"/>
    </row>
    <row r="181" spans="2:62" ht="11.25" customHeight="1">
      <c r="B181" s="2"/>
      <c r="M181" s="34">
        <v>4</v>
      </c>
      <c r="N181" s="34"/>
      <c r="O181" s="1" t="s">
        <v>1</v>
      </c>
      <c r="S181" s="24">
        <f>+W183/2-M181</f>
        <v>4</v>
      </c>
      <c r="T181" s="24"/>
      <c r="U181" s="1" t="s">
        <v>1</v>
      </c>
      <c r="Z181" s="24">
        <f>+W183/2-AF181</f>
        <v>6</v>
      </c>
      <c r="AA181" s="24"/>
      <c r="AB181" s="1" t="s">
        <v>1</v>
      </c>
      <c r="AF181" s="34">
        <v>2</v>
      </c>
      <c r="AG181" s="34"/>
      <c r="AH181" s="1" t="s">
        <v>1</v>
      </c>
      <c r="BJ181" s="3"/>
    </row>
    <row r="182" spans="2:62" ht="11.25" customHeight="1">
      <c r="B182" s="2"/>
      <c r="BJ182" s="3"/>
    </row>
    <row r="183" spans="2:62" ht="11.25" customHeight="1">
      <c r="B183" s="2"/>
      <c r="W183" s="34">
        <v>16</v>
      </c>
      <c r="X183" s="34"/>
      <c r="Y183" s="1" t="s">
        <v>1</v>
      </c>
      <c r="BJ183" s="3"/>
    </row>
    <row r="184" spans="2:62" ht="11.25" customHeight="1">
      <c r="B184" s="2"/>
      <c r="BJ184" s="3"/>
    </row>
    <row r="185" spans="2:62" ht="11.25" customHeight="1">
      <c r="B185" s="2"/>
      <c r="F185" s="4" t="s">
        <v>28</v>
      </c>
      <c r="BJ185" s="3"/>
    </row>
    <row r="186" spans="2:62" ht="11.25" customHeight="1">
      <c r="B186" s="2"/>
      <c r="F186" s="1" t="s">
        <v>11</v>
      </c>
      <c r="H186" s="24">
        <f>+W183</f>
        <v>16</v>
      </c>
      <c r="I186" s="24"/>
      <c r="J186" s="7" t="s">
        <v>9</v>
      </c>
      <c r="K186" s="24">
        <f>+Q159</f>
        <v>15</v>
      </c>
      <c r="L186" s="24"/>
      <c r="M186" s="7" t="s">
        <v>10</v>
      </c>
      <c r="N186" s="24">
        <f>+W183/2</f>
        <v>8</v>
      </c>
      <c r="O186" s="24"/>
      <c r="P186" s="7" t="s">
        <v>10</v>
      </c>
      <c r="Q186" s="24">
        <f>+W183/2+W183/2/2</f>
        <v>12</v>
      </c>
      <c r="R186" s="24"/>
      <c r="S186" s="7" t="s">
        <v>9</v>
      </c>
      <c r="T186" s="24">
        <f>+AA159</f>
        <v>20</v>
      </c>
      <c r="U186" s="24"/>
      <c r="V186" s="7" t="s">
        <v>10</v>
      </c>
      <c r="W186" s="24">
        <f>+W183/2</f>
        <v>8</v>
      </c>
      <c r="X186" s="24"/>
      <c r="Y186" s="7" t="s">
        <v>10</v>
      </c>
      <c r="Z186" s="24">
        <f>+W183/2/2</f>
        <v>4</v>
      </c>
      <c r="AA186" s="24"/>
      <c r="AB186" s="7" t="s">
        <v>9</v>
      </c>
      <c r="AC186" s="24">
        <f>+AE163</f>
        <v>50</v>
      </c>
      <c r="AD186" s="24"/>
      <c r="AE186" s="7" t="s">
        <v>10</v>
      </c>
      <c r="AF186" s="24">
        <f>+AF181</f>
        <v>2</v>
      </c>
      <c r="AG186" s="24"/>
      <c r="AH186" s="7" t="s">
        <v>15</v>
      </c>
      <c r="AI186" s="24">
        <f>+D169</f>
        <v>10</v>
      </c>
      <c r="AJ186" s="24"/>
      <c r="AK186" s="7" t="s">
        <v>10</v>
      </c>
      <c r="AL186" s="24">
        <f>+AP168</f>
        <v>8</v>
      </c>
      <c r="AM186" s="24"/>
      <c r="AN186" s="7" t="s">
        <v>10</v>
      </c>
      <c r="AO186" s="24">
        <f>+AL186/2</f>
        <v>4</v>
      </c>
      <c r="AP186" s="24"/>
      <c r="AQ186" s="7" t="s">
        <v>12</v>
      </c>
      <c r="AR186" s="1">
        <v>0</v>
      </c>
      <c r="AV186" s="1" t="s">
        <v>4</v>
      </c>
      <c r="AX186" s="24">
        <f>(K186*N186*Q186+T186*W186*Z186+AC186*AF186-AI186*AL186*AO186)/H186</f>
        <v>116.25</v>
      </c>
      <c r="AY186" s="24"/>
      <c r="AZ186" s="1" t="s">
        <v>0</v>
      </c>
      <c r="BJ186" s="3"/>
    </row>
    <row r="187" spans="2:62" ht="11.25" customHeight="1">
      <c r="B187" s="2"/>
      <c r="F187" s="1" t="s">
        <v>13</v>
      </c>
      <c r="H187" s="24">
        <f>+K180</f>
        <v>116.25</v>
      </c>
      <c r="I187" s="24"/>
      <c r="J187" s="7" t="s">
        <v>9</v>
      </c>
      <c r="K187" s="24">
        <f>+Q159</f>
        <v>15</v>
      </c>
      <c r="L187" s="24"/>
      <c r="M187" s="7" t="s">
        <v>10</v>
      </c>
      <c r="N187" s="24">
        <f>+W183/2</f>
        <v>8</v>
      </c>
      <c r="O187" s="24"/>
      <c r="P187" s="7" t="s">
        <v>9</v>
      </c>
      <c r="Q187" s="24">
        <f>+AA159</f>
        <v>20</v>
      </c>
      <c r="R187" s="24"/>
      <c r="S187" s="7" t="s">
        <v>10</v>
      </c>
      <c r="T187" s="24">
        <f>+W183/2</f>
        <v>8</v>
      </c>
      <c r="U187" s="24"/>
      <c r="V187" s="7" t="s">
        <v>9</v>
      </c>
      <c r="W187" s="24">
        <f>+AE163</f>
        <v>50</v>
      </c>
      <c r="X187" s="24"/>
      <c r="Y187" s="7" t="s">
        <v>12</v>
      </c>
      <c r="Z187" s="1">
        <v>0</v>
      </c>
      <c r="AD187" s="1" t="s">
        <v>7</v>
      </c>
      <c r="AF187" s="24">
        <f>+K187*N187+Q187*T187+W187-H187</f>
        <v>213.75</v>
      </c>
      <c r="AG187" s="24"/>
      <c r="AH187" s="1" t="s">
        <v>0</v>
      </c>
      <c r="BJ187" s="3"/>
    </row>
    <row r="188" spans="2:62" ht="11.25" customHeight="1">
      <c r="B188" s="2"/>
      <c r="F188" s="1" t="s">
        <v>73</v>
      </c>
      <c r="G188" s="7" t="s">
        <v>10</v>
      </c>
      <c r="H188" s="24">
        <f>+AP168</f>
        <v>8</v>
      </c>
      <c r="I188" s="24"/>
      <c r="J188" s="7" t="s">
        <v>9</v>
      </c>
      <c r="K188" s="24">
        <f>+AH180</f>
        <v>213.75</v>
      </c>
      <c r="L188" s="24"/>
      <c r="M188" s="7" t="s">
        <v>10</v>
      </c>
      <c r="N188" s="24">
        <f>+W183/2</f>
        <v>8</v>
      </c>
      <c r="O188" s="24"/>
      <c r="P188" s="7" t="s">
        <v>15</v>
      </c>
      <c r="Q188" s="24">
        <f>+AA159</f>
        <v>20</v>
      </c>
      <c r="R188" s="24"/>
      <c r="S188" s="7" t="s">
        <v>10</v>
      </c>
      <c r="T188" s="24">
        <f>+W183/2</f>
        <v>8</v>
      </c>
      <c r="U188" s="24"/>
      <c r="V188" s="7" t="s">
        <v>10</v>
      </c>
      <c r="W188" s="24">
        <f>+T188/2</f>
        <v>4</v>
      </c>
      <c r="X188" s="24"/>
      <c r="Y188" s="7" t="s">
        <v>15</v>
      </c>
      <c r="Z188" s="24">
        <f>+AE163</f>
        <v>50</v>
      </c>
      <c r="AA188" s="24"/>
      <c r="AB188" s="7" t="s">
        <v>10</v>
      </c>
      <c r="AC188" s="24">
        <f>+Z181</f>
        <v>6</v>
      </c>
      <c r="AD188" s="24"/>
      <c r="AE188" s="7" t="s">
        <v>12</v>
      </c>
      <c r="AF188" s="1">
        <v>0</v>
      </c>
      <c r="AJ188" s="1" t="s">
        <v>74</v>
      </c>
      <c r="AL188" s="24">
        <f>(K188*N188-Q188*T188*W188-Z188*AC188)/H188</f>
        <v>96.25</v>
      </c>
      <c r="AM188" s="24"/>
      <c r="AN188" s="1" t="s">
        <v>80</v>
      </c>
      <c r="BJ188" s="3"/>
    </row>
    <row r="189" spans="2:62" ht="11.25" customHeight="1">
      <c r="B189" s="2"/>
      <c r="F189" s="1" t="s">
        <v>94</v>
      </c>
      <c r="H189" s="24">
        <f>+D169</f>
        <v>10</v>
      </c>
      <c r="I189" s="24"/>
      <c r="J189" s="7" t="s">
        <v>10</v>
      </c>
      <c r="K189" s="24">
        <f>+AP168</f>
        <v>8</v>
      </c>
      <c r="L189" s="24"/>
      <c r="M189" s="7" t="s">
        <v>12</v>
      </c>
      <c r="N189" s="1">
        <v>0</v>
      </c>
      <c r="R189" s="1" t="s">
        <v>5</v>
      </c>
      <c r="T189" s="24">
        <f>+H189*K189</f>
        <v>80</v>
      </c>
      <c r="U189" s="24"/>
      <c r="V189" s="1" t="s">
        <v>0</v>
      </c>
      <c r="Y189" s="7"/>
      <c r="AB189" s="7"/>
      <c r="AE189" s="7"/>
      <c r="AH189" s="7"/>
      <c r="AK189" s="7"/>
      <c r="BJ189" s="3"/>
    </row>
    <row r="190" spans="2:62" ht="11.25" customHeight="1">
      <c r="B190" s="2"/>
      <c r="F190" s="4" t="s">
        <v>29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O190" s="7"/>
      <c r="AP190" s="7"/>
      <c r="BJ190" s="3"/>
    </row>
    <row r="191" spans="2:62" ht="11.25" customHeight="1">
      <c r="B191" s="2"/>
      <c r="F191" s="1" t="s">
        <v>19</v>
      </c>
      <c r="H191" s="24">
        <f>-K180</f>
        <v>-116.25</v>
      </c>
      <c r="I191" s="24"/>
      <c r="J191" s="7" t="s">
        <v>10</v>
      </c>
      <c r="K191" s="1" t="s">
        <v>21</v>
      </c>
      <c r="M191" s="24">
        <f>+T175</f>
        <v>59.999999999999993</v>
      </c>
      <c r="N191" s="24"/>
      <c r="O191" s="1" t="s">
        <v>23</v>
      </c>
      <c r="P191" s="24">
        <f>+I175</f>
        <v>80</v>
      </c>
      <c r="Q191" s="24"/>
      <c r="R191" s="7" t="s">
        <v>10</v>
      </c>
      <c r="S191" s="1" t="s">
        <v>20</v>
      </c>
      <c r="U191" s="24">
        <f>+M191</f>
        <v>59.999999999999993</v>
      </c>
      <c r="V191" s="24"/>
      <c r="W191" s="1" t="s">
        <v>23</v>
      </c>
      <c r="X191" s="24">
        <f>+Q159</f>
        <v>15</v>
      </c>
      <c r="Y191" s="24"/>
      <c r="Z191" s="7" t="s">
        <v>10</v>
      </c>
      <c r="AA191" s="24">
        <f>+M181</f>
        <v>4</v>
      </c>
      <c r="AB191" s="24"/>
      <c r="AC191" s="7" t="s">
        <v>10</v>
      </c>
      <c r="AD191" s="1" t="s">
        <v>21</v>
      </c>
      <c r="AF191" s="24">
        <f>+U191</f>
        <v>59.999999999999993</v>
      </c>
      <c r="AG191" s="24"/>
      <c r="AH191" s="1" t="s">
        <v>22</v>
      </c>
      <c r="AI191" s="24">
        <f>+D169</f>
        <v>10</v>
      </c>
      <c r="AJ191" s="24"/>
      <c r="AK191" s="7" t="s">
        <v>10</v>
      </c>
      <c r="AL191" s="24">
        <f>+H170</f>
        <v>6.928203230275507</v>
      </c>
      <c r="AM191" s="24"/>
      <c r="AN191" s="7" t="s">
        <v>10</v>
      </c>
      <c r="AO191" s="1" t="s">
        <v>20</v>
      </c>
      <c r="AQ191" s="24">
        <f>+AF191</f>
        <v>59.999999999999993</v>
      </c>
      <c r="AR191" s="24"/>
      <c r="AS191" s="1" t="s">
        <v>22</v>
      </c>
      <c r="AT191" s="24">
        <f>+AL188</f>
        <v>96.25</v>
      </c>
      <c r="AU191" s="24"/>
      <c r="AV191" s="7" t="s">
        <v>10</v>
      </c>
      <c r="AW191" s="1" t="s">
        <v>20</v>
      </c>
      <c r="AY191" s="24">
        <f>+AQ191</f>
        <v>59.999999999999993</v>
      </c>
      <c r="AZ191" s="24"/>
      <c r="BA191" s="1" t="s">
        <v>24</v>
      </c>
      <c r="BB191" s="75">
        <f>H191*COS(M191*PI()/180)+P191*SIN(U191*PI()/180)+X191*AA191*COS(AF191*PI()/180)-AI191*AL191*SIN(AQ191*PI()/180)-AT191*SIN(AY191*PI()/180)</f>
        <v>-102.19791281149712</v>
      </c>
      <c r="BC191" s="75"/>
      <c r="BD191" s="1" t="s">
        <v>0</v>
      </c>
      <c r="BJ191" s="3"/>
    </row>
    <row r="192" spans="2:62" ht="11.25" customHeight="1">
      <c r="B192" s="2"/>
      <c r="F192" s="1" t="s">
        <v>25</v>
      </c>
      <c r="H192" s="24">
        <f>+K180</f>
        <v>116.25</v>
      </c>
      <c r="I192" s="24"/>
      <c r="J192" s="7" t="s">
        <v>10</v>
      </c>
      <c r="K192" s="1" t="s">
        <v>20</v>
      </c>
      <c r="M192" s="24">
        <f>+M191</f>
        <v>59.999999999999993</v>
      </c>
      <c r="N192" s="24"/>
      <c r="O192" s="1" t="s">
        <v>23</v>
      </c>
      <c r="P192" s="24">
        <f>+I175</f>
        <v>80</v>
      </c>
      <c r="Q192" s="24"/>
      <c r="R192" s="7" t="s">
        <v>10</v>
      </c>
      <c r="S192" s="1" t="s">
        <v>21</v>
      </c>
      <c r="U192" s="24">
        <f>+M192</f>
        <v>59.999999999999993</v>
      </c>
      <c r="V192" s="24"/>
      <c r="W192" s="1" t="s">
        <v>22</v>
      </c>
      <c r="X192" s="24">
        <f>+X191</f>
        <v>15</v>
      </c>
      <c r="Y192" s="24"/>
      <c r="Z192" s="7" t="s">
        <v>10</v>
      </c>
      <c r="AA192" s="24">
        <f>+AA191</f>
        <v>4</v>
      </c>
      <c r="AB192" s="24"/>
      <c r="AC192" s="7" t="s">
        <v>10</v>
      </c>
      <c r="AD192" s="1" t="s">
        <v>20</v>
      </c>
      <c r="AF192" s="24">
        <f>+U192</f>
        <v>59.999999999999993</v>
      </c>
      <c r="AG192" s="24"/>
      <c r="AH192" s="1" t="s">
        <v>22</v>
      </c>
      <c r="AI192" s="24">
        <f>+D169</f>
        <v>10</v>
      </c>
      <c r="AJ192" s="24"/>
      <c r="AK192" s="7" t="s">
        <v>10</v>
      </c>
      <c r="AL192" s="24">
        <f>+H170</f>
        <v>6.928203230275507</v>
      </c>
      <c r="AM192" s="24"/>
      <c r="AN192" s="7" t="s">
        <v>10</v>
      </c>
      <c r="AO192" s="1" t="s">
        <v>21</v>
      </c>
      <c r="AQ192" s="24">
        <f>+AF192</f>
        <v>59.999999999999993</v>
      </c>
      <c r="AR192" s="24"/>
      <c r="AS192" s="1" t="s">
        <v>22</v>
      </c>
      <c r="AT192" s="24">
        <f>+AL188</f>
        <v>96.25</v>
      </c>
      <c r="AU192" s="24"/>
      <c r="AV192" s="7" t="s">
        <v>10</v>
      </c>
      <c r="AW192" s="1" t="s">
        <v>21</v>
      </c>
      <c r="AY192" s="24">
        <f>+AQ192</f>
        <v>59.999999999999993</v>
      </c>
      <c r="AZ192" s="24"/>
      <c r="BA192" s="1" t="s">
        <v>24</v>
      </c>
      <c r="BB192" s="24">
        <f>H192*SIN(M192*PI()/180)+P192*COS(U192*PI()/180)-X192*AA192*SIN(AF192*PI()/180)-AI192*AL192*COS(AQ192*PI()/180)-AT192*COS(AY192*PI()/180)</f>
        <v>5.9479128114971047</v>
      </c>
      <c r="BC192" s="24"/>
      <c r="BD192" s="1" t="s">
        <v>0</v>
      </c>
      <c r="BJ192" s="3"/>
    </row>
    <row r="193" spans="2:62" ht="11.25" customHeight="1">
      <c r="B193" s="2"/>
      <c r="F193" s="1" t="s">
        <v>26</v>
      </c>
      <c r="H193" s="24">
        <f>+K180</f>
        <v>116.25</v>
      </c>
      <c r="I193" s="24"/>
      <c r="J193" s="7" t="s">
        <v>10</v>
      </c>
      <c r="K193" s="24">
        <f>+M181</f>
        <v>4</v>
      </c>
      <c r="L193" s="24"/>
      <c r="M193" s="7" t="s">
        <v>15</v>
      </c>
      <c r="N193" s="24">
        <f>+I175</f>
        <v>80</v>
      </c>
      <c r="O193" s="24"/>
      <c r="P193" s="7" t="s">
        <v>10</v>
      </c>
      <c r="Q193" s="24">
        <f>+H170</f>
        <v>6.928203230275507</v>
      </c>
      <c r="R193" s="24"/>
      <c r="S193" s="7" t="s">
        <v>9</v>
      </c>
      <c r="T193" s="24">
        <f>+Q159</f>
        <v>15</v>
      </c>
      <c r="U193" s="24"/>
      <c r="V193" s="7" t="s">
        <v>10</v>
      </c>
      <c r="W193" s="24">
        <f>+M181</f>
        <v>4</v>
      </c>
      <c r="X193" s="24"/>
      <c r="Y193" s="7" t="s">
        <v>10</v>
      </c>
      <c r="Z193" s="24">
        <f>+W193/2</f>
        <v>2</v>
      </c>
      <c r="AA193" s="24"/>
      <c r="AB193" s="7" t="s">
        <v>9</v>
      </c>
      <c r="AC193" s="24">
        <f>+D169</f>
        <v>10</v>
      </c>
      <c r="AD193" s="24"/>
      <c r="AE193" s="7" t="s">
        <v>10</v>
      </c>
      <c r="AF193" s="24">
        <f>+H170</f>
        <v>6.928203230275507</v>
      </c>
      <c r="AG193" s="24"/>
      <c r="AH193" s="7" t="s">
        <v>10</v>
      </c>
      <c r="AI193" s="24">
        <f>+AF193/2</f>
        <v>3.4641016151377535</v>
      </c>
      <c r="AJ193" s="24"/>
      <c r="AK193" s="7" t="s">
        <v>9</v>
      </c>
      <c r="AL193" s="24">
        <f>+AL188</f>
        <v>96.25</v>
      </c>
      <c r="AM193" s="24"/>
      <c r="AN193" s="7" t="s">
        <v>10</v>
      </c>
      <c r="AO193" s="24">
        <f>+H170</f>
        <v>6.928203230275507</v>
      </c>
      <c r="AP193" s="24"/>
      <c r="AQ193" s="7" t="s">
        <v>12</v>
      </c>
      <c r="AR193" s="24">
        <f>H193*K193+N193*Q193-T193*W193*Z193-AC193*AF193*AI193-AL193*AO193</f>
        <v>-7.5833024919768377</v>
      </c>
      <c r="AS193" s="24"/>
      <c r="AT193" s="1" t="s">
        <v>27</v>
      </c>
      <c r="BJ193" s="3"/>
    </row>
    <row r="194" spans="2:62" ht="11.25" customHeight="1">
      <c r="B194" s="2"/>
      <c r="F194" s="1" t="s">
        <v>34</v>
      </c>
      <c r="H194" s="24">
        <f>-AH180</f>
        <v>-213.75</v>
      </c>
      <c r="I194" s="24"/>
      <c r="J194" s="7" t="s">
        <v>10</v>
      </c>
      <c r="K194" s="1" t="s">
        <v>21</v>
      </c>
      <c r="M194" s="24">
        <f>+Z175</f>
        <v>41.409622109270856</v>
      </c>
      <c r="N194" s="24"/>
      <c r="O194" s="1" t="s">
        <v>22</v>
      </c>
      <c r="P194" s="24">
        <f>+AL188</f>
        <v>96.25</v>
      </c>
      <c r="Q194" s="24"/>
      <c r="R194" s="7" t="s">
        <v>10</v>
      </c>
      <c r="S194" s="1" t="s">
        <v>20</v>
      </c>
      <c r="U194" s="24">
        <f>+M194</f>
        <v>41.409622109270856</v>
      </c>
      <c r="V194" s="24"/>
      <c r="W194" s="1" t="s">
        <v>23</v>
      </c>
      <c r="X194" s="24">
        <f>+AA159</f>
        <v>20</v>
      </c>
      <c r="Y194" s="24"/>
      <c r="Z194" s="7" t="s">
        <v>10</v>
      </c>
      <c r="AA194" s="24">
        <f>+AF181</f>
        <v>2</v>
      </c>
      <c r="AB194" s="24"/>
      <c r="AC194" s="7" t="s">
        <v>10</v>
      </c>
      <c r="AD194" s="1" t="s">
        <v>21</v>
      </c>
      <c r="AF194" s="24">
        <f>+U194</f>
        <v>41.409622109270856</v>
      </c>
      <c r="AG194" s="24"/>
      <c r="AH194" s="1" t="s">
        <v>24</v>
      </c>
      <c r="AI194" s="24">
        <f>H194*COS(M194*PI()/180)-P194*SIN(U194*PI()/180)+X194*AA194*COS(AF194*PI()/180)</f>
        <v>-193.97589092249171</v>
      </c>
      <c r="AJ194" s="24"/>
      <c r="AK194" s="1" t="s">
        <v>0</v>
      </c>
      <c r="BJ194" s="3"/>
    </row>
    <row r="195" spans="2:62" ht="11.25" customHeight="1">
      <c r="B195" s="2"/>
      <c r="F195" s="1" t="s">
        <v>35</v>
      </c>
      <c r="H195" s="24">
        <f>-AH180</f>
        <v>-213.75</v>
      </c>
      <c r="I195" s="24"/>
      <c r="J195" s="7" t="s">
        <v>10</v>
      </c>
      <c r="K195" s="1" t="s">
        <v>20</v>
      </c>
      <c r="M195" s="24">
        <f>+M194</f>
        <v>41.409622109270856</v>
      </c>
      <c r="N195" s="24"/>
      <c r="O195" s="1" t="s">
        <v>23</v>
      </c>
      <c r="P195" s="24">
        <f>+P194</f>
        <v>96.25</v>
      </c>
      <c r="Q195" s="24"/>
      <c r="R195" s="7" t="s">
        <v>10</v>
      </c>
      <c r="S195" s="1" t="s">
        <v>21</v>
      </c>
      <c r="U195" s="24">
        <f>+M195</f>
        <v>41.409622109270856</v>
      </c>
      <c r="V195" s="24"/>
      <c r="W195" s="1" t="s">
        <v>23</v>
      </c>
      <c r="X195" s="24">
        <f>+X194</f>
        <v>20</v>
      </c>
      <c r="Y195" s="24"/>
      <c r="Z195" s="7" t="s">
        <v>10</v>
      </c>
      <c r="AA195" s="24">
        <f>+AA194</f>
        <v>2</v>
      </c>
      <c r="AB195" s="24"/>
      <c r="AC195" s="7" t="s">
        <v>10</v>
      </c>
      <c r="AD195" s="1" t="s">
        <v>20</v>
      </c>
      <c r="AF195" s="24">
        <f>+U195</f>
        <v>41.409622109270856</v>
      </c>
      <c r="AG195" s="24"/>
      <c r="AH195" s="1" t="s">
        <v>24</v>
      </c>
      <c r="AI195" s="24">
        <f>H195*SIN(M195*PI()/180)+P195*COS(U195*PI()/180)+X195*AA195*SIN(AF195*PI()/180)</f>
        <v>-42.73732257436815</v>
      </c>
      <c r="AJ195" s="24"/>
      <c r="AK195" s="1" t="s">
        <v>0</v>
      </c>
      <c r="BJ195" s="3"/>
    </row>
    <row r="196" spans="2:62" ht="11.25" customHeight="1">
      <c r="B196" s="2"/>
      <c r="F196" s="1" t="s">
        <v>36</v>
      </c>
      <c r="H196" s="24">
        <f>+AH180</f>
        <v>213.75</v>
      </c>
      <c r="I196" s="24"/>
      <c r="J196" s="7" t="s">
        <v>10</v>
      </c>
      <c r="K196" s="24">
        <f>+AF181</f>
        <v>2</v>
      </c>
      <c r="L196" s="24"/>
      <c r="M196" s="7" t="s">
        <v>9</v>
      </c>
      <c r="N196" s="24">
        <f>+P195</f>
        <v>96.25</v>
      </c>
      <c r="O196" s="24"/>
      <c r="P196" s="7" t="s">
        <v>10</v>
      </c>
      <c r="Q196" s="24">
        <f>+AN170</f>
        <v>5.2915026221291805</v>
      </c>
      <c r="R196" s="24"/>
      <c r="S196" s="7" t="s">
        <v>9</v>
      </c>
      <c r="T196" s="24">
        <f>+AA159</f>
        <v>20</v>
      </c>
      <c r="U196" s="24"/>
      <c r="V196" s="7" t="s">
        <v>10</v>
      </c>
      <c r="W196" s="24">
        <f>+AF181</f>
        <v>2</v>
      </c>
      <c r="X196" s="24"/>
      <c r="Y196" s="7" t="s">
        <v>10</v>
      </c>
      <c r="Z196" s="24">
        <f>+W196/2</f>
        <v>1</v>
      </c>
      <c r="AA196" s="24"/>
      <c r="AB196" s="7" t="s">
        <v>12</v>
      </c>
      <c r="AC196" s="24">
        <f>H196*K196-N196*Q196-T196*W196*Z196</f>
        <v>-121.8071273799336</v>
      </c>
      <c r="AD196" s="24"/>
      <c r="AE196" s="1" t="s">
        <v>27</v>
      </c>
      <c r="BJ196" s="3"/>
    </row>
    <row r="197" spans="2:62" ht="11.25" customHeight="1">
      <c r="B197" s="2"/>
      <c r="F197" s="1" t="s">
        <v>31</v>
      </c>
      <c r="H197" s="24">
        <f>-AH180</f>
        <v>-213.75</v>
      </c>
      <c r="I197" s="24"/>
      <c r="J197" s="7" t="s">
        <v>10</v>
      </c>
      <c r="K197" s="1" t="s">
        <v>21</v>
      </c>
      <c r="M197" s="24">
        <f>+Z175</f>
        <v>41.409622109270856</v>
      </c>
      <c r="N197" s="24"/>
      <c r="O197" s="1" t="s">
        <v>22</v>
      </c>
      <c r="P197" s="24">
        <f>+P194</f>
        <v>96.25</v>
      </c>
      <c r="Q197" s="24"/>
      <c r="R197" s="7" t="s">
        <v>10</v>
      </c>
      <c r="S197" s="1" t="s">
        <v>20</v>
      </c>
      <c r="U197" s="24">
        <f>+M197</f>
        <v>41.409622109270856</v>
      </c>
      <c r="V197" s="24"/>
      <c r="W197" s="1" t="s">
        <v>23</v>
      </c>
      <c r="X197" s="24">
        <f>+AA159</f>
        <v>20</v>
      </c>
      <c r="Y197" s="24"/>
      <c r="Z197" s="7" t="s">
        <v>10</v>
      </c>
      <c r="AA197" s="24">
        <f>+AF181</f>
        <v>2</v>
      </c>
      <c r="AB197" s="24"/>
      <c r="AC197" s="7" t="s">
        <v>10</v>
      </c>
      <c r="AD197" s="1" t="s">
        <v>21</v>
      </c>
      <c r="AF197" s="24">
        <f>+U197</f>
        <v>41.409622109270856</v>
      </c>
      <c r="AG197" s="24"/>
      <c r="AH197" s="1" t="s">
        <v>23</v>
      </c>
      <c r="AI197" s="24">
        <f>+AE163</f>
        <v>50</v>
      </c>
      <c r="AJ197" s="24"/>
      <c r="AK197" s="7" t="s">
        <v>10</v>
      </c>
      <c r="AL197" s="1" t="s">
        <v>21</v>
      </c>
      <c r="AN197" s="24">
        <f>+AF197</f>
        <v>41.409622109270856</v>
      </c>
      <c r="AO197" s="24"/>
      <c r="AP197" s="1" t="s">
        <v>24</v>
      </c>
      <c r="AQ197" s="24">
        <f>H197*COS(M197*PI()/180)-P197*SIN(U197*PI()/180)+X197*AA197*COS(AF197*PI()/180)+AI197*COS(AN197*PI()/180)</f>
        <v>-156.47589092249171</v>
      </c>
      <c r="AR197" s="24"/>
      <c r="AS197" s="1" t="s">
        <v>0</v>
      </c>
      <c r="BJ197" s="3"/>
    </row>
    <row r="198" spans="2:62" ht="11.25" customHeight="1">
      <c r="B198" s="2"/>
      <c r="F198" s="1" t="s">
        <v>32</v>
      </c>
      <c r="H198" s="24">
        <f>-AH180</f>
        <v>-213.75</v>
      </c>
      <c r="I198" s="24"/>
      <c r="J198" s="7" t="s">
        <v>10</v>
      </c>
      <c r="K198" s="1" t="s">
        <v>20</v>
      </c>
      <c r="M198" s="24">
        <f>+M197</f>
        <v>41.409622109270856</v>
      </c>
      <c r="N198" s="24"/>
      <c r="O198" s="1" t="s">
        <v>23</v>
      </c>
      <c r="P198" s="24">
        <f>+P197</f>
        <v>96.25</v>
      </c>
      <c r="Q198" s="24"/>
      <c r="R198" s="7" t="s">
        <v>10</v>
      </c>
      <c r="S198" s="1" t="s">
        <v>21</v>
      </c>
      <c r="U198" s="24">
        <f>+M198</f>
        <v>41.409622109270856</v>
      </c>
      <c r="V198" s="24"/>
      <c r="W198" s="1" t="s">
        <v>23</v>
      </c>
      <c r="X198" s="24">
        <f>+X197</f>
        <v>20</v>
      </c>
      <c r="Y198" s="24"/>
      <c r="Z198" s="7" t="s">
        <v>10</v>
      </c>
      <c r="AA198" s="24">
        <f>+AA197</f>
        <v>2</v>
      </c>
      <c r="AB198" s="24"/>
      <c r="AC198" s="7" t="s">
        <v>10</v>
      </c>
      <c r="AD198" s="1" t="s">
        <v>20</v>
      </c>
      <c r="AF198" s="24">
        <f>+U198</f>
        <v>41.409622109270856</v>
      </c>
      <c r="AG198" s="24"/>
      <c r="AH198" s="1" t="s">
        <v>23</v>
      </c>
      <c r="AI198" s="24">
        <f>+AI197</f>
        <v>50</v>
      </c>
      <c r="AJ198" s="24"/>
      <c r="AK198" s="7" t="s">
        <v>10</v>
      </c>
      <c r="AL198" s="1" t="s">
        <v>20</v>
      </c>
      <c r="AN198" s="24">
        <f>+AF198</f>
        <v>41.409622109270856</v>
      </c>
      <c r="AO198" s="24"/>
      <c r="AP198" s="1" t="s">
        <v>24</v>
      </c>
      <c r="AQ198" s="24">
        <f>H198*SIN(M198*PI()/180)+P198*COS(U198*PI()/180)+X198*AA198*SIN(AF198*PI()/180)+AI198*SIN(AN198*PI()/180)</f>
        <v>-9.665431186060772</v>
      </c>
      <c r="AR198" s="24"/>
      <c r="AS198" s="1" t="s">
        <v>0</v>
      </c>
      <c r="BJ198" s="3"/>
    </row>
    <row r="199" spans="2:62" ht="11.25" customHeight="1">
      <c r="B199" s="2"/>
      <c r="F199" s="1" t="s">
        <v>37</v>
      </c>
      <c r="J199" s="24">
        <f>+AC196</f>
        <v>-121.8071273799336</v>
      </c>
      <c r="K199" s="24"/>
      <c r="L199" s="1" t="s">
        <v>27</v>
      </c>
      <c r="BJ199" s="3"/>
    </row>
    <row r="200" spans="2:62" ht="11.25" customHeight="1">
      <c r="B200" s="2"/>
      <c r="AF200" s="18"/>
      <c r="BJ200" s="3"/>
    </row>
    <row r="201" spans="2:62" ht="11.25" customHeight="1">
      <c r="B201" s="2"/>
      <c r="AF201" s="18"/>
      <c r="BJ201" s="3"/>
    </row>
    <row r="202" spans="2:62" ht="11.25" customHeight="1">
      <c r="B202" s="2"/>
      <c r="D202" s="12" t="s">
        <v>38</v>
      </c>
      <c r="AF202" s="18"/>
      <c r="BJ202" s="3"/>
    </row>
    <row r="203" spans="2:62" ht="11.25" customHeight="1">
      <c r="B203" s="2"/>
      <c r="Q203" s="34">
        <v>15</v>
      </c>
      <c r="R203" s="34"/>
      <c r="S203" s="1" t="s">
        <v>3</v>
      </c>
      <c r="AA203" s="34">
        <v>20</v>
      </c>
      <c r="AB203" s="34"/>
      <c r="AC203" s="1" t="s">
        <v>3</v>
      </c>
      <c r="AF203" s="18"/>
      <c r="BJ203" s="3"/>
    </row>
    <row r="204" spans="2:62" ht="11.25" customHeight="1">
      <c r="B204" s="2"/>
      <c r="BJ204" s="3"/>
    </row>
    <row r="205" spans="2:62" ht="11.25" customHeight="1">
      <c r="B205" s="2"/>
      <c r="BJ205" s="3"/>
    </row>
    <row r="206" spans="2:62" ht="11.25" customHeight="1">
      <c r="B206" s="2"/>
      <c r="H206" s="5" t="s">
        <v>1</v>
      </c>
      <c r="AN206" s="5" t="s">
        <v>1</v>
      </c>
      <c r="BJ206" s="3"/>
    </row>
    <row r="207" spans="2:62" ht="11.25" customHeight="1">
      <c r="B207" s="2"/>
      <c r="H207" s="37">
        <f>+Z213-H214</f>
        <v>1.071796769724493</v>
      </c>
      <c r="W207" s="1" t="s">
        <v>18</v>
      </c>
      <c r="AE207" s="34">
        <v>50</v>
      </c>
      <c r="AF207" s="34"/>
      <c r="AG207" s="1" t="s">
        <v>0</v>
      </c>
      <c r="AN207" s="37">
        <f>+Z213-AN214</f>
        <v>2.7084973778708195</v>
      </c>
      <c r="BJ207" s="3"/>
    </row>
    <row r="208" spans="2:62" ht="11.25" customHeight="1">
      <c r="B208" s="2"/>
      <c r="H208" s="37"/>
      <c r="AN208" s="37"/>
      <c r="BJ208" s="3"/>
    </row>
    <row r="209" spans="2:62" ht="11.25" customHeight="1">
      <c r="B209" s="2"/>
      <c r="H209" s="37"/>
      <c r="O209" s="1" t="s">
        <v>17</v>
      </c>
      <c r="AN209" s="37"/>
      <c r="BJ209" s="3"/>
    </row>
    <row r="210" spans="2:62" ht="11.25" customHeight="1">
      <c r="B210" s="2"/>
      <c r="D210" s="37" t="s">
        <v>3</v>
      </c>
      <c r="AF210" s="6" t="s">
        <v>30</v>
      </c>
      <c r="BJ210" s="3"/>
    </row>
    <row r="211" spans="2:62" ht="11.25" customHeight="1">
      <c r="B211" s="2"/>
      <c r="D211" s="37"/>
      <c r="AP211" s="5" t="s">
        <v>1</v>
      </c>
      <c r="BJ211" s="3"/>
    </row>
    <row r="212" spans="2:62" ht="11.25" customHeight="1">
      <c r="B212" s="2"/>
      <c r="D212" s="37"/>
      <c r="AP212" s="37">
        <f>+W227/2</f>
        <v>8</v>
      </c>
      <c r="BJ212" s="3"/>
    </row>
    <row r="213" spans="2:62" ht="11.25" customHeight="1">
      <c r="B213" s="2"/>
      <c r="D213" s="38">
        <v>10</v>
      </c>
      <c r="H213" s="5" t="s">
        <v>1</v>
      </c>
      <c r="Y213" s="1" t="s">
        <v>2</v>
      </c>
      <c r="Z213" s="24">
        <f>+W227/2</f>
        <v>8</v>
      </c>
      <c r="AA213" s="24"/>
      <c r="AB213" s="1" t="s">
        <v>1</v>
      </c>
      <c r="AN213" s="5" t="s">
        <v>1</v>
      </c>
      <c r="AP213" s="37"/>
      <c r="BJ213" s="3"/>
    </row>
    <row r="214" spans="2:62" ht="11.25" customHeight="1">
      <c r="B214" s="2"/>
      <c r="D214" s="38"/>
      <c r="H214" s="37">
        <f>S225*TAN(T219*PI()/180)</f>
        <v>6.928203230275507</v>
      </c>
      <c r="AN214" s="37">
        <f>Z225*TAN(Z219*PI()/180)</f>
        <v>5.2915026221291805</v>
      </c>
      <c r="AP214" s="37"/>
      <c r="BJ214" s="3"/>
    </row>
    <row r="215" spans="2:62" ht="11.25" customHeight="1">
      <c r="B215" s="2"/>
      <c r="D215" s="38"/>
      <c r="H215" s="37"/>
      <c r="AN215" s="37"/>
      <c r="BJ215" s="3"/>
    </row>
    <row r="216" spans="2:62" ht="11.25" customHeight="1">
      <c r="B216" s="2"/>
      <c r="H216" s="37"/>
      <c r="AN216" s="37"/>
      <c r="BJ216" s="3"/>
    </row>
    <row r="217" spans="2:62" ht="11.25" customHeight="1">
      <c r="B217" s="2"/>
      <c r="BJ217" s="3"/>
    </row>
    <row r="218" spans="2:62" ht="11.25" customHeight="1">
      <c r="B218" s="2"/>
      <c r="BJ218" s="3"/>
    </row>
    <row r="219" spans="2:62" ht="11.25" customHeight="1">
      <c r="B219" s="2"/>
      <c r="G219" s="1" t="s">
        <v>5</v>
      </c>
      <c r="I219" s="24">
        <f>+AO232</f>
        <v>16.25</v>
      </c>
      <c r="J219" s="24"/>
      <c r="K219" s="1" t="s">
        <v>0</v>
      </c>
      <c r="T219" s="24">
        <f>ACOS(S225/Z213)*180/PI()</f>
        <v>59.999999999999993</v>
      </c>
      <c r="U219" s="24"/>
      <c r="V219" s="8" t="s">
        <v>8</v>
      </c>
      <c r="Z219" s="24">
        <f>ACOS(Z225/Z213)*180/PI()</f>
        <v>41.409622109270856</v>
      </c>
      <c r="AA219" s="24"/>
      <c r="AB219" s="8" t="s">
        <v>8</v>
      </c>
      <c r="AH219" s="1" t="s">
        <v>33</v>
      </c>
      <c r="AJ219" s="1" t="s">
        <v>6</v>
      </c>
      <c r="AL219" s="24">
        <f>+AL233</f>
        <v>96.25</v>
      </c>
      <c r="AM219" s="24"/>
      <c r="AN219" s="1" t="s">
        <v>0</v>
      </c>
      <c r="BJ219" s="3"/>
    </row>
    <row r="220" spans="2:62" ht="11.25" customHeight="1">
      <c r="B220" s="2"/>
      <c r="BJ220" s="3"/>
    </row>
    <row r="221" spans="2:62" ht="11.25" customHeight="1">
      <c r="B221" s="2"/>
      <c r="BJ221" s="3"/>
    </row>
    <row r="222" spans="2:62" ht="11.25" customHeight="1">
      <c r="B222" s="2"/>
      <c r="BJ222" s="3"/>
    </row>
    <row r="223" spans="2:62" ht="11.25" customHeight="1">
      <c r="B223" s="2"/>
      <c r="BJ223" s="3"/>
    </row>
    <row r="224" spans="2:62" ht="11.25" customHeight="1">
      <c r="B224" s="2"/>
      <c r="I224" s="1" t="s">
        <v>4</v>
      </c>
      <c r="K224" s="24">
        <f>+AX230</f>
        <v>116.25</v>
      </c>
      <c r="L224" s="24"/>
      <c r="M224" s="1" t="s">
        <v>0</v>
      </c>
      <c r="AF224" s="1" t="s">
        <v>7</v>
      </c>
      <c r="AH224" s="24">
        <f>+AF231</f>
        <v>213.75</v>
      </c>
      <c r="AI224" s="24"/>
      <c r="AJ224" s="1" t="s">
        <v>0</v>
      </c>
      <c r="BJ224" s="3"/>
    </row>
    <row r="225" spans="2:62" ht="11.25" customHeight="1">
      <c r="B225" s="2"/>
      <c r="M225" s="34">
        <v>4</v>
      </c>
      <c r="N225" s="34"/>
      <c r="O225" s="1" t="s">
        <v>1</v>
      </c>
      <c r="S225" s="24">
        <f>+W227/2-M225</f>
        <v>4</v>
      </c>
      <c r="T225" s="24"/>
      <c r="U225" s="1" t="s">
        <v>1</v>
      </c>
      <c r="Z225" s="24">
        <f>+W227/2-AF225</f>
        <v>6</v>
      </c>
      <c r="AA225" s="24"/>
      <c r="AB225" s="1" t="s">
        <v>1</v>
      </c>
      <c r="AF225" s="34">
        <v>2</v>
      </c>
      <c r="AG225" s="34"/>
      <c r="AH225" s="1" t="s">
        <v>1</v>
      </c>
      <c r="BJ225" s="3"/>
    </row>
    <row r="226" spans="2:62" ht="11.25" customHeight="1">
      <c r="B226" s="2"/>
      <c r="BJ226" s="3"/>
    </row>
    <row r="227" spans="2:62" ht="11.25" customHeight="1">
      <c r="B227" s="2"/>
      <c r="W227" s="34">
        <v>16</v>
      </c>
      <c r="X227" s="34"/>
      <c r="Y227" s="1" t="s">
        <v>1</v>
      </c>
      <c r="BJ227" s="3"/>
    </row>
    <row r="228" spans="2:62" ht="11.25" customHeight="1">
      <c r="B228" s="2"/>
      <c r="BJ228" s="3"/>
    </row>
    <row r="229" spans="2:62" ht="11.25" customHeight="1">
      <c r="B229" s="2"/>
      <c r="F229" s="4" t="s">
        <v>28</v>
      </c>
      <c r="BJ229" s="3"/>
    </row>
    <row r="230" spans="2:62" ht="11.25" customHeight="1">
      <c r="B230" s="2"/>
      <c r="F230" s="1" t="s">
        <v>11</v>
      </c>
      <c r="H230" s="24">
        <f>+W227</f>
        <v>16</v>
      </c>
      <c r="I230" s="24"/>
      <c r="J230" s="7" t="s">
        <v>9</v>
      </c>
      <c r="K230" s="24">
        <f>+Q203</f>
        <v>15</v>
      </c>
      <c r="L230" s="24"/>
      <c r="M230" s="7" t="s">
        <v>10</v>
      </c>
      <c r="N230" s="24">
        <f>+W227/2</f>
        <v>8</v>
      </c>
      <c r="O230" s="24"/>
      <c r="P230" s="7" t="s">
        <v>10</v>
      </c>
      <c r="Q230" s="24">
        <f>+W227/2+W227/2/2</f>
        <v>12</v>
      </c>
      <c r="R230" s="24"/>
      <c r="S230" s="7" t="s">
        <v>9</v>
      </c>
      <c r="T230" s="24">
        <f>+AA203</f>
        <v>20</v>
      </c>
      <c r="U230" s="24"/>
      <c r="V230" s="7" t="s">
        <v>10</v>
      </c>
      <c r="W230" s="24">
        <f>+W227/2</f>
        <v>8</v>
      </c>
      <c r="X230" s="24"/>
      <c r="Y230" s="7" t="s">
        <v>10</v>
      </c>
      <c r="Z230" s="24">
        <f>+W227/2/2</f>
        <v>4</v>
      </c>
      <c r="AA230" s="24"/>
      <c r="AB230" s="7" t="s">
        <v>9</v>
      </c>
      <c r="AC230" s="24">
        <f>+AE207</f>
        <v>50</v>
      </c>
      <c r="AD230" s="24"/>
      <c r="AE230" s="7" t="s">
        <v>10</v>
      </c>
      <c r="AF230" s="24">
        <f>+AF225</f>
        <v>2</v>
      </c>
      <c r="AG230" s="24"/>
      <c r="AH230" s="7" t="s">
        <v>15</v>
      </c>
      <c r="AI230" s="24">
        <f>+D213</f>
        <v>10</v>
      </c>
      <c r="AJ230" s="24"/>
      <c r="AK230" s="7" t="s">
        <v>10</v>
      </c>
      <c r="AL230" s="24">
        <f>+AP212</f>
        <v>8</v>
      </c>
      <c r="AM230" s="24"/>
      <c r="AN230" s="7" t="s">
        <v>10</v>
      </c>
      <c r="AO230" s="24">
        <f>+AL230/2</f>
        <v>4</v>
      </c>
      <c r="AP230" s="24"/>
      <c r="AQ230" s="7" t="s">
        <v>12</v>
      </c>
      <c r="AR230" s="1">
        <v>0</v>
      </c>
      <c r="AV230" s="1" t="s">
        <v>4</v>
      </c>
      <c r="AX230" s="24">
        <f>(K230*N230*Q230+T230*W230*Z230+AC230*AF230-AI230*AL230*AO230)/H230</f>
        <v>116.25</v>
      </c>
      <c r="AY230" s="24"/>
      <c r="AZ230" s="1" t="s">
        <v>0</v>
      </c>
      <c r="BJ230" s="3"/>
    </row>
    <row r="231" spans="2:62" ht="11.25" customHeight="1">
      <c r="B231" s="2"/>
      <c r="F231" s="1" t="s">
        <v>13</v>
      </c>
      <c r="H231" s="24">
        <f>+K224</f>
        <v>116.25</v>
      </c>
      <c r="I231" s="24"/>
      <c r="J231" s="7" t="s">
        <v>9</v>
      </c>
      <c r="K231" s="24">
        <f>+Q203</f>
        <v>15</v>
      </c>
      <c r="L231" s="24"/>
      <c r="M231" s="7" t="s">
        <v>10</v>
      </c>
      <c r="N231" s="24">
        <f>+W227/2</f>
        <v>8</v>
      </c>
      <c r="O231" s="24"/>
      <c r="P231" s="7" t="s">
        <v>9</v>
      </c>
      <c r="Q231" s="24">
        <f>+AA203</f>
        <v>20</v>
      </c>
      <c r="R231" s="24"/>
      <c r="S231" s="7" t="s">
        <v>10</v>
      </c>
      <c r="T231" s="24">
        <f>+W227/2</f>
        <v>8</v>
      </c>
      <c r="U231" s="24"/>
      <c r="V231" s="7" t="s">
        <v>9</v>
      </c>
      <c r="W231" s="24">
        <f>+AE207</f>
        <v>50</v>
      </c>
      <c r="X231" s="24"/>
      <c r="Y231" s="7" t="s">
        <v>12</v>
      </c>
      <c r="Z231" s="1">
        <v>0</v>
      </c>
      <c r="AD231" s="1" t="s">
        <v>7</v>
      </c>
      <c r="AF231" s="24">
        <f>+K231*N231+Q231*T231+W231-H231</f>
        <v>213.75</v>
      </c>
      <c r="AG231" s="24"/>
      <c r="AH231" s="1" t="s">
        <v>0</v>
      </c>
      <c r="BJ231" s="3"/>
    </row>
    <row r="232" spans="2:62" ht="11.25" customHeight="1">
      <c r="B232" s="2"/>
      <c r="F232" s="1" t="s">
        <v>14</v>
      </c>
      <c r="H232" s="24">
        <f>+AP212</f>
        <v>8</v>
      </c>
      <c r="I232" s="24"/>
      <c r="J232" s="7" t="s">
        <v>9</v>
      </c>
      <c r="K232" s="24">
        <f>+K224</f>
        <v>116.25</v>
      </c>
      <c r="L232" s="24"/>
      <c r="M232" s="7" t="s">
        <v>10</v>
      </c>
      <c r="N232" s="24">
        <f>+W227/2</f>
        <v>8</v>
      </c>
      <c r="O232" s="24"/>
      <c r="P232" s="7" t="s">
        <v>15</v>
      </c>
      <c r="Q232" s="24">
        <f>+Q203</f>
        <v>15</v>
      </c>
      <c r="R232" s="24"/>
      <c r="S232" s="7" t="s">
        <v>10</v>
      </c>
      <c r="T232" s="24">
        <f>+W227/2</f>
        <v>8</v>
      </c>
      <c r="U232" s="24"/>
      <c r="V232" s="7" t="s">
        <v>10</v>
      </c>
      <c r="W232" s="24">
        <f>+T232/2</f>
        <v>4</v>
      </c>
      <c r="X232" s="24"/>
      <c r="Y232" s="7" t="s">
        <v>15</v>
      </c>
      <c r="Z232" s="24">
        <f>+D213</f>
        <v>10</v>
      </c>
      <c r="AA232" s="24"/>
      <c r="AB232" s="7" t="s">
        <v>10</v>
      </c>
      <c r="AC232" s="24">
        <f>+AP212</f>
        <v>8</v>
      </c>
      <c r="AD232" s="24"/>
      <c r="AE232" s="7" t="s">
        <v>10</v>
      </c>
      <c r="AF232" s="24">
        <f>+AC232/2</f>
        <v>4</v>
      </c>
      <c r="AG232" s="24"/>
      <c r="AH232" s="7" t="s">
        <v>12</v>
      </c>
      <c r="AI232" s="1">
        <v>0</v>
      </c>
      <c r="AM232" s="1" t="s">
        <v>5</v>
      </c>
      <c r="AO232" s="24">
        <f>(K232*N232-Q232*T232*W232-Z232*AC232*AF232)/H232</f>
        <v>16.25</v>
      </c>
      <c r="AP232" s="24"/>
      <c r="AQ232" s="1" t="s">
        <v>0</v>
      </c>
      <c r="BJ232" s="3"/>
    </row>
    <row r="233" spans="2:62" ht="11.25" customHeight="1">
      <c r="B233" s="2"/>
      <c r="F233" s="1" t="s">
        <v>16</v>
      </c>
      <c r="H233" s="24">
        <f>+AP212</f>
        <v>8</v>
      </c>
      <c r="I233" s="24"/>
      <c r="J233" s="7" t="s">
        <v>9</v>
      </c>
      <c r="K233" s="24">
        <f>+AH224</f>
        <v>213.75</v>
      </c>
      <c r="L233" s="24"/>
      <c r="M233" s="7" t="s">
        <v>10</v>
      </c>
      <c r="N233" s="24">
        <f>+W227/2</f>
        <v>8</v>
      </c>
      <c r="O233" s="24"/>
      <c r="P233" s="7" t="s">
        <v>15</v>
      </c>
      <c r="Q233" s="24">
        <f>+AA203</f>
        <v>20</v>
      </c>
      <c r="R233" s="24"/>
      <c r="S233" s="7" t="s">
        <v>10</v>
      </c>
      <c r="T233" s="24">
        <f>+W227/2</f>
        <v>8</v>
      </c>
      <c r="U233" s="24"/>
      <c r="V233" s="7" t="s">
        <v>10</v>
      </c>
      <c r="W233" s="24">
        <f>+T233/2</f>
        <v>4</v>
      </c>
      <c r="X233" s="24"/>
      <c r="Y233" s="7" t="s">
        <v>15</v>
      </c>
      <c r="Z233" s="24">
        <f>+AE207</f>
        <v>50</v>
      </c>
      <c r="AA233" s="24"/>
      <c r="AB233" s="7" t="s">
        <v>10</v>
      </c>
      <c r="AC233" s="24">
        <f>+Z225</f>
        <v>6</v>
      </c>
      <c r="AD233" s="24"/>
      <c r="AE233" s="7" t="s">
        <v>12</v>
      </c>
      <c r="AF233" s="1">
        <v>0</v>
      </c>
      <c r="AJ233" s="1" t="s">
        <v>6</v>
      </c>
      <c r="AL233" s="24">
        <f>(K233*N233-Q233*T233*W233-Z233*AC233)/H233</f>
        <v>96.25</v>
      </c>
      <c r="AM233" s="24"/>
      <c r="AN233" s="1" t="s">
        <v>0</v>
      </c>
      <c r="BJ233" s="3"/>
    </row>
    <row r="234" spans="2:62" ht="11.25" customHeight="1">
      <c r="B234" s="2"/>
      <c r="F234" s="4" t="s">
        <v>29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O234" s="7"/>
      <c r="AP234" s="7"/>
      <c r="BJ234" s="3"/>
    </row>
    <row r="235" spans="2:62" ht="11.25" customHeight="1">
      <c r="B235" s="2"/>
      <c r="F235" s="1" t="s">
        <v>19</v>
      </c>
      <c r="H235" s="24">
        <f>-K224</f>
        <v>-116.25</v>
      </c>
      <c r="I235" s="24"/>
      <c r="J235" s="7" t="s">
        <v>10</v>
      </c>
      <c r="K235" s="1" t="s">
        <v>21</v>
      </c>
      <c r="M235" s="24">
        <f>+T219</f>
        <v>59.999999999999993</v>
      </c>
      <c r="N235" s="24"/>
      <c r="O235" s="1" t="s">
        <v>22</v>
      </c>
      <c r="P235" s="24">
        <f>+I219</f>
        <v>16.25</v>
      </c>
      <c r="Q235" s="24"/>
      <c r="R235" s="7" t="s">
        <v>10</v>
      </c>
      <c r="S235" s="1" t="s">
        <v>20</v>
      </c>
      <c r="U235" s="24">
        <f>+M235</f>
        <v>59.999999999999993</v>
      </c>
      <c r="V235" s="24"/>
      <c r="W235" s="1" t="s">
        <v>23</v>
      </c>
      <c r="X235" s="24">
        <f>+Q203</f>
        <v>15</v>
      </c>
      <c r="Y235" s="24"/>
      <c r="Z235" s="7" t="s">
        <v>10</v>
      </c>
      <c r="AA235" s="24">
        <f>+M225</f>
        <v>4</v>
      </c>
      <c r="AB235" s="24"/>
      <c r="AC235" s="7" t="s">
        <v>10</v>
      </c>
      <c r="AD235" s="1" t="s">
        <v>21</v>
      </c>
      <c r="AF235" s="24">
        <f>+U235</f>
        <v>59.999999999999993</v>
      </c>
      <c r="AG235" s="24"/>
      <c r="AH235" s="1" t="s">
        <v>22</v>
      </c>
      <c r="AI235" s="24">
        <f>+D213</f>
        <v>10</v>
      </c>
      <c r="AJ235" s="24"/>
      <c r="AK235" s="7" t="s">
        <v>10</v>
      </c>
      <c r="AL235" s="24">
        <f>+H214</f>
        <v>6.928203230275507</v>
      </c>
      <c r="AM235" s="24"/>
      <c r="AN235" s="7" t="s">
        <v>10</v>
      </c>
      <c r="AO235" s="1" t="s">
        <v>20</v>
      </c>
      <c r="AQ235" s="24">
        <f>+AF235</f>
        <v>59.999999999999993</v>
      </c>
      <c r="AR235" s="24"/>
      <c r="AS235" s="1" t="s">
        <v>24</v>
      </c>
      <c r="AT235" s="75">
        <f>H235*COS(M235*PI()/180)-P235*SIN(U235*PI()/180)+X235*AA235*COS(AF235*PI()/180)-AI235*AL235*SIN(AQ235*PI()/180)</f>
        <v>-102.19791281149712</v>
      </c>
      <c r="AU235" s="75"/>
      <c r="AV235" s="1" t="s">
        <v>0</v>
      </c>
      <c r="BJ235" s="3"/>
    </row>
    <row r="236" spans="2:62" ht="11.25" customHeight="1">
      <c r="B236" s="2"/>
      <c r="F236" s="1" t="s">
        <v>25</v>
      </c>
      <c r="H236" s="24">
        <f>+K224</f>
        <v>116.25</v>
      </c>
      <c r="I236" s="24"/>
      <c r="J236" s="7" t="s">
        <v>10</v>
      </c>
      <c r="K236" s="1" t="s">
        <v>20</v>
      </c>
      <c r="M236" s="24">
        <f>+M235</f>
        <v>59.999999999999993</v>
      </c>
      <c r="N236" s="24"/>
      <c r="O236" s="1" t="s">
        <v>22</v>
      </c>
      <c r="P236" s="24">
        <f>+I219</f>
        <v>16.25</v>
      </c>
      <c r="Q236" s="24"/>
      <c r="R236" s="7" t="s">
        <v>10</v>
      </c>
      <c r="S236" s="1" t="s">
        <v>21</v>
      </c>
      <c r="U236" s="24">
        <f>+M236</f>
        <v>59.999999999999993</v>
      </c>
      <c r="V236" s="24"/>
      <c r="W236" s="1" t="s">
        <v>22</v>
      </c>
      <c r="X236" s="24">
        <f>+X235</f>
        <v>15</v>
      </c>
      <c r="Y236" s="24"/>
      <c r="Z236" s="7" t="s">
        <v>10</v>
      </c>
      <c r="AA236" s="24">
        <f>+AA235</f>
        <v>4</v>
      </c>
      <c r="AB236" s="24"/>
      <c r="AC236" s="7" t="s">
        <v>10</v>
      </c>
      <c r="AD236" s="1" t="s">
        <v>20</v>
      </c>
      <c r="AF236" s="24">
        <f>+U236</f>
        <v>59.999999999999993</v>
      </c>
      <c r="AG236" s="24"/>
      <c r="AH236" s="1" t="s">
        <v>22</v>
      </c>
      <c r="AI236" s="24">
        <f>+D213</f>
        <v>10</v>
      </c>
      <c r="AJ236" s="24"/>
      <c r="AK236" s="7" t="s">
        <v>10</v>
      </c>
      <c r="AL236" s="24">
        <f>+H214</f>
        <v>6.928203230275507</v>
      </c>
      <c r="AM236" s="24"/>
      <c r="AN236" s="7" t="s">
        <v>10</v>
      </c>
      <c r="AO236" s="1" t="s">
        <v>21</v>
      </c>
      <c r="AQ236" s="24">
        <f>+AF236</f>
        <v>59.999999999999993</v>
      </c>
      <c r="AR236" s="24"/>
      <c r="AS236" s="1" t="s">
        <v>24</v>
      </c>
      <c r="AT236" s="24">
        <f>H236*SIN(M236*PI()/180)-P236*COS(U236*PI()/180)-X236*AA236*SIN(AF236*PI()/180)-AI236*AL236*COS(AQ236*PI()/180)</f>
        <v>5.947912811497126</v>
      </c>
      <c r="AU236" s="24"/>
      <c r="AV236" s="1" t="s">
        <v>0</v>
      </c>
      <c r="BJ236" s="3"/>
    </row>
    <row r="237" spans="2:62" ht="11.25" customHeight="1">
      <c r="B237" s="2"/>
      <c r="F237" s="1" t="s">
        <v>26</v>
      </c>
      <c r="H237" s="24">
        <f>+K224</f>
        <v>116.25</v>
      </c>
      <c r="I237" s="24"/>
      <c r="J237" s="7" t="s">
        <v>10</v>
      </c>
      <c r="K237" s="24">
        <f>+M225</f>
        <v>4</v>
      </c>
      <c r="L237" s="24"/>
      <c r="M237" s="7" t="s">
        <v>9</v>
      </c>
      <c r="N237" s="24">
        <f>+I219</f>
        <v>16.25</v>
      </c>
      <c r="O237" s="24"/>
      <c r="P237" s="7" t="s">
        <v>10</v>
      </c>
      <c r="Q237" s="24">
        <f>+H214</f>
        <v>6.928203230275507</v>
      </c>
      <c r="R237" s="24"/>
      <c r="S237" s="7" t="s">
        <v>9</v>
      </c>
      <c r="T237" s="24">
        <f>+Q203</f>
        <v>15</v>
      </c>
      <c r="U237" s="24"/>
      <c r="V237" s="7" t="s">
        <v>10</v>
      </c>
      <c r="W237" s="24">
        <f>+M225</f>
        <v>4</v>
      </c>
      <c r="X237" s="24"/>
      <c r="Y237" s="7" t="s">
        <v>10</v>
      </c>
      <c r="Z237" s="24">
        <f>+W237/2</f>
        <v>2</v>
      </c>
      <c r="AA237" s="24"/>
      <c r="AB237" s="7" t="s">
        <v>9</v>
      </c>
      <c r="AC237" s="24">
        <f>+D213</f>
        <v>10</v>
      </c>
      <c r="AD237" s="24"/>
      <c r="AE237" s="7" t="s">
        <v>10</v>
      </c>
      <c r="AF237" s="24">
        <f>+H214</f>
        <v>6.928203230275507</v>
      </c>
      <c r="AG237" s="24"/>
      <c r="AH237" s="7" t="s">
        <v>10</v>
      </c>
      <c r="AI237" s="24">
        <f>+AF237/2</f>
        <v>3.4641016151377535</v>
      </c>
      <c r="AJ237" s="24"/>
      <c r="AK237" s="7" t="s">
        <v>12</v>
      </c>
      <c r="AL237" s="24">
        <f>H237*K237-N237*Q237-T237*W237*Z237-AC237*AF237*AI237</f>
        <v>-7.5833024919768661</v>
      </c>
      <c r="AM237" s="24"/>
      <c r="AN237" s="1" t="s">
        <v>27</v>
      </c>
      <c r="BJ237" s="3"/>
    </row>
    <row r="238" spans="2:62" ht="11.25" customHeight="1">
      <c r="B238" s="2"/>
      <c r="F238" s="1" t="s">
        <v>34</v>
      </c>
      <c r="H238" s="24">
        <f>-AH224</f>
        <v>-213.75</v>
      </c>
      <c r="I238" s="24"/>
      <c r="J238" s="7" t="s">
        <v>10</v>
      </c>
      <c r="K238" s="1" t="s">
        <v>21</v>
      </c>
      <c r="M238" s="24">
        <f>+Z219</f>
        <v>41.409622109270856</v>
      </c>
      <c r="N238" s="24"/>
      <c r="O238" s="1" t="s">
        <v>22</v>
      </c>
      <c r="P238" s="24">
        <f>+AL219</f>
        <v>96.25</v>
      </c>
      <c r="Q238" s="24"/>
      <c r="R238" s="7" t="s">
        <v>10</v>
      </c>
      <c r="S238" s="1" t="s">
        <v>20</v>
      </c>
      <c r="U238" s="24">
        <f>+M238</f>
        <v>41.409622109270856</v>
      </c>
      <c r="V238" s="24"/>
      <c r="W238" s="1" t="s">
        <v>23</v>
      </c>
      <c r="X238" s="24">
        <f>+AA203</f>
        <v>20</v>
      </c>
      <c r="Y238" s="24"/>
      <c r="Z238" s="7" t="s">
        <v>10</v>
      </c>
      <c r="AA238" s="24">
        <f>+AF225</f>
        <v>2</v>
      </c>
      <c r="AB238" s="24"/>
      <c r="AC238" s="7" t="s">
        <v>10</v>
      </c>
      <c r="AD238" s="1" t="s">
        <v>21</v>
      </c>
      <c r="AF238" s="24">
        <f>+U238</f>
        <v>41.409622109270856</v>
      </c>
      <c r="AG238" s="24"/>
      <c r="AH238" s="1" t="s">
        <v>24</v>
      </c>
      <c r="AI238" s="24">
        <f>H238*COS(M238*PI()/180)-P238*SIN(U238*PI()/180)+X238*AA238*COS(AF238*PI()/180)</f>
        <v>-193.97589092249171</v>
      </c>
      <c r="AJ238" s="24"/>
      <c r="AK238" s="1" t="s">
        <v>0</v>
      </c>
      <c r="BJ238" s="3"/>
    </row>
    <row r="239" spans="2:62" ht="11.25" customHeight="1">
      <c r="B239" s="2"/>
      <c r="F239" s="1" t="s">
        <v>35</v>
      </c>
      <c r="H239" s="24">
        <f>-AH224</f>
        <v>-213.75</v>
      </c>
      <c r="I239" s="24"/>
      <c r="J239" s="7" t="s">
        <v>10</v>
      </c>
      <c r="K239" s="1" t="s">
        <v>20</v>
      </c>
      <c r="M239" s="24">
        <f>+M238</f>
        <v>41.409622109270856</v>
      </c>
      <c r="N239" s="24"/>
      <c r="O239" s="1" t="s">
        <v>23</v>
      </c>
      <c r="P239" s="24">
        <f>+AL219</f>
        <v>96.25</v>
      </c>
      <c r="Q239" s="24"/>
      <c r="R239" s="7" t="s">
        <v>10</v>
      </c>
      <c r="S239" s="1" t="s">
        <v>21</v>
      </c>
      <c r="U239" s="24">
        <f>+M239</f>
        <v>41.409622109270856</v>
      </c>
      <c r="V239" s="24"/>
      <c r="W239" s="1" t="s">
        <v>23</v>
      </c>
      <c r="X239" s="24">
        <f>+X238</f>
        <v>20</v>
      </c>
      <c r="Y239" s="24"/>
      <c r="Z239" s="7" t="s">
        <v>10</v>
      </c>
      <c r="AA239" s="24">
        <f>+AA238</f>
        <v>2</v>
      </c>
      <c r="AB239" s="24"/>
      <c r="AC239" s="7" t="s">
        <v>10</v>
      </c>
      <c r="AD239" s="1" t="s">
        <v>20</v>
      </c>
      <c r="AF239" s="24">
        <f>+U239</f>
        <v>41.409622109270856</v>
      </c>
      <c r="AG239" s="24"/>
      <c r="AH239" s="1" t="s">
        <v>24</v>
      </c>
      <c r="AI239" s="24">
        <f>H239*SIN(M239*PI()/180)+P239*COS(U239*PI()/180)+X239*AA239*SIN(AF239*PI()/180)</f>
        <v>-42.73732257436815</v>
      </c>
      <c r="AJ239" s="24"/>
      <c r="AK239" s="1" t="s">
        <v>0</v>
      </c>
      <c r="BJ239" s="3"/>
    </row>
    <row r="240" spans="2:62" ht="11.25" customHeight="1">
      <c r="B240" s="2"/>
      <c r="F240" s="1" t="s">
        <v>36</v>
      </c>
      <c r="H240" s="24">
        <f>+AH224</f>
        <v>213.75</v>
      </c>
      <c r="I240" s="24"/>
      <c r="J240" s="7" t="s">
        <v>10</v>
      </c>
      <c r="K240" s="24">
        <f>+AF225</f>
        <v>2</v>
      </c>
      <c r="L240" s="24"/>
      <c r="M240" s="7" t="s">
        <v>9</v>
      </c>
      <c r="N240" s="24">
        <f>+AL219</f>
        <v>96.25</v>
      </c>
      <c r="O240" s="24"/>
      <c r="P240" s="7" t="s">
        <v>10</v>
      </c>
      <c r="Q240" s="24">
        <f>+AN214</f>
        <v>5.2915026221291805</v>
      </c>
      <c r="R240" s="24"/>
      <c r="S240" s="7" t="s">
        <v>9</v>
      </c>
      <c r="T240" s="24">
        <f>+AA203</f>
        <v>20</v>
      </c>
      <c r="U240" s="24"/>
      <c r="V240" s="7" t="s">
        <v>10</v>
      </c>
      <c r="W240" s="24">
        <f>+AF225</f>
        <v>2</v>
      </c>
      <c r="X240" s="24"/>
      <c r="Y240" s="7" t="s">
        <v>10</v>
      </c>
      <c r="Z240" s="24">
        <f>+W240/2</f>
        <v>1</v>
      </c>
      <c r="AA240" s="24"/>
      <c r="AB240" s="7" t="s">
        <v>12</v>
      </c>
      <c r="AC240" s="24">
        <f>H240*K240-N240*Q240-T240*W240*Z240</f>
        <v>-121.8071273799336</v>
      </c>
      <c r="AD240" s="24"/>
      <c r="AE240" s="1" t="s">
        <v>27</v>
      </c>
      <c r="BJ240" s="3"/>
    </row>
    <row r="241" spans="2:62" ht="11.25" customHeight="1">
      <c r="B241" s="2"/>
      <c r="F241" s="1" t="s">
        <v>31</v>
      </c>
      <c r="H241" s="24">
        <f>-AH224</f>
        <v>-213.75</v>
      </c>
      <c r="I241" s="24"/>
      <c r="J241" s="7" t="s">
        <v>10</v>
      </c>
      <c r="K241" s="1" t="s">
        <v>21</v>
      </c>
      <c r="M241" s="24">
        <f>+Z219</f>
        <v>41.409622109270856</v>
      </c>
      <c r="N241" s="24"/>
      <c r="O241" s="1" t="s">
        <v>22</v>
      </c>
      <c r="P241" s="24">
        <f>+AL219</f>
        <v>96.25</v>
      </c>
      <c r="Q241" s="24"/>
      <c r="R241" s="7" t="s">
        <v>10</v>
      </c>
      <c r="S241" s="1" t="s">
        <v>20</v>
      </c>
      <c r="U241" s="24">
        <f>+M241</f>
        <v>41.409622109270856</v>
      </c>
      <c r="V241" s="24"/>
      <c r="W241" s="1" t="s">
        <v>23</v>
      </c>
      <c r="X241" s="24">
        <f>+AA203</f>
        <v>20</v>
      </c>
      <c r="Y241" s="24"/>
      <c r="Z241" s="7" t="s">
        <v>10</v>
      </c>
      <c r="AA241" s="24">
        <f>+AF225</f>
        <v>2</v>
      </c>
      <c r="AB241" s="24"/>
      <c r="AC241" s="7" t="s">
        <v>10</v>
      </c>
      <c r="AD241" s="1" t="s">
        <v>21</v>
      </c>
      <c r="AF241" s="24">
        <f>+U241</f>
        <v>41.409622109270856</v>
      </c>
      <c r="AG241" s="24"/>
      <c r="AH241" s="1" t="s">
        <v>23</v>
      </c>
      <c r="AI241" s="24">
        <f>+AE207</f>
        <v>50</v>
      </c>
      <c r="AJ241" s="24"/>
      <c r="AK241" s="7" t="s">
        <v>10</v>
      </c>
      <c r="AL241" s="1" t="s">
        <v>21</v>
      </c>
      <c r="AN241" s="24">
        <f>+AF241</f>
        <v>41.409622109270856</v>
      </c>
      <c r="AO241" s="24"/>
      <c r="AP241" s="1" t="s">
        <v>24</v>
      </c>
      <c r="AQ241" s="24">
        <f>H241*COS(M241*PI()/180)-P241*SIN(U241*PI()/180)+X241*AA241*COS(AF241*PI()/180)+AI241*COS(AN241*PI()/180)</f>
        <v>-156.47589092249171</v>
      </c>
      <c r="AR241" s="24"/>
      <c r="AS241" s="1" t="s">
        <v>0</v>
      </c>
      <c r="BJ241" s="3"/>
    </row>
    <row r="242" spans="2:62" ht="11.25" customHeight="1">
      <c r="B242" s="2"/>
      <c r="F242" s="1" t="s">
        <v>32</v>
      </c>
      <c r="H242" s="24">
        <f>-AH224</f>
        <v>-213.75</v>
      </c>
      <c r="I242" s="24"/>
      <c r="J242" s="7" t="s">
        <v>10</v>
      </c>
      <c r="K242" s="1" t="s">
        <v>20</v>
      </c>
      <c r="M242" s="24">
        <f>+M241</f>
        <v>41.409622109270856</v>
      </c>
      <c r="N242" s="24"/>
      <c r="O242" s="1" t="s">
        <v>23</v>
      </c>
      <c r="P242" s="24">
        <f>+AL219</f>
        <v>96.25</v>
      </c>
      <c r="Q242" s="24"/>
      <c r="R242" s="7" t="s">
        <v>10</v>
      </c>
      <c r="S242" s="1" t="s">
        <v>21</v>
      </c>
      <c r="U242" s="24">
        <f>+M242</f>
        <v>41.409622109270856</v>
      </c>
      <c r="V242" s="24"/>
      <c r="W242" s="1" t="s">
        <v>23</v>
      </c>
      <c r="X242" s="24">
        <f>+X241</f>
        <v>20</v>
      </c>
      <c r="Y242" s="24"/>
      <c r="Z242" s="7" t="s">
        <v>10</v>
      </c>
      <c r="AA242" s="24">
        <f>+AA241</f>
        <v>2</v>
      </c>
      <c r="AB242" s="24"/>
      <c r="AC242" s="7" t="s">
        <v>10</v>
      </c>
      <c r="AD242" s="1" t="s">
        <v>20</v>
      </c>
      <c r="AF242" s="24">
        <f>+U242</f>
        <v>41.409622109270856</v>
      </c>
      <c r="AG242" s="24"/>
      <c r="AH242" s="1" t="s">
        <v>23</v>
      </c>
      <c r="AI242" s="24">
        <f>+AI241</f>
        <v>50</v>
      </c>
      <c r="AJ242" s="24"/>
      <c r="AK242" s="7" t="s">
        <v>10</v>
      </c>
      <c r="AL242" s="1" t="s">
        <v>20</v>
      </c>
      <c r="AN242" s="24">
        <f>+AF242</f>
        <v>41.409622109270856</v>
      </c>
      <c r="AO242" s="24"/>
      <c r="AP242" s="1" t="s">
        <v>24</v>
      </c>
      <c r="AQ242" s="24">
        <f>H242*SIN(M242*PI()/180)+P242*COS(U242*PI()/180)+X242*AA242*SIN(AF242*PI()/180)+AI242*SIN(AN242*PI()/180)</f>
        <v>-9.665431186060772</v>
      </c>
      <c r="AR242" s="24"/>
      <c r="AS242" s="1" t="s">
        <v>0</v>
      </c>
      <c r="BJ242" s="3"/>
    </row>
    <row r="243" spans="2:62" ht="11.25" customHeight="1">
      <c r="B243" s="2"/>
      <c r="F243" s="1" t="s">
        <v>37</v>
      </c>
      <c r="J243" s="24">
        <f>+AC240</f>
        <v>-121.8071273799336</v>
      </c>
      <c r="K243" s="24"/>
      <c r="L243" s="1" t="s">
        <v>27</v>
      </c>
      <c r="BJ243" s="3"/>
    </row>
    <row r="244" spans="2:62" ht="11.25" customHeight="1">
      <c r="B244" s="2"/>
      <c r="BJ244" s="3"/>
    </row>
    <row r="245" spans="2:62" ht="11.25" customHeight="1">
      <c r="B245" s="2"/>
      <c r="BJ245" s="3"/>
    </row>
    <row r="246" spans="2:62" ht="11.25" customHeight="1">
      <c r="B246" s="2"/>
      <c r="D246" s="12" t="s">
        <v>38</v>
      </c>
      <c r="BJ246" s="3"/>
    </row>
    <row r="247" spans="2:62" ht="11.25" customHeight="1">
      <c r="B247" s="2"/>
      <c r="N247" s="34">
        <v>15</v>
      </c>
      <c r="O247" s="34"/>
      <c r="P247" s="1" t="s">
        <v>3</v>
      </c>
      <c r="X247" s="34">
        <v>20</v>
      </c>
      <c r="Y247" s="34"/>
      <c r="Z247" s="1" t="s">
        <v>3</v>
      </c>
      <c r="BJ247" s="3"/>
    </row>
    <row r="248" spans="2:62" ht="11.25" customHeight="1">
      <c r="B248" s="2"/>
      <c r="BJ248" s="3"/>
    </row>
    <row r="249" spans="2:62" ht="11.25" customHeight="1">
      <c r="B249" s="2"/>
      <c r="BJ249" s="3"/>
    </row>
    <row r="250" spans="2:62" ht="11.25" customHeight="1">
      <c r="B250" s="2"/>
      <c r="D250" s="5" t="s">
        <v>1</v>
      </c>
      <c r="AK250" s="5" t="s">
        <v>1</v>
      </c>
      <c r="BJ250" s="3"/>
    </row>
    <row r="251" spans="2:62" ht="11.25" customHeight="1">
      <c r="B251" s="2"/>
      <c r="D251" s="37">
        <f>+W257-D258</f>
        <v>1.071796769724493</v>
      </c>
      <c r="T251" s="1" t="s">
        <v>18</v>
      </c>
      <c r="AB251" s="34">
        <v>50</v>
      </c>
      <c r="AC251" s="34"/>
      <c r="AD251" s="1" t="s">
        <v>0</v>
      </c>
      <c r="AK251" s="37">
        <f>+W257-AK258</f>
        <v>2.7084973778708195</v>
      </c>
      <c r="BJ251" s="3"/>
    </row>
    <row r="252" spans="2:62" ht="11.25" customHeight="1">
      <c r="B252" s="2"/>
      <c r="D252" s="37"/>
      <c r="AK252" s="37"/>
      <c r="BJ252" s="3"/>
    </row>
    <row r="253" spans="2:62" ht="11.25" customHeight="1">
      <c r="B253" s="2"/>
      <c r="D253" s="37"/>
      <c r="L253" s="1" t="s">
        <v>17</v>
      </c>
      <c r="AK253" s="37"/>
      <c r="BJ253" s="3"/>
    </row>
    <row r="254" spans="2:62" ht="11.25" customHeight="1">
      <c r="B254" s="2"/>
      <c r="AC254" s="6" t="s">
        <v>30</v>
      </c>
      <c r="BJ254" s="3"/>
    </row>
    <row r="255" spans="2:62" ht="11.25" customHeight="1">
      <c r="B255" s="2"/>
      <c r="AM255" s="5" t="s">
        <v>1</v>
      </c>
      <c r="BJ255" s="3"/>
    </row>
    <row r="256" spans="2:62" ht="11.25" customHeight="1">
      <c r="B256" s="2"/>
      <c r="AM256" s="37">
        <f>+T271/2</f>
        <v>8</v>
      </c>
      <c r="BJ256" s="3"/>
    </row>
    <row r="257" spans="2:62" ht="11.25" customHeight="1">
      <c r="B257" s="2"/>
      <c r="D257" s="5" t="s">
        <v>1</v>
      </c>
      <c r="V257" s="1" t="s">
        <v>2</v>
      </c>
      <c r="W257" s="24">
        <f>+T271/2</f>
        <v>8</v>
      </c>
      <c r="X257" s="24"/>
      <c r="Y257" s="1" t="s">
        <v>1</v>
      </c>
      <c r="AK257" s="5" t="s">
        <v>1</v>
      </c>
      <c r="AM257" s="37"/>
      <c r="BJ257" s="3"/>
    </row>
    <row r="258" spans="2:62" ht="11.25" customHeight="1">
      <c r="B258" s="2"/>
      <c r="D258" s="37">
        <f>P269*TAN(Q263*PI()/180)</f>
        <v>6.928203230275507</v>
      </c>
      <c r="AK258" s="37">
        <f>W269*TAN(W263*PI()/180)</f>
        <v>5.2915026221291805</v>
      </c>
      <c r="AM258" s="37"/>
      <c r="BJ258" s="3"/>
    </row>
    <row r="259" spans="2:62" ht="11.25" customHeight="1">
      <c r="B259" s="2"/>
      <c r="D259" s="37"/>
      <c r="AK259" s="37"/>
      <c r="BJ259" s="3"/>
    </row>
    <row r="260" spans="2:62" ht="11.25" customHeight="1">
      <c r="B260" s="2"/>
      <c r="D260" s="37"/>
      <c r="AK260" s="37"/>
      <c r="BJ260" s="3"/>
    </row>
    <row r="261" spans="2:62" ht="11.25" customHeight="1">
      <c r="B261" s="2"/>
      <c r="BJ261" s="3"/>
    </row>
    <row r="262" spans="2:62" ht="11.25" customHeight="1">
      <c r="B262" s="2"/>
      <c r="BJ262" s="3"/>
    </row>
    <row r="263" spans="2:62" ht="11.25" customHeight="1">
      <c r="B263" s="2"/>
      <c r="D263" s="1" t="s">
        <v>5</v>
      </c>
      <c r="F263" s="24">
        <f>+AF276</f>
        <v>76.25</v>
      </c>
      <c r="G263" s="24"/>
      <c r="H263" s="1" t="s">
        <v>0</v>
      </c>
      <c r="Q263" s="24">
        <f>ACOS(P269/W257)*180/PI()</f>
        <v>59.999999999999993</v>
      </c>
      <c r="R263" s="24"/>
      <c r="S263" s="8" t="s">
        <v>8</v>
      </c>
      <c r="W263" s="24">
        <f>ACOS(W269/W257)*180/PI()</f>
        <v>41.409622109270856</v>
      </c>
      <c r="X263" s="24"/>
      <c r="Y263" s="8" t="s">
        <v>8</v>
      </c>
      <c r="AE263" s="1" t="s">
        <v>33</v>
      </c>
      <c r="AG263" s="1" t="s">
        <v>6</v>
      </c>
      <c r="AI263" s="24">
        <f>+AL277</f>
        <v>76.25</v>
      </c>
      <c r="AJ263" s="24"/>
      <c r="AK263" s="1" t="s">
        <v>0</v>
      </c>
      <c r="BJ263" s="3"/>
    </row>
    <row r="264" spans="2:62" ht="11.25" customHeight="1">
      <c r="B264" s="2"/>
      <c r="BJ264" s="3"/>
    </row>
    <row r="265" spans="2:62" ht="11.25" customHeight="1">
      <c r="B265" s="2"/>
      <c r="BJ265" s="3"/>
    </row>
    <row r="266" spans="2:62" ht="11.25" customHeight="1">
      <c r="B266" s="2"/>
      <c r="BJ266" s="3"/>
    </row>
    <row r="267" spans="2:62" ht="11.25" customHeight="1">
      <c r="B267" s="2"/>
      <c r="BJ267" s="3"/>
    </row>
    <row r="268" spans="2:62" ht="11.25" customHeight="1">
      <c r="B268" s="2"/>
      <c r="F268" s="1" t="s">
        <v>4</v>
      </c>
      <c r="H268" s="24">
        <f>+AO274</f>
        <v>136.25</v>
      </c>
      <c r="I268" s="24"/>
      <c r="J268" s="1" t="s">
        <v>0</v>
      </c>
      <c r="AC268" s="1" t="s">
        <v>7</v>
      </c>
      <c r="AE268" s="24">
        <f>+AF275</f>
        <v>193.75</v>
      </c>
      <c r="AF268" s="24"/>
      <c r="AG268" s="1" t="s">
        <v>0</v>
      </c>
      <c r="BJ268" s="3"/>
    </row>
    <row r="269" spans="2:62" ht="11.25" customHeight="1">
      <c r="B269" s="2"/>
      <c r="J269" s="34">
        <v>4</v>
      </c>
      <c r="K269" s="34"/>
      <c r="L269" s="1" t="s">
        <v>1</v>
      </c>
      <c r="P269" s="24">
        <f>+T271/2-J269</f>
        <v>4</v>
      </c>
      <c r="Q269" s="24"/>
      <c r="R269" s="1" t="s">
        <v>1</v>
      </c>
      <c r="W269" s="24">
        <f>+T271/2-AC269</f>
        <v>6</v>
      </c>
      <c r="X269" s="24"/>
      <c r="Y269" s="1" t="s">
        <v>1</v>
      </c>
      <c r="AC269" s="34">
        <v>2</v>
      </c>
      <c r="AD269" s="34"/>
      <c r="AE269" s="1" t="s">
        <v>1</v>
      </c>
      <c r="BJ269" s="3"/>
    </row>
    <row r="270" spans="2:62" ht="11.25" customHeight="1">
      <c r="B270" s="2"/>
      <c r="BJ270" s="3"/>
    </row>
    <row r="271" spans="2:62" ht="11.25" customHeight="1">
      <c r="B271" s="2"/>
      <c r="T271" s="34">
        <v>16</v>
      </c>
      <c r="U271" s="34"/>
      <c r="V271" s="1" t="s">
        <v>1</v>
      </c>
      <c r="BJ271" s="3"/>
    </row>
    <row r="272" spans="2:62" ht="11.25" customHeight="1">
      <c r="B272" s="2"/>
      <c r="BJ272" s="3"/>
    </row>
    <row r="273" spans="2:62" ht="11.25" customHeight="1">
      <c r="B273" s="2"/>
      <c r="F273" s="4" t="s">
        <v>28</v>
      </c>
      <c r="BJ273" s="3"/>
    </row>
    <row r="274" spans="2:62" ht="11.25" customHeight="1">
      <c r="B274" s="2"/>
      <c r="F274" s="1" t="s">
        <v>11</v>
      </c>
      <c r="H274" s="24">
        <f>+T271</f>
        <v>16</v>
      </c>
      <c r="I274" s="24"/>
      <c r="J274" s="7" t="s">
        <v>9</v>
      </c>
      <c r="K274" s="24">
        <f>+N247</f>
        <v>15</v>
      </c>
      <c r="L274" s="24"/>
      <c r="M274" s="7" t="s">
        <v>10</v>
      </c>
      <c r="N274" s="24">
        <f>+T271/2</f>
        <v>8</v>
      </c>
      <c r="O274" s="24"/>
      <c r="P274" s="7" t="s">
        <v>10</v>
      </c>
      <c r="Q274" s="24">
        <f>+T271/2+T271/2/2</f>
        <v>12</v>
      </c>
      <c r="R274" s="24"/>
      <c r="S274" s="7" t="s">
        <v>9</v>
      </c>
      <c r="T274" s="24">
        <f>+X247</f>
        <v>20</v>
      </c>
      <c r="U274" s="24"/>
      <c r="V274" s="7" t="s">
        <v>10</v>
      </c>
      <c r="W274" s="24">
        <f>+T271/2</f>
        <v>8</v>
      </c>
      <c r="X274" s="24"/>
      <c r="Y274" s="7" t="s">
        <v>10</v>
      </c>
      <c r="Z274" s="24">
        <f>+W274/2</f>
        <v>4</v>
      </c>
      <c r="AA274" s="24"/>
      <c r="AB274" s="7" t="s">
        <v>9</v>
      </c>
      <c r="AC274" s="24">
        <f>+AB251</f>
        <v>50</v>
      </c>
      <c r="AD274" s="24"/>
      <c r="AE274" s="7" t="s">
        <v>10</v>
      </c>
      <c r="AF274" s="24">
        <f>+AC269</f>
        <v>2</v>
      </c>
      <c r="AG274" s="24"/>
      <c r="AH274" s="7" t="s">
        <v>12</v>
      </c>
      <c r="AI274" s="1">
        <v>0</v>
      </c>
      <c r="AM274" s="1" t="s">
        <v>4</v>
      </c>
      <c r="AO274" s="24">
        <f>(K274*N274*Q274+T274*W274*Z274+AC274*AF274)/H274</f>
        <v>136.25</v>
      </c>
      <c r="AP274" s="24"/>
      <c r="AQ274" s="1" t="s">
        <v>0</v>
      </c>
      <c r="BJ274" s="3"/>
    </row>
    <row r="275" spans="2:62" ht="11.25" customHeight="1">
      <c r="B275" s="2"/>
      <c r="F275" s="1" t="s">
        <v>13</v>
      </c>
      <c r="H275" s="24">
        <f>+H268</f>
        <v>136.25</v>
      </c>
      <c r="I275" s="24"/>
      <c r="J275" s="7" t="s">
        <v>9</v>
      </c>
      <c r="K275" s="24">
        <f>+N247</f>
        <v>15</v>
      </c>
      <c r="L275" s="24"/>
      <c r="M275" s="7" t="s">
        <v>10</v>
      </c>
      <c r="N275" s="24">
        <f>+T271/2</f>
        <v>8</v>
      </c>
      <c r="O275" s="24"/>
      <c r="P275" s="7" t="s">
        <v>9</v>
      </c>
      <c r="Q275" s="24">
        <f>+X247</f>
        <v>20</v>
      </c>
      <c r="R275" s="24"/>
      <c r="S275" s="7" t="s">
        <v>10</v>
      </c>
      <c r="T275" s="24">
        <f>+T271/2</f>
        <v>8</v>
      </c>
      <c r="U275" s="24"/>
      <c r="V275" s="7" t="s">
        <v>9</v>
      </c>
      <c r="W275" s="24">
        <f>+AB251</f>
        <v>50</v>
      </c>
      <c r="X275" s="24"/>
      <c r="Y275" s="7" t="s">
        <v>12</v>
      </c>
      <c r="Z275" s="1">
        <v>0</v>
      </c>
      <c r="AD275" s="1" t="s">
        <v>7</v>
      </c>
      <c r="AF275" s="24">
        <f>+K275*N275+Q275*T275+W275-H275</f>
        <v>193.75</v>
      </c>
      <c r="AG275" s="24"/>
      <c r="AH275" s="1" t="s">
        <v>0</v>
      </c>
      <c r="BJ275" s="3"/>
    </row>
    <row r="276" spans="2:62" ht="11.25" customHeight="1">
      <c r="B276" s="2"/>
      <c r="F276" s="1" t="s">
        <v>14</v>
      </c>
      <c r="H276" s="24">
        <f>+AM256</f>
        <v>8</v>
      </c>
      <c r="I276" s="24"/>
      <c r="J276" s="7" t="s">
        <v>9</v>
      </c>
      <c r="K276" s="24">
        <f>+H268</f>
        <v>136.25</v>
      </c>
      <c r="L276" s="24"/>
      <c r="M276" s="7" t="s">
        <v>10</v>
      </c>
      <c r="N276" s="24">
        <f>+T271/2</f>
        <v>8</v>
      </c>
      <c r="O276" s="24"/>
      <c r="P276" s="7" t="s">
        <v>15</v>
      </c>
      <c r="Q276" s="24">
        <f>+N247</f>
        <v>15</v>
      </c>
      <c r="R276" s="24"/>
      <c r="S276" s="7" t="s">
        <v>10</v>
      </c>
      <c r="T276" s="24">
        <f>+T271/2</f>
        <v>8</v>
      </c>
      <c r="U276" s="24"/>
      <c r="V276" s="7" t="s">
        <v>10</v>
      </c>
      <c r="W276" s="24">
        <f>+T276/2</f>
        <v>4</v>
      </c>
      <c r="X276" s="24"/>
      <c r="Y276" s="7" t="s">
        <v>12</v>
      </c>
      <c r="Z276" s="1">
        <v>0</v>
      </c>
      <c r="AD276" s="1" t="s">
        <v>5</v>
      </c>
      <c r="AF276" s="24">
        <f>(K276*N276-Q276*T276*W276)/H276</f>
        <v>76.25</v>
      </c>
      <c r="AG276" s="24"/>
      <c r="AH276" s="1" t="s">
        <v>0</v>
      </c>
      <c r="BJ276" s="3"/>
    </row>
    <row r="277" spans="2:62" ht="11.25" customHeight="1">
      <c r="B277" s="2"/>
      <c r="F277" s="1" t="s">
        <v>16</v>
      </c>
      <c r="H277" s="24">
        <f>+AM256</f>
        <v>8</v>
      </c>
      <c r="I277" s="24"/>
      <c r="J277" s="7" t="s">
        <v>9</v>
      </c>
      <c r="K277" s="24">
        <f>+AE268</f>
        <v>193.75</v>
      </c>
      <c r="L277" s="24"/>
      <c r="M277" s="7" t="s">
        <v>10</v>
      </c>
      <c r="N277" s="24">
        <f>+T271/2</f>
        <v>8</v>
      </c>
      <c r="O277" s="24"/>
      <c r="P277" s="7" t="s">
        <v>15</v>
      </c>
      <c r="Q277" s="24">
        <f>+X247</f>
        <v>20</v>
      </c>
      <c r="R277" s="24"/>
      <c r="S277" s="7" t="s">
        <v>10</v>
      </c>
      <c r="T277" s="24">
        <f>+T271/2</f>
        <v>8</v>
      </c>
      <c r="U277" s="24"/>
      <c r="V277" s="7" t="s">
        <v>10</v>
      </c>
      <c r="W277" s="24">
        <f>+T277/2</f>
        <v>4</v>
      </c>
      <c r="X277" s="24"/>
      <c r="Y277" s="7" t="s">
        <v>15</v>
      </c>
      <c r="Z277" s="24">
        <f>+AB251</f>
        <v>50</v>
      </c>
      <c r="AA277" s="24"/>
      <c r="AB277" s="7" t="s">
        <v>10</v>
      </c>
      <c r="AC277" s="24">
        <f>+W269</f>
        <v>6</v>
      </c>
      <c r="AD277" s="24"/>
      <c r="AE277" s="7" t="s">
        <v>12</v>
      </c>
      <c r="AF277" s="1">
        <v>0</v>
      </c>
      <c r="AJ277" s="1" t="s">
        <v>6</v>
      </c>
      <c r="AL277" s="24">
        <f>(K277*N277-Q277*T277*W277-Z277*AC277)/H277</f>
        <v>76.25</v>
      </c>
      <c r="AM277" s="24"/>
      <c r="AN277" s="1" t="s">
        <v>0</v>
      </c>
      <c r="BJ277" s="3"/>
    </row>
    <row r="278" spans="2:62" ht="11.25" customHeight="1">
      <c r="B278" s="2"/>
      <c r="F278" s="4" t="s">
        <v>29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L278" s="7"/>
      <c r="AM278" s="7"/>
      <c r="BJ278" s="3"/>
    </row>
    <row r="279" spans="2:62" ht="11.25" customHeight="1">
      <c r="B279" s="2"/>
      <c r="F279" s="1" t="s">
        <v>19</v>
      </c>
      <c r="H279" s="24">
        <f>-H268</f>
        <v>-136.25</v>
      </c>
      <c r="I279" s="24"/>
      <c r="J279" s="7" t="s">
        <v>10</v>
      </c>
      <c r="K279" s="1" t="s">
        <v>21</v>
      </c>
      <c r="M279" s="24">
        <f>+Q263</f>
        <v>59.999999999999993</v>
      </c>
      <c r="N279" s="24"/>
      <c r="O279" s="1" t="s">
        <v>22</v>
      </c>
      <c r="P279" s="24">
        <f>+F263</f>
        <v>76.25</v>
      </c>
      <c r="Q279" s="24"/>
      <c r="R279" s="7" t="s">
        <v>10</v>
      </c>
      <c r="S279" s="1" t="s">
        <v>20</v>
      </c>
      <c r="U279" s="24">
        <f>+M279</f>
        <v>59.999999999999993</v>
      </c>
      <c r="V279" s="24"/>
      <c r="W279" s="1" t="s">
        <v>23</v>
      </c>
      <c r="X279" s="24">
        <f>+N247</f>
        <v>15</v>
      </c>
      <c r="Y279" s="24"/>
      <c r="Z279" s="7" t="s">
        <v>10</v>
      </c>
      <c r="AA279" s="24">
        <f>+J269</f>
        <v>4</v>
      </c>
      <c r="AB279" s="24"/>
      <c r="AC279" s="7" t="s">
        <v>10</v>
      </c>
      <c r="AD279" s="1" t="s">
        <v>21</v>
      </c>
      <c r="AF279" s="24">
        <f>+U279</f>
        <v>59.999999999999993</v>
      </c>
      <c r="AG279" s="24"/>
      <c r="AH279" s="1" t="s">
        <v>24</v>
      </c>
      <c r="AI279" s="24">
        <f>H279*COS(M279*PI()/180)-P279*SIN(U279*PI()/180)+X279*AA279*COS(AF279*PI()/180)</f>
        <v>-104.15943703856345</v>
      </c>
      <c r="AJ279" s="24"/>
      <c r="AK279" s="1" t="s">
        <v>0</v>
      </c>
      <c r="BJ279" s="3"/>
    </row>
    <row r="280" spans="2:62" ht="11.25" customHeight="1">
      <c r="B280" s="2"/>
      <c r="F280" s="1" t="s">
        <v>25</v>
      </c>
      <c r="H280" s="24">
        <f>+H268</f>
        <v>136.25</v>
      </c>
      <c r="I280" s="24"/>
      <c r="J280" s="7" t="s">
        <v>10</v>
      </c>
      <c r="K280" s="1" t="s">
        <v>20</v>
      </c>
      <c r="M280" s="24">
        <f>+M279</f>
        <v>59.999999999999993</v>
      </c>
      <c r="N280" s="24"/>
      <c r="O280" s="1" t="s">
        <v>22</v>
      </c>
      <c r="P280" s="24">
        <f>+F263</f>
        <v>76.25</v>
      </c>
      <c r="Q280" s="24"/>
      <c r="R280" s="7" t="s">
        <v>10</v>
      </c>
      <c r="S280" s="1" t="s">
        <v>21</v>
      </c>
      <c r="U280" s="24">
        <f>+M280</f>
        <v>59.999999999999993</v>
      </c>
      <c r="V280" s="24"/>
      <c r="W280" s="1" t="s">
        <v>22</v>
      </c>
      <c r="X280" s="24">
        <f>+X279</f>
        <v>15</v>
      </c>
      <c r="Y280" s="24"/>
      <c r="Z280" s="7" t="s">
        <v>10</v>
      </c>
      <c r="AA280" s="24">
        <f>+AA279</f>
        <v>4</v>
      </c>
      <c r="AB280" s="24"/>
      <c r="AC280" s="7" t="s">
        <v>10</v>
      </c>
      <c r="AD280" s="1" t="s">
        <v>20</v>
      </c>
      <c r="AF280" s="24">
        <f>+U280</f>
        <v>59.999999999999993</v>
      </c>
      <c r="AG280" s="24"/>
      <c r="AH280" s="1" t="s">
        <v>24</v>
      </c>
      <c r="AI280" s="24">
        <f>H280*SIN(M280*PI()/180)-P280*COS(U280*PI()/180)-X280*AA280*SIN(AF280*PI()/180)</f>
        <v>27.909437038563432</v>
      </c>
      <c r="AJ280" s="24"/>
      <c r="AK280" s="1" t="s">
        <v>0</v>
      </c>
      <c r="BJ280" s="3"/>
    </row>
    <row r="281" spans="2:62" ht="11.25" customHeight="1">
      <c r="B281" s="2"/>
      <c r="F281" s="1" t="s">
        <v>26</v>
      </c>
      <c r="H281" s="24">
        <f>+H268</f>
        <v>136.25</v>
      </c>
      <c r="I281" s="24"/>
      <c r="J281" s="7" t="s">
        <v>10</v>
      </c>
      <c r="K281" s="24">
        <f>+J269</f>
        <v>4</v>
      </c>
      <c r="L281" s="24"/>
      <c r="M281" s="7" t="s">
        <v>9</v>
      </c>
      <c r="N281" s="24">
        <f>+F263</f>
        <v>76.25</v>
      </c>
      <c r="O281" s="24"/>
      <c r="P281" s="7" t="s">
        <v>10</v>
      </c>
      <c r="Q281" s="24">
        <f>+D258</f>
        <v>6.928203230275507</v>
      </c>
      <c r="R281" s="24"/>
      <c r="S281" s="7" t="s">
        <v>9</v>
      </c>
      <c r="T281" s="24">
        <f>+N247</f>
        <v>15</v>
      </c>
      <c r="U281" s="24"/>
      <c r="V281" s="7" t="s">
        <v>10</v>
      </c>
      <c r="W281" s="24">
        <f>+J269</f>
        <v>4</v>
      </c>
      <c r="X281" s="24"/>
      <c r="Y281" s="7" t="s">
        <v>10</v>
      </c>
      <c r="Z281" s="24">
        <f>+W281/2</f>
        <v>2</v>
      </c>
      <c r="AA281" s="24"/>
      <c r="AB281" s="7" t="s">
        <v>12</v>
      </c>
      <c r="AC281" s="24">
        <f>H281*K281-N281*Q281-T281*W281*Z281</f>
        <v>-103.2754963085074</v>
      </c>
      <c r="AD281" s="24"/>
      <c r="AE281" s="1" t="s">
        <v>27</v>
      </c>
      <c r="BJ281" s="3"/>
    </row>
    <row r="282" spans="2:62" ht="11.25" customHeight="1">
      <c r="B282" s="2"/>
      <c r="F282" s="1" t="s">
        <v>34</v>
      </c>
      <c r="H282" s="24">
        <f>-AE268</f>
        <v>-193.75</v>
      </c>
      <c r="I282" s="24"/>
      <c r="J282" s="7" t="s">
        <v>10</v>
      </c>
      <c r="K282" s="1" t="s">
        <v>21</v>
      </c>
      <c r="M282" s="24">
        <f>+W263</f>
        <v>41.409622109270856</v>
      </c>
      <c r="N282" s="24"/>
      <c r="O282" s="1" t="s">
        <v>22</v>
      </c>
      <c r="P282" s="24">
        <f>+AI263</f>
        <v>76.25</v>
      </c>
      <c r="Q282" s="24"/>
      <c r="R282" s="7" t="s">
        <v>10</v>
      </c>
      <c r="S282" s="1" t="s">
        <v>20</v>
      </c>
      <c r="U282" s="24">
        <f>+M282</f>
        <v>41.409622109270856</v>
      </c>
      <c r="V282" s="24"/>
      <c r="W282" s="1" t="s">
        <v>23</v>
      </c>
      <c r="X282" s="24">
        <f>+X247</f>
        <v>20</v>
      </c>
      <c r="Y282" s="24"/>
      <c r="Z282" s="7" t="s">
        <v>10</v>
      </c>
      <c r="AA282" s="24">
        <f>+AC269</f>
        <v>2</v>
      </c>
      <c r="AB282" s="24"/>
      <c r="AC282" s="7" t="s">
        <v>10</v>
      </c>
      <c r="AD282" s="1" t="s">
        <v>21</v>
      </c>
      <c r="AF282" s="24">
        <f>+U282</f>
        <v>41.409622109270856</v>
      </c>
      <c r="AG282" s="24"/>
      <c r="AH282" s="1" t="s">
        <v>24</v>
      </c>
      <c r="AI282" s="24">
        <f>H282*COS(M282*PI()/180)-P282*SIN(U282*PI()/180)+X282*AA282*COS(AF282*PI()/180)</f>
        <v>-165.74713436716877</v>
      </c>
      <c r="AJ282" s="24"/>
      <c r="AK282" s="1" t="s">
        <v>0</v>
      </c>
      <c r="BJ282" s="3"/>
    </row>
    <row r="283" spans="2:62" ht="11.25" customHeight="1">
      <c r="B283" s="2"/>
      <c r="F283" s="1" t="s">
        <v>35</v>
      </c>
      <c r="H283" s="24">
        <f>-AE268</f>
        <v>-193.75</v>
      </c>
      <c r="I283" s="24"/>
      <c r="J283" s="7" t="s">
        <v>10</v>
      </c>
      <c r="K283" s="1" t="s">
        <v>20</v>
      </c>
      <c r="M283" s="24">
        <f>+M282</f>
        <v>41.409622109270856</v>
      </c>
      <c r="N283" s="24"/>
      <c r="O283" s="1" t="s">
        <v>23</v>
      </c>
      <c r="P283" s="24">
        <f>+AI263</f>
        <v>76.25</v>
      </c>
      <c r="Q283" s="24"/>
      <c r="R283" s="7" t="s">
        <v>10</v>
      </c>
      <c r="S283" s="1" t="s">
        <v>21</v>
      </c>
      <c r="U283" s="24">
        <f>+M283</f>
        <v>41.409622109270856</v>
      </c>
      <c r="V283" s="24"/>
      <c r="W283" s="1" t="s">
        <v>23</v>
      </c>
      <c r="X283" s="24">
        <f>+X282</f>
        <v>20</v>
      </c>
      <c r="Y283" s="24"/>
      <c r="Z283" s="7" t="s">
        <v>10</v>
      </c>
      <c r="AA283" s="24">
        <f>+AA282</f>
        <v>2</v>
      </c>
      <c r="AB283" s="24"/>
      <c r="AC283" s="7" t="s">
        <v>10</v>
      </c>
      <c r="AD283" s="1" t="s">
        <v>20</v>
      </c>
      <c r="AF283" s="24">
        <f>+U283</f>
        <v>41.409622109270856</v>
      </c>
      <c r="AG283" s="24"/>
      <c r="AH283" s="1" t="s">
        <v>24</v>
      </c>
      <c r="AI283" s="24">
        <f>H283*SIN(M283*PI()/180)+P283*COS(U283*PI()/180)+X283*AA283*SIN(AF283*PI()/180)</f>
        <v>-44.508566019045176</v>
      </c>
      <c r="AJ283" s="24"/>
      <c r="AK283" s="1" t="s">
        <v>0</v>
      </c>
      <c r="BJ283" s="3"/>
    </row>
    <row r="284" spans="2:62" ht="11.25" customHeight="1">
      <c r="B284" s="2"/>
      <c r="F284" s="1" t="s">
        <v>36</v>
      </c>
      <c r="H284" s="24">
        <f>+AE268</f>
        <v>193.75</v>
      </c>
      <c r="I284" s="24"/>
      <c r="J284" s="7" t="s">
        <v>10</v>
      </c>
      <c r="K284" s="24">
        <f>+AC269</f>
        <v>2</v>
      </c>
      <c r="L284" s="24"/>
      <c r="M284" s="7" t="s">
        <v>9</v>
      </c>
      <c r="N284" s="24">
        <f>+AI263</f>
        <v>76.25</v>
      </c>
      <c r="O284" s="24"/>
      <c r="P284" s="7" t="s">
        <v>10</v>
      </c>
      <c r="Q284" s="24">
        <f>+AK258</f>
        <v>5.2915026221291805</v>
      </c>
      <c r="R284" s="24"/>
      <c r="S284" s="7" t="s">
        <v>9</v>
      </c>
      <c r="T284" s="24">
        <f>+X247</f>
        <v>20</v>
      </c>
      <c r="U284" s="24"/>
      <c r="V284" s="7" t="s">
        <v>10</v>
      </c>
      <c r="W284" s="24">
        <f>+AC269</f>
        <v>2</v>
      </c>
      <c r="X284" s="24"/>
      <c r="Y284" s="7" t="s">
        <v>10</v>
      </c>
      <c r="Z284" s="24">
        <f>+W284/2</f>
        <v>1</v>
      </c>
      <c r="AA284" s="24"/>
      <c r="AB284" s="7" t="s">
        <v>12</v>
      </c>
      <c r="AC284" s="24">
        <f>H284*K284-N284*Q284-T284*W284*Z284</f>
        <v>-55.977074937350039</v>
      </c>
      <c r="AD284" s="24"/>
      <c r="AE284" s="1" t="s">
        <v>27</v>
      </c>
      <c r="BJ284" s="3"/>
    </row>
    <row r="285" spans="2:62" ht="11.25" customHeight="1">
      <c r="B285" s="2"/>
      <c r="F285" s="1" t="s">
        <v>31</v>
      </c>
      <c r="H285" s="24">
        <f>-AE268</f>
        <v>-193.75</v>
      </c>
      <c r="I285" s="24"/>
      <c r="J285" s="7" t="s">
        <v>10</v>
      </c>
      <c r="K285" s="1" t="s">
        <v>21</v>
      </c>
      <c r="M285" s="24">
        <f>+W263</f>
        <v>41.409622109270856</v>
      </c>
      <c r="N285" s="24"/>
      <c r="O285" s="1" t="s">
        <v>22</v>
      </c>
      <c r="P285" s="24">
        <f>+AI263</f>
        <v>76.25</v>
      </c>
      <c r="Q285" s="24"/>
      <c r="R285" s="7" t="s">
        <v>10</v>
      </c>
      <c r="S285" s="1" t="s">
        <v>20</v>
      </c>
      <c r="U285" s="24">
        <f>+M285</f>
        <v>41.409622109270856</v>
      </c>
      <c r="V285" s="24"/>
      <c r="W285" s="1" t="s">
        <v>23</v>
      </c>
      <c r="X285" s="24">
        <f>+X247</f>
        <v>20</v>
      </c>
      <c r="Y285" s="24"/>
      <c r="Z285" s="7" t="s">
        <v>10</v>
      </c>
      <c r="AA285" s="24">
        <f>+AC269</f>
        <v>2</v>
      </c>
      <c r="AB285" s="24"/>
      <c r="AC285" s="7" t="s">
        <v>10</v>
      </c>
      <c r="AD285" s="1" t="s">
        <v>21</v>
      </c>
      <c r="AF285" s="24">
        <f>+U285</f>
        <v>41.409622109270856</v>
      </c>
      <c r="AG285" s="24"/>
      <c r="AH285" s="1" t="s">
        <v>23</v>
      </c>
      <c r="AI285" s="24">
        <f>+AB251</f>
        <v>50</v>
      </c>
      <c r="AJ285" s="24"/>
      <c r="AK285" s="7" t="s">
        <v>10</v>
      </c>
      <c r="AL285" s="1" t="s">
        <v>21</v>
      </c>
      <c r="AN285" s="24">
        <f>+AF285</f>
        <v>41.409622109270856</v>
      </c>
      <c r="AO285" s="24"/>
      <c r="AP285" s="1" t="s">
        <v>24</v>
      </c>
      <c r="AQ285" s="24">
        <f>H285*COS(M285*PI()/180)-P285*SIN(U285*PI()/180)+X285*AA285*COS(AF285*PI()/180)+AI285*COS(AN285*PI()/180)</f>
        <v>-128.24713436716877</v>
      </c>
      <c r="AR285" s="24"/>
      <c r="AS285" s="1" t="s">
        <v>0</v>
      </c>
      <c r="BJ285" s="3"/>
    </row>
    <row r="286" spans="2:62" ht="11.25" customHeight="1">
      <c r="B286" s="2"/>
      <c r="F286" s="1" t="s">
        <v>32</v>
      </c>
      <c r="H286" s="24">
        <f>-AE268</f>
        <v>-193.75</v>
      </c>
      <c r="I286" s="24"/>
      <c r="J286" s="7" t="s">
        <v>10</v>
      </c>
      <c r="K286" s="1" t="s">
        <v>20</v>
      </c>
      <c r="M286" s="24">
        <f>+M285</f>
        <v>41.409622109270856</v>
      </c>
      <c r="N286" s="24"/>
      <c r="O286" s="1" t="s">
        <v>23</v>
      </c>
      <c r="P286" s="24">
        <f>+AI263</f>
        <v>76.25</v>
      </c>
      <c r="Q286" s="24"/>
      <c r="R286" s="7" t="s">
        <v>10</v>
      </c>
      <c r="S286" s="1" t="s">
        <v>21</v>
      </c>
      <c r="U286" s="24">
        <f>+M286</f>
        <v>41.409622109270856</v>
      </c>
      <c r="V286" s="24"/>
      <c r="W286" s="1" t="s">
        <v>23</v>
      </c>
      <c r="X286" s="24">
        <f>+X285</f>
        <v>20</v>
      </c>
      <c r="Y286" s="24"/>
      <c r="Z286" s="7" t="s">
        <v>10</v>
      </c>
      <c r="AA286" s="24">
        <f>+AA285</f>
        <v>2</v>
      </c>
      <c r="AB286" s="24"/>
      <c r="AC286" s="7" t="s">
        <v>10</v>
      </c>
      <c r="AD286" s="1" t="s">
        <v>20</v>
      </c>
      <c r="AF286" s="24">
        <f>+U286</f>
        <v>41.409622109270856</v>
      </c>
      <c r="AG286" s="24"/>
      <c r="AH286" s="1" t="s">
        <v>23</v>
      </c>
      <c r="AI286" s="24">
        <f>+AI285</f>
        <v>50</v>
      </c>
      <c r="AJ286" s="24"/>
      <c r="AK286" s="7" t="s">
        <v>10</v>
      </c>
      <c r="AL286" s="1" t="s">
        <v>20</v>
      </c>
      <c r="AN286" s="24">
        <f>+AF286</f>
        <v>41.409622109270856</v>
      </c>
      <c r="AO286" s="24"/>
      <c r="AP286" s="1" t="s">
        <v>24</v>
      </c>
      <c r="AQ286" s="24">
        <f>H286*SIN(M286*PI()/180)+P286*COS(U286*PI()/180)+X286*AA286*SIN(AF286*PI()/180)+AI286*SIN(AN286*PI()/180)</f>
        <v>-11.436674630737798</v>
      </c>
      <c r="AR286" s="24"/>
      <c r="AS286" s="1" t="s">
        <v>0</v>
      </c>
      <c r="BJ286" s="3"/>
    </row>
    <row r="287" spans="2:62" ht="11.25" customHeight="1">
      <c r="B287" s="2"/>
      <c r="F287" s="1" t="s">
        <v>37</v>
      </c>
      <c r="J287" s="24">
        <f>+AC284</f>
        <v>-55.977074937350039</v>
      </c>
      <c r="K287" s="24"/>
      <c r="L287" s="1" t="s">
        <v>27</v>
      </c>
      <c r="BJ287" s="3"/>
    </row>
    <row r="288" spans="2:62" ht="11.25" customHeight="1">
      <c r="B288" s="2"/>
      <c r="BJ288" s="3"/>
    </row>
    <row r="289" spans="2:62" ht="11.25" customHeight="1">
      <c r="B289" s="2"/>
      <c r="BJ289" s="3"/>
    </row>
    <row r="290" spans="2:62" ht="11.25" customHeight="1">
      <c r="B290" s="2"/>
      <c r="D290" s="12" t="s">
        <v>38</v>
      </c>
      <c r="BJ290" s="3"/>
    </row>
    <row r="291" spans="2:62" ht="11.25" customHeight="1">
      <c r="B291" s="2"/>
      <c r="M291" s="34">
        <v>40</v>
      </c>
      <c r="N291" s="34"/>
      <c r="O291" s="1" t="s">
        <v>3</v>
      </c>
      <c r="BJ291" s="3"/>
    </row>
    <row r="292" spans="2:62" ht="11.25" customHeight="1">
      <c r="B292" s="2"/>
      <c r="BJ292" s="3"/>
    </row>
    <row r="293" spans="2:62" ht="11.25" customHeight="1">
      <c r="B293" s="2"/>
      <c r="BJ293" s="3"/>
    </row>
    <row r="294" spans="2:62" ht="11.25" customHeight="1">
      <c r="B294" s="2"/>
      <c r="D294" s="5" t="s">
        <v>1</v>
      </c>
      <c r="AK294" s="5" t="s">
        <v>1</v>
      </c>
      <c r="BJ294" s="3"/>
    </row>
    <row r="295" spans="2:62" ht="11.25" customHeight="1">
      <c r="B295" s="2"/>
      <c r="D295" s="37">
        <f>+W301-D302</f>
        <v>1.071796769724493</v>
      </c>
      <c r="T295" s="1" t="s">
        <v>18</v>
      </c>
      <c r="AB295" s="34">
        <v>150</v>
      </c>
      <c r="AC295" s="34"/>
      <c r="AD295" s="1" t="s">
        <v>0</v>
      </c>
      <c r="AK295" s="37">
        <f>+W301-AK302</f>
        <v>2.7084973778708195</v>
      </c>
      <c r="BJ295" s="3"/>
    </row>
    <row r="296" spans="2:62" ht="11.25" customHeight="1">
      <c r="B296" s="2"/>
      <c r="D296" s="37"/>
      <c r="AK296" s="37"/>
      <c r="BJ296" s="3"/>
    </row>
    <row r="297" spans="2:62" ht="11.25" customHeight="1">
      <c r="B297" s="2"/>
      <c r="D297" s="37"/>
      <c r="L297" s="1" t="s">
        <v>17</v>
      </c>
      <c r="AK297" s="37"/>
      <c r="BJ297" s="3"/>
    </row>
    <row r="298" spans="2:62" ht="11.25" customHeight="1">
      <c r="B298" s="2"/>
      <c r="AC298" s="6" t="s">
        <v>30</v>
      </c>
      <c r="BJ298" s="3"/>
    </row>
    <row r="299" spans="2:62" ht="11.25" customHeight="1">
      <c r="B299" s="2"/>
      <c r="AM299" s="5" t="s">
        <v>1</v>
      </c>
      <c r="BJ299" s="3"/>
    </row>
    <row r="300" spans="2:62" ht="11.25" customHeight="1">
      <c r="B300" s="2"/>
      <c r="AM300" s="37">
        <f>+T315/2</f>
        <v>8</v>
      </c>
      <c r="BJ300" s="3"/>
    </row>
    <row r="301" spans="2:62" ht="11.25" customHeight="1">
      <c r="B301" s="2"/>
      <c r="D301" s="5" t="s">
        <v>1</v>
      </c>
      <c r="V301" s="1" t="s">
        <v>2</v>
      </c>
      <c r="W301" s="24">
        <f>+T315/2</f>
        <v>8</v>
      </c>
      <c r="X301" s="24"/>
      <c r="Y301" s="1" t="s">
        <v>1</v>
      </c>
      <c r="AK301" s="5" t="s">
        <v>1</v>
      </c>
      <c r="AM301" s="37"/>
      <c r="BJ301" s="3"/>
    </row>
    <row r="302" spans="2:62" ht="11.25" customHeight="1">
      <c r="B302" s="2"/>
      <c r="D302" s="37">
        <f>P313*TAN(Q307*PI()/180)</f>
        <v>6.928203230275507</v>
      </c>
      <c r="AK302" s="37">
        <f>W313*TAN(V307*PI()/180)</f>
        <v>5.2915026221291805</v>
      </c>
      <c r="AM302" s="37"/>
      <c r="BJ302" s="3"/>
    </row>
    <row r="303" spans="2:62" ht="11.25" customHeight="1">
      <c r="B303" s="2"/>
      <c r="D303" s="37"/>
      <c r="AK303" s="37"/>
      <c r="BJ303" s="3"/>
    </row>
    <row r="304" spans="2:62" ht="11.25" customHeight="1">
      <c r="B304" s="2"/>
      <c r="D304" s="37"/>
      <c r="AK304" s="37"/>
      <c r="BJ304" s="3"/>
    </row>
    <row r="305" spans="2:62" ht="11.25" customHeight="1">
      <c r="B305" s="2"/>
      <c r="BJ305" s="3"/>
    </row>
    <row r="306" spans="2:62" ht="11.25" customHeight="1">
      <c r="B306" s="2"/>
      <c r="BJ306" s="3"/>
    </row>
    <row r="307" spans="2:62" ht="11.25" customHeight="1">
      <c r="B307" s="2"/>
      <c r="D307" s="1" t="s">
        <v>5</v>
      </c>
      <c r="F307" s="24">
        <f>+AF320</f>
        <v>98.75</v>
      </c>
      <c r="G307" s="24"/>
      <c r="H307" s="1" t="s">
        <v>0</v>
      </c>
      <c r="Q307" s="24">
        <f>ACOS(P313/W301)*180/PI()</f>
        <v>59.999999999999993</v>
      </c>
      <c r="R307" s="24"/>
      <c r="S307" s="8" t="s">
        <v>8</v>
      </c>
      <c r="V307" s="24">
        <f>ACOS(W313/W301)*180/PI()</f>
        <v>41.409622109270856</v>
      </c>
      <c r="W307" s="24"/>
      <c r="X307" s="8" t="s">
        <v>8</v>
      </c>
      <c r="AE307" s="1" t="s">
        <v>33</v>
      </c>
      <c r="AG307" s="1" t="s">
        <v>6</v>
      </c>
      <c r="AI307" s="24">
        <f>+AC321</f>
        <v>98.75</v>
      </c>
      <c r="AJ307" s="24"/>
      <c r="AK307" s="1" t="s">
        <v>0</v>
      </c>
      <c r="BJ307" s="3"/>
    </row>
    <row r="308" spans="2:62" ht="11.25" customHeight="1">
      <c r="B308" s="2"/>
      <c r="BJ308" s="3"/>
    </row>
    <row r="309" spans="2:62" ht="11.25" customHeight="1">
      <c r="B309" s="2"/>
      <c r="BJ309" s="3"/>
    </row>
    <row r="310" spans="2:62" ht="11.25" customHeight="1">
      <c r="B310" s="2"/>
      <c r="BJ310" s="3"/>
    </row>
    <row r="311" spans="2:62" ht="11.25" customHeight="1">
      <c r="B311" s="2"/>
      <c r="BJ311" s="3"/>
    </row>
    <row r="312" spans="2:62" ht="11.25" customHeight="1">
      <c r="B312" s="2"/>
      <c r="F312" s="1" t="s">
        <v>4</v>
      </c>
      <c r="H312" s="24">
        <f>+AF318</f>
        <v>258.75</v>
      </c>
      <c r="I312" s="24"/>
      <c r="J312" s="1" t="s">
        <v>0</v>
      </c>
      <c r="AC312" s="1" t="s">
        <v>7</v>
      </c>
      <c r="AE312" s="24">
        <f>+Z319</f>
        <v>211.25</v>
      </c>
      <c r="AF312" s="24"/>
      <c r="AG312" s="1" t="s">
        <v>0</v>
      </c>
      <c r="BJ312" s="3"/>
    </row>
    <row r="313" spans="2:62" ht="11.25" customHeight="1">
      <c r="B313" s="2"/>
      <c r="J313" s="34">
        <v>4</v>
      </c>
      <c r="K313" s="34"/>
      <c r="L313" s="1" t="s">
        <v>1</v>
      </c>
      <c r="P313" s="24">
        <f>+T315/2-J313</f>
        <v>4</v>
      </c>
      <c r="Q313" s="24"/>
      <c r="R313" s="1" t="s">
        <v>1</v>
      </c>
      <c r="W313" s="24">
        <f>+T315/2-AC313</f>
        <v>6</v>
      </c>
      <c r="X313" s="24"/>
      <c r="Y313" s="1" t="s">
        <v>1</v>
      </c>
      <c r="AC313" s="34">
        <v>2</v>
      </c>
      <c r="AD313" s="34"/>
      <c r="AE313" s="1" t="s">
        <v>1</v>
      </c>
      <c r="BJ313" s="3"/>
    </row>
    <row r="314" spans="2:62" ht="11.25" customHeight="1">
      <c r="B314" s="2"/>
      <c r="BJ314" s="3"/>
    </row>
    <row r="315" spans="2:62" ht="11.25" customHeight="1">
      <c r="B315" s="2"/>
      <c r="T315" s="34">
        <v>16</v>
      </c>
      <c r="U315" s="34"/>
      <c r="V315" s="1" t="s">
        <v>1</v>
      </c>
      <c r="BJ315" s="3"/>
    </row>
    <row r="316" spans="2:62" ht="11.25" customHeight="1">
      <c r="B316" s="2"/>
      <c r="BJ316" s="3"/>
    </row>
    <row r="317" spans="2:62" ht="11.25" customHeight="1">
      <c r="B317" s="2"/>
      <c r="F317" s="4" t="s">
        <v>28</v>
      </c>
      <c r="BJ317" s="3"/>
    </row>
    <row r="318" spans="2:62" ht="11.25" customHeight="1">
      <c r="B318" s="2"/>
      <c r="F318" s="1" t="s">
        <v>11</v>
      </c>
      <c r="H318" s="24">
        <f>+T315</f>
        <v>16</v>
      </c>
      <c r="I318" s="24"/>
      <c r="J318" s="7" t="s">
        <v>9</v>
      </c>
      <c r="K318" s="24">
        <f>+M291</f>
        <v>40</v>
      </c>
      <c r="L318" s="24"/>
      <c r="M318" s="7" t="s">
        <v>10</v>
      </c>
      <c r="N318" s="24">
        <f>+T315/2</f>
        <v>8</v>
      </c>
      <c r="O318" s="24"/>
      <c r="P318" s="7" t="s">
        <v>10</v>
      </c>
      <c r="Q318" s="24">
        <f>+T315/2+T315/4</f>
        <v>12</v>
      </c>
      <c r="R318" s="24"/>
      <c r="S318" s="7" t="s">
        <v>9</v>
      </c>
      <c r="T318" s="24">
        <f>+AB295</f>
        <v>150</v>
      </c>
      <c r="U318" s="24"/>
      <c r="V318" s="7" t="s">
        <v>10</v>
      </c>
      <c r="W318" s="24">
        <f>+AC313</f>
        <v>2</v>
      </c>
      <c r="X318" s="24"/>
      <c r="Y318" s="7" t="s">
        <v>12</v>
      </c>
      <c r="Z318" s="1">
        <v>0</v>
      </c>
      <c r="AD318" s="1" t="s">
        <v>4</v>
      </c>
      <c r="AF318" s="24">
        <f>(K318*N318*Q318+T318*W318)/H318</f>
        <v>258.75</v>
      </c>
      <c r="AG318" s="24"/>
      <c r="AH318" s="1" t="s">
        <v>0</v>
      </c>
      <c r="BJ318" s="3"/>
    </row>
    <row r="319" spans="2:62" ht="11.25" customHeight="1">
      <c r="B319" s="2"/>
      <c r="F319" s="1" t="s">
        <v>13</v>
      </c>
      <c r="H319" s="24">
        <f>+H312</f>
        <v>258.75</v>
      </c>
      <c r="I319" s="24"/>
      <c r="J319" s="7" t="s">
        <v>9</v>
      </c>
      <c r="K319" s="24">
        <f>+M291</f>
        <v>40</v>
      </c>
      <c r="L319" s="24"/>
      <c r="M319" s="7" t="s">
        <v>10</v>
      </c>
      <c r="N319" s="24">
        <f>+T315/2</f>
        <v>8</v>
      </c>
      <c r="O319" s="24"/>
      <c r="P319" s="7" t="s">
        <v>9</v>
      </c>
      <c r="Q319" s="24">
        <f>+AB295</f>
        <v>150</v>
      </c>
      <c r="R319" s="24"/>
      <c r="S319" s="7" t="s">
        <v>12</v>
      </c>
      <c r="T319" s="1">
        <v>0</v>
      </c>
      <c r="X319" s="1" t="s">
        <v>7</v>
      </c>
      <c r="Z319" s="24">
        <f>+K319*N319+Q319-H319</f>
        <v>211.25</v>
      </c>
      <c r="AA319" s="24"/>
      <c r="AB319" s="1" t="s">
        <v>0</v>
      </c>
      <c r="BJ319" s="3"/>
    </row>
    <row r="320" spans="2:62" ht="11.25" customHeight="1">
      <c r="B320" s="2"/>
      <c r="F320" s="1" t="s">
        <v>14</v>
      </c>
      <c r="H320" s="24">
        <f>+AM300</f>
        <v>8</v>
      </c>
      <c r="I320" s="24"/>
      <c r="J320" s="7" t="s">
        <v>9</v>
      </c>
      <c r="K320" s="24">
        <f>+H312</f>
        <v>258.75</v>
      </c>
      <c r="L320" s="24"/>
      <c r="M320" s="7" t="s">
        <v>10</v>
      </c>
      <c r="N320" s="24">
        <f>+T315/2</f>
        <v>8</v>
      </c>
      <c r="O320" s="24"/>
      <c r="P320" s="7" t="s">
        <v>15</v>
      </c>
      <c r="Q320" s="24">
        <f>+M291</f>
        <v>40</v>
      </c>
      <c r="R320" s="24"/>
      <c r="S320" s="7" t="s">
        <v>10</v>
      </c>
      <c r="T320" s="24">
        <f>+T315/2</f>
        <v>8</v>
      </c>
      <c r="U320" s="24"/>
      <c r="V320" s="7" t="s">
        <v>10</v>
      </c>
      <c r="W320" s="24">
        <f>+T320/2</f>
        <v>4</v>
      </c>
      <c r="X320" s="24"/>
      <c r="Y320" s="7" t="s">
        <v>12</v>
      </c>
      <c r="Z320" s="1">
        <v>0</v>
      </c>
      <c r="AD320" s="1" t="s">
        <v>5</v>
      </c>
      <c r="AF320" s="24">
        <f>(K320*N320-Q320*T320*W320)/H320</f>
        <v>98.75</v>
      </c>
      <c r="AG320" s="24"/>
      <c r="AH320" s="1" t="s">
        <v>0</v>
      </c>
      <c r="BJ320" s="3"/>
    </row>
    <row r="321" spans="2:62" ht="11.25" customHeight="1">
      <c r="B321" s="2"/>
      <c r="F321" s="1" t="s">
        <v>16</v>
      </c>
      <c r="H321" s="24">
        <f>+AM300</f>
        <v>8</v>
      </c>
      <c r="I321" s="24"/>
      <c r="J321" s="7" t="s">
        <v>9</v>
      </c>
      <c r="K321" s="24">
        <f>+AE312</f>
        <v>211.25</v>
      </c>
      <c r="L321" s="24"/>
      <c r="M321" s="7" t="s">
        <v>10</v>
      </c>
      <c r="N321" s="24">
        <f>+T315/2</f>
        <v>8</v>
      </c>
      <c r="O321" s="24"/>
      <c r="P321" s="7" t="s">
        <v>15</v>
      </c>
      <c r="Q321" s="24">
        <f>+AB295</f>
        <v>150</v>
      </c>
      <c r="R321" s="24"/>
      <c r="S321" s="7" t="s">
        <v>10</v>
      </c>
      <c r="T321" s="24">
        <f>+W313</f>
        <v>6</v>
      </c>
      <c r="U321" s="24"/>
      <c r="V321" s="7" t="s">
        <v>12</v>
      </c>
      <c r="W321" s="1">
        <v>0</v>
      </c>
      <c r="AA321" s="1" t="s">
        <v>6</v>
      </c>
      <c r="AC321" s="24">
        <f>(K321*N321-Q321*T321)/H321</f>
        <v>98.75</v>
      </c>
      <c r="AD321" s="24"/>
      <c r="AE321" s="1" t="s">
        <v>0</v>
      </c>
      <c r="BJ321" s="3"/>
    </row>
    <row r="322" spans="2:62" ht="11.25" customHeight="1">
      <c r="B322" s="2"/>
      <c r="F322" s="4" t="s">
        <v>29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L322" s="7"/>
      <c r="AM322" s="7"/>
      <c r="BJ322" s="3"/>
    </row>
    <row r="323" spans="2:62" ht="11.25" customHeight="1">
      <c r="B323" s="2"/>
      <c r="F323" s="1" t="s">
        <v>19</v>
      </c>
      <c r="H323" s="24">
        <f>-H312</f>
        <v>-258.75</v>
      </c>
      <c r="I323" s="24"/>
      <c r="J323" s="7" t="s">
        <v>10</v>
      </c>
      <c r="K323" s="1" t="s">
        <v>21</v>
      </c>
      <c r="M323" s="24">
        <f>+Q307</f>
        <v>59.999999999999993</v>
      </c>
      <c r="N323" s="24"/>
      <c r="O323" s="1" t="s">
        <v>22</v>
      </c>
      <c r="P323" s="24">
        <f>+F307</f>
        <v>98.75</v>
      </c>
      <c r="Q323" s="24"/>
      <c r="R323" s="7" t="s">
        <v>10</v>
      </c>
      <c r="S323" s="1" t="s">
        <v>20</v>
      </c>
      <c r="U323" s="24">
        <f>+M323</f>
        <v>59.999999999999993</v>
      </c>
      <c r="V323" s="24"/>
      <c r="W323" s="1" t="s">
        <v>23</v>
      </c>
      <c r="X323" s="24">
        <f>+M291</f>
        <v>40</v>
      </c>
      <c r="Y323" s="24"/>
      <c r="Z323" s="7" t="s">
        <v>10</v>
      </c>
      <c r="AA323" s="24">
        <f>+J313</f>
        <v>4</v>
      </c>
      <c r="AB323" s="24"/>
      <c r="AC323" s="7" t="s">
        <v>10</v>
      </c>
      <c r="AD323" s="1" t="s">
        <v>21</v>
      </c>
      <c r="AF323" s="24">
        <f>+U323</f>
        <v>59.999999999999993</v>
      </c>
      <c r="AG323" s="24"/>
      <c r="AH323" s="1" t="s">
        <v>24</v>
      </c>
      <c r="AI323" s="24">
        <f>H323*COS(M323*PI()/180)-P323*SIN(U323*PI()/180)+X323*AA323*COS(AF323*PI()/180)</f>
        <v>-134.89500862371335</v>
      </c>
      <c r="AJ323" s="24"/>
      <c r="AK323" s="1" t="s">
        <v>0</v>
      </c>
      <c r="BJ323" s="3"/>
    </row>
    <row r="324" spans="2:62" ht="11.25" customHeight="1">
      <c r="B324" s="2"/>
      <c r="F324" s="1" t="s">
        <v>25</v>
      </c>
      <c r="H324" s="24">
        <f>+H312</f>
        <v>258.75</v>
      </c>
      <c r="I324" s="24"/>
      <c r="J324" s="7" t="s">
        <v>10</v>
      </c>
      <c r="K324" s="1" t="s">
        <v>20</v>
      </c>
      <c r="M324" s="24">
        <f>+M323</f>
        <v>59.999999999999993</v>
      </c>
      <c r="N324" s="24"/>
      <c r="O324" s="1" t="s">
        <v>22</v>
      </c>
      <c r="P324" s="24">
        <f>+F307</f>
        <v>98.75</v>
      </c>
      <c r="Q324" s="24"/>
      <c r="R324" s="7" t="s">
        <v>10</v>
      </c>
      <c r="S324" s="1" t="s">
        <v>21</v>
      </c>
      <c r="U324" s="24">
        <f>+M324</f>
        <v>59.999999999999993</v>
      </c>
      <c r="V324" s="24"/>
      <c r="W324" s="1" t="s">
        <v>22</v>
      </c>
      <c r="X324" s="24">
        <f>+X323</f>
        <v>40</v>
      </c>
      <c r="Y324" s="24"/>
      <c r="Z324" s="7" t="s">
        <v>10</v>
      </c>
      <c r="AA324" s="24">
        <f>+AA323</f>
        <v>4</v>
      </c>
      <c r="AB324" s="24"/>
      <c r="AC324" s="7" t="s">
        <v>10</v>
      </c>
      <c r="AD324" s="1" t="s">
        <v>20</v>
      </c>
      <c r="AF324" s="24">
        <f>+U324</f>
        <v>59.999999999999993</v>
      </c>
      <c r="AG324" s="24"/>
      <c r="AH324" s="1" t="s">
        <v>24</v>
      </c>
      <c r="AI324" s="24">
        <f>H324*SIN(M324*PI()/180)-P324*COS(U324*PI()/180)-X324*AA324*SIN(AF324*PI()/180)</f>
        <v>36.145008623713295</v>
      </c>
      <c r="AJ324" s="24"/>
      <c r="AK324" s="1" t="s">
        <v>0</v>
      </c>
      <c r="BJ324" s="3"/>
    </row>
    <row r="325" spans="2:62" ht="11.25" customHeight="1">
      <c r="B325" s="2"/>
      <c r="F325" s="1" t="s">
        <v>26</v>
      </c>
      <c r="H325" s="24">
        <f>+H312</f>
        <v>258.75</v>
      </c>
      <c r="I325" s="24"/>
      <c r="J325" s="7" t="s">
        <v>10</v>
      </c>
      <c r="K325" s="24">
        <f>+J313</f>
        <v>4</v>
      </c>
      <c r="L325" s="24"/>
      <c r="M325" s="7" t="s">
        <v>9</v>
      </c>
      <c r="N325" s="24">
        <f>+F307</f>
        <v>98.75</v>
      </c>
      <c r="O325" s="24"/>
      <c r="P325" s="7" t="s">
        <v>10</v>
      </c>
      <c r="Q325" s="24">
        <f>+D302</f>
        <v>6.928203230275507</v>
      </c>
      <c r="R325" s="24"/>
      <c r="S325" s="7" t="s">
        <v>9</v>
      </c>
      <c r="T325" s="24">
        <f>+M291</f>
        <v>40</v>
      </c>
      <c r="U325" s="24"/>
      <c r="V325" s="7" t="s">
        <v>10</v>
      </c>
      <c r="W325" s="24">
        <f>+J313</f>
        <v>4</v>
      </c>
      <c r="X325" s="24"/>
      <c r="Y325" s="7" t="s">
        <v>10</v>
      </c>
      <c r="Z325" s="24">
        <f>+W325/2</f>
        <v>2</v>
      </c>
      <c r="AA325" s="24"/>
      <c r="AB325" s="7" t="s">
        <v>12</v>
      </c>
      <c r="AC325" s="24">
        <f>H325*K325-N325*Q325-T325*W325*Z325</f>
        <v>30.83993101029364</v>
      </c>
      <c r="AD325" s="24"/>
      <c r="AE325" s="1" t="s">
        <v>27</v>
      </c>
      <c r="BJ325" s="3"/>
    </row>
    <row r="326" spans="2:62" ht="11.25" customHeight="1">
      <c r="B326" s="2"/>
      <c r="F326" s="1" t="s">
        <v>34</v>
      </c>
      <c r="H326" s="24">
        <f>-AE312</f>
        <v>-211.25</v>
      </c>
      <c r="I326" s="24"/>
      <c r="J326" s="7" t="s">
        <v>10</v>
      </c>
      <c r="K326" s="1" t="s">
        <v>21</v>
      </c>
      <c r="M326" s="24">
        <f>+V307</f>
        <v>41.409622109270856</v>
      </c>
      <c r="N326" s="24"/>
      <c r="O326" s="1" t="s">
        <v>22</v>
      </c>
      <c r="P326" s="24">
        <f>+AI307</f>
        <v>98.75</v>
      </c>
      <c r="Q326" s="24"/>
      <c r="R326" s="7" t="s">
        <v>10</v>
      </c>
      <c r="S326" s="1" t="s">
        <v>20</v>
      </c>
      <c r="U326" s="24">
        <f>+M326</f>
        <v>41.409622109270856</v>
      </c>
      <c r="V326" s="24"/>
      <c r="W326" s="1" t="s">
        <v>24</v>
      </c>
      <c r="X326" s="24">
        <f>H326*COS(M326*PI()/180)-P326*SIN(U326*PI()/180)</f>
        <v>-223.75448549190708</v>
      </c>
      <c r="Y326" s="24"/>
      <c r="Z326" s="1" t="s">
        <v>0</v>
      </c>
      <c r="AC326" s="7"/>
      <c r="BJ326" s="3"/>
    </row>
    <row r="327" spans="2:62" ht="11.25" customHeight="1">
      <c r="B327" s="2"/>
      <c r="F327" s="1" t="s">
        <v>35</v>
      </c>
      <c r="H327" s="24">
        <f>-AE312</f>
        <v>-211.25</v>
      </c>
      <c r="I327" s="24"/>
      <c r="J327" s="7" t="s">
        <v>10</v>
      </c>
      <c r="K327" s="1" t="s">
        <v>20</v>
      </c>
      <c r="M327" s="24">
        <f>+M326</f>
        <v>41.409622109270856</v>
      </c>
      <c r="N327" s="24"/>
      <c r="O327" s="1" t="s">
        <v>23</v>
      </c>
      <c r="P327" s="24">
        <f>+AI307</f>
        <v>98.75</v>
      </c>
      <c r="Q327" s="24"/>
      <c r="R327" s="7" t="s">
        <v>10</v>
      </c>
      <c r="S327" s="1" t="s">
        <v>21</v>
      </c>
      <c r="U327" s="24">
        <f>+M327</f>
        <v>41.409622109270856</v>
      </c>
      <c r="V327" s="24"/>
      <c r="W327" s="1" t="s">
        <v>24</v>
      </c>
      <c r="X327" s="24">
        <f>H327*SIN(M327*PI()/180)+P327*COS(U327*PI()/180)</f>
        <v>-65.666241115598666</v>
      </c>
      <c r="Y327" s="24"/>
      <c r="Z327" s="1" t="s">
        <v>0</v>
      </c>
      <c r="AC327" s="7"/>
      <c r="BJ327" s="3"/>
    </row>
    <row r="328" spans="2:62" ht="11.25" customHeight="1">
      <c r="B328" s="2"/>
      <c r="F328" s="1" t="s">
        <v>36</v>
      </c>
      <c r="H328" s="24">
        <f>+AE312</f>
        <v>211.25</v>
      </c>
      <c r="I328" s="24"/>
      <c r="J328" s="7" t="s">
        <v>10</v>
      </c>
      <c r="K328" s="24">
        <f>+AC313</f>
        <v>2</v>
      </c>
      <c r="L328" s="24"/>
      <c r="M328" s="7" t="s">
        <v>9</v>
      </c>
      <c r="N328" s="24">
        <f>+AI307</f>
        <v>98.75</v>
      </c>
      <c r="O328" s="24"/>
      <c r="P328" s="7" t="s">
        <v>10</v>
      </c>
      <c r="Q328" s="24">
        <f>+AK302</f>
        <v>5.2915026221291805</v>
      </c>
      <c r="R328" s="24"/>
      <c r="S328" s="7" t="s">
        <v>12</v>
      </c>
      <c r="T328" s="24">
        <f>H328*K328-N328*Q328</f>
        <v>-100.03588393525661</v>
      </c>
      <c r="U328" s="24"/>
      <c r="V328" s="1" t="s">
        <v>27</v>
      </c>
      <c r="Y328" s="7"/>
      <c r="BJ328" s="3"/>
    </row>
    <row r="329" spans="2:62" ht="11.25" customHeight="1">
      <c r="B329" s="2"/>
      <c r="F329" s="1" t="s">
        <v>31</v>
      </c>
      <c r="H329" s="24">
        <f>-AE312</f>
        <v>-211.25</v>
      </c>
      <c r="I329" s="24"/>
      <c r="J329" s="7" t="s">
        <v>10</v>
      </c>
      <c r="K329" s="1" t="s">
        <v>21</v>
      </c>
      <c r="M329" s="24">
        <f>+V307</f>
        <v>41.409622109270856</v>
      </c>
      <c r="N329" s="24"/>
      <c r="O329" s="1" t="s">
        <v>22</v>
      </c>
      <c r="P329" s="24">
        <f>+AI307</f>
        <v>98.75</v>
      </c>
      <c r="Q329" s="24"/>
      <c r="R329" s="7" t="s">
        <v>10</v>
      </c>
      <c r="S329" s="1" t="s">
        <v>20</v>
      </c>
      <c r="U329" s="24">
        <f>+M329</f>
        <v>41.409622109270856</v>
      </c>
      <c r="V329" s="24"/>
      <c r="W329" s="1" t="s">
        <v>23</v>
      </c>
      <c r="X329" s="24">
        <f>+AB295</f>
        <v>150</v>
      </c>
      <c r="Y329" s="24"/>
      <c r="Z329" s="7" t="s">
        <v>10</v>
      </c>
      <c r="AA329" s="1" t="s">
        <v>21</v>
      </c>
      <c r="AC329" s="24">
        <f>+U329</f>
        <v>41.409622109270856</v>
      </c>
      <c r="AD329" s="24"/>
      <c r="AE329" s="1" t="s">
        <v>24</v>
      </c>
      <c r="AF329" s="75">
        <f>H329*COS(M329*PI()/180)-P329*SIN(U329*PI()/180)+X329*COS(AC329*PI()/180)</f>
        <v>-111.25448549190708</v>
      </c>
      <c r="AG329" s="75"/>
      <c r="AH329" s="1" t="s">
        <v>0</v>
      </c>
      <c r="AO329" s="16"/>
      <c r="AP329" s="16"/>
      <c r="AQ329" s="16"/>
      <c r="AR329" s="16"/>
      <c r="BJ329" s="3"/>
    </row>
    <row r="330" spans="2:62" ht="11.25" customHeight="1">
      <c r="B330" s="2"/>
      <c r="F330" s="1" t="s">
        <v>32</v>
      </c>
      <c r="H330" s="24">
        <f>-AE312</f>
        <v>-211.25</v>
      </c>
      <c r="I330" s="24"/>
      <c r="J330" s="7" t="s">
        <v>10</v>
      </c>
      <c r="K330" s="1" t="s">
        <v>20</v>
      </c>
      <c r="M330" s="24">
        <f>+M329</f>
        <v>41.409622109270856</v>
      </c>
      <c r="N330" s="24"/>
      <c r="O330" s="1" t="s">
        <v>23</v>
      </c>
      <c r="P330" s="24">
        <f>+AI307</f>
        <v>98.75</v>
      </c>
      <c r="Q330" s="24"/>
      <c r="R330" s="7" t="s">
        <v>10</v>
      </c>
      <c r="S330" s="1" t="s">
        <v>21</v>
      </c>
      <c r="U330" s="24">
        <f>+M330</f>
        <v>41.409622109270856</v>
      </c>
      <c r="V330" s="24"/>
      <c r="W330" s="1" t="s">
        <v>23</v>
      </c>
      <c r="X330" s="24">
        <f>+X329</f>
        <v>150</v>
      </c>
      <c r="Y330" s="24"/>
      <c r="Z330" s="7" t="s">
        <v>10</v>
      </c>
      <c r="AA330" s="1" t="s">
        <v>20</v>
      </c>
      <c r="AC330" s="24">
        <f>+U330</f>
        <v>41.409622109270856</v>
      </c>
      <c r="AD330" s="24"/>
      <c r="AE330" s="1" t="s">
        <v>24</v>
      </c>
      <c r="AF330" s="24">
        <f>H330*SIN(M330*PI()/180)+P330*COS(U330*PI()/180)+X330*SIN(AC330*PI()/180)</f>
        <v>33.549433049323468</v>
      </c>
      <c r="AG330" s="24"/>
      <c r="AH330" s="1" t="s">
        <v>0</v>
      </c>
      <c r="BJ330" s="3"/>
    </row>
    <row r="331" spans="2:62" ht="11.25" customHeight="1">
      <c r="B331" s="2"/>
      <c r="F331" s="1" t="s">
        <v>37</v>
      </c>
      <c r="J331" s="24">
        <f>+T328</f>
        <v>-100.03588393525661</v>
      </c>
      <c r="K331" s="24"/>
      <c r="L331" s="1" t="s">
        <v>27</v>
      </c>
      <c r="BJ331" s="3"/>
    </row>
    <row r="332" spans="2:62" ht="11.25" customHeight="1">
      <c r="B332" s="2"/>
      <c r="J332" s="7"/>
      <c r="K332" s="7"/>
      <c r="BJ332" s="3"/>
    </row>
    <row r="333" spans="2:62" ht="11.25" customHeight="1">
      <c r="B333" s="2"/>
      <c r="J333" s="7"/>
      <c r="K333" s="7"/>
      <c r="BJ333" s="3"/>
    </row>
    <row r="334" spans="2:62" ht="11.25" customHeight="1">
      <c r="B334" s="2"/>
      <c r="D334" s="12" t="s">
        <v>39</v>
      </c>
      <c r="J334" s="7"/>
      <c r="K334" s="7"/>
      <c r="BJ334" s="3"/>
    </row>
    <row r="335" spans="2:62" ht="11.25" customHeight="1">
      <c r="B335" s="2"/>
      <c r="M335" s="34">
        <v>15</v>
      </c>
      <c r="N335" s="34"/>
      <c r="O335" s="1" t="s">
        <v>3</v>
      </c>
      <c r="Y335" s="34">
        <v>25</v>
      </c>
      <c r="Z335" s="34"/>
      <c r="AA335" s="1" t="s">
        <v>3</v>
      </c>
      <c r="BJ335" s="3"/>
    </row>
    <row r="336" spans="2:62" ht="11.25" customHeight="1">
      <c r="B336" s="2"/>
      <c r="BJ336" s="3"/>
    </row>
    <row r="337" spans="2:62" ht="11.25" customHeight="1">
      <c r="B337" s="2"/>
      <c r="BJ337" s="3"/>
    </row>
    <row r="338" spans="2:62" ht="11.25" customHeight="1">
      <c r="B338" s="2"/>
      <c r="T338" s="1" t="s">
        <v>18</v>
      </c>
      <c r="AA338" s="34">
        <v>150</v>
      </c>
      <c r="AB338" s="34"/>
      <c r="AC338" s="1" t="s">
        <v>0</v>
      </c>
      <c r="BJ338" s="3"/>
    </row>
    <row r="339" spans="2:62" ht="11.25" customHeight="1">
      <c r="B339" s="2"/>
      <c r="C339" s="24">
        <f>U345-SQRT(U345^2-P356^2)</f>
        <v>2.8064888509436088</v>
      </c>
      <c r="D339" s="24"/>
      <c r="E339" s="75" t="s">
        <v>1</v>
      </c>
      <c r="AK339" s="24">
        <f>U345-SQRT(U345^2-W356^2)</f>
        <v>2.8064888509436088</v>
      </c>
      <c r="AL339" s="24"/>
      <c r="AM339" s="75" t="s">
        <v>1</v>
      </c>
      <c r="BJ339" s="3"/>
    </row>
    <row r="340" spans="2:62" ht="11.25" customHeight="1">
      <c r="B340" s="2"/>
      <c r="C340" s="24"/>
      <c r="D340" s="24"/>
      <c r="E340" s="75"/>
      <c r="M340" s="1" t="s">
        <v>17</v>
      </c>
      <c r="AB340" s="6" t="s">
        <v>30</v>
      </c>
      <c r="AK340" s="24"/>
      <c r="AL340" s="24"/>
      <c r="AM340" s="75"/>
      <c r="AN340" s="5" t="s">
        <v>1</v>
      </c>
      <c r="BJ340" s="3"/>
    </row>
    <row r="341" spans="2:62" ht="11.25" customHeight="1">
      <c r="B341" s="2"/>
      <c r="AN341" s="38">
        <v>12</v>
      </c>
      <c r="BJ341" s="3"/>
    </row>
    <row r="342" spans="2:62" ht="11.25" customHeight="1">
      <c r="B342" s="2"/>
      <c r="AN342" s="38"/>
      <c r="BJ342" s="3"/>
    </row>
    <row r="343" spans="2:62" ht="11.25" customHeight="1">
      <c r="B343" s="2"/>
      <c r="C343" s="24">
        <f>+AN341-C339</f>
        <v>9.1935111490563912</v>
      </c>
      <c r="D343" s="24"/>
      <c r="E343" s="1" t="s">
        <v>1</v>
      </c>
      <c r="AK343" s="24">
        <f>+AN341-AK339</f>
        <v>9.1935111490563912</v>
      </c>
      <c r="AL343" s="24"/>
      <c r="AM343" s="1" t="s">
        <v>1</v>
      </c>
      <c r="AN343" s="38"/>
      <c r="BJ343" s="3"/>
    </row>
    <row r="344" spans="2:62" ht="11.25" customHeight="1">
      <c r="B344" s="2"/>
      <c r="BJ344" s="3"/>
    </row>
    <row r="345" spans="2:62" ht="11.25" customHeight="1">
      <c r="B345" s="2"/>
      <c r="D345" s="1" t="s">
        <v>5</v>
      </c>
      <c r="F345" s="24">
        <f>+AF363</f>
        <v>1458.3333333333333</v>
      </c>
      <c r="G345" s="24"/>
      <c r="H345" s="1" t="s">
        <v>0</v>
      </c>
      <c r="T345" s="1" t="s">
        <v>2</v>
      </c>
      <c r="U345" s="24">
        <f>(T358^2+4*AN341^2)/(8*AN341)</f>
        <v>72.666666666666671</v>
      </c>
      <c r="V345" s="24"/>
      <c r="W345" s="1" t="s">
        <v>1</v>
      </c>
      <c r="AE345" s="1" t="s">
        <v>33</v>
      </c>
      <c r="AG345" s="1" t="s">
        <v>6</v>
      </c>
      <c r="AI345" s="24">
        <f>+AL364</f>
        <v>1458.3333333333333</v>
      </c>
      <c r="AJ345" s="24"/>
      <c r="AK345" s="1" t="s">
        <v>0</v>
      </c>
      <c r="BJ345" s="3"/>
    </row>
    <row r="346" spans="2:62" ht="11.25" customHeight="1">
      <c r="B346" s="2"/>
      <c r="BJ346" s="3"/>
    </row>
    <row r="347" spans="2:62" ht="11.25" customHeight="1">
      <c r="B347" s="2"/>
      <c r="BJ347" s="3"/>
    </row>
    <row r="348" spans="2:62" ht="11.25" customHeight="1">
      <c r="B348" s="2"/>
      <c r="BJ348" s="3"/>
    </row>
    <row r="349" spans="2:62" ht="11.25" customHeight="1">
      <c r="B349" s="2"/>
      <c r="BJ349" s="3"/>
    </row>
    <row r="350" spans="2:62" ht="11.25" customHeight="1">
      <c r="B350" s="2"/>
      <c r="F350" s="1" t="s">
        <v>4</v>
      </c>
      <c r="H350" s="24">
        <f>+AO361</f>
        <v>737.5</v>
      </c>
      <c r="I350" s="24"/>
      <c r="J350" s="1" t="s">
        <v>0</v>
      </c>
      <c r="AC350" s="1" t="s">
        <v>7</v>
      </c>
      <c r="AE350" s="24">
        <f>+AF362</f>
        <v>1012.5</v>
      </c>
      <c r="AF350" s="24"/>
      <c r="AG350" s="1" t="s">
        <v>0</v>
      </c>
      <c r="BJ350" s="3"/>
    </row>
    <row r="351" spans="2:62" ht="11.25" customHeight="1">
      <c r="B351" s="2"/>
      <c r="BJ351" s="3"/>
    </row>
    <row r="352" spans="2:62" ht="11.25" customHeight="1">
      <c r="B352" s="2"/>
      <c r="BJ352" s="3"/>
    </row>
    <row r="353" spans="2:62" ht="11.25" customHeight="1">
      <c r="B353" s="2"/>
      <c r="Q353" s="24">
        <f>ACOS(P356/U345)*180/PI()</f>
        <v>74.024317147937481</v>
      </c>
      <c r="R353" s="24"/>
      <c r="S353" s="8" t="s">
        <v>8</v>
      </c>
      <c r="W353" s="24">
        <f>ACOS(W356/U345)*180/PI()</f>
        <v>74.024317147937481</v>
      </c>
      <c r="X353" s="24"/>
      <c r="Y353" s="8" t="s">
        <v>8</v>
      </c>
      <c r="BJ353" s="3"/>
    </row>
    <row r="354" spans="2:62" ht="11.25" customHeight="1">
      <c r="B354" s="2"/>
      <c r="BJ354" s="3"/>
    </row>
    <row r="355" spans="2:62" ht="11.25" customHeight="1">
      <c r="B355" s="2"/>
      <c r="BJ355" s="3"/>
    </row>
    <row r="356" spans="2:62" ht="11.25" customHeight="1">
      <c r="B356" s="2"/>
      <c r="J356" s="34">
        <v>20</v>
      </c>
      <c r="K356" s="34"/>
      <c r="L356" s="1" t="s">
        <v>1</v>
      </c>
      <c r="P356" s="24">
        <f>+T358/2-J356</f>
        <v>20</v>
      </c>
      <c r="Q356" s="24"/>
      <c r="R356" s="1" t="s">
        <v>1</v>
      </c>
      <c r="W356" s="24">
        <f>+T358/2-AC356</f>
        <v>20</v>
      </c>
      <c r="X356" s="24"/>
      <c r="Y356" s="1" t="s">
        <v>1</v>
      </c>
      <c r="AC356" s="34">
        <v>20</v>
      </c>
      <c r="AD356" s="34"/>
      <c r="AE356" s="1" t="s">
        <v>1</v>
      </c>
      <c r="BJ356" s="3"/>
    </row>
    <row r="357" spans="2:62" ht="11.25" customHeight="1">
      <c r="B357" s="2"/>
      <c r="BJ357" s="3"/>
    </row>
    <row r="358" spans="2:62" ht="11.25" customHeight="1">
      <c r="B358" s="2"/>
      <c r="T358" s="34">
        <v>80</v>
      </c>
      <c r="U358" s="34"/>
      <c r="V358" s="1" t="s">
        <v>1</v>
      </c>
      <c r="BJ358" s="3"/>
    </row>
    <row r="359" spans="2:62" ht="11.25" customHeight="1">
      <c r="B359" s="2"/>
      <c r="BJ359" s="3"/>
    </row>
    <row r="360" spans="2:62" ht="11.25" customHeight="1">
      <c r="B360" s="2"/>
      <c r="F360" s="4" t="s">
        <v>28</v>
      </c>
      <c r="BJ360" s="3"/>
    </row>
    <row r="361" spans="2:62" ht="11.25" customHeight="1">
      <c r="B361" s="2"/>
      <c r="F361" s="1" t="s">
        <v>11</v>
      </c>
      <c r="H361" s="24">
        <f>+T358</f>
        <v>80</v>
      </c>
      <c r="I361" s="24"/>
      <c r="J361" s="7" t="s">
        <v>9</v>
      </c>
      <c r="K361" s="24">
        <f>+M335</f>
        <v>15</v>
      </c>
      <c r="L361" s="24"/>
      <c r="M361" s="7" t="s">
        <v>10</v>
      </c>
      <c r="N361" s="24">
        <f>+T358/2</f>
        <v>40</v>
      </c>
      <c r="O361" s="24"/>
      <c r="P361" s="7" t="s">
        <v>10</v>
      </c>
      <c r="Q361" s="24">
        <f>+T358/2+T358/2/2</f>
        <v>60</v>
      </c>
      <c r="R361" s="24"/>
      <c r="S361" s="7" t="s">
        <v>9</v>
      </c>
      <c r="T361" s="24">
        <f>+Y335</f>
        <v>25</v>
      </c>
      <c r="U361" s="24"/>
      <c r="V361" s="7" t="s">
        <v>10</v>
      </c>
      <c r="W361" s="24">
        <f>+T358/2</f>
        <v>40</v>
      </c>
      <c r="X361" s="24"/>
      <c r="Y361" s="7" t="s">
        <v>10</v>
      </c>
      <c r="Z361" s="24">
        <f>+W361/2</f>
        <v>20</v>
      </c>
      <c r="AA361" s="24"/>
      <c r="AB361" s="7" t="s">
        <v>9</v>
      </c>
      <c r="AC361" s="24">
        <f>+AA338</f>
        <v>150</v>
      </c>
      <c r="AD361" s="24"/>
      <c r="AE361" s="7" t="s">
        <v>10</v>
      </c>
      <c r="AF361" s="24">
        <f>+AC356</f>
        <v>20</v>
      </c>
      <c r="AG361" s="24"/>
      <c r="AH361" s="7" t="s">
        <v>12</v>
      </c>
      <c r="AI361" s="1">
        <v>0</v>
      </c>
      <c r="AM361" s="1" t="s">
        <v>4</v>
      </c>
      <c r="AO361" s="24">
        <f>(K361*N361*Q361+T361*W361*Z361+AC361*AF361)/H361</f>
        <v>737.5</v>
      </c>
      <c r="AP361" s="24"/>
      <c r="AQ361" s="1" t="s">
        <v>0</v>
      </c>
      <c r="BJ361" s="3"/>
    </row>
    <row r="362" spans="2:62" ht="11.25" customHeight="1">
      <c r="B362" s="2"/>
      <c r="F362" s="1" t="s">
        <v>13</v>
      </c>
      <c r="H362" s="24">
        <f>+H350</f>
        <v>737.5</v>
      </c>
      <c r="I362" s="24"/>
      <c r="J362" s="7" t="s">
        <v>9</v>
      </c>
      <c r="K362" s="24">
        <f>+M335</f>
        <v>15</v>
      </c>
      <c r="L362" s="24"/>
      <c r="M362" s="7" t="s">
        <v>10</v>
      </c>
      <c r="N362" s="24">
        <f>+T358/2</f>
        <v>40</v>
      </c>
      <c r="O362" s="24"/>
      <c r="P362" s="7" t="s">
        <v>9</v>
      </c>
      <c r="Q362" s="24">
        <f>+Y335</f>
        <v>25</v>
      </c>
      <c r="R362" s="24"/>
      <c r="S362" s="7" t="s">
        <v>10</v>
      </c>
      <c r="T362" s="24">
        <f>+T358/2</f>
        <v>40</v>
      </c>
      <c r="U362" s="24"/>
      <c r="V362" s="7" t="s">
        <v>9</v>
      </c>
      <c r="W362" s="24">
        <f>+AA338</f>
        <v>150</v>
      </c>
      <c r="X362" s="24"/>
      <c r="Y362" s="7" t="s">
        <v>12</v>
      </c>
      <c r="Z362" s="1">
        <v>0</v>
      </c>
      <c r="AD362" s="1" t="s">
        <v>7</v>
      </c>
      <c r="AF362" s="24">
        <f>+K362*N362+Q362*T362+W362-H362</f>
        <v>1012.5</v>
      </c>
      <c r="AG362" s="24"/>
      <c r="AH362" s="1" t="s">
        <v>0</v>
      </c>
      <c r="BJ362" s="3"/>
    </row>
    <row r="363" spans="2:62" ht="11.25" customHeight="1">
      <c r="B363" s="2"/>
      <c r="F363" s="1" t="s">
        <v>14</v>
      </c>
      <c r="H363" s="24">
        <f>+AN341</f>
        <v>12</v>
      </c>
      <c r="I363" s="24"/>
      <c r="J363" s="7" t="s">
        <v>9</v>
      </c>
      <c r="K363" s="24">
        <f>+H350</f>
        <v>737.5</v>
      </c>
      <c r="L363" s="24"/>
      <c r="M363" s="7" t="s">
        <v>10</v>
      </c>
      <c r="N363" s="24">
        <f>+T358/2</f>
        <v>40</v>
      </c>
      <c r="O363" s="24"/>
      <c r="P363" s="7" t="s">
        <v>15</v>
      </c>
      <c r="Q363" s="24">
        <f>+M335</f>
        <v>15</v>
      </c>
      <c r="R363" s="24"/>
      <c r="S363" s="7" t="s">
        <v>10</v>
      </c>
      <c r="T363" s="24">
        <f>+T358/2</f>
        <v>40</v>
      </c>
      <c r="U363" s="24"/>
      <c r="V363" s="7" t="s">
        <v>10</v>
      </c>
      <c r="W363" s="24">
        <f>+T363/2</f>
        <v>20</v>
      </c>
      <c r="X363" s="24"/>
      <c r="Y363" s="7" t="s">
        <v>12</v>
      </c>
      <c r="Z363" s="1">
        <v>0</v>
      </c>
      <c r="AD363" s="1" t="s">
        <v>5</v>
      </c>
      <c r="AF363" s="24">
        <f>(K363*N363-Q363*T363*W363)/H363</f>
        <v>1458.3333333333333</v>
      </c>
      <c r="AG363" s="24"/>
      <c r="AH363" s="1" t="s">
        <v>0</v>
      </c>
      <c r="BJ363" s="3"/>
    </row>
    <row r="364" spans="2:62" ht="11.25" customHeight="1">
      <c r="B364" s="2"/>
      <c r="F364" s="1" t="s">
        <v>16</v>
      </c>
      <c r="H364" s="24">
        <f>+AN341</f>
        <v>12</v>
      </c>
      <c r="I364" s="24"/>
      <c r="J364" s="7" t="s">
        <v>9</v>
      </c>
      <c r="K364" s="24">
        <f>+AE350</f>
        <v>1012.5</v>
      </c>
      <c r="L364" s="24"/>
      <c r="M364" s="7" t="s">
        <v>10</v>
      </c>
      <c r="N364" s="24">
        <f>+T358/2</f>
        <v>40</v>
      </c>
      <c r="O364" s="24"/>
      <c r="P364" s="7" t="s">
        <v>15</v>
      </c>
      <c r="Q364" s="24">
        <f>+Y335</f>
        <v>25</v>
      </c>
      <c r="R364" s="24"/>
      <c r="S364" s="7" t="s">
        <v>10</v>
      </c>
      <c r="T364" s="24">
        <f>+T358/2</f>
        <v>40</v>
      </c>
      <c r="U364" s="24"/>
      <c r="V364" s="7" t="s">
        <v>10</v>
      </c>
      <c r="W364" s="24">
        <f>+T364/2</f>
        <v>20</v>
      </c>
      <c r="X364" s="24"/>
      <c r="Y364" s="7" t="s">
        <v>15</v>
      </c>
      <c r="Z364" s="24">
        <f>+AA338</f>
        <v>150</v>
      </c>
      <c r="AA364" s="24"/>
      <c r="AB364" s="7" t="s">
        <v>10</v>
      </c>
      <c r="AC364" s="24">
        <f>+W356</f>
        <v>20</v>
      </c>
      <c r="AD364" s="24"/>
      <c r="AE364" s="7" t="s">
        <v>12</v>
      </c>
      <c r="AF364" s="1">
        <v>0</v>
      </c>
      <c r="AJ364" s="1" t="s">
        <v>6</v>
      </c>
      <c r="AL364" s="24">
        <f>(K364*N364-Q364*T364*W364-Z364*AC364)/H364</f>
        <v>1458.3333333333333</v>
      </c>
      <c r="AM364" s="24"/>
      <c r="AN364" s="1" t="s">
        <v>0</v>
      </c>
      <c r="BJ364" s="3"/>
    </row>
    <row r="365" spans="2:62" ht="11.25" customHeight="1">
      <c r="B365" s="2"/>
      <c r="F365" s="4" t="s">
        <v>29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L365" s="7"/>
      <c r="AM365" s="7"/>
      <c r="BJ365" s="3"/>
    </row>
    <row r="366" spans="2:62" ht="11.25" customHeight="1">
      <c r="B366" s="2"/>
      <c r="F366" s="1" t="s">
        <v>19</v>
      </c>
      <c r="H366" s="24">
        <f>-H350</f>
        <v>-737.5</v>
      </c>
      <c r="I366" s="24"/>
      <c r="J366" s="7" t="s">
        <v>10</v>
      </c>
      <c r="K366" s="1" t="s">
        <v>21</v>
      </c>
      <c r="M366" s="24">
        <f>+Q353</f>
        <v>74.024317147937481</v>
      </c>
      <c r="N366" s="24"/>
      <c r="O366" s="1" t="s">
        <v>22</v>
      </c>
      <c r="P366" s="24">
        <f>+F345</f>
        <v>1458.3333333333333</v>
      </c>
      <c r="Q366" s="24"/>
      <c r="R366" s="7" t="s">
        <v>10</v>
      </c>
      <c r="S366" s="1" t="s">
        <v>20</v>
      </c>
      <c r="U366" s="24">
        <f>+M366</f>
        <v>74.024317147937481</v>
      </c>
      <c r="V366" s="24"/>
      <c r="W366" s="1" t="s">
        <v>23</v>
      </c>
      <c r="X366" s="24">
        <f>+M335</f>
        <v>15</v>
      </c>
      <c r="Y366" s="24"/>
      <c r="Z366" s="7" t="s">
        <v>10</v>
      </c>
      <c r="AA366" s="24">
        <f>+J356</f>
        <v>20</v>
      </c>
      <c r="AB366" s="24"/>
      <c r="AC366" s="7" t="s">
        <v>10</v>
      </c>
      <c r="AD366" s="1" t="s">
        <v>21</v>
      </c>
      <c r="AF366" s="24">
        <f>+U366</f>
        <v>74.024317147937481</v>
      </c>
      <c r="AG366" s="24"/>
      <c r="AH366" s="1" t="s">
        <v>24</v>
      </c>
      <c r="AI366" s="24">
        <f>H366*COS(M366*PI()/180)-P366*SIN(U366*PI()/180)+X366*AA366*COS(AF366*PI()/180)</f>
        <v>-1522.4232933201304</v>
      </c>
      <c r="AJ366" s="24"/>
      <c r="AK366" s="1" t="s">
        <v>0</v>
      </c>
      <c r="BJ366" s="3"/>
    </row>
    <row r="367" spans="2:62" ht="11.25" customHeight="1">
      <c r="B367" s="2"/>
      <c r="F367" s="1" t="s">
        <v>25</v>
      </c>
      <c r="H367" s="24">
        <f>+H350</f>
        <v>737.5</v>
      </c>
      <c r="I367" s="24"/>
      <c r="J367" s="7" t="s">
        <v>10</v>
      </c>
      <c r="K367" s="1" t="s">
        <v>20</v>
      </c>
      <c r="M367" s="24">
        <f>+M366</f>
        <v>74.024317147937481</v>
      </c>
      <c r="N367" s="24"/>
      <c r="O367" s="1" t="s">
        <v>22</v>
      </c>
      <c r="P367" s="24">
        <f>+F345</f>
        <v>1458.3333333333333</v>
      </c>
      <c r="Q367" s="24"/>
      <c r="R367" s="7" t="s">
        <v>10</v>
      </c>
      <c r="S367" s="1" t="s">
        <v>21</v>
      </c>
      <c r="U367" s="24">
        <f>+M367</f>
        <v>74.024317147937481</v>
      </c>
      <c r="V367" s="24"/>
      <c r="W367" s="1" t="s">
        <v>22</v>
      </c>
      <c r="X367" s="24">
        <f>+X366</f>
        <v>15</v>
      </c>
      <c r="Y367" s="24"/>
      <c r="Z367" s="7" t="s">
        <v>10</v>
      </c>
      <c r="AA367" s="24">
        <f>+AA366</f>
        <v>20</v>
      </c>
      <c r="AB367" s="24"/>
      <c r="AC367" s="7" t="s">
        <v>10</v>
      </c>
      <c r="AD367" s="1" t="s">
        <v>20</v>
      </c>
      <c r="AF367" s="24">
        <f>+U367</f>
        <v>74.024317147937481</v>
      </c>
      <c r="AG367" s="24"/>
      <c r="AH367" s="1" t="s">
        <v>24</v>
      </c>
      <c r="AI367" s="24">
        <f>H367*SIN(M367*PI()/180)-P367*COS(U367*PI()/180)-X367*AA367*SIN(AF367*PI()/180)</f>
        <v>19.226987996039156</v>
      </c>
      <c r="AJ367" s="24"/>
      <c r="AK367" s="1" t="s">
        <v>0</v>
      </c>
      <c r="BJ367" s="3"/>
    </row>
    <row r="368" spans="2:62" ht="11.25" customHeight="1">
      <c r="B368" s="2"/>
      <c r="F368" s="1" t="s">
        <v>26</v>
      </c>
      <c r="H368" s="24">
        <f>+H350</f>
        <v>737.5</v>
      </c>
      <c r="I368" s="24"/>
      <c r="J368" s="7" t="s">
        <v>10</v>
      </c>
      <c r="K368" s="24">
        <f>+J356</f>
        <v>20</v>
      </c>
      <c r="L368" s="24"/>
      <c r="M368" s="7" t="s">
        <v>9</v>
      </c>
      <c r="N368" s="24">
        <f>+F345</f>
        <v>1458.3333333333333</v>
      </c>
      <c r="O368" s="24"/>
      <c r="P368" s="7" t="s">
        <v>10</v>
      </c>
      <c r="Q368" s="24">
        <f>+C343</f>
        <v>9.1935111490563912</v>
      </c>
      <c r="R368" s="24"/>
      <c r="S368" s="7" t="s">
        <v>9</v>
      </c>
      <c r="T368" s="24">
        <f>+M335</f>
        <v>15</v>
      </c>
      <c r="U368" s="24"/>
      <c r="V368" s="7" t="s">
        <v>10</v>
      </c>
      <c r="W368" s="24">
        <f>+J356</f>
        <v>20</v>
      </c>
      <c r="X368" s="24"/>
      <c r="Y368" s="7" t="s">
        <v>10</v>
      </c>
      <c r="Z368" s="24">
        <f>+W368/2</f>
        <v>10</v>
      </c>
      <c r="AA368" s="24"/>
      <c r="AB368" s="7" t="s">
        <v>12</v>
      </c>
      <c r="AC368" s="24">
        <f>H368*K368-N368*Q368-T368*W368*Z368</f>
        <v>-1657.2037590405707</v>
      </c>
      <c r="AD368" s="24"/>
      <c r="AE368" s="1" t="s">
        <v>27</v>
      </c>
      <c r="BJ368" s="3"/>
    </row>
    <row r="369" spans="2:62" ht="11.25" customHeight="1">
      <c r="B369" s="2"/>
      <c r="F369" s="1" t="s">
        <v>34</v>
      </c>
      <c r="H369" s="24">
        <f>-AE350</f>
        <v>-1012.5</v>
      </c>
      <c r="I369" s="24"/>
      <c r="J369" s="7" t="s">
        <v>10</v>
      </c>
      <c r="K369" s="1" t="s">
        <v>21</v>
      </c>
      <c r="M369" s="24">
        <f>+W353</f>
        <v>74.024317147937481</v>
      </c>
      <c r="N369" s="24"/>
      <c r="O369" s="1" t="s">
        <v>22</v>
      </c>
      <c r="P369" s="24">
        <f>+AI345</f>
        <v>1458.3333333333333</v>
      </c>
      <c r="Q369" s="24"/>
      <c r="R369" s="7" t="s">
        <v>10</v>
      </c>
      <c r="S369" s="1" t="s">
        <v>20</v>
      </c>
      <c r="U369" s="24">
        <f>+M369</f>
        <v>74.024317147937481</v>
      </c>
      <c r="V369" s="24"/>
      <c r="W369" s="1" t="s">
        <v>23</v>
      </c>
      <c r="X369" s="24">
        <f>+Y335</f>
        <v>25</v>
      </c>
      <c r="Y369" s="24"/>
      <c r="Z369" s="7" t="s">
        <v>10</v>
      </c>
      <c r="AA369" s="24">
        <f>+AC356</f>
        <v>20</v>
      </c>
      <c r="AB369" s="24"/>
      <c r="AC369" s="7" t="s">
        <v>10</v>
      </c>
      <c r="AD369" s="1" t="s">
        <v>21</v>
      </c>
      <c r="AF369" s="24">
        <f>+U369</f>
        <v>74.024317147937481</v>
      </c>
      <c r="AG369" s="24"/>
      <c r="AH369" s="1" t="s">
        <v>24</v>
      </c>
      <c r="AI369" s="24">
        <f>H369*COS(M369*PI()/180)-P369*SIN(U369*PI()/180)+X369*AA369*COS(AF369*PI()/180)</f>
        <v>-1543.0654951549927</v>
      </c>
      <c r="AJ369" s="24"/>
      <c r="AK369" s="1" t="s">
        <v>0</v>
      </c>
      <c r="BJ369" s="3"/>
    </row>
    <row r="370" spans="2:62" ht="11.25" customHeight="1">
      <c r="B370" s="2"/>
      <c r="F370" s="1" t="s">
        <v>35</v>
      </c>
      <c r="H370" s="24">
        <f>-AE350</f>
        <v>-1012.5</v>
      </c>
      <c r="I370" s="24"/>
      <c r="J370" s="7" t="s">
        <v>10</v>
      </c>
      <c r="K370" s="1" t="s">
        <v>20</v>
      </c>
      <c r="M370" s="24">
        <f>+M369</f>
        <v>74.024317147937481</v>
      </c>
      <c r="N370" s="24"/>
      <c r="O370" s="1" t="s">
        <v>23</v>
      </c>
      <c r="P370" s="24">
        <f>+AI345</f>
        <v>1458.3333333333333</v>
      </c>
      <c r="Q370" s="24"/>
      <c r="R370" s="7" t="s">
        <v>10</v>
      </c>
      <c r="S370" s="1" t="s">
        <v>21</v>
      </c>
      <c r="U370" s="24">
        <f>+M370</f>
        <v>74.024317147937481</v>
      </c>
      <c r="V370" s="24"/>
      <c r="W370" s="1" t="s">
        <v>23</v>
      </c>
      <c r="X370" s="24">
        <f>+X369</f>
        <v>25</v>
      </c>
      <c r="Y370" s="24"/>
      <c r="Z370" s="7" t="s">
        <v>10</v>
      </c>
      <c r="AA370" s="24">
        <f>+AA369</f>
        <v>20</v>
      </c>
      <c r="AB370" s="24"/>
      <c r="AC370" s="7" t="s">
        <v>10</v>
      </c>
      <c r="AD370" s="1" t="s">
        <v>20</v>
      </c>
      <c r="AF370" s="24">
        <f>+U370</f>
        <v>74.024317147937481</v>
      </c>
      <c r="AG370" s="24"/>
      <c r="AH370" s="1" t="s">
        <v>24</v>
      </c>
      <c r="AI370" s="24">
        <f>H370*SIN(M370*PI()/180)+P370*COS(U370*PI()/180)+X370*AA370*SIN(AF370*PI()/180)</f>
        <v>-91.330382530615623</v>
      </c>
      <c r="AJ370" s="24"/>
      <c r="AK370" s="1" t="s">
        <v>0</v>
      </c>
      <c r="BJ370" s="3"/>
    </row>
    <row r="371" spans="2:62" ht="11.25" customHeight="1">
      <c r="B371" s="2"/>
      <c r="F371" s="1" t="s">
        <v>36</v>
      </c>
      <c r="H371" s="24">
        <f>+AE350</f>
        <v>1012.5</v>
      </c>
      <c r="I371" s="24"/>
      <c r="J371" s="7" t="s">
        <v>10</v>
      </c>
      <c r="K371" s="24">
        <f>+AC356</f>
        <v>20</v>
      </c>
      <c r="L371" s="24"/>
      <c r="M371" s="7" t="s">
        <v>9</v>
      </c>
      <c r="N371" s="24">
        <f>+AI345</f>
        <v>1458.3333333333333</v>
      </c>
      <c r="O371" s="24"/>
      <c r="P371" s="7" t="s">
        <v>10</v>
      </c>
      <c r="Q371" s="24">
        <f>+AK343</f>
        <v>9.1935111490563912</v>
      </c>
      <c r="R371" s="24"/>
      <c r="S371" s="7" t="s">
        <v>9</v>
      </c>
      <c r="T371" s="24">
        <f>+Y335</f>
        <v>25</v>
      </c>
      <c r="U371" s="24"/>
      <c r="V371" s="7" t="s">
        <v>10</v>
      </c>
      <c r="W371" s="24">
        <f>+AC356</f>
        <v>20</v>
      </c>
      <c r="X371" s="24"/>
      <c r="Y371" s="7" t="s">
        <v>10</v>
      </c>
      <c r="Z371" s="24">
        <f>+W371/2</f>
        <v>10</v>
      </c>
      <c r="AA371" s="24"/>
      <c r="AB371" s="7" t="s">
        <v>12</v>
      </c>
      <c r="AC371" s="24">
        <f>H371*K371-N371*Q371-T371*W371*Z371</f>
        <v>1842.7962409594293</v>
      </c>
      <c r="AD371" s="24"/>
      <c r="AE371" s="1" t="s">
        <v>27</v>
      </c>
      <c r="BJ371" s="3"/>
    </row>
    <row r="372" spans="2:62" ht="11.25" customHeight="1">
      <c r="B372" s="2"/>
      <c r="F372" s="1" t="s">
        <v>31</v>
      </c>
      <c r="H372" s="24">
        <f>-AE350</f>
        <v>-1012.5</v>
      </c>
      <c r="I372" s="24"/>
      <c r="J372" s="7" t="s">
        <v>10</v>
      </c>
      <c r="K372" s="1" t="s">
        <v>21</v>
      </c>
      <c r="M372" s="24">
        <f>+W353</f>
        <v>74.024317147937481</v>
      </c>
      <c r="N372" s="24"/>
      <c r="O372" s="1" t="s">
        <v>22</v>
      </c>
      <c r="P372" s="24">
        <f>+AI345</f>
        <v>1458.3333333333333</v>
      </c>
      <c r="Q372" s="24"/>
      <c r="R372" s="7" t="s">
        <v>10</v>
      </c>
      <c r="S372" s="1" t="s">
        <v>20</v>
      </c>
      <c r="U372" s="24">
        <f>+M372</f>
        <v>74.024317147937481</v>
      </c>
      <c r="V372" s="24"/>
      <c r="W372" s="1" t="s">
        <v>23</v>
      </c>
      <c r="X372" s="24">
        <f>+Y335</f>
        <v>25</v>
      </c>
      <c r="Y372" s="24"/>
      <c r="Z372" s="7" t="s">
        <v>10</v>
      </c>
      <c r="AA372" s="24">
        <f>+AC356</f>
        <v>20</v>
      </c>
      <c r="AB372" s="24"/>
      <c r="AC372" s="7" t="s">
        <v>10</v>
      </c>
      <c r="AD372" s="1" t="s">
        <v>21</v>
      </c>
      <c r="AF372" s="24">
        <f>+U372</f>
        <v>74.024317147937481</v>
      </c>
      <c r="AG372" s="24"/>
      <c r="AH372" s="1" t="s">
        <v>23</v>
      </c>
      <c r="AI372" s="24">
        <f>+AA338</f>
        <v>150</v>
      </c>
      <c r="AJ372" s="24"/>
      <c r="AK372" s="7" t="s">
        <v>10</v>
      </c>
      <c r="AL372" s="1" t="s">
        <v>21</v>
      </c>
      <c r="AN372" s="24">
        <f>+AF372</f>
        <v>74.024317147937481</v>
      </c>
      <c r="AO372" s="24"/>
      <c r="AP372" s="1" t="s">
        <v>24</v>
      </c>
      <c r="AQ372" s="24">
        <f>H372*COS(M372*PI()/180)-P372*SIN(U372*PI()/180)+X372*AA372*COS(AF372*PI()/180)+AI372*COS(AN372*PI()/180)</f>
        <v>-1501.781091485268</v>
      </c>
      <c r="AR372" s="24"/>
      <c r="AS372" s="1" t="s">
        <v>0</v>
      </c>
      <c r="BJ372" s="3"/>
    </row>
    <row r="373" spans="2:62" ht="11.25" customHeight="1">
      <c r="B373" s="2"/>
      <c r="F373" s="1" t="s">
        <v>32</v>
      </c>
      <c r="H373" s="24">
        <f>-AE350</f>
        <v>-1012.5</v>
      </c>
      <c r="I373" s="24"/>
      <c r="J373" s="7" t="s">
        <v>10</v>
      </c>
      <c r="K373" s="1" t="s">
        <v>20</v>
      </c>
      <c r="M373" s="24">
        <f>+M372</f>
        <v>74.024317147937481</v>
      </c>
      <c r="N373" s="24"/>
      <c r="O373" s="1" t="s">
        <v>23</v>
      </c>
      <c r="P373" s="24">
        <f>+AI345</f>
        <v>1458.3333333333333</v>
      </c>
      <c r="Q373" s="24"/>
      <c r="R373" s="7" t="s">
        <v>10</v>
      </c>
      <c r="S373" s="1" t="s">
        <v>21</v>
      </c>
      <c r="U373" s="24">
        <f>+M373</f>
        <v>74.024317147937481</v>
      </c>
      <c r="V373" s="24"/>
      <c r="W373" s="1" t="s">
        <v>23</v>
      </c>
      <c r="X373" s="24">
        <f>+X372</f>
        <v>25</v>
      </c>
      <c r="Y373" s="24"/>
      <c r="Z373" s="7" t="s">
        <v>10</v>
      </c>
      <c r="AA373" s="24">
        <f>+AA372</f>
        <v>20</v>
      </c>
      <c r="AB373" s="24"/>
      <c r="AC373" s="7" t="s">
        <v>10</v>
      </c>
      <c r="AD373" s="1" t="s">
        <v>20</v>
      </c>
      <c r="AF373" s="24">
        <f>+U373</f>
        <v>74.024317147937481</v>
      </c>
      <c r="AG373" s="24"/>
      <c r="AH373" s="1" t="s">
        <v>23</v>
      </c>
      <c r="AI373" s="24">
        <f>+AI372</f>
        <v>150</v>
      </c>
      <c r="AJ373" s="24"/>
      <c r="AK373" s="7" t="s">
        <v>10</v>
      </c>
      <c r="AL373" s="1" t="s">
        <v>20</v>
      </c>
      <c r="AN373" s="24">
        <f>+AF373</f>
        <v>74.024317147937481</v>
      </c>
      <c r="AO373" s="24"/>
      <c r="AP373" s="1" t="s">
        <v>24</v>
      </c>
      <c r="AQ373" s="24">
        <f>H373*SIN(M373*PI()/180)+P373*COS(U373*PI()/180)+X373*AA373*SIN(AF373*PI()/180)+AI373*SIN(AN373*PI()/180)</f>
        <v>52.876406538537481</v>
      </c>
      <c r="AR373" s="24"/>
      <c r="AS373" s="1" t="s">
        <v>0</v>
      </c>
      <c r="BJ373" s="3"/>
    </row>
    <row r="374" spans="2:62" ht="11.25" customHeight="1">
      <c r="B374" s="2"/>
      <c r="F374" s="1" t="s">
        <v>37</v>
      </c>
      <c r="J374" s="24">
        <f>+AC371</f>
        <v>1842.7962409594293</v>
      </c>
      <c r="K374" s="24"/>
      <c r="L374" s="1" t="s">
        <v>27</v>
      </c>
      <c r="BJ374" s="3"/>
    </row>
    <row r="375" spans="2:62" ht="11.25" customHeight="1">
      <c r="B375" s="2"/>
      <c r="BJ375" s="3"/>
    </row>
    <row r="376" spans="2:62" ht="11.25" customHeight="1">
      <c r="B376" s="2"/>
      <c r="BJ376" s="3"/>
    </row>
    <row r="377" spans="2:62" ht="11.25" customHeight="1">
      <c r="B377" s="2"/>
      <c r="D377" s="12" t="s">
        <v>39</v>
      </c>
      <c r="J377" s="7"/>
      <c r="K377" s="7"/>
      <c r="BJ377" s="3"/>
    </row>
    <row r="378" spans="2:62" ht="11.25" customHeight="1">
      <c r="B378" s="2"/>
      <c r="N378" s="34">
        <v>14</v>
      </c>
      <c r="O378" s="34"/>
      <c r="P378" s="1" t="s">
        <v>3</v>
      </c>
      <c r="BJ378" s="3"/>
    </row>
    <row r="379" spans="2:62" ht="11.25" customHeight="1">
      <c r="B379" s="2"/>
      <c r="BJ379" s="3"/>
    </row>
    <row r="380" spans="2:62" ht="11.25" customHeight="1">
      <c r="B380" s="2"/>
      <c r="BJ380" s="3"/>
    </row>
    <row r="381" spans="2:62" ht="11.25" customHeight="1">
      <c r="B381" s="2"/>
      <c r="T381" s="1" t="s">
        <v>18</v>
      </c>
      <c r="AA381" s="34">
        <v>150</v>
      </c>
      <c r="AB381" s="34"/>
      <c r="AC381" s="1" t="s">
        <v>0</v>
      </c>
      <c r="BJ381" s="3"/>
    </row>
    <row r="382" spans="2:62" ht="11.25" customHeight="1">
      <c r="B382" s="2"/>
      <c r="C382" s="24">
        <f>U388-SQRT(U388^2-P399^2)</f>
        <v>2.8064888509436088</v>
      </c>
      <c r="D382" s="24"/>
      <c r="E382" s="75" t="s">
        <v>1</v>
      </c>
      <c r="AK382" s="24">
        <f>U388-SQRT(U388^2-W399^2)</f>
        <v>2.8064888509436088</v>
      </c>
      <c r="AL382" s="24"/>
      <c r="AM382" s="75" t="s">
        <v>1</v>
      </c>
      <c r="BJ382" s="3"/>
    </row>
    <row r="383" spans="2:62" ht="11.25" customHeight="1">
      <c r="B383" s="2"/>
      <c r="C383" s="24"/>
      <c r="D383" s="24"/>
      <c r="E383" s="75"/>
      <c r="M383" s="1" t="s">
        <v>17</v>
      </c>
      <c r="AB383" s="6" t="s">
        <v>30</v>
      </c>
      <c r="AK383" s="24"/>
      <c r="AL383" s="24"/>
      <c r="AM383" s="75"/>
      <c r="AN383" s="5" t="s">
        <v>1</v>
      </c>
      <c r="BJ383" s="3"/>
    </row>
    <row r="384" spans="2:62" ht="11.25" customHeight="1">
      <c r="B384" s="2"/>
      <c r="AN384" s="38">
        <v>12</v>
      </c>
      <c r="BJ384" s="3"/>
    </row>
    <row r="385" spans="2:62" ht="11.25" customHeight="1">
      <c r="B385" s="2"/>
      <c r="AN385" s="38"/>
      <c r="BJ385" s="3"/>
    </row>
    <row r="386" spans="2:62" ht="11.25" customHeight="1">
      <c r="B386" s="2"/>
      <c r="C386" s="24">
        <f>+AN384-C382</f>
        <v>9.1935111490563912</v>
      </c>
      <c r="D386" s="24"/>
      <c r="E386" s="1" t="s">
        <v>1</v>
      </c>
      <c r="AK386" s="24">
        <f>+AN384-AK382</f>
        <v>9.1935111490563912</v>
      </c>
      <c r="AL386" s="24"/>
      <c r="AM386" s="1" t="s">
        <v>1</v>
      </c>
      <c r="AN386" s="38"/>
      <c r="BJ386" s="3"/>
    </row>
    <row r="387" spans="2:62" ht="11.25" customHeight="1">
      <c r="B387" s="2"/>
      <c r="BJ387" s="3"/>
    </row>
    <row r="388" spans="2:62" ht="11.25" customHeight="1">
      <c r="B388" s="2"/>
      <c r="D388" s="1" t="s">
        <v>5</v>
      </c>
      <c r="F388" s="24">
        <f>+AF406</f>
        <v>591.66666666666663</v>
      </c>
      <c r="G388" s="24"/>
      <c r="H388" s="1" t="s">
        <v>0</v>
      </c>
      <c r="T388" s="1" t="s">
        <v>2</v>
      </c>
      <c r="U388" s="24">
        <f>(T401^2+4*AN384^2)/(8*AN384)</f>
        <v>72.666666666666671</v>
      </c>
      <c r="V388" s="24"/>
      <c r="W388" s="1" t="s">
        <v>1</v>
      </c>
      <c r="AE388" s="1" t="s">
        <v>33</v>
      </c>
      <c r="AG388" s="1" t="s">
        <v>6</v>
      </c>
      <c r="AI388" s="24">
        <f>+AC407</f>
        <v>591.66666666666663</v>
      </c>
      <c r="AJ388" s="24"/>
      <c r="AK388" s="1" t="s">
        <v>0</v>
      </c>
      <c r="BJ388" s="3"/>
    </row>
    <row r="389" spans="2:62" ht="11.25" customHeight="1">
      <c r="B389" s="2"/>
      <c r="BJ389" s="3"/>
    </row>
    <row r="390" spans="2:62" ht="11.25" customHeight="1">
      <c r="B390" s="2"/>
      <c r="BJ390" s="3"/>
    </row>
    <row r="391" spans="2:62" ht="11.25" customHeight="1">
      <c r="B391" s="2"/>
      <c r="BJ391" s="3"/>
    </row>
    <row r="392" spans="2:62" ht="11.25" customHeight="1">
      <c r="B392" s="2"/>
      <c r="BJ392" s="3"/>
    </row>
    <row r="393" spans="2:62" ht="11.25" customHeight="1">
      <c r="B393" s="2"/>
      <c r="F393" s="1" t="s">
        <v>4</v>
      </c>
      <c r="H393" s="24">
        <f>+AF404</f>
        <v>457.5</v>
      </c>
      <c r="I393" s="24"/>
      <c r="J393" s="1" t="s">
        <v>0</v>
      </c>
      <c r="AC393" s="1" t="s">
        <v>7</v>
      </c>
      <c r="AE393" s="24">
        <f>+Z405</f>
        <v>252.5</v>
      </c>
      <c r="AF393" s="24"/>
      <c r="AG393" s="1" t="s">
        <v>0</v>
      </c>
      <c r="BJ393" s="3"/>
    </row>
    <row r="394" spans="2:62" ht="11.25" customHeight="1">
      <c r="B394" s="2"/>
      <c r="BJ394" s="3"/>
    </row>
    <row r="395" spans="2:62" ht="11.25" customHeight="1">
      <c r="B395" s="2"/>
      <c r="BJ395" s="3"/>
    </row>
    <row r="396" spans="2:62" ht="11.25" customHeight="1">
      <c r="B396" s="2"/>
      <c r="Q396" s="24">
        <f>ACOS(P399/U388)*180/PI()</f>
        <v>74.024317147937481</v>
      </c>
      <c r="R396" s="24"/>
      <c r="S396" s="8" t="s">
        <v>8</v>
      </c>
      <c r="W396" s="24">
        <f>ACOS(W399/U388)*180/PI()</f>
        <v>74.024317147937481</v>
      </c>
      <c r="X396" s="24"/>
      <c r="Y396" s="8" t="s">
        <v>8</v>
      </c>
      <c r="BJ396" s="3"/>
    </row>
    <row r="397" spans="2:62" ht="11.25" customHeight="1">
      <c r="B397" s="2"/>
      <c r="BJ397" s="3"/>
    </row>
    <row r="398" spans="2:62" ht="11.25" customHeight="1">
      <c r="B398" s="2"/>
      <c r="BJ398" s="3"/>
    </row>
    <row r="399" spans="2:62" ht="11.25" customHeight="1">
      <c r="B399" s="2"/>
      <c r="J399" s="34">
        <v>20</v>
      </c>
      <c r="K399" s="34"/>
      <c r="L399" s="1" t="s">
        <v>1</v>
      </c>
      <c r="P399" s="24">
        <f>+T401/2-J399</f>
        <v>20</v>
      </c>
      <c r="Q399" s="24"/>
      <c r="R399" s="1" t="s">
        <v>1</v>
      </c>
      <c r="W399" s="24">
        <f>+T401/2-AC399</f>
        <v>20</v>
      </c>
      <c r="X399" s="24"/>
      <c r="Y399" s="1" t="s">
        <v>1</v>
      </c>
      <c r="AC399" s="34">
        <v>20</v>
      </c>
      <c r="AD399" s="34"/>
      <c r="AE399" s="1" t="s">
        <v>1</v>
      </c>
      <c r="BG399" s="15"/>
      <c r="BJ399" s="3"/>
    </row>
    <row r="400" spans="2:62" ht="11.25" customHeight="1">
      <c r="B400" s="2"/>
      <c r="BJ400" s="3"/>
    </row>
    <row r="401" spans="2:62" ht="11.25" customHeight="1">
      <c r="B401" s="2"/>
      <c r="T401" s="34">
        <v>80</v>
      </c>
      <c r="U401" s="34"/>
      <c r="V401" s="1" t="s">
        <v>1</v>
      </c>
      <c r="BJ401" s="3"/>
    </row>
    <row r="402" spans="2:62" ht="11.25" customHeight="1">
      <c r="B402" s="2"/>
      <c r="BJ402" s="3"/>
    </row>
    <row r="403" spans="2:62" ht="11.25" customHeight="1">
      <c r="B403" s="2"/>
      <c r="F403" s="4" t="s">
        <v>28</v>
      </c>
      <c r="BJ403" s="3"/>
    </row>
    <row r="404" spans="2:62" ht="11.25" customHeight="1">
      <c r="B404" s="2"/>
      <c r="F404" s="1" t="s">
        <v>11</v>
      </c>
      <c r="H404" s="24">
        <f>+T401</f>
        <v>80</v>
      </c>
      <c r="I404" s="24"/>
      <c r="J404" s="7" t="s">
        <v>9</v>
      </c>
      <c r="K404" s="24">
        <f>+N378</f>
        <v>14</v>
      </c>
      <c r="L404" s="24"/>
      <c r="M404" s="7" t="s">
        <v>10</v>
      </c>
      <c r="N404" s="24">
        <f>+T401/2</f>
        <v>40</v>
      </c>
      <c r="O404" s="24"/>
      <c r="P404" s="7" t="s">
        <v>10</v>
      </c>
      <c r="Q404" s="24">
        <f>+T401/2+T401/4</f>
        <v>60</v>
      </c>
      <c r="R404" s="24"/>
      <c r="S404" s="7" t="s">
        <v>9</v>
      </c>
      <c r="T404" s="24">
        <f>+AA381</f>
        <v>150</v>
      </c>
      <c r="U404" s="24"/>
      <c r="V404" s="7" t="s">
        <v>10</v>
      </c>
      <c r="W404" s="24">
        <f>+AC399</f>
        <v>20</v>
      </c>
      <c r="X404" s="24"/>
      <c r="Y404" s="7" t="s">
        <v>12</v>
      </c>
      <c r="Z404" s="1">
        <v>0</v>
      </c>
      <c r="AD404" s="1" t="s">
        <v>4</v>
      </c>
      <c r="AF404" s="24">
        <f>(K404*N404*Q404+T404*W404)/H404</f>
        <v>457.5</v>
      </c>
      <c r="AG404" s="24"/>
      <c r="AH404" s="1" t="s">
        <v>0</v>
      </c>
      <c r="BJ404" s="3"/>
    </row>
    <row r="405" spans="2:62" ht="11.25" customHeight="1">
      <c r="B405" s="2"/>
      <c r="F405" s="1" t="s">
        <v>13</v>
      </c>
      <c r="H405" s="24">
        <f>+H393</f>
        <v>457.5</v>
      </c>
      <c r="I405" s="24"/>
      <c r="J405" s="7" t="s">
        <v>9</v>
      </c>
      <c r="K405" s="24">
        <f>+N378</f>
        <v>14</v>
      </c>
      <c r="L405" s="24"/>
      <c r="M405" s="7" t="s">
        <v>10</v>
      </c>
      <c r="N405" s="24">
        <f>+T401/2</f>
        <v>40</v>
      </c>
      <c r="O405" s="24"/>
      <c r="P405" s="7" t="s">
        <v>9</v>
      </c>
      <c r="Q405" s="24">
        <f>+AA381</f>
        <v>150</v>
      </c>
      <c r="R405" s="24"/>
      <c r="S405" s="7" t="s">
        <v>12</v>
      </c>
      <c r="T405" s="1">
        <v>0</v>
      </c>
      <c r="X405" s="1" t="s">
        <v>7</v>
      </c>
      <c r="Z405" s="24">
        <f>+K405*N405+Q405-H405</f>
        <v>252.5</v>
      </c>
      <c r="AA405" s="24"/>
      <c r="AB405" s="1" t="s">
        <v>0</v>
      </c>
      <c r="BJ405" s="3"/>
    </row>
    <row r="406" spans="2:62" ht="11.25" customHeight="1">
      <c r="B406" s="2"/>
      <c r="F406" s="1" t="s">
        <v>14</v>
      </c>
      <c r="H406" s="24">
        <f>+AN384</f>
        <v>12</v>
      </c>
      <c r="I406" s="24"/>
      <c r="J406" s="7" t="s">
        <v>9</v>
      </c>
      <c r="K406" s="24">
        <f>+H393</f>
        <v>457.5</v>
      </c>
      <c r="L406" s="24"/>
      <c r="M406" s="7" t="s">
        <v>10</v>
      </c>
      <c r="N406" s="24">
        <f>+T401/2</f>
        <v>40</v>
      </c>
      <c r="O406" s="24"/>
      <c r="P406" s="7" t="s">
        <v>15</v>
      </c>
      <c r="Q406" s="24">
        <f>+N378</f>
        <v>14</v>
      </c>
      <c r="R406" s="24"/>
      <c r="S406" s="7" t="s">
        <v>10</v>
      </c>
      <c r="T406" s="24">
        <f>+T401/2</f>
        <v>40</v>
      </c>
      <c r="U406" s="24"/>
      <c r="V406" s="7" t="s">
        <v>10</v>
      </c>
      <c r="W406" s="24">
        <f>+T406/2</f>
        <v>20</v>
      </c>
      <c r="X406" s="24"/>
      <c r="Y406" s="7" t="s">
        <v>12</v>
      </c>
      <c r="Z406" s="1">
        <v>0</v>
      </c>
      <c r="AD406" s="1" t="s">
        <v>5</v>
      </c>
      <c r="AF406" s="24">
        <f>(K406*N406-Q406*T406*W406)/H406</f>
        <v>591.66666666666663</v>
      </c>
      <c r="AG406" s="24"/>
      <c r="AH406" s="1" t="s">
        <v>0</v>
      </c>
      <c r="BJ406" s="3"/>
    </row>
    <row r="407" spans="2:62" ht="11.25" customHeight="1">
      <c r="B407" s="2"/>
      <c r="F407" s="1" t="s">
        <v>16</v>
      </c>
      <c r="H407" s="24">
        <f>+AN384</f>
        <v>12</v>
      </c>
      <c r="I407" s="24"/>
      <c r="J407" s="7" t="s">
        <v>9</v>
      </c>
      <c r="K407" s="24">
        <f>+AE393</f>
        <v>252.5</v>
      </c>
      <c r="L407" s="24"/>
      <c r="M407" s="7" t="s">
        <v>10</v>
      </c>
      <c r="N407" s="24">
        <f>+T401/2</f>
        <v>40</v>
      </c>
      <c r="O407" s="24"/>
      <c r="P407" s="7" t="s">
        <v>15</v>
      </c>
      <c r="Q407" s="24">
        <f>+AA381</f>
        <v>150</v>
      </c>
      <c r="R407" s="24"/>
      <c r="S407" s="7" t="s">
        <v>10</v>
      </c>
      <c r="T407" s="24">
        <f>+W399</f>
        <v>20</v>
      </c>
      <c r="U407" s="24"/>
      <c r="V407" s="7" t="s">
        <v>12</v>
      </c>
      <c r="W407" s="1">
        <v>0</v>
      </c>
      <c r="AA407" s="1" t="s">
        <v>6</v>
      </c>
      <c r="AC407" s="24">
        <f>(K407*N407-Q407*T407)/H407</f>
        <v>591.66666666666663</v>
      </c>
      <c r="AD407" s="24"/>
      <c r="AE407" s="1" t="s">
        <v>0</v>
      </c>
      <c r="BJ407" s="3"/>
    </row>
    <row r="408" spans="2:62" ht="11.25" customHeight="1">
      <c r="B408" s="2"/>
      <c r="F408" s="4" t="s">
        <v>29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L408" s="7"/>
      <c r="AM408" s="7"/>
      <c r="BJ408" s="3"/>
    </row>
    <row r="409" spans="2:62" ht="11.25" customHeight="1">
      <c r="B409" s="2"/>
      <c r="F409" s="1" t="s">
        <v>19</v>
      </c>
      <c r="H409" s="24">
        <f>-H393</f>
        <v>-457.5</v>
      </c>
      <c r="I409" s="24"/>
      <c r="J409" s="7" t="s">
        <v>10</v>
      </c>
      <c r="K409" s="1" t="s">
        <v>21</v>
      </c>
      <c r="M409" s="24">
        <f>+Q396</f>
        <v>74.024317147937481</v>
      </c>
      <c r="N409" s="24"/>
      <c r="O409" s="1" t="s">
        <v>22</v>
      </c>
      <c r="P409" s="24">
        <f>+F388</f>
        <v>591.66666666666663</v>
      </c>
      <c r="Q409" s="24"/>
      <c r="R409" s="7" t="s">
        <v>10</v>
      </c>
      <c r="S409" s="1" t="s">
        <v>20</v>
      </c>
      <c r="U409" s="24">
        <f>+M409</f>
        <v>74.024317147937481</v>
      </c>
      <c r="V409" s="24"/>
      <c r="W409" s="1" t="s">
        <v>23</v>
      </c>
      <c r="X409" s="24">
        <f>+N378</f>
        <v>14</v>
      </c>
      <c r="Y409" s="24"/>
      <c r="Z409" s="7" t="s">
        <v>10</v>
      </c>
      <c r="AA409" s="24">
        <f>+J399</f>
        <v>20</v>
      </c>
      <c r="AB409" s="24"/>
      <c r="AC409" s="7" t="s">
        <v>10</v>
      </c>
      <c r="AD409" s="1" t="s">
        <v>21</v>
      </c>
      <c r="AF409" s="24">
        <f>+U409</f>
        <v>74.024317147937481</v>
      </c>
      <c r="AG409" s="24"/>
      <c r="AH409" s="1" t="s">
        <v>24</v>
      </c>
      <c r="AI409" s="24">
        <f>H409*COS(M409*PI()/180)-P409*SIN(U409*PI()/180)+X409*AA409*COS(AF409*PI()/180)</f>
        <v>-617.66887900416714</v>
      </c>
      <c r="AJ409" s="24"/>
      <c r="AK409" s="1" t="s">
        <v>0</v>
      </c>
      <c r="BJ409" s="3"/>
    </row>
    <row r="410" spans="2:62" ht="11.25" customHeight="1">
      <c r="B410" s="2"/>
      <c r="F410" s="1" t="s">
        <v>25</v>
      </c>
      <c r="H410" s="24">
        <f>+H393</f>
        <v>457.5</v>
      </c>
      <c r="I410" s="24"/>
      <c r="J410" s="7" t="s">
        <v>10</v>
      </c>
      <c r="K410" s="1" t="s">
        <v>20</v>
      </c>
      <c r="M410" s="24">
        <f>+M409</f>
        <v>74.024317147937481</v>
      </c>
      <c r="N410" s="24"/>
      <c r="O410" s="1" t="s">
        <v>22</v>
      </c>
      <c r="P410" s="24">
        <f>+F388</f>
        <v>591.66666666666663</v>
      </c>
      <c r="Q410" s="24"/>
      <c r="R410" s="7" t="s">
        <v>10</v>
      </c>
      <c r="S410" s="1" t="s">
        <v>21</v>
      </c>
      <c r="U410" s="24">
        <f>+M410</f>
        <v>74.024317147937481</v>
      </c>
      <c r="V410" s="24"/>
      <c r="W410" s="1" t="s">
        <v>22</v>
      </c>
      <c r="X410" s="24">
        <f>+X409</f>
        <v>14</v>
      </c>
      <c r="Y410" s="24"/>
      <c r="Z410" s="7" t="s">
        <v>10</v>
      </c>
      <c r="AA410" s="24">
        <f>+AA409</f>
        <v>20</v>
      </c>
      <c r="AB410" s="24"/>
      <c r="AC410" s="7" t="s">
        <v>10</v>
      </c>
      <c r="AD410" s="1" t="s">
        <v>20</v>
      </c>
      <c r="AF410" s="24">
        <f>+U410</f>
        <v>74.024317147937481</v>
      </c>
      <c r="AG410" s="24"/>
      <c r="AH410" s="1" t="s">
        <v>24</v>
      </c>
      <c r="AI410" s="24">
        <f>H410*SIN(M410*PI()/180)-P410*COS(U410*PI()/180)-X410*AA410*SIN(AF410*PI()/180)</f>
        <v>7.8006637012501301</v>
      </c>
      <c r="AJ410" s="24"/>
      <c r="AK410" s="1" t="s">
        <v>0</v>
      </c>
      <c r="BJ410" s="3"/>
    </row>
    <row r="411" spans="2:62" ht="11.25" customHeight="1">
      <c r="B411" s="2"/>
      <c r="F411" s="1" t="s">
        <v>26</v>
      </c>
      <c r="H411" s="24">
        <f>+H393</f>
        <v>457.5</v>
      </c>
      <c r="I411" s="24"/>
      <c r="J411" s="7" t="s">
        <v>10</v>
      </c>
      <c r="K411" s="24">
        <f>+J399</f>
        <v>20</v>
      </c>
      <c r="L411" s="24"/>
      <c r="M411" s="7" t="s">
        <v>9</v>
      </c>
      <c r="N411" s="24">
        <f>+F388</f>
        <v>591.66666666666663</v>
      </c>
      <c r="O411" s="24"/>
      <c r="P411" s="7" t="s">
        <v>10</v>
      </c>
      <c r="Q411" s="24">
        <f>+C386</f>
        <v>9.1935111490563912</v>
      </c>
      <c r="R411" s="24"/>
      <c r="S411" s="7" t="s">
        <v>9</v>
      </c>
      <c r="T411" s="24">
        <f>+N378</f>
        <v>14</v>
      </c>
      <c r="U411" s="24"/>
      <c r="V411" s="7" t="s">
        <v>10</v>
      </c>
      <c r="W411" s="24">
        <f>+J399</f>
        <v>20</v>
      </c>
      <c r="X411" s="24"/>
      <c r="Y411" s="7" t="s">
        <v>10</v>
      </c>
      <c r="Z411" s="24">
        <f>+W411/2</f>
        <v>10</v>
      </c>
      <c r="AA411" s="24"/>
      <c r="AB411" s="7" t="s">
        <v>12</v>
      </c>
      <c r="AC411" s="24">
        <f>H411*K411-N411*Q411-T411*W411*Z411</f>
        <v>910.50590347496927</v>
      </c>
      <c r="AD411" s="24"/>
      <c r="AE411" s="1" t="s">
        <v>27</v>
      </c>
      <c r="BJ411" s="3"/>
    </row>
    <row r="412" spans="2:62" ht="11.25" customHeight="1">
      <c r="B412" s="2"/>
      <c r="F412" s="1" t="s">
        <v>34</v>
      </c>
      <c r="H412" s="24">
        <f>-AE393</f>
        <v>-252.5</v>
      </c>
      <c r="I412" s="24"/>
      <c r="J412" s="7" t="s">
        <v>10</v>
      </c>
      <c r="K412" s="1" t="s">
        <v>21</v>
      </c>
      <c r="M412" s="24">
        <f>+W396</f>
        <v>74.024317147937481</v>
      </c>
      <c r="N412" s="24"/>
      <c r="O412" s="1" t="s">
        <v>22</v>
      </c>
      <c r="P412" s="24">
        <f>+AI388</f>
        <v>591.66666666666663</v>
      </c>
      <c r="Q412" s="24"/>
      <c r="R412" s="7" t="s">
        <v>10</v>
      </c>
      <c r="S412" s="1" t="s">
        <v>20</v>
      </c>
      <c r="U412" s="24">
        <f>+M412</f>
        <v>74.024317147937481</v>
      </c>
      <c r="V412" s="24"/>
      <c r="W412" s="1" t="s">
        <v>24</v>
      </c>
      <c r="X412" s="24">
        <f>H412*COS(M412*PI()/180)-P412*SIN(U412*PI()/180)</f>
        <v>-638.3110808390295</v>
      </c>
      <c r="Y412" s="24"/>
      <c r="Z412" s="1" t="s">
        <v>0</v>
      </c>
      <c r="AC412" s="7"/>
      <c r="BJ412" s="3"/>
    </row>
    <row r="413" spans="2:62" ht="11.25" customHeight="1">
      <c r="B413" s="2"/>
      <c r="F413" s="1" t="s">
        <v>35</v>
      </c>
      <c r="H413" s="24">
        <f>-AE393</f>
        <v>-252.5</v>
      </c>
      <c r="I413" s="24"/>
      <c r="J413" s="7" t="s">
        <v>10</v>
      </c>
      <c r="K413" s="1" t="s">
        <v>20</v>
      </c>
      <c r="M413" s="24">
        <f>+M412</f>
        <v>74.024317147937481</v>
      </c>
      <c r="N413" s="24"/>
      <c r="O413" s="1" t="s">
        <v>23</v>
      </c>
      <c r="P413" s="24">
        <f>+AI388</f>
        <v>591.66666666666663</v>
      </c>
      <c r="Q413" s="24"/>
      <c r="R413" s="7" t="s">
        <v>10</v>
      </c>
      <c r="S413" s="1" t="s">
        <v>21</v>
      </c>
      <c r="U413" s="24">
        <f>+M413</f>
        <v>74.024317147937481</v>
      </c>
      <c r="V413" s="24"/>
      <c r="W413" s="1" t="s">
        <v>24</v>
      </c>
      <c r="X413" s="24">
        <f>H413*SIN(M413*PI()/180)+P413*COS(U413*PI()/180)</f>
        <v>-79.90405823582671</v>
      </c>
      <c r="Y413" s="24"/>
      <c r="Z413" s="1" t="s">
        <v>0</v>
      </c>
      <c r="AC413" s="7"/>
      <c r="BJ413" s="3"/>
    </row>
    <row r="414" spans="2:62" ht="11.25" customHeight="1">
      <c r="B414" s="2"/>
      <c r="F414" s="1" t="s">
        <v>36</v>
      </c>
      <c r="H414" s="24">
        <f>+AE393</f>
        <v>252.5</v>
      </c>
      <c r="I414" s="24"/>
      <c r="J414" s="7" t="s">
        <v>10</v>
      </c>
      <c r="K414" s="24">
        <f>+AC399</f>
        <v>20</v>
      </c>
      <c r="L414" s="24"/>
      <c r="M414" s="7" t="s">
        <v>9</v>
      </c>
      <c r="N414" s="24">
        <f>+AI388</f>
        <v>591.66666666666663</v>
      </c>
      <c r="O414" s="24"/>
      <c r="P414" s="7" t="s">
        <v>10</v>
      </c>
      <c r="Q414" s="24">
        <f>+AK386</f>
        <v>9.1935111490563912</v>
      </c>
      <c r="R414" s="24"/>
      <c r="S414" s="7" t="s">
        <v>12</v>
      </c>
      <c r="T414" s="24">
        <f>H414*K414-N414*Q414</f>
        <v>-389.49409652503073</v>
      </c>
      <c r="U414" s="24"/>
      <c r="V414" s="1" t="s">
        <v>27</v>
      </c>
      <c r="Y414" s="7"/>
      <c r="BJ414" s="3"/>
    </row>
    <row r="415" spans="2:62" ht="11.25" customHeight="1">
      <c r="B415" s="2"/>
      <c r="F415" s="1" t="s">
        <v>31</v>
      </c>
      <c r="H415" s="24">
        <f>-AE393</f>
        <v>-252.5</v>
      </c>
      <c r="I415" s="24"/>
      <c r="J415" s="7" t="s">
        <v>10</v>
      </c>
      <c r="K415" s="1" t="s">
        <v>21</v>
      </c>
      <c r="M415" s="24">
        <f>+W396</f>
        <v>74.024317147937481</v>
      </c>
      <c r="N415" s="24"/>
      <c r="O415" s="1" t="s">
        <v>22</v>
      </c>
      <c r="P415" s="24">
        <f>+AI388</f>
        <v>591.66666666666663</v>
      </c>
      <c r="Q415" s="24"/>
      <c r="R415" s="7" t="s">
        <v>10</v>
      </c>
      <c r="S415" s="1" t="s">
        <v>20</v>
      </c>
      <c r="U415" s="24">
        <f>+M415</f>
        <v>74.024317147937481</v>
      </c>
      <c r="V415" s="24"/>
      <c r="W415" s="1" t="s">
        <v>23</v>
      </c>
      <c r="X415" s="24">
        <f>+AA381</f>
        <v>150</v>
      </c>
      <c r="Y415" s="24"/>
      <c r="Z415" s="7" t="s">
        <v>10</v>
      </c>
      <c r="AA415" s="1" t="s">
        <v>21</v>
      </c>
      <c r="AC415" s="24">
        <f>+U415</f>
        <v>74.024317147937481</v>
      </c>
      <c r="AD415" s="24"/>
      <c r="AE415" s="1" t="s">
        <v>24</v>
      </c>
      <c r="AF415" s="24">
        <f>H415*COS(M415*PI()/180)-P415*SIN(U415*PI()/180)+X415*COS(AC415*PI()/180)</f>
        <v>-597.02667716930478</v>
      </c>
      <c r="AG415" s="24"/>
      <c r="AH415" s="1" t="s">
        <v>0</v>
      </c>
      <c r="BJ415" s="3"/>
    </row>
    <row r="416" spans="2:62" ht="11.25" customHeight="1">
      <c r="B416" s="2"/>
      <c r="F416" s="1" t="s">
        <v>32</v>
      </c>
      <c r="H416" s="24">
        <f>-AE393</f>
        <v>-252.5</v>
      </c>
      <c r="I416" s="24"/>
      <c r="J416" s="7" t="s">
        <v>10</v>
      </c>
      <c r="K416" s="1" t="s">
        <v>20</v>
      </c>
      <c r="M416" s="24">
        <f>+M415</f>
        <v>74.024317147937481</v>
      </c>
      <c r="N416" s="24"/>
      <c r="O416" s="1" t="s">
        <v>23</v>
      </c>
      <c r="P416" s="24">
        <f>+AI388</f>
        <v>591.66666666666663</v>
      </c>
      <c r="Q416" s="24"/>
      <c r="R416" s="7" t="s">
        <v>10</v>
      </c>
      <c r="S416" s="1" t="s">
        <v>21</v>
      </c>
      <c r="U416" s="24">
        <f>+M416</f>
        <v>74.024317147937481</v>
      </c>
      <c r="V416" s="24"/>
      <c r="W416" s="1" t="s">
        <v>23</v>
      </c>
      <c r="X416" s="24">
        <f>+X415</f>
        <v>150</v>
      </c>
      <c r="Y416" s="24"/>
      <c r="Z416" s="7" t="s">
        <v>10</v>
      </c>
      <c r="AA416" s="1" t="s">
        <v>20</v>
      </c>
      <c r="AC416" s="24">
        <f>+U416</f>
        <v>74.024317147937481</v>
      </c>
      <c r="AD416" s="24"/>
      <c r="AE416" s="1" t="s">
        <v>24</v>
      </c>
      <c r="AF416" s="24">
        <f>H416*SIN(M416*PI()/180)+P416*COS(U416*PI()/180)+X416*SIN(AC416*PI()/180)</f>
        <v>64.302730833326393</v>
      </c>
      <c r="AG416" s="24"/>
      <c r="AH416" s="1" t="s">
        <v>0</v>
      </c>
      <c r="BJ416" s="3"/>
    </row>
    <row r="417" spans="2:62" ht="11.25" customHeight="1">
      <c r="B417" s="2"/>
      <c r="F417" s="1" t="s">
        <v>37</v>
      </c>
      <c r="J417" s="24">
        <f>+T414</f>
        <v>-389.49409652503073</v>
      </c>
      <c r="K417" s="24"/>
      <c r="L417" s="1" t="s">
        <v>27</v>
      </c>
      <c r="BJ417" s="3"/>
    </row>
    <row r="418" spans="2:62" ht="11.25" customHeight="1">
      <c r="B418" s="2"/>
      <c r="BJ418" s="3"/>
    </row>
    <row r="419" spans="2:62" ht="11.25" customHeight="1">
      <c r="B419" s="2"/>
      <c r="BJ419" s="3"/>
    </row>
    <row r="420" spans="2:62" ht="11.25" customHeight="1">
      <c r="B420" s="2"/>
      <c r="D420" s="12" t="s">
        <v>97</v>
      </c>
      <c r="BJ420" s="3"/>
    </row>
    <row r="421" spans="2:62" ht="11.25" customHeight="1">
      <c r="B421" s="2"/>
      <c r="P421" s="34">
        <v>15</v>
      </c>
      <c r="Q421" s="34"/>
      <c r="R421" s="1" t="s">
        <v>3</v>
      </c>
      <c r="AB421" s="34">
        <v>20</v>
      </c>
      <c r="AC421" s="34"/>
      <c r="AD421" s="1" t="s">
        <v>3</v>
      </c>
      <c r="BJ421" s="3"/>
    </row>
    <row r="422" spans="2:62" ht="11.25" customHeight="1">
      <c r="B422" s="2"/>
      <c r="BJ422" s="3"/>
    </row>
    <row r="423" spans="2:62" ht="11.25" customHeight="1">
      <c r="B423" s="2"/>
      <c r="BJ423" s="3"/>
    </row>
    <row r="424" spans="2:62" ht="11.25" customHeight="1">
      <c r="B424" s="2"/>
      <c r="H424" s="5" t="s">
        <v>1</v>
      </c>
      <c r="W424" s="1" t="s">
        <v>18</v>
      </c>
      <c r="AM424" s="5" t="s">
        <v>1</v>
      </c>
      <c r="BJ424" s="3"/>
    </row>
    <row r="425" spans="2:62" ht="11.25" customHeight="1">
      <c r="B425" s="2"/>
      <c r="H425" s="37">
        <f>+AO429-H431</f>
        <v>1</v>
      </c>
      <c r="AM425" s="37">
        <f>+AO429-AM431</f>
        <v>0.44444444444444464</v>
      </c>
      <c r="BJ425" s="3"/>
    </row>
    <row r="426" spans="2:62" ht="11.25" customHeight="1">
      <c r="B426" s="2"/>
      <c r="H426" s="37"/>
      <c r="AK426" s="5" t="s">
        <v>1</v>
      </c>
      <c r="AM426" s="37"/>
      <c r="BJ426" s="3"/>
    </row>
    <row r="427" spans="2:62" ht="11.25" customHeight="1">
      <c r="B427" s="2"/>
      <c r="D427" s="37" t="s">
        <v>3</v>
      </c>
      <c r="H427" s="37"/>
      <c r="P427" s="1" t="s">
        <v>17</v>
      </c>
      <c r="AE427" s="6" t="s">
        <v>30</v>
      </c>
      <c r="AK427" s="37">
        <f>+AO429-AK433</f>
        <v>2.8899999999999997</v>
      </c>
      <c r="AM427" s="37"/>
      <c r="BJ427" s="3"/>
    </row>
    <row r="428" spans="2:62" ht="11.25" customHeight="1">
      <c r="B428" s="2"/>
      <c r="D428" s="37"/>
      <c r="AK428" s="37"/>
      <c r="AO428" s="5" t="s">
        <v>1</v>
      </c>
      <c r="BJ428" s="3"/>
    </row>
    <row r="429" spans="2:62" ht="11.25" customHeight="1">
      <c r="B429" s="2"/>
      <c r="D429" s="37"/>
      <c r="AK429" s="37"/>
      <c r="AO429" s="38">
        <v>4</v>
      </c>
      <c r="BJ429" s="3"/>
    </row>
    <row r="430" spans="2:62" ht="11.25" customHeight="1">
      <c r="B430" s="2"/>
      <c r="D430" s="38">
        <v>10</v>
      </c>
      <c r="H430" s="5" t="s">
        <v>1</v>
      </c>
      <c r="AM430" s="5" t="s">
        <v>1</v>
      </c>
      <c r="AO430" s="38"/>
      <c r="BJ430" s="3"/>
    </row>
    <row r="431" spans="2:62" ht="11.25" customHeight="1">
      <c r="B431" s="2"/>
      <c r="D431" s="38"/>
      <c r="H431" s="37">
        <f>+W449</f>
        <v>3</v>
      </c>
      <c r="L431" s="1" t="s">
        <v>58</v>
      </c>
      <c r="U431" s="1" t="s">
        <v>76</v>
      </c>
      <c r="AM431" s="37">
        <f>+W450</f>
        <v>3.5555555555555554</v>
      </c>
      <c r="AO431" s="38"/>
      <c r="BJ431" s="3"/>
    </row>
    <row r="432" spans="2:62" ht="11.25" customHeight="1">
      <c r="B432" s="2"/>
      <c r="D432" s="38"/>
      <c r="H432" s="37"/>
      <c r="AK432" s="5" t="s">
        <v>1</v>
      </c>
      <c r="AM432" s="37"/>
      <c r="AO432" s="37" t="s">
        <v>42</v>
      </c>
      <c r="BJ432" s="3"/>
    </row>
    <row r="433" spans="2:62" ht="11.25" customHeight="1">
      <c r="B433" s="2"/>
      <c r="H433" s="37"/>
      <c r="AK433" s="37">
        <f>+W451</f>
        <v>1.1100000000000001</v>
      </c>
      <c r="AM433" s="37"/>
      <c r="AO433" s="37"/>
      <c r="BJ433" s="3"/>
    </row>
    <row r="434" spans="2:62" ht="11.25" customHeight="1">
      <c r="B434" s="2"/>
      <c r="AK434" s="37"/>
      <c r="BJ434" s="3"/>
    </row>
    <row r="435" spans="2:62" ht="11.25" customHeight="1">
      <c r="B435" s="2"/>
      <c r="AK435" s="37"/>
      <c r="BJ435" s="3"/>
    </row>
    <row r="436" spans="2:62" ht="11.25" customHeight="1">
      <c r="B436" s="2"/>
      <c r="G436" s="1" t="s">
        <v>5</v>
      </c>
      <c r="I436" s="24">
        <f>+R459</f>
        <v>40</v>
      </c>
      <c r="J436" s="24"/>
      <c r="K436" s="1" t="s">
        <v>0</v>
      </c>
      <c r="O436" s="1" t="s">
        <v>48</v>
      </c>
      <c r="AH436" s="1" t="s">
        <v>33</v>
      </c>
      <c r="BJ436" s="3"/>
    </row>
    <row r="437" spans="2:62" ht="11.25" customHeight="1">
      <c r="B437" s="2"/>
      <c r="BJ437" s="3"/>
    </row>
    <row r="438" spans="2:62" ht="11.25" customHeight="1">
      <c r="B438" s="2"/>
      <c r="BJ438" s="3"/>
    </row>
    <row r="439" spans="2:62" ht="11.25" customHeight="1">
      <c r="B439" s="2"/>
      <c r="BJ439" s="3"/>
    </row>
    <row r="440" spans="2:62" ht="11.25" customHeight="1">
      <c r="B440" s="2"/>
      <c r="BJ440" s="3"/>
    </row>
    <row r="441" spans="2:62" ht="11.25" customHeight="1">
      <c r="B441" s="2"/>
      <c r="I441" s="1" t="s">
        <v>4</v>
      </c>
      <c r="K441" s="24">
        <f>+AP457</f>
        <v>90.833333333333329</v>
      </c>
      <c r="L441" s="24"/>
      <c r="M441" s="1" t="s">
        <v>0</v>
      </c>
      <c r="AF441" s="1" t="s">
        <v>7</v>
      </c>
      <c r="AH441" s="24">
        <f>+AA458</f>
        <v>119.16666666666667</v>
      </c>
      <c r="AI441" s="24"/>
      <c r="AJ441" s="1" t="s">
        <v>0</v>
      </c>
      <c r="BJ441" s="3"/>
    </row>
    <row r="442" spans="2:62" ht="11.25" customHeight="1">
      <c r="B442" s="2"/>
      <c r="M442" s="34">
        <v>0.9</v>
      </c>
      <c r="N442" s="34"/>
      <c r="O442" s="1" t="s">
        <v>1</v>
      </c>
      <c r="R442" s="24">
        <f>+W446/2-M442</f>
        <v>5.0999999999999996</v>
      </c>
      <c r="S442" s="24"/>
      <c r="T442" s="1" t="s">
        <v>1</v>
      </c>
      <c r="AA442" s="24">
        <f>+W446/2-AG442</f>
        <v>5.0999999999999996</v>
      </c>
      <c r="AB442" s="24"/>
      <c r="AC442" s="1" t="s">
        <v>1</v>
      </c>
      <c r="AG442" s="24">
        <f>+M442</f>
        <v>0.9</v>
      </c>
      <c r="AH442" s="24"/>
      <c r="AI442" s="1" t="s">
        <v>1</v>
      </c>
      <c r="BJ442" s="3"/>
    </row>
    <row r="443" spans="2:62" ht="11.25" customHeight="1">
      <c r="B443" s="2"/>
      <c r="BJ443" s="3"/>
    </row>
    <row r="444" spans="2:62" ht="11.25" customHeight="1">
      <c r="B444" s="2"/>
      <c r="M444" s="34">
        <v>3</v>
      </c>
      <c r="N444" s="34"/>
      <c r="O444" s="1" t="s">
        <v>1</v>
      </c>
      <c r="T444" s="24">
        <f>+W446/2-M444</f>
        <v>3</v>
      </c>
      <c r="U444" s="24"/>
      <c r="V444" s="1" t="s">
        <v>1</v>
      </c>
      <c r="Z444" s="24">
        <f>+W446/2-AF444</f>
        <v>2</v>
      </c>
      <c r="AA444" s="24"/>
      <c r="AB444" s="1" t="s">
        <v>1</v>
      </c>
      <c r="AF444" s="34">
        <v>4</v>
      </c>
      <c r="AG444" s="34"/>
      <c r="AH444" s="1" t="s">
        <v>1</v>
      </c>
      <c r="BJ444" s="3"/>
    </row>
    <row r="445" spans="2:62" ht="11.25" customHeight="1">
      <c r="B445" s="2"/>
      <c r="BJ445" s="3"/>
    </row>
    <row r="446" spans="2:62" ht="11.25" customHeight="1">
      <c r="B446" s="2"/>
      <c r="V446" s="1" t="s">
        <v>43</v>
      </c>
      <c r="W446" s="34">
        <v>12</v>
      </c>
      <c r="X446" s="34"/>
      <c r="Y446" s="1" t="s">
        <v>1</v>
      </c>
      <c r="BJ446" s="3"/>
    </row>
    <row r="447" spans="2:62" ht="11.25" customHeight="1">
      <c r="B447" s="2"/>
      <c r="BJ447" s="3"/>
    </row>
    <row r="448" spans="2:62" ht="11.25" customHeight="1">
      <c r="B448" s="2"/>
      <c r="D448" s="1" t="s">
        <v>40</v>
      </c>
      <c r="BJ448" s="3"/>
    </row>
    <row r="449" spans="2:62" ht="11.25" customHeight="1">
      <c r="B449" s="2"/>
      <c r="D449" s="1" t="s">
        <v>41</v>
      </c>
      <c r="F449" s="1">
        <v>4</v>
      </c>
      <c r="G449" s="7" t="s">
        <v>10</v>
      </c>
      <c r="H449" s="24">
        <f>+AO429</f>
        <v>4</v>
      </c>
      <c r="I449" s="24"/>
      <c r="J449" s="7" t="s">
        <v>10</v>
      </c>
      <c r="K449" s="24">
        <f>+M444</f>
        <v>3</v>
      </c>
      <c r="L449" s="24"/>
      <c r="M449" s="1" t="s">
        <v>44</v>
      </c>
      <c r="N449" s="24">
        <f>+W446</f>
        <v>12</v>
      </c>
      <c r="O449" s="24"/>
      <c r="P449" s="7" t="s">
        <v>9</v>
      </c>
      <c r="Q449" s="24">
        <f>+K449</f>
        <v>3</v>
      </c>
      <c r="R449" s="24"/>
      <c r="S449" s="1" t="s">
        <v>45</v>
      </c>
      <c r="T449" s="24">
        <f>+N449</f>
        <v>12</v>
      </c>
      <c r="U449" s="24"/>
      <c r="V449" s="1" t="s">
        <v>46</v>
      </c>
      <c r="W449" s="24">
        <f>F449*H449*K449*(N449-Q449)/T449^2</f>
        <v>3</v>
      </c>
      <c r="X449" s="24"/>
      <c r="Y449" s="1" t="s">
        <v>1</v>
      </c>
      <c r="BJ449" s="3"/>
    </row>
    <row r="450" spans="2:62" ht="11.25" customHeight="1">
      <c r="B450" s="2"/>
      <c r="D450" s="1" t="s">
        <v>41</v>
      </c>
      <c r="F450" s="1">
        <v>4</v>
      </c>
      <c r="G450" s="7" t="s">
        <v>10</v>
      </c>
      <c r="H450" s="24">
        <f>+H449</f>
        <v>4</v>
      </c>
      <c r="I450" s="24"/>
      <c r="J450" s="7" t="s">
        <v>10</v>
      </c>
      <c r="K450" s="24">
        <f>+M444+T444+Z444</f>
        <v>8</v>
      </c>
      <c r="L450" s="24"/>
      <c r="M450" s="1" t="s">
        <v>44</v>
      </c>
      <c r="N450" s="24">
        <f>+N449</f>
        <v>12</v>
      </c>
      <c r="O450" s="24"/>
      <c r="P450" s="7" t="s">
        <v>9</v>
      </c>
      <c r="Q450" s="24">
        <f>+K450</f>
        <v>8</v>
      </c>
      <c r="R450" s="24"/>
      <c r="S450" s="1" t="s">
        <v>45</v>
      </c>
      <c r="T450" s="24">
        <f>+N450</f>
        <v>12</v>
      </c>
      <c r="U450" s="24"/>
      <c r="V450" s="1" t="s">
        <v>46</v>
      </c>
      <c r="W450" s="24">
        <f>F450*H450*K450*(N450-Q450)/T450^2</f>
        <v>3.5555555555555554</v>
      </c>
      <c r="X450" s="24"/>
      <c r="Y450" s="1" t="s">
        <v>1</v>
      </c>
      <c r="BJ450" s="3"/>
    </row>
    <row r="451" spans="2:62" ht="11.25" customHeight="1">
      <c r="B451" s="2"/>
      <c r="D451" s="1" t="s">
        <v>41</v>
      </c>
      <c r="F451" s="1">
        <v>4</v>
      </c>
      <c r="G451" s="7" t="s">
        <v>10</v>
      </c>
      <c r="H451" s="24">
        <f>+H450</f>
        <v>4</v>
      </c>
      <c r="I451" s="24"/>
      <c r="J451" s="7" t="s">
        <v>10</v>
      </c>
      <c r="K451" s="24">
        <f>+M442</f>
        <v>0.9</v>
      </c>
      <c r="L451" s="24"/>
      <c r="M451" s="1" t="s">
        <v>44</v>
      </c>
      <c r="N451" s="24">
        <f>+N450</f>
        <v>12</v>
      </c>
      <c r="O451" s="24"/>
      <c r="P451" s="7" t="s">
        <v>9</v>
      </c>
      <c r="Q451" s="24">
        <f>+K451</f>
        <v>0.9</v>
      </c>
      <c r="R451" s="24"/>
      <c r="S451" s="1" t="s">
        <v>45</v>
      </c>
      <c r="T451" s="24">
        <f>+N451</f>
        <v>12</v>
      </c>
      <c r="U451" s="24"/>
      <c r="V451" s="1" t="s">
        <v>46</v>
      </c>
      <c r="W451" s="24">
        <f>F451*H451*K451*(N451-Q451)/T451^2</f>
        <v>1.1100000000000001</v>
      </c>
      <c r="X451" s="24"/>
      <c r="Y451" s="1" t="s">
        <v>1</v>
      </c>
      <c r="BJ451" s="3"/>
    </row>
    <row r="452" spans="2:62" ht="11.25" customHeight="1">
      <c r="B452" s="2"/>
      <c r="D452" s="1" t="s">
        <v>47</v>
      </c>
      <c r="L452" s="1">
        <v>4</v>
      </c>
      <c r="M452" s="7" t="s">
        <v>10</v>
      </c>
      <c r="N452" s="24">
        <f>+AO429</f>
        <v>4</v>
      </c>
      <c r="O452" s="24"/>
      <c r="P452" s="7" t="s">
        <v>10</v>
      </c>
      <c r="Q452" s="7" t="s">
        <v>48</v>
      </c>
      <c r="R452" s="1" t="s">
        <v>44</v>
      </c>
      <c r="S452" s="24">
        <f>+W446</f>
        <v>12</v>
      </c>
      <c r="T452" s="24"/>
      <c r="U452" s="7" t="s">
        <v>9</v>
      </c>
      <c r="V452" s="7" t="s">
        <v>48</v>
      </c>
      <c r="W452" s="1" t="s">
        <v>45</v>
      </c>
      <c r="X452" s="24">
        <f>+S452</f>
        <v>12</v>
      </c>
      <c r="Y452" s="24"/>
      <c r="Z452" s="1" t="s">
        <v>46</v>
      </c>
      <c r="AA452" s="24">
        <f>+L452*N452/X452^2</f>
        <v>0.1111111111111111</v>
      </c>
      <c r="AB452" s="24"/>
      <c r="AC452" s="7" t="s">
        <v>10</v>
      </c>
      <c r="AD452" s="7" t="s">
        <v>48</v>
      </c>
      <c r="AE452" s="1" t="s">
        <v>44</v>
      </c>
      <c r="AF452" s="24">
        <f>+S452</f>
        <v>12</v>
      </c>
      <c r="AG452" s="24"/>
      <c r="AH452" s="7" t="s">
        <v>9</v>
      </c>
      <c r="AI452" s="7" t="s">
        <v>48</v>
      </c>
      <c r="AJ452" s="1" t="s">
        <v>49</v>
      </c>
      <c r="BJ452" s="3"/>
    </row>
    <row r="453" spans="2:62" ht="11.25" customHeight="1">
      <c r="B453" s="2"/>
      <c r="D453" s="1" t="s">
        <v>50</v>
      </c>
      <c r="H453" s="24">
        <f>+AA452</f>
        <v>0.1111111111111111</v>
      </c>
      <c r="I453" s="24"/>
      <c r="J453" s="7" t="s">
        <v>44</v>
      </c>
      <c r="K453" s="24">
        <f>+AF452</f>
        <v>12</v>
      </c>
      <c r="L453" s="24"/>
      <c r="M453" s="7" t="s">
        <v>9</v>
      </c>
      <c r="N453" s="1">
        <v>2</v>
      </c>
      <c r="O453" s="7" t="s">
        <v>10</v>
      </c>
      <c r="P453" s="7" t="s">
        <v>48</v>
      </c>
      <c r="Q453" s="1" t="s">
        <v>49</v>
      </c>
      <c r="AM453" s="7"/>
      <c r="BJ453" s="3"/>
    </row>
    <row r="454" spans="2:62" ht="11.25" customHeight="1">
      <c r="B454" s="2"/>
      <c r="D454" s="1" t="s">
        <v>51</v>
      </c>
      <c r="G454" s="24">
        <f>+H453</f>
        <v>0.1111111111111111</v>
      </c>
      <c r="H454" s="24"/>
      <c r="I454" s="1" t="s">
        <v>44</v>
      </c>
      <c r="J454" s="24">
        <f>+K453</f>
        <v>12</v>
      </c>
      <c r="K454" s="24"/>
      <c r="L454" s="7" t="s">
        <v>9</v>
      </c>
      <c r="M454" s="1">
        <v>2</v>
      </c>
      <c r="N454" s="7" t="s">
        <v>10</v>
      </c>
      <c r="O454" s="24">
        <f>+M444</f>
        <v>3</v>
      </c>
      <c r="P454" s="24"/>
      <c r="Q454" s="1" t="s">
        <v>24</v>
      </c>
      <c r="R454" s="24">
        <f>+G454*(J454-M454*O454)</f>
        <v>0.66666666666666663</v>
      </c>
      <c r="S454" s="24"/>
      <c r="W454" s="9" t="s">
        <v>52</v>
      </c>
      <c r="Y454" s="24">
        <f>ATAN(R454)*180/PI()</f>
        <v>33.690067525979785</v>
      </c>
      <c r="Z454" s="24"/>
      <c r="AA454" s="8" t="s">
        <v>8</v>
      </c>
      <c r="BJ454" s="3"/>
    </row>
    <row r="455" spans="2:62" ht="11.25" customHeight="1">
      <c r="B455" s="2"/>
      <c r="D455" s="1" t="s">
        <v>53</v>
      </c>
      <c r="G455" s="24">
        <f>+G454</f>
        <v>0.1111111111111111</v>
      </c>
      <c r="H455" s="24"/>
      <c r="I455" s="1" t="s">
        <v>44</v>
      </c>
      <c r="J455" s="24">
        <f>+J454</f>
        <v>12</v>
      </c>
      <c r="K455" s="24"/>
      <c r="L455" s="7" t="s">
        <v>9</v>
      </c>
      <c r="M455" s="1">
        <v>2</v>
      </c>
      <c r="N455" s="7" t="s">
        <v>10</v>
      </c>
      <c r="O455" s="24">
        <f>+M444+T444+Z444</f>
        <v>8</v>
      </c>
      <c r="P455" s="24"/>
      <c r="Q455" s="1" t="s">
        <v>24</v>
      </c>
      <c r="R455" s="24">
        <f>+G455*(J455-M455*O455)</f>
        <v>-0.44444444444444442</v>
      </c>
      <c r="S455" s="24"/>
      <c r="W455" s="9" t="s">
        <v>54</v>
      </c>
      <c r="Y455" s="24">
        <f>-ATAN(R455)*180/PI()</f>
        <v>23.962488974578182</v>
      </c>
      <c r="Z455" s="24"/>
      <c r="AA455" s="8" t="s">
        <v>8</v>
      </c>
      <c r="BJ455" s="3"/>
    </row>
    <row r="456" spans="2:62" ht="11.25" customHeight="1">
      <c r="B456" s="2"/>
      <c r="D456" s="4" t="s">
        <v>28</v>
      </c>
      <c r="BJ456" s="3"/>
    </row>
    <row r="457" spans="2:62" ht="11.25" customHeight="1">
      <c r="B457" s="2"/>
      <c r="D457" s="1" t="s">
        <v>11</v>
      </c>
      <c r="F457" s="24">
        <f>+W446</f>
        <v>12</v>
      </c>
      <c r="G457" s="24"/>
      <c r="H457" s="7" t="s">
        <v>9</v>
      </c>
      <c r="I457" s="24">
        <f>+P421</f>
        <v>15</v>
      </c>
      <c r="J457" s="24"/>
      <c r="K457" s="7" t="s">
        <v>10</v>
      </c>
      <c r="L457" s="24">
        <f>+W446/2</f>
        <v>6</v>
      </c>
      <c r="M457" s="24"/>
      <c r="N457" s="7" t="s">
        <v>10</v>
      </c>
      <c r="O457" s="24">
        <f>+W446/2+W446/2/2</f>
        <v>9</v>
      </c>
      <c r="P457" s="24"/>
      <c r="Q457" s="7" t="s">
        <v>9</v>
      </c>
      <c r="R457" s="24">
        <f>+AB421</f>
        <v>20</v>
      </c>
      <c r="S457" s="24"/>
      <c r="T457" s="7" t="s">
        <v>10</v>
      </c>
      <c r="U457" s="24">
        <f>+W446/2</f>
        <v>6</v>
      </c>
      <c r="V457" s="24"/>
      <c r="W457" s="7" t="s">
        <v>10</v>
      </c>
      <c r="X457" s="24">
        <f>+U457/2</f>
        <v>3</v>
      </c>
      <c r="Y457" s="24"/>
      <c r="Z457" s="7" t="s">
        <v>15</v>
      </c>
      <c r="AA457" s="24">
        <f>+D430</f>
        <v>10</v>
      </c>
      <c r="AB457" s="24"/>
      <c r="AC457" s="7" t="s">
        <v>10</v>
      </c>
      <c r="AD457" s="24">
        <f>+AO429</f>
        <v>4</v>
      </c>
      <c r="AE457" s="24"/>
      <c r="AF457" s="7" t="s">
        <v>10</v>
      </c>
      <c r="AG457" s="24">
        <f>+AD457/2</f>
        <v>2</v>
      </c>
      <c r="AH457" s="24"/>
      <c r="AI457" s="7" t="s">
        <v>12</v>
      </c>
      <c r="AJ457" s="1">
        <v>0</v>
      </c>
      <c r="AN457" s="1" t="s">
        <v>4</v>
      </c>
      <c r="AP457" s="24">
        <f>(I457*L457*O457+R457*U457*X457-AA457*AD457*AG457)/F457</f>
        <v>90.833333333333329</v>
      </c>
      <c r="AQ457" s="24"/>
      <c r="AR457" s="1" t="s">
        <v>0</v>
      </c>
      <c r="BJ457" s="3"/>
    </row>
    <row r="458" spans="2:62" ht="11.25" customHeight="1">
      <c r="B458" s="2"/>
      <c r="D458" s="1" t="s">
        <v>13</v>
      </c>
      <c r="F458" s="24">
        <f>+K441</f>
        <v>90.833333333333329</v>
      </c>
      <c r="G458" s="24"/>
      <c r="H458" s="7" t="s">
        <v>9</v>
      </c>
      <c r="I458" s="24">
        <f>+P421</f>
        <v>15</v>
      </c>
      <c r="J458" s="24"/>
      <c r="K458" s="7" t="s">
        <v>10</v>
      </c>
      <c r="L458" s="24">
        <f>+W446/2</f>
        <v>6</v>
      </c>
      <c r="M458" s="24"/>
      <c r="N458" s="7" t="s">
        <v>9</v>
      </c>
      <c r="O458" s="24">
        <f>+AB421</f>
        <v>20</v>
      </c>
      <c r="P458" s="24"/>
      <c r="Q458" s="7" t="s">
        <v>10</v>
      </c>
      <c r="R458" s="24">
        <f>+W446/2</f>
        <v>6</v>
      </c>
      <c r="S458" s="24"/>
      <c r="T458" s="7" t="s">
        <v>12</v>
      </c>
      <c r="U458" s="1">
        <v>0</v>
      </c>
      <c r="Y458" s="1" t="s">
        <v>7</v>
      </c>
      <c r="AA458" s="24">
        <f>+I458*L458+O458*R458-F458</f>
        <v>119.16666666666667</v>
      </c>
      <c r="AB458" s="24"/>
      <c r="AC458" s="1" t="s">
        <v>0</v>
      </c>
      <c r="BJ458" s="3"/>
    </row>
    <row r="459" spans="2:62" ht="11.25" customHeight="1">
      <c r="B459" s="2"/>
      <c r="D459" s="1" t="s">
        <v>94</v>
      </c>
      <c r="F459" s="24">
        <f>+D430</f>
        <v>10</v>
      </c>
      <c r="G459" s="24"/>
      <c r="H459" s="7" t="s">
        <v>10</v>
      </c>
      <c r="I459" s="24">
        <f>+AO429</f>
        <v>4</v>
      </c>
      <c r="J459" s="24"/>
      <c r="K459" s="7" t="s">
        <v>12</v>
      </c>
      <c r="L459" s="1">
        <v>0</v>
      </c>
      <c r="P459" s="1" t="s">
        <v>5</v>
      </c>
      <c r="R459" s="24">
        <f>+F459*I459</f>
        <v>40</v>
      </c>
      <c r="S459" s="24"/>
      <c r="T459" s="1" t="s">
        <v>0</v>
      </c>
      <c r="W459" s="7"/>
      <c r="Z459" s="7"/>
      <c r="AC459" s="7"/>
      <c r="BJ459" s="3"/>
    </row>
    <row r="460" spans="2:62" ht="11.25" customHeight="1">
      <c r="B460" s="2"/>
      <c r="D460" s="7" t="s">
        <v>73</v>
      </c>
      <c r="E460" s="7" t="s">
        <v>10</v>
      </c>
      <c r="F460" s="24">
        <f>+AK427</f>
        <v>2.8899999999999997</v>
      </c>
      <c r="G460" s="24"/>
      <c r="H460" s="7" t="s">
        <v>9</v>
      </c>
      <c r="I460" s="24">
        <f>+AH441</f>
        <v>119.16666666666667</v>
      </c>
      <c r="J460" s="24"/>
      <c r="K460" s="7" t="s">
        <v>10</v>
      </c>
      <c r="L460" s="24">
        <f>+W446/2</f>
        <v>6</v>
      </c>
      <c r="M460" s="24"/>
      <c r="N460" s="7" t="s">
        <v>15</v>
      </c>
      <c r="O460" s="24">
        <f>+AB421</f>
        <v>20</v>
      </c>
      <c r="P460" s="24"/>
      <c r="Q460" s="7" t="s">
        <v>10</v>
      </c>
      <c r="R460" s="24">
        <f>+W446/2</f>
        <v>6</v>
      </c>
      <c r="S460" s="24"/>
      <c r="T460" s="7" t="s">
        <v>10</v>
      </c>
      <c r="U460" s="24">
        <f>+R460/2</f>
        <v>3</v>
      </c>
      <c r="V460" s="24"/>
      <c r="W460" s="7" t="s">
        <v>12</v>
      </c>
      <c r="X460" s="1">
        <v>0</v>
      </c>
      <c r="AB460" s="1" t="s">
        <v>74</v>
      </c>
      <c r="AD460" s="24">
        <f>(I460*L460-O460*R460*U460)/F460</f>
        <v>122.83737024221455</v>
      </c>
      <c r="AE460" s="24"/>
      <c r="AF460" s="1" t="s">
        <v>0</v>
      </c>
      <c r="BJ460" s="3"/>
    </row>
    <row r="461" spans="2:62" ht="11.25" customHeight="1">
      <c r="B461" s="2"/>
      <c r="D461" s="4" t="s">
        <v>29</v>
      </c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J461" s="7"/>
      <c r="AK461" s="7"/>
      <c r="BJ461" s="3"/>
    </row>
    <row r="462" spans="2:62" ht="11.25" customHeight="1">
      <c r="B462" s="2"/>
      <c r="D462" s="1" t="s">
        <v>19</v>
      </c>
      <c r="F462" s="24">
        <f>-K441</f>
        <v>-90.833333333333329</v>
      </c>
      <c r="G462" s="24"/>
      <c r="H462" s="7" t="s">
        <v>10</v>
      </c>
      <c r="I462" s="1" t="s">
        <v>20</v>
      </c>
      <c r="K462" s="24">
        <f>+Y454</f>
        <v>33.690067525979785</v>
      </c>
      <c r="L462" s="24"/>
      <c r="M462" s="1" t="s">
        <v>23</v>
      </c>
      <c r="N462" s="24">
        <f>+I436</f>
        <v>40</v>
      </c>
      <c r="O462" s="24"/>
      <c r="P462" s="7" t="s">
        <v>10</v>
      </c>
      <c r="Q462" s="1" t="s">
        <v>21</v>
      </c>
      <c r="S462" s="24">
        <f>+K462</f>
        <v>33.690067525979785</v>
      </c>
      <c r="T462" s="24"/>
      <c r="U462" s="1" t="s">
        <v>23</v>
      </c>
      <c r="V462" s="24">
        <f>+P421</f>
        <v>15</v>
      </c>
      <c r="W462" s="24"/>
      <c r="X462" s="7" t="s">
        <v>10</v>
      </c>
      <c r="Y462" s="24">
        <f>+M444</f>
        <v>3</v>
      </c>
      <c r="Z462" s="24"/>
      <c r="AA462" s="7" t="s">
        <v>10</v>
      </c>
      <c r="AB462" s="1" t="s">
        <v>20</v>
      </c>
      <c r="AD462" s="24">
        <f>+S462</f>
        <v>33.690067525979785</v>
      </c>
      <c r="AE462" s="24"/>
      <c r="AF462" s="1" t="s">
        <v>22</v>
      </c>
      <c r="AG462" s="24">
        <f>+D430</f>
        <v>10</v>
      </c>
      <c r="AH462" s="24"/>
      <c r="AI462" s="7" t="s">
        <v>10</v>
      </c>
      <c r="AJ462" s="24">
        <f>+H431</f>
        <v>3</v>
      </c>
      <c r="AK462" s="24"/>
      <c r="AL462" s="7" t="s">
        <v>10</v>
      </c>
      <c r="AM462" s="1" t="s">
        <v>21</v>
      </c>
      <c r="AO462" s="24">
        <f>+AD462</f>
        <v>33.690067525979785</v>
      </c>
      <c r="AP462" s="24"/>
      <c r="AQ462" s="1" t="s">
        <v>22</v>
      </c>
      <c r="AR462" s="24">
        <f>IF(M442&lt;=M444,+AD460,0)</f>
        <v>122.83737024221455</v>
      </c>
      <c r="AS462" s="24"/>
      <c r="AT462" s="7" t="s">
        <v>10</v>
      </c>
      <c r="AU462" s="1" t="s">
        <v>21</v>
      </c>
      <c r="AW462" s="24">
        <f>+AO462</f>
        <v>33.690067525979785</v>
      </c>
      <c r="AX462" s="24"/>
      <c r="AY462" s="1" t="s">
        <v>24</v>
      </c>
      <c r="AZ462" s="24">
        <f>F462*SIN(K462*PI()/180)+N462*COS(S462*PI()/180)+V462*Y462*SIN(AD462*PI()/180)-AG462*AJ462*COS(AO462*PI()/180)-AR462*COS(AW462*PI()/180)</f>
        <v>-119.3101261159992</v>
      </c>
      <c r="BA462" s="24"/>
      <c r="BB462" s="1" t="s">
        <v>0</v>
      </c>
      <c r="BJ462" s="3"/>
    </row>
    <row r="463" spans="2:62" ht="11.25" customHeight="1">
      <c r="B463" s="2"/>
      <c r="D463" s="1" t="s">
        <v>25</v>
      </c>
      <c r="F463" s="24">
        <f>+K441</f>
        <v>90.833333333333329</v>
      </c>
      <c r="G463" s="24"/>
      <c r="H463" s="7" t="s">
        <v>10</v>
      </c>
      <c r="I463" s="1" t="s">
        <v>21</v>
      </c>
      <c r="K463" s="24">
        <f>+K462</f>
        <v>33.690067525979785</v>
      </c>
      <c r="L463" s="24"/>
      <c r="M463" s="1" t="s">
        <v>23</v>
      </c>
      <c r="N463" s="24">
        <f>+I436</f>
        <v>40</v>
      </c>
      <c r="O463" s="24"/>
      <c r="P463" s="7" t="s">
        <v>10</v>
      </c>
      <c r="Q463" s="1" t="s">
        <v>20</v>
      </c>
      <c r="S463" s="24">
        <f>+K463</f>
        <v>33.690067525979785</v>
      </c>
      <c r="T463" s="24"/>
      <c r="U463" s="1" t="s">
        <v>22</v>
      </c>
      <c r="V463" s="24">
        <f>+V462</f>
        <v>15</v>
      </c>
      <c r="W463" s="24"/>
      <c r="X463" s="7" t="s">
        <v>10</v>
      </c>
      <c r="Y463" s="24">
        <f>+Y462</f>
        <v>3</v>
      </c>
      <c r="Z463" s="24"/>
      <c r="AA463" s="7" t="s">
        <v>10</v>
      </c>
      <c r="AB463" s="1" t="s">
        <v>21</v>
      </c>
      <c r="AD463" s="24">
        <f>+S463</f>
        <v>33.690067525979785</v>
      </c>
      <c r="AE463" s="24"/>
      <c r="AF463" s="1" t="s">
        <v>22</v>
      </c>
      <c r="AG463" s="24">
        <f>+AG462</f>
        <v>10</v>
      </c>
      <c r="AH463" s="24"/>
      <c r="AI463" s="7" t="s">
        <v>10</v>
      </c>
      <c r="AJ463" s="24">
        <f>+AJ462</f>
        <v>3</v>
      </c>
      <c r="AK463" s="24"/>
      <c r="AL463" s="7" t="s">
        <v>10</v>
      </c>
      <c r="AM463" s="1" t="s">
        <v>20</v>
      </c>
      <c r="AO463" s="24">
        <f>+AD463</f>
        <v>33.690067525979785</v>
      </c>
      <c r="AP463" s="24"/>
      <c r="AQ463" s="1" t="s">
        <v>22</v>
      </c>
      <c r="AR463" s="24">
        <f>+AR462</f>
        <v>122.83737024221455</v>
      </c>
      <c r="AS463" s="24"/>
      <c r="AT463" s="7" t="s">
        <v>10</v>
      </c>
      <c r="AU463" s="1" t="s">
        <v>20</v>
      </c>
      <c r="AW463" s="24">
        <f>+AO463</f>
        <v>33.690067525979785</v>
      </c>
      <c r="AX463" s="24"/>
      <c r="AY463" s="1" t="s">
        <v>24</v>
      </c>
      <c r="AZ463" s="24">
        <f>F463*COS(K463*PI()/180)+N463*SIN(S463*PI()/180)-V463*Y463*COS(AD463*PI()/180)-AG463*AJ463*SIN(AO463*PI()/180)-AR463*SIN(AW463*PI()/180)</f>
        <v>-24.455272924410721</v>
      </c>
      <c r="BA463" s="24"/>
      <c r="BB463" s="1" t="s">
        <v>0</v>
      </c>
      <c r="BJ463" s="3"/>
    </row>
    <row r="464" spans="2:62" ht="11.25" customHeight="1">
      <c r="B464" s="2"/>
      <c r="D464" s="1" t="s">
        <v>26</v>
      </c>
      <c r="F464" s="24">
        <f>+K441</f>
        <v>90.833333333333329</v>
      </c>
      <c r="G464" s="24"/>
      <c r="H464" s="7" t="s">
        <v>10</v>
      </c>
      <c r="I464" s="24">
        <f>+M444</f>
        <v>3</v>
      </c>
      <c r="J464" s="24"/>
      <c r="K464" s="7" t="s">
        <v>15</v>
      </c>
      <c r="L464" s="24">
        <f>+I436</f>
        <v>40</v>
      </c>
      <c r="M464" s="24"/>
      <c r="N464" s="7" t="s">
        <v>10</v>
      </c>
      <c r="O464" s="24">
        <f>+H431</f>
        <v>3</v>
      </c>
      <c r="P464" s="24"/>
      <c r="Q464" s="7" t="s">
        <v>9</v>
      </c>
      <c r="R464" s="24">
        <f>+P421</f>
        <v>15</v>
      </c>
      <c r="S464" s="24"/>
      <c r="T464" s="7" t="s">
        <v>10</v>
      </c>
      <c r="U464" s="24">
        <f>+M444</f>
        <v>3</v>
      </c>
      <c r="V464" s="24"/>
      <c r="W464" s="7" t="s">
        <v>10</v>
      </c>
      <c r="X464" s="24">
        <f>+U464/2</f>
        <v>1.5</v>
      </c>
      <c r="Y464" s="24"/>
      <c r="Z464" s="7" t="s">
        <v>9</v>
      </c>
      <c r="AA464" s="24">
        <f>+D430</f>
        <v>10</v>
      </c>
      <c r="AB464" s="24"/>
      <c r="AC464" s="7" t="s">
        <v>10</v>
      </c>
      <c r="AD464" s="24">
        <f>+H431</f>
        <v>3</v>
      </c>
      <c r="AE464" s="24"/>
      <c r="AF464" s="7" t="s">
        <v>10</v>
      </c>
      <c r="AG464" s="24">
        <f>+AD464/2</f>
        <v>1.5</v>
      </c>
      <c r="AH464" s="24"/>
      <c r="AI464" s="7" t="s">
        <v>9</v>
      </c>
      <c r="AJ464" s="24">
        <f>+AR463</f>
        <v>122.83737024221455</v>
      </c>
      <c r="AK464" s="24"/>
      <c r="AL464" s="7" t="s">
        <v>10</v>
      </c>
      <c r="AM464" s="24">
        <f>+H431-AK433</f>
        <v>1.89</v>
      </c>
      <c r="AN464" s="24"/>
      <c r="AO464" s="7" t="s">
        <v>12</v>
      </c>
      <c r="AP464" s="24">
        <f>F464*I464+L464*O464-R464*U464*X464-AA464*AD464*AG464-AJ464*AM464</f>
        <v>47.837370242214519</v>
      </c>
      <c r="AQ464" s="24"/>
      <c r="AR464" s="1" t="s">
        <v>27</v>
      </c>
      <c r="BJ464" s="3"/>
    </row>
    <row r="465" spans="2:62" ht="11.25" customHeight="1">
      <c r="B465" s="2"/>
      <c r="D465" s="1" t="s">
        <v>77</v>
      </c>
      <c r="F465" s="24">
        <f>-AH441</f>
        <v>-119.16666666666667</v>
      </c>
      <c r="G465" s="24"/>
      <c r="H465" s="7" t="s">
        <v>10</v>
      </c>
      <c r="I465" s="1" t="s">
        <v>20</v>
      </c>
      <c r="K465" s="24">
        <f>+Y455</f>
        <v>23.962488974578182</v>
      </c>
      <c r="L465" s="24"/>
      <c r="M465" s="1" t="s">
        <v>22</v>
      </c>
      <c r="N465" s="24">
        <f>IF(AG442&lt;=AF444,+AD460,0)</f>
        <v>122.83737024221455</v>
      </c>
      <c r="O465" s="24"/>
      <c r="P465" s="7" t="s">
        <v>10</v>
      </c>
      <c r="Q465" s="1" t="s">
        <v>21</v>
      </c>
      <c r="S465" s="24">
        <f>+K465</f>
        <v>23.962488974578182</v>
      </c>
      <c r="T465" s="24"/>
      <c r="U465" s="1" t="s">
        <v>23</v>
      </c>
      <c r="V465" s="24">
        <f>+AB421</f>
        <v>20</v>
      </c>
      <c r="W465" s="24"/>
      <c r="X465" s="7" t="s">
        <v>10</v>
      </c>
      <c r="Y465" s="24">
        <f>+AF444</f>
        <v>4</v>
      </c>
      <c r="Z465" s="24"/>
      <c r="AA465" s="7" t="s">
        <v>10</v>
      </c>
      <c r="AB465" s="1" t="s">
        <v>20</v>
      </c>
      <c r="AD465" s="24">
        <f>+S465</f>
        <v>23.962488974578182</v>
      </c>
      <c r="AE465" s="24"/>
      <c r="AF465" s="1" t="s">
        <v>24</v>
      </c>
      <c r="AG465" s="24">
        <f>F465*SIN(K465*PI()/180)-N465*COS(S465*PI()/180)+V465*Y465*SIN(AD465*PI()/180)</f>
        <v>-128.15729744990466</v>
      </c>
      <c r="AH465" s="24"/>
      <c r="AI465" s="1" t="s">
        <v>0</v>
      </c>
      <c r="BJ465" s="3"/>
    </row>
    <row r="466" spans="2:62" ht="11.25" customHeight="1">
      <c r="B466" s="2"/>
      <c r="D466" s="1" t="s">
        <v>78</v>
      </c>
      <c r="F466" s="24">
        <f>-AH441</f>
        <v>-119.16666666666667</v>
      </c>
      <c r="G466" s="24"/>
      <c r="H466" s="7" t="s">
        <v>10</v>
      </c>
      <c r="I466" s="1" t="s">
        <v>21</v>
      </c>
      <c r="K466" s="24">
        <f>+K465</f>
        <v>23.962488974578182</v>
      </c>
      <c r="L466" s="24"/>
      <c r="M466" s="1" t="s">
        <v>23</v>
      </c>
      <c r="N466" s="24">
        <f>+N465</f>
        <v>122.83737024221455</v>
      </c>
      <c r="O466" s="24"/>
      <c r="P466" s="7" t="s">
        <v>10</v>
      </c>
      <c r="Q466" s="1" t="s">
        <v>20</v>
      </c>
      <c r="S466" s="24">
        <f>+K466</f>
        <v>23.962488974578182</v>
      </c>
      <c r="T466" s="24"/>
      <c r="U466" s="1" t="s">
        <v>23</v>
      </c>
      <c r="V466" s="24">
        <f>+V465</f>
        <v>20</v>
      </c>
      <c r="W466" s="24"/>
      <c r="X466" s="7" t="s">
        <v>10</v>
      </c>
      <c r="Y466" s="24">
        <f>+Y465</f>
        <v>4</v>
      </c>
      <c r="Z466" s="24"/>
      <c r="AA466" s="7" t="s">
        <v>10</v>
      </c>
      <c r="AB466" s="1" t="s">
        <v>21</v>
      </c>
      <c r="AD466" s="24">
        <f>+S466</f>
        <v>23.962488974578182</v>
      </c>
      <c r="AE466" s="24"/>
      <c r="AF466" s="1" t="s">
        <v>24</v>
      </c>
      <c r="AG466" s="24">
        <f>F466*COS(K466*PI()/180)+N466*SIN(S466*PI()/180)+V466*Y466*COS(AD466*PI()/180)</f>
        <v>14.098028803252348</v>
      </c>
      <c r="AH466" s="24"/>
      <c r="AI466" s="1" t="s">
        <v>0</v>
      </c>
      <c r="BJ466" s="3"/>
    </row>
    <row r="467" spans="2:62" ht="11.25" customHeight="1">
      <c r="B467" s="2"/>
      <c r="D467" s="1" t="s">
        <v>79</v>
      </c>
      <c r="F467" s="24">
        <f>+AH441</f>
        <v>119.16666666666667</v>
      </c>
      <c r="G467" s="24"/>
      <c r="H467" s="7" t="s">
        <v>10</v>
      </c>
      <c r="I467" s="24">
        <f>+AF444</f>
        <v>4</v>
      </c>
      <c r="J467" s="24"/>
      <c r="K467" s="7" t="s">
        <v>9</v>
      </c>
      <c r="L467" s="24">
        <f>+N466</f>
        <v>122.83737024221455</v>
      </c>
      <c r="M467" s="24"/>
      <c r="N467" s="7" t="s">
        <v>10</v>
      </c>
      <c r="O467" s="24">
        <f>+AM431-AK433</f>
        <v>2.445555555555555</v>
      </c>
      <c r="P467" s="24"/>
      <c r="Q467" s="7" t="s">
        <v>9</v>
      </c>
      <c r="R467" s="24">
        <f>+AB421</f>
        <v>20</v>
      </c>
      <c r="S467" s="24"/>
      <c r="T467" s="7" t="s">
        <v>10</v>
      </c>
      <c r="U467" s="24">
        <f>+AF444</f>
        <v>4</v>
      </c>
      <c r="V467" s="24"/>
      <c r="W467" s="7" t="s">
        <v>10</v>
      </c>
      <c r="X467" s="24">
        <f>+U467/2</f>
        <v>2</v>
      </c>
      <c r="Y467" s="24"/>
      <c r="Z467" s="7" t="s">
        <v>12</v>
      </c>
      <c r="AA467" s="24">
        <f>F467*I467-L467*O467-R467*U467*X467</f>
        <v>16.261053440984313</v>
      </c>
      <c r="AB467" s="24"/>
      <c r="AC467" s="1" t="s">
        <v>27</v>
      </c>
      <c r="BJ467" s="3"/>
    </row>
    <row r="468" spans="2:62" ht="11.25" customHeight="1">
      <c r="B468" s="2"/>
      <c r="H468" s="7"/>
      <c r="P468" s="7"/>
      <c r="X468" s="7"/>
      <c r="AA468" s="7"/>
      <c r="BJ468" s="3"/>
    </row>
    <row r="469" spans="2:62" ht="11.25" customHeight="1">
      <c r="B469" s="2"/>
      <c r="BJ469" s="3"/>
    </row>
    <row r="470" spans="2:62" ht="11.25" customHeight="1">
      <c r="B470" s="2"/>
      <c r="D470" s="12" t="s">
        <v>55</v>
      </c>
      <c r="BJ470" s="3"/>
    </row>
    <row r="471" spans="2:62" ht="11.25" customHeight="1">
      <c r="B471" s="2"/>
      <c r="P471" s="34">
        <v>15</v>
      </c>
      <c r="Q471" s="34"/>
      <c r="R471" s="1" t="s">
        <v>3</v>
      </c>
      <c r="AB471" s="34">
        <v>25</v>
      </c>
      <c r="AC471" s="34"/>
      <c r="AD471" s="1" t="s">
        <v>3</v>
      </c>
      <c r="BJ471" s="3"/>
    </row>
    <row r="472" spans="2:62" ht="11.25" customHeight="1">
      <c r="B472" s="2"/>
      <c r="BJ472" s="3"/>
    </row>
    <row r="473" spans="2:62" ht="11.25" customHeight="1">
      <c r="B473" s="2"/>
      <c r="BJ473" s="3"/>
    </row>
    <row r="474" spans="2:62" ht="11.25" customHeight="1">
      <c r="B474" s="2"/>
      <c r="H474" s="5" t="s">
        <v>1</v>
      </c>
      <c r="W474" s="1" t="s">
        <v>18</v>
      </c>
      <c r="AO474" s="5" t="s">
        <v>1</v>
      </c>
      <c r="BJ474" s="3"/>
    </row>
    <row r="475" spans="2:62" ht="11.25" customHeight="1">
      <c r="B475" s="2"/>
      <c r="H475" s="37">
        <f>+AQ479-H481</f>
        <v>1</v>
      </c>
      <c r="AD475" s="34">
        <v>4</v>
      </c>
      <c r="AE475" s="34"/>
      <c r="AF475" s="1" t="s">
        <v>0</v>
      </c>
      <c r="AO475" s="37">
        <f>+AQ479-AO481</f>
        <v>1</v>
      </c>
      <c r="BJ475" s="3"/>
    </row>
    <row r="476" spans="2:62" ht="11.25" customHeight="1">
      <c r="B476" s="2"/>
      <c r="H476" s="37"/>
      <c r="AO476" s="37"/>
      <c r="BJ476" s="3"/>
    </row>
    <row r="477" spans="2:62" ht="11.25" customHeight="1">
      <c r="B477" s="2"/>
      <c r="D477" s="37" t="s">
        <v>3</v>
      </c>
      <c r="H477" s="37"/>
      <c r="P477" s="1" t="s">
        <v>17</v>
      </c>
      <c r="AE477" s="6" t="s">
        <v>30</v>
      </c>
      <c r="AO477" s="37"/>
      <c r="BJ477" s="3"/>
    </row>
    <row r="478" spans="2:62" ht="11.25" customHeight="1">
      <c r="B478" s="2"/>
      <c r="D478" s="37"/>
      <c r="AQ478" s="5" t="s">
        <v>1</v>
      </c>
      <c r="BJ478" s="3"/>
    </row>
    <row r="479" spans="2:62" ht="11.25" customHeight="1">
      <c r="B479" s="2"/>
      <c r="D479" s="37"/>
      <c r="AQ479" s="38">
        <v>4</v>
      </c>
      <c r="BJ479" s="3"/>
    </row>
    <row r="480" spans="2:62" ht="11.25" customHeight="1">
      <c r="B480" s="2"/>
      <c r="D480" s="38">
        <v>10</v>
      </c>
      <c r="H480" s="5" t="s">
        <v>1</v>
      </c>
      <c r="AO480" s="5" t="s">
        <v>1</v>
      </c>
      <c r="AQ480" s="38"/>
      <c r="BJ480" s="3"/>
    </row>
    <row r="481" spans="2:62" ht="11.25" customHeight="1">
      <c r="B481" s="2"/>
      <c r="D481" s="38"/>
      <c r="H481" s="37">
        <f>+Y497</f>
        <v>3</v>
      </c>
      <c r="L481" s="1" t="s">
        <v>58</v>
      </c>
      <c r="AO481" s="37">
        <f>+Y498</f>
        <v>3</v>
      </c>
      <c r="AQ481" s="38"/>
      <c r="BJ481" s="3"/>
    </row>
    <row r="482" spans="2:62" ht="11.25" customHeight="1">
      <c r="B482" s="2"/>
      <c r="D482" s="38"/>
      <c r="H482" s="37"/>
      <c r="AO482" s="37"/>
      <c r="AQ482" s="37" t="s">
        <v>42</v>
      </c>
      <c r="BJ482" s="3"/>
    </row>
    <row r="483" spans="2:62" ht="11.25" customHeight="1">
      <c r="B483" s="2"/>
      <c r="H483" s="37"/>
      <c r="AO483" s="37"/>
      <c r="AQ483" s="37"/>
      <c r="BJ483" s="3"/>
    </row>
    <row r="484" spans="2:62" ht="11.25" customHeight="1">
      <c r="B484" s="2"/>
      <c r="BJ484" s="3"/>
    </row>
    <row r="485" spans="2:62" ht="11.25" customHeight="1">
      <c r="B485" s="2"/>
      <c r="BJ485" s="3"/>
    </row>
    <row r="486" spans="2:62" ht="11.25" customHeight="1">
      <c r="B486" s="2"/>
      <c r="G486" s="1" t="s">
        <v>5</v>
      </c>
      <c r="I486" s="24">
        <f>+AO506</f>
        <v>61.5</v>
      </c>
      <c r="J486" s="24"/>
      <c r="K486" s="1" t="s">
        <v>0</v>
      </c>
      <c r="O486" s="1" t="s">
        <v>48</v>
      </c>
      <c r="AH486" s="1" t="s">
        <v>33</v>
      </c>
      <c r="AJ486" s="1" t="s">
        <v>6</v>
      </c>
      <c r="AL486" s="24">
        <f>+AL507</f>
        <v>101.50000000000003</v>
      </c>
      <c r="AM486" s="24"/>
      <c r="AN486" s="1" t="s">
        <v>0</v>
      </c>
      <c r="BJ486" s="3"/>
    </row>
    <row r="487" spans="2:62" ht="11.25" customHeight="1">
      <c r="B487" s="2"/>
      <c r="BJ487" s="3"/>
    </row>
    <row r="488" spans="2:62" ht="11.25" customHeight="1">
      <c r="B488" s="2"/>
      <c r="BJ488" s="3"/>
    </row>
    <row r="489" spans="2:62" ht="11.25" customHeight="1">
      <c r="B489" s="2"/>
      <c r="BJ489" s="3"/>
    </row>
    <row r="490" spans="2:62" ht="11.25" customHeight="1">
      <c r="B490" s="2"/>
      <c r="BJ490" s="3"/>
    </row>
    <row r="491" spans="2:62" ht="11.25" customHeight="1">
      <c r="B491" s="2"/>
      <c r="I491" s="1" t="s">
        <v>4</v>
      </c>
      <c r="K491" s="24">
        <f>+AX504</f>
        <v>99.333333333333329</v>
      </c>
      <c r="L491" s="24"/>
      <c r="M491" s="1" t="s">
        <v>0</v>
      </c>
      <c r="AF491" s="1" t="s">
        <v>7</v>
      </c>
      <c r="AH491" s="24">
        <f>+AF505</f>
        <v>144.66666666666669</v>
      </c>
      <c r="AI491" s="24"/>
      <c r="AJ491" s="1" t="s">
        <v>0</v>
      </c>
      <c r="BJ491" s="3"/>
    </row>
    <row r="492" spans="2:62" ht="11.25" customHeight="1">
      <c r="B492" s="2"/>
      <c r="M492" s="34">
        <v>3</v>
      </c>
      <c r="N492" s="34"/>
      <c r="O492" s="1" t="s">
        <v>1</v>
      </c>
      <c r="T492" s="24">
        <f>+W494/2-M492</f>
        <v>3</v>
      </c>
      <c r="U492" s="24"/>
      <c r="V492" s="1" t="s">
        <v>1</v>
      </c>
      <c r="Z492" s="24">
        <f>+W494/2-AF492</f>
        <v>3</v>
      </c>
      <c r="AA492" s="24"/>
      <c r="AB492" s="1" t="s">
        <v>1</v>
      </c>
      <c r="AF492" s="34">
        <v>3</v>
      </c>
      <c r="AG492" s="34"/>
      <c r="AH492" s="1" t="s">
        <v>1</v>
      </c>
      <c r="BJ492" s="3"/>
    </row>
    <row r="493" spans="2:62" ht="11.25" customHeight="1">
      <c r="B493" s="2"/>
      <c r="BJ493" s="3"/>
    </row>
    <row r="494" spans="2:62" ht="11.25" customHeight="1">
      <c r="B494" s="2"/>
      <c r="V494" s="1" t="s">
        <v>43</v>
      </c>
      <c r="W494" s="34">
        <v>12</v>
      </c>
      <c r="X494" s="34"/>
      <c r="Y494" s="1" t="s">
        <v>1</v>
      </c>
      <c r="BJ494" s="3"/>
    </row>
    <row r="495" spans="2:62" ht="11.25" customHeight="1">
      <c r="B495" s="2"/>
      <c r="BJ495" s="3"/>
    </row>
    <row r="496" spans="2:62" ht="11.25" customHeight="1">
      <c r="B496" s="2"/>
      <c r="F496" s="1" t="s">
        <v>40</v>
      </c>
      <c r="BJ496" s="3"/>
    </row>
    <row r="497" spans="2:62" ht="11.25" customHeight="1">
      <c r="B497" s="2"/>
      <c r="F497" s="1" t="s">
        <v>41</v>
      </c>
      <c r="H497" s="1">
        <v>4</v>
      </c>
      <c r="I497" s="7" t="s">
        <v>10</v>
      </c>
      <c r="J497" s="24">
        <f>+AQ479</f>
        <v>4</v>
      </c>
      <c r="K497" s="24"/>
      <c r="L497" s="7" t="s">
        <v>10</v>
      </c>
      <c r="M497" s="24">
        <f>+M492</f>
        <v>3</v>
      </c>
      <c r="N497" s="24"/>
      <c r="O497" s="1" t="s">
        <v>44</v>
      </c>
      <c r="P497" s="24">
        <f>+W494</f>
        <v>12</v>
      </c>
      <c r="Q497" s="24"/>
      <c r="R497" s="7" t="s">
        <v>9</v>
      </c>
      <c r="S497" s="24">
        <f>+M497</f>
        <v>3</v>
      </c>
      <c r="T497" s="24"/>
      <c r="U497" s="1" t="s">
        <v>45</v>
      </c>
      <c r="V497" s="24">
        <f>+P497</f>
        <v>12</v>
      </c>
      <c r="W497" s="24"/>
      <c r="X497" s="1" t="s">
        <v>46</v>
      </c>
      <c r="Y497" s="24">
        <f>H497*J497*M497*(P497-S497)/V497^2</f>
        <v>3</v>
      </c>
      <c r="Z497" s="24"/>
      <c r="AA497" s="1" t="s">
        <v>1</v>
      </c>
      <c r="BJ497" s="3"/>
    </row>
    <row r="498" spans="2:62" ht="11.25" customHeight="1">
      <c r="B498" s="2"/>
      <c r="F498" s="1" t="s">
        <v>41</v>
      </c>
      <c r="H498" s="1">
        <v>4</v>
      </c>
      <c r="I498" s="7" t="s">
        <v>10</v>
      </c>
      <c r="J498" s="24">
        <f>+J497</f>
        <v>4</v>
      </c>
      <c r="K498" s="24"/>
      <c r="L498" s="7" t="s">
        <v>10</v>
      </c>
      <c r="M498" s="24">
        <f>+M492+T492+Z492</f>
        <v>9</v>
      </c>
      <c r="N498" s="24"/>
      <c r="O498" s="1" t="s">
        <v>44</v>
      </c>
      <c r="P498" s="24">
        <f>+P497</f>
        <v>12</v>
      </c>
      <c r="Q498" s="24"/>
      <c r="R498" s="7" t="s">
        <v>9</v>
      </c>
      <c r="S498" s="24">
        <f>+M498</f>
        <v>9</v>
      </c>
      <c r="T498" s="24"/>
      <c r="U498" s="1" t="s">
        <v>45</v>
      </c>
      <c r="V498" s="24">
        <f>+P498</f>
        <v>12</v>
      </c>
      <c r="W498" s="24"/>
      <c r="X498" s="1" t="s">
        <v>46</v>
      </c>
      <c r="Y498" s="24">
        <f>H498*J498*M498*(P498-S498)/V498^2</f>
        <v>3</v>
      </c>
      <c r="Z498" s="24"/>
      <c r="AA498" s="1" t="s">
        <v>1</v>
      </c>
      <c r="BJ498" s="3"/>
    </row>
    <row r="499" spans="2:62" ht="11.25" customHeight="1">
      <c r="B499" s="2"/>
      <c r="F499" s="1" t="s">
        <v>47</v>
      </c>
      <c r="N499" s="1">
        <v>4</v>
      </c>
      <c r="O499" s="7" t="s">
        <v>10</v>
      </c>
      <c r="P499" s="24">
        <f>+AQ479</f>
        <v>4</v>
      </c>
      <c r="Q499" s="24"/>
      <c r="R499" s="7" t="s">
        <v>10</v>
      </c>
      <c r="S499" s="7" t="s">
        <v>48</v>
      </c>
      <c r="T499" s="1" t="s">
        <v>44</v>
      </c>
      <c r="U499" s="24">
        <f>+W494</f>
        <v>12</v>
      </c>
      <c r="V499" s="24"/>
      <c r="W499" s="7" t="s">
        <v>9</v>
      </c>
      <c r="X499" s="7" t="s">
        <v>48</v>
      </c>
      <c r="Y499" s="1" t="s">
        <v>45</v>
      </c>
      <c r="Z499" s="24">
        <f>+U499</f>
        <v>12</v>
      </c>
      <c r="AA499" s="24"/>
      <c r="AB499" s="1" t="s">
        <v>46</v>
      </c>
      <c r="AC499" s="24">
        <f>+N499*P499/Z499^2</f>
        <v>0.1111111111111111</v>
      </c>
      <c r="AD499" s="24"/>
      <c r="AE499" s="7" t="s">
        <v>10</v>
      </c>
      <c r="AF499" s="7" t="s">
        <v>48</v>
      </c>
      <c r="AG499" s="1" t="s">
        <v>44</v>
      </c>
      <c r="AH499" s="24">
        <f>+U499</f>
        <v>12</v>
      </c>
      <c r="AI499" s="24"/>
      <c r="AJ499" s="7" t="s">
        <v>9</v>
      </c>
      <c r="AK499" s="7" t="s">
        <v>48</v>
      </c>
      <c r="AL499" s="1" t="s">
        <v>49</v>
      </c>
      <c r="BJ499" s="3"/>
    </row>
    <row r="500" spans="2:62" ht="11.25" customHeight="1">
      <c r="B500" s="2"/>
      <c r="F500" s="1" t="s">
        <v>50</v>
      </c>
      <c r="J500" s="24">
        <f>+AC499</f>
        <v>0.1111111111111111</v>
      </c>
      <c r="K500" s="24"/>
      <c r="L500" s="7" t="s">
        <v>44</v>
      </c>
      <c r="M500" s="24">
        <f>+AH499</f>
        <v>12</v>
      </c>
      <c r="N500" s="24"/>
      <c r="O500" s="7" t="s">
        <v>9</v>
      </c>
      <c r="P500" s="1">
        <v>2</v>
      </c>
      <c r="Q500" s="7" t="s">
        <v>10</v>
      </c>
      <c r="R500" s="7" t="s">
        <v>48</v>
      </c>
      <c r="S500" s="1" t="s">
        <v>49</v>
      </c>
      <c r="AO500" s="7"/>
      <c r="BJ500" s="3"/>
    </row>
    <row r="501" spans="2:62" ht="11.25" customHeight="1">
      <c r="B501" s="2"/>
      <c r="F501" s="1" t="s">
        <v>51</v>
      </c>
      <c r="I501" s="24">
        <f>+J500</f>
        <v>0.1111111111111111</v>
      </c>
      <c r="J501" s="24"/>
      <c r="K501" s="1" t="s">
        <v>44</v>
      </c>
      <c r="L501" s="24">
        <f>+M500</f>
        <v>12</v>
      </c>
      <c r="M501" s="24"/>
      <c r="N501" s="7" t="s">
        <v>9</v>
      </c>
      <c r="O501" s="1">
        <v>2</v>
      </c>
      <c r="P501" s="7" t="s">
        <v>10</v>
      </c>
      <c r="Q501" s="24">
        <f>+M492</f>
        <v>3</v>
      </c>
      <c r="R501" s="24"/>
      <c r="S501" s="1" t="s">
        <v>24</v>
      </c>
      <c r="T501" s="24">
        <f>+I501*(L501-O501*Q501)</f>
        <v>0.66666666666666663</v>
      </c>
      <c r="U501" s="24"/>
      <c r="Y501" s="9" t="s">
        <v>52</v>
      </c>
      <c r="AA501" s="24">
        <f>ATAN(T501)*180/PI()</f>
        <v>33.690067525979785</v>
      </c>
      <c r="AB501" s="24"/>
      <c r="AC501" s="8" t="s">
        <v>8</v>
      </c>
      <c r="BJ501" s="3"/>
    </row>
    <row r="502" spans="2:62" ht="11.25" customHeight="1">
      <c r="B502" s="2"/>
      <c r="F502" s="1" t="s">
        <v>53</v>
      </c>
      <c r="I502" s="24">
        <f>+I501</f>
        <v>0.1111111111111111</v>
      </c>
      <c r="J502" s="24"/>
      <c r="K502" s="1" t="s">
        <v>44</v>
      </c>
      <c r="L502" s="24">
        <f>+L501</f>
        <v>12</v>
      </c>
      <c r="M502" s="24"/>
      <c r="N502" s="7" t="s">
        <v>9</v>
      </c>
      <c r="O502" s="1">
        <v>2</v>
      </c>
      <c r="P502" s="7" t="s">
        <v>10</v>
      </c>
      <c r="Q502" s="24">
        <f>+M492+T492+Z492</f>
        <v>9</v>
      </c>
      <c r="R502" s="24"/>
      <c r="S502" s="1" t="s">
        <v>24</v>
      </c>
      <c r="T502" s="24">
        <f>+I502*(L502-O502*Q502)</f>
        <v>-0.66666666666666663</v>
      </c>
      <c r="U502" s="24"/>
      <c r="Y502" s="9" t="s">
        <v>54</v>
      </c>
      <c r="AA502" s="24">
        <f>-ATAN(T502)*180/PI()</f>
        <v>33.690067525979785</v>
      </c>
      <c r="AB502" s="24"/>
      <c r="AC502" s="8" t="s">
        <v>8</v>
      </c>
      <c r="BJ502" s="3"/>
    </row>
    <row r="503" spans="2:62" ht="11.25" customHeight="1">
      <c r="B503" s="2"/>
      <c r="F503" s="4" t="s">
        <v>28</v>
      </c>
      <c r="BJ503" s="3"/>
    </row>
    <row r="504" spans="2:62" ht="11.25" customHeight="1">
      <c r="B504" s="2"/>
      <c r="F504" s="1" t="s">
        <v>11</v>
      </c>
      <c r="H504" s="24">
        <f>+W494</f>
        <v>12</v>
      </c>
      <c r="I504" s="24"/>
      <c r="J504" s="7" t="s">
        <v>9</v>
      </c>
      <c r="K504" s="24">
        <f>+P471</f>
        <v>15</v>
      </c>
      <c r="L504" s="24"/>
      <c r="M504" s="7" t="s">
        <v>10</v>
      </c>
      <c r="N504" s="24">
        <f>+W494/2</f>
        <v>6</v>
      </c>
      <c r="O504" s="24"/>
      <c r="P504" s="7" t="s">
        <v>10</v>
      </c>
      <c r="Q504" s="24">
        <f>+W494/2+W494/2/2</f>
        <v>9</v>
      </c>
      <c r="R504" s="24"/>
      <c r="S504" s="7" t="s">
        <v>9</v>
      </c>
      <c r="T504" s="24">
        <f>+AB471</f>
        <v>25</v>
      </c>
      <c r="U504" s="24"/>
      <c r="V504" s="7" t="s">
        <v>10</v>
      </c>
      <c r="W504" s="24">
        <f>+W494/2</f>
        <v>6</v>
      </c>
      <c r="X504" s="24"/>
      <c r="Y504" s="7" t="s">
        <v>10</v>
      </c>
      <c r="Z504" s="24">
        <f>+W504/2</f>
        <v>3</v>
      </c>
      <c r="AA504" s="24"/>
      <c r="AB504" s="7" t="s">
        <v>9</v>
      </c>
      <c r="AC504" s="24">
        <f>+AD475</f>
        <v>4</v>
      </c>
      <c r="AD504" s="24"/>
      <c r="AE504" s="7" t="s">
        <v>10</v>
      </c>
      <c r="AF504" s="24">
        <f>+AF492</f>
        <v>3</v>
      </c>
      <c r="AG504" s="24"/>
      <c r="AH504" s="7" t="s">
        <v>15</v>
      </c>
      <c r="AI504" s="24">
        <f>+D480</f>
        <v>10</v>
      </c>
      <c r="AJ504" s="24"/>
      <c r="AK504" s="7" t="s">
        <v>10</v>
      </c>
      <c r="AL504" s="24">
        <f>+AQ479</f>
        <v>4</v>
      </c>
      <c r="AM504" s="24"/>
      <c r="AN504" s="7" t="s">
        <v>10</v>
      </c>
      <c r="AO504" s="24">
        <f>+AL504/2</f>
        <v>2</v>
      </c>
      <c r="AP504" s="24"/>
      <c r="AQ504" s="7" t="s">
        <v>12</v>
      </c>
      <c r="AR504" s="1">
        <v>0</v>
      </c>
      <c r="AV504" s="1" t="s">
        <v>4</v>
      </c>
      <c r="AX504" s="24">
        <f>(K504*N504*Q504+T504*W504*Z504+AC504*AF504-AI504*AL504*AO504)/H504</f>
        <v>99.333333333333329</v>
      </c>
      <c r="AY504" s="24"/>
      <c r="AZ504" s="1" t="s">
        <v>0</v>
      </c>
      <c r="BJ504" s="3"/>
    </row>
    <row r="505" spans="2:62" ht="11.25" customHeight="1">
      <c r="B505" s="2"/>
      <c r="F505" s="1" t="s">
        <v>13</v>
      </c>
      <c r="H505" s="24">
        <f>+K491</f>
        <v>99.333333333333329</v>
      </c>
      <c r="I505" s="24"/>
      <c r="J505" s="7" t="s">
        <v>9</v>
      </c>
      <c r="K505" s="24">
        <f>+P471</f>
        <v>15</v>
      </c>
      <c r="L505" s="24"/>
      <c r="M505" s="7" t="s">
        <v>10</v>
      </c>
      <c r="N505" s="24">
        <f>+W494/2</f>
        <v>6</v>
      </c>
      <c r="O505" s="24"/>
      <c r="P505" s="7" t="s">
        <v>9</v>
      </c>
      <c r="Q505" s="24">
        <f>+AB471</f>
        <v>25</v>
      </c>
      <c r="R505" s="24"/>
      <c r="S505" s="7" t="s">
        <v>10</v>
      </c>
      <c r="T505" s="24">
        <f>+W494/2</f>
        <v>6</v>
      </c>
      <c r="U505" s="24"/>
      <c r="V505" s="7" t="s">
        <v>9</v>
      </c>
      <c r="W505" s="24">
        <f>+AD475</f>
        <v>4</v>
      </c>
      <c r="X505" s="24"/>
      <c r="Y505" s="7" t="s">
        <v>12</v>
      </c>
      <c r="Z505" s="1">
        <v>0</v>
      </c>
      <c r="AD505" s="1" t="s">
        <v>7</v>
      </c>
      <c r="AF505" s="24">
        <f>+K505*N505+Q505*T505+W505-H505</f>
        <v>144.66666666666669</v>
      </c>
      <c r="AG505" s="24"/>
      <c r="AH505" s="1" t="s">
        <v>0</v>
      </c>
      <c r="BJ505" s="3"/>
    </row>
    <row r="506" spans="2:62" ht="11.25" customHeight="1">
      <c r="B506" s="2"/>
      <c r="F506" s="1" t="s">
        <v>14</v>
      </c>
      <c r="H506" s="24">
        <f>+AQ479</f>
        <v>4</v>
      </c>
      <c r="I506" s="24"/>
      <c r="J506" s="7" t="s">
        <v>9</v>
      </c>
      <c r="K506" s="24">
        <f>+K491</f>
        <v>99.333333333333329</v>
      </c>
      <c r="L506" s="24"/>
      <c r="M506" s="7" t="s">
        <v>10</v>
      </c>
      <c r="N506" s="24">
        <f>+W494/2</f>
        <v>6</v>
      </c>
      <c r="O506" s="24"/>
      <c r="P506" s="7" t="s">
        <v>15</v>
      </c>
      <c r="Q506" s="24">
        <f>+P471</f>
        <v>15</v>
      </c>
      <c r="R506" s="24"/>
      <c r="S506" s="7" t="s">
        <v>10</v>
      </c>
      <c r="T506" s="24">
        <f>+W494/2</f>
        <v>6</v>
      </c>
      <c r="U506" s="24"/>
      <c r="V506" s="7" t="s">
        <v>10</v>
      </c>
      <c r="W506" s="24">
        <f>+T506/2</f>
        <v>3</v>
      </c>
      <c r="X506" s="24"/>
      <c r="Y506" s="7" t="s">
        <v>15</v>
      </c>
      <c r="Z506" s="24">
        <f>+D480</f>
        <v>10</v>
      </c>
      <c r="AA506" s="24"/>
      <c r="AB506" s="7" t="s">
        <v>10</v>
      </c>
      <c r="AC506" s="24">
        <f>+AQ479</f>
        <v>4</v>
      </c>
      <c r="AD506" s="24"/>
      <c r="AE506" s="7" t="s">
        <v>10</v>
      </c>
      <c r="AF506" s="24">
        <f>+AC506/2</f>
        <v>2</v>
      </c>
      <c r="AG506" s="24"/>
      <c r="AH506" s="7" t="s">
        <v>12</v>
      </c>
      <c r="AI506" s="1">
        <v>0</v>
      </c>
      <c r="AM506" s="1" t="s">
        <v>5</v>
      </c>
      <c r="AO506" s="24">
        <f>(K506*N506-Q506*T506*W506-Z506*AC506*AF506)/H506</f>
        <v>61.5</v>
      </c>
      <c r="AP506" s="24"/>
      <c r="AQ506" s="1" t="s">
        <v>0</v>
      </c>
      <c r="BJ506" s="3"/>
    </row>
    <row r="507" spans="2:62" ht="11.25" customHeight="1">
      <c r="B507" s="2"/>
      <c r="F507" s="1" t="s">
        <v>16</v>
      </c>
      <c r="H507" s="24">
        <f>+AQ479</f>
        <v>4</v>
      </c>
      <c r="I507" s="24"/>
      <c r="J507" s="7" t="s">
        <v>9</v>
      </c>
      <c r="K507" s="24">
        <f>+AH491</f>
        <v>144.66666666666669</v>
      </c>
      <c r="L507" s="24"/>
      <c r="M507" s="7" t="s">
        <v>10</v>
      </c>
      <c r="N507" s="24">
        <f>+W494/2</f>
        <v>6</v>
      </c>
      <c r="O507" s="24"/>
      <c r="P507" s="7" t="s">
        <v>15</v>
      </c>
      <c r="Q507" s="24">
        <f>+AB471</f>
        <v>25</v>
      </c>
      <c r="R507" s="24"/>
      <c r="S507" s="7" t="s">
        <v>10</v>
      </c>
      <c r="T507" s="24">
        <f>+W494/2</f>
        <v>6</v>
      </c>
      <c r="U507" s="24"/>
      <c r="V507" s="7" t="s">
        <v>10</v>
      </c>
      <c r="W507" s="24">
        <f>+T507/2</f>
        <v>3</v>
      </c>
      <c r="X507" s="24"/>
      <c r="Y507" s="7" t="s">
        <v>15</v>
      </c>
      <c r="Z507" s="24">
        <f>+AD475</f>
        <v>4</v>
      </c>
      <c r="AA507" s="24"/>
      <c r="AB507" s="7" t="s">
        <v>10</v>
      </c>
      <c r="AC507" s="24">
        <f>+Z492</f>
        <v>3</v>
      </c>
      <c r="AD507" s="24"/>
      <c r="AE507" s="7" t="s">
        <v>12</v>
      </c>
      <c r="AF507" s="1">
        <v>0</v>
      </c>
      <c r="AJ507" s="1" t="s">
        <v>6</v>
      </c>
      <c r="AL507" s="24">
        <f>(K507*N507-Q507*T507*W507-Z507*AC507)/H507</f>
        <v>101.50000000000003</v>
      </c>
      <c r="AM507" s="24"/>
      <c r="AN507" s="1" t="s">
        <v>0</v>
      </c>
      <c r="BJ507" s="3"/>
    </row>
    <row r="508" spans="2:62" ht="11.25" customHeight="1">
      <c r="B508" s="2"/>
      <c r="F508" s="4" t="s">
        <v>29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L508" s="7"/>
      <c r="AM508" s="7"/>
      <c r="BJ508" s="3"/>
    </row>
    <row r="509" spans="2:62" ht="11.25" customHeight="1">
      <c r="B509" s="2"/>
      <c r="F509" s="1" t="s">
        <v>19</v>
      </c>
      <c r="H509" s="24">
        <f>-K491</f>
        <v>-99.333333333333329</v>
      </c>
      <c r="I509" s="24"/>
      <c r="J509" s="7" t="s">
        <v>10</v>
      </c>
      <c r="K509" s="1" t="s">
        <v>20</v>
      </c>
      <c r="M509" s="24">
        <f>+AA501</f>
        <v>33.690067525979785</v>
      </c>
      <c r="N509" s="24"/>
      <c r="O509" s="1" t="s">
        <v>22</v>
      </c>
      <c r="P509" s="24">
        <f>+I486</f>
        <v>61.5</v>
      </c>
      <c r="Q509" s="24"/>
      <c r="R509" s="7" t="s">
        <v>10</v>
      </c>
      <c r="S509" s="1" t="s">
        <v>21</v>
      </c>
      <c r="U509" s="24">
        <f>+M509</f>
        <v>33.690067525979785</v>
      </c>
      <c r="V509" s="24"/>
      <c r="W509" s="1" t="s">
        <v>23</v>
      </c>
      <c r="X509" s="24">
        <f>+P471</f>
        <v>15</v>
      </c>
      <c r="Y509" s="24"/>
      <c r="Z509" s="7" t="s">
        <v>10</v>
      </c>
      <c r="AA509" s="24">
        <f>+M492</f>
        <v>3</v>
      </c>
      <c r="AB509" s="24"/>
      <c r="AC509" s="7" t="s">
        <v>10</v>
      </c>
      <c r="AD509" s="1" t="s">
        <v>20</v>
      </c>
      <c r="AF509" s="24">
        <f>+U509</f>
        <v>33.690067525979785</v>
      </c>
      <c r="AG509" s="24"/>
      <c r="AH509" s="1" t="s">
        <v>22</v>
      </c>
      <c r="AI509" s="24">
        <f>+D480</f>
        <v>10</v>
      </c>
      <c r="AJ509" s="24"/>
      <c r="AK509" s="7" t="s">
        <v>10</v>
      </c>
      <c r="AL509" s="24">
        <f>+H481</f>
        <v>3</v>
      </c>
      <c r="AM509" s="24"/>
      <c r="AN509" s="7" t="s">
        <v>10</v>
      </c>
      <c r="AO509" s="1" t="s">
        <v>21</v>
      </c>
      <c r="AQ509" s="24">
        <f>+AF509</f>
        <v>33.690067525979785</v>
      </c>
      <c r="AR509" s="24"/>
      <c r="AS509" s="1" t="s">
        <v>24</v>
      </c>
      <c r="AT509" s="24">
        <f>H509*SIN(M509*PI()/180)-P509*COS(U509*PI()/180)+X509*AA509*SIN(AF509*PI()/180)-AI509*AL509*COS(AQ509*PI()/180)</f>
        <v>-106.27131259348347</v>
      </c>
      <c r="AU509" s="24"/>
      <c r="AV509" s="1" t="s">
        <v>0</v>
      </c>
      <c r="BJ509" s="3"/>
    </row>
    <row r="510" spans="2:62" ht="11.25" customHeight="1">
      <c r="B510" s="2"/>
      <c r="F510" s="1" t="s">
        <v>25</v>
      </c>
      <c r="H510" s="24">
        <f>+K491</f>
        <v>99.333333333333329</v>
      </c>
      <c r="I510" s="24"/>
      <c r="J510" s="7" t="s">
        <v>10</v>
      </c>
      <c r="K510" s="1" t="s">
        <v>21</v>
      </c>
      <c r="M510" s="24">
        <f>+M509</f>
        <v>33.690067525979785</v>
      </c>
      <c r="N510" s="24"/>
      <c r="O510" s="1" t="s">
        <v>22</v>
      </c>
      <c r="P510" s="24">
        <f>+I486</f>
        <v>61.5</v>
      </c>
      <c r="Q510" s="24"/>
      <c r="R510" s="7" t="s">
        <v>10</v>
      </c>
      <c r="S510" s="1" t="s">
        <v>20</v>
      </c>
      <c r="U510" s="24">
        <f>+M510</f>
        <v>33.690067525979785</v>
      </c>
      <c r="V510" s="24"/>
      <c r="W510" s="1" t="s">
        <v>22</v>
      </c>
      <c r="X510" s="24">
        <f>+X509</f>
        <v>15</v>
      </c>
      <c r="Y510" s="24"/>
      <c r="Z510" s="7" t="s">
        <v>10</v>
      </c>
      <c r="AA510" s="24">
        <f>+AA509</f>
        <v>3</v>
      </c>
      <c r="AB510" s="24"/>
      <c r="AC510" s="7" t="s">
        <v>10</v>
      </c>
      <c r="AD510" s="1" t="s">
        <v>21</v>
      </c>
      <c r="AF510" s="24">
        <f>+U510</f>
        <v>33.690067525979785</v>
      </c>
      <c r="AG510" s="24"/>
      <c r="AH510" s="1" t="s">
        <v>22</v>
      </c>
      <c r="AI510" s="24">
        <f>+AI509</f>
        <v>10</v>
      </c>
      <c r="AJ510" s="24"/>
      <c r="AK510" s="7" t="s">
        <v>10</v>
      </c>
      <c r="AL510" s="24">
        <f>+AL509</f>
        <v>3</v>
      </c>
      <c r="AM510" s="24"/>
      <c r="AN510" s="7" t="s">
        <v>10</v>
      </c>
      <c r="AO510" s="1" t="s">
        <v>20</v>
      </c>
      <c r="AQ510" s="24">
        <f>+AF510</f>
        <v>33.690067525979785</v>
      </c>
      <c r="AR510" s="24"/>
      <c r="AS510" s="1" t="s">
        <v>24</v>
      </c>
      <c r="AT510" s="24">
        <f>H510*COS(M510*PI()/180)-P510*SIN(U510*PI()/180)-X510*AA510*COS(AF510*PI()/180)-AI510*AL510*SIN(AQ510*PI()/180)</f>
        <v>-5.5470019622522884</v>
      </c>
      <c r="AU510" s="24"/>
      <c r="AV510" s="1" t="s">
        <v>0</v>
      </c>
      <c r="BJ510" s="3"/>
    </row>
    <row r="511" spans="2:62" ht="11.25" customHeight="1">
      <c r="B511" s="2"/>
      <c r="F511" s="1" t="s">
        <v>26</v>
      </c>
      <c r="H511" s="24">
        <f>+K491</f>
        <v>99.333333333333329</v>
      </c>
      <c r="I511" s="24"/>
      <c r="J511" s="7" t="s">
        <v>10</v>
      </c>
      <c r="K511" s="24">
        <f>+M492</f>
        <v>3</v>
      </c>
      <c r="L511" s="24"/>
      <c r="M511" s="7" t="s">
        <v>9</v>
      </c>
      <c r="N511" s="24">
        <f>+I486</f>
        <v>61.5</v>
      </c>
      <c r="O511" s="24"/>
      <c r="P511" s="7" t="s">
        <v>10</v>
      </c>
      <c r="Q511" s="24">
        <f>+H481</f>
        <v>3</v>
      </c>
      <c r="R511" s="24"/>
      <c r="S511" s="7" t="s">
        <v>9</v>
      </c>
      <c r="T511" s="24">
        <f>+P471</f>
        <v>15</v>
      </c>
      <c r="U511" s="24"/>
      <c r="V511" s="7" t="s">
        <v>10</v>
      </c>
      <c r="W511" s="24">
        <f>+M492</f>
        <v>3</v>
      </c>
      <c r="X511" s="24"/>
      <c r="Y511" s="7" t="s">
        <v>10</v>
      </c>
      <c r="Z511" s="24">
        <f>+W511/2</f>
        <v>1.5</v>
      </c>
      <c r="AA511" s="24"/>
      <c r="AB511" s="7" t="s">
        <v>9</v>
      </c>
      <c r="AC511" s="24">
        <f>+D480</f>
        <v>10</v>
      </c>
      <c r="AD511" s="24"/>
      <c r="AE511" s="7" t="s">
        <v>10</v>
      </c>
      <c r="AF511" s="24">
        <f>+H481</f>
        <v>3</v>
      </c>
      <c r="AG511" s="24"/>
      <c r="AH511" s="7" t="s">
        <v>10</v>
      </c>
      <c r="AI511" s="24">
        <f>+AF511/2</f>
        <v>1.5</v>
      </c>
      <c r="AJ511" s="24"/>
      <c r="AK511" s="7" t="s">
        <v>12</v>
      </c>
      <c r="AL511" s="24">
        <f>H511*K511-N511*Q511-T511*W511*Z511-AC511*AF511*AI511</f>
        <v>1</v>
      </c>
      <c r="AM511" s="24"/>
      <c r="AN511" s="1" t="s">
        <v>27</v>
      </c>
      <c r="BJ511" s="3"/>
    </row>
    <row r="512" spans="2:62" ht="11.25" customHeight="1">
      <c r="B512" s="2"/>
      <c r="F512" s="1" t="s">
        <v>34</v>
      </c>
      <c r="H512" s="24">
        <f>-AH491</f>
        <v>-144.66666666666669</v>
      </c>
      <c r="I512" s="24"/>
      <c r="J512" s="7" t="s">
        <v>10</v>
      </c>
      <c r="K512" s="1" t="s">
        <v>20</v>
      </c>
      <c r="M512" s="24">
        <f>+AA502</f>
        <v>33.690067525979785</v>
      </c>
      <c r="N512" s="24"/>
      <c r="O512" s="1" t="s">
        <v>22</v>
      </c>
      <c r="P512" s="24">
        <f>+AL486</f>
        <v>101.50000000000003</v>
      </c>
      <c r="Q512" s="24"/>
      <c r="R512" s="7" t="s">
        <v>10</v>
      </c>
      <c r="S512" s="1" t="s">
        <v>21</v>
      </c>
      <c r="U512" s="24">
        <f>+M512</f>
        <v>33.690067525979785</v>
      </c>
      <c r="V512" s="24"/>
      <c r="W512" s="1" t="s">
        <v>23</v>
      </c>
      <c r="X512" s="24">
        <f>+AB471</f>
        <v>25</v>
      </c>
      <c r="Y512" s="24"/>
      <c r="Z512" s="7" t="s">
        <v>10</v>
      </c>
      <c r="AA512" s="24">
        <f>+AF492</f>
        <v>3</v>
      </c>
      <c r="AB512" s="24"/>
      <c r="AC512" s="7" t="s">
        <v>10</v>
      </c>
      <c r="AD512" s="1" t="s">
        <v>20</v>
      </c>
      <c r="AF512" s="24">
        <f>+U512</f>
        <v>33.690067525979785</v>
      </c>
      <c r="AG512" s="24"/>
      <c r="AH512" s="1" t="s">
        <v>24</v>
      </c>
      <c r="AI512" s="24">
        <f>H512*SIN(M512*PI()/180)-P512*COS(U512*PI()/180)+X512*AA512*SIN(AF512*PI()/180)</f>
        <v>-123.09721854564879</v>
      </c>
      <c r="AJ512" s="24"/>
      <c r="AK512" s="1" t="s">
        <v>0</v>
      </c>
      <c r="BJ512" s="3"/>
    </row>
    <row r="513" spans="2:62" ht="11.25" customHeight="1">
      <c r="B513" s="2"/>
      <c r="F513" s="1" t="s">
        <v>35</v>
      </c>
      <c r="H513" s="24">
        <f>-AH491</f>
        <v>-144.66666666666669</v>
      </c>
      <c r="I513" s="24"/>
      <c r="J513" s="7" t="s">
        <v>10</v>
      </c>
      <c r="K513" s="1" t="s">
        <v>21</v>
      </c>
      <c r="M513" s="24">
        <f>+M512</f>
        <v>33.690067525979785</v>
      </c>
      <c r="N513" s="24"/>
      <c r="O513" s="1" t="s">
        <v>23</v>
      </c>
      <c r="P513" s="24">
        <f>+AL486</f>
        <v>101.50000000000003</v>
      </c>
      <c r="Q513" s="24"/>
      <c r="R513" s="7" t="s">
        <v>10</v>
      </c>
      <c r="S513" s="1" t="s">
        <v>20</v>
      </c>
      <c r="U513" s="24">
        <f>+M513</f>
        <v>33.690067525979785</v>
      </c>
      <c r="V513" s="24"/>
      <c r="W513" s="1" t="s">
        <v>23</v>
      </c>
      <c r="X513" s="24">
        <f>+X512</f>
        <v>25</v>
      </c>
      <c r="Y513" s="24"/>
      <c r="Z513" s="7" t="s">
        <v>10</v>
      </c>
      <c r="AA513" s="24">
        <f>+AA512</f>
        <v>3</v>
      </c>
      <c r="AB513" s="24"/>
      <c r="AC513" s="7" t="s">
        <v>10</v>
      </c>
      <c r="AD513" s="1" t="s">
        <v>21</v>
      </c>
      <c r="AF513" s="24">
        <f>+U513</f>
        <v>33.690067525979785</v>
      </c>
      <c r="AG513" s="24"/>
      <c r="AH513" s="1" t="s">
        <v>24</v>
      </c>
      <c r="AI513" s="24">
        <f>H513*COS(M513*PI()/180)+P513*SIN(U513*PI()/180)+X513*AA513*COS(AF513*PI()/180)</f>
        <v>-1.6641005886756943</v>
      </c>
      <c r="AJ513" s="24"/>
      <c r="AK513" s="1" t="s">
        <v>0</v>
      </c>
      <c r="BJ513" s="3"/>
    </row>
    <row r="514" spans="2:62" ht="11.25" customHeight="1">
      <c r="B514" s="2"/>
      <c r="F514" s="1" t="s">
        <v>36</v>
      </c>
      <c r="H514" s="24">
        <f>+AH491</f>
        <v>144.66666666666669</v>
      </c>
      <c r="I514" s="24"/>
      <c r="J514" s="7" t="s">
        <v>10</v>
      </c>
      <c r="K514" s="24">
        <f>+AF492</f>
        <v>3</v>
      </c>
      <c r="L514" s="24"/>
      <c r="M514" s="7" t="s">
        <v>9</v>
      </c>
      <c r="N514" s="24">
        <f>+AL486</f>
        <v>101.50000000000003</v>
      </c>
      <c r="O514" s="24"/>
      <c r="P514" s="7" t="s">
        <v>10</v>
      </c>
      <c r="Q514" s="24">
        <f>+AO481</f>
        <v>3</v>
      </c>
      <c r="R514" s="24"/>
      <c r="S514" s="7" t="s">
        <v>9</v>
      </c>
      <c r="T514" s="24">
        <f>+AB471</f>
        <v>25</v>
      </c>
      <c r="U514" s="24"/>
      <c r="V514" s="7" t="s">
        <v>10</v>
      </c>
      <c r="W514" s="24">
        <f>+AF492</f>
        <v>3</v>
      </c>
      <c r="X514" s="24"/>
      <c r="Y514" s="7" t="s">
        <v>10</v>
      </c>
      <c r="Z514" s="24">
        <f>+W514/2</f>
        <v>1.5</v>
      </c>
      <c r="AA514" s="24"/>
      <c r="AB514" s="7" t="s">
        <v>12</v>
      </c>
      <c r="AC514" s="24">
        <f>H514*K514-N514*Q514-T514*W514*Z514</f>
        <v>16.999999999999943</v>
      </c>
      <c r="AD514" s="24"/>
      <c r="AE514" s="1" t="s">
        <v>27</v>
      </c>
      <c r="BJ514" s="3"/>
    </row>
    <row r="515" spans="2:62" ht="11.25" customHeight="1">
      <c r="B515" s="2"/>
      <c r="F515" s="1" t="s">
        <v>31</v>
      </c>
      <c r="H515" s="24">
        <f>-AH491</f>
        <v>-144.66666666666669</v>
      </c>
      <c r="I515" s="24"/>
      <c r="J515" s="7" t="s">
        <v>10</v>
      </c>
      <c r="K515" s="1" t="s">
        <v>20</v>
      </c>
      <c r="M515" s="24">
        <f>+AA502</f>
        <v>33.690067525979785</v>
      </c>
      <c r="N515" s="24"/>
      <c r="O515" s="1" t="s">
        <v>22</v>
      </c>
      <c r="P515" s="24">
        <f>+AL486</f>
        <v>101.50000000000003</v>
      </c>
      <c r="Q515" s="24"/>
      <c r="R515" s="7" t="s">
        <v>10</v>
      </c>
      <c r="S515" s="1" t="s">
        <v>21</v>
      </c>
      <c r="U515" s="24">
        <f>+M515</f>
        <v>33.690067525979785</v>
      </c>
      <c r="V515" s="24"/>
      <c r="W515" s="1" t="s">
        <v>23</v>
      </c>
      <c r="X515" s="24">
        <f>+AB471</f>
        <v>25</v>
      </c>
      <c r="Y515" s="24"/>
      <c r="Z515" s="7" t="s">
        <v>10</v>
      </c>
      <c r="AA515" s="24">
        <f>+AF492</f>
        <v>3</v>
      </c>
      <c r="AB515" s="24"/>
      <c r="AC515" s="7" t="s">
        <v>10</v>
      </c>
      <c r="AD515" s="1" t="s">
        <v>20</v>
      </c>
      <c r="AF515" s="24">
        <f>+U515</f>
        <v>33.690067525979785</v>
      </c>
      <c r="AG515" s="24"/>
      <c r="AH515" s="1" t="s">
        <v>23</v>
      </c>
      <c r="AI515" s="24">
        <f>+AD475</f>
        <v>4</v>
      </c>
      <c r="AJ515" s="24"/>
      <c r="AK515" s="7" t="s">
        <v>10</v>
      </c>
      <c r="AL515" s="1" t="s">
        <v>20</v>
      </c>
      <c r="AN515" s="24">
        <f>+AF515</f>
        <v>33.690067525979785</v>
      </c>
      <c r="AO515" s="24"/>
      <c r="AP515" s="1" t="s">
        <v>24</v>
      </c>
      <c r="AQ515" s="24">
        <f>H515*SIN(M515*PI()/180)-P515*COS(U515*PI()/180)+X515*AA515*SIN(AF515*PI()/180)+AI515*SIN(AN515*PI()/180)</f>
        <v>-120.87841776074787</v>
      </c>
      <c r="AR515" s="24"/>
      <c r="AS515" s="1" t="s">
        <v>0</v>
      </c>
      <c r="BJ515" s="3"/>
    </row>
    <row r="516" spans="2:62" ht="11.25" customHeight="1">
      <c r="B516" s="2"/>
      <c r="F516" s="1" t="s">
        <v>32</v>
      </c>
      <c r="H516" s="24">
        <f>-AH491</f>
        <v>-144.66666666666669</v>
      </c>
      <c r="I516" s="24"/>
      <c r="J516" s="7" t="s">
        <v>10</v>
      </c>
      <c r="K516" s="1" t="s">
        <v>21</v>
      </c>
      <c r="M516" s="24">
        <f>+M515</f>
        <v>33.690067525979785</v>
      </c>
      <c r="N516" s="24"/>
      <c r="O516" s="1" t="s">
        <v>23</v>
      </c>
      <c r="P516" s="24">
        <f>+AL486</f>
        <v>101.50000000000003</v>
      </c>
      <c r="Q516" s="24"/>
      <c r="R516" s="7" t="s">
        <v>10</v>
      </c>
      <c r="S516" s="1" t="s">
        <v>20</v>
      </c>
      <c r="U516" s="24">
        <f>+M516</f>
        <v>33.690067525979785</v>
      </c>
      <c r="V516" s="24"/>
      <c r="W516" s="1" t="s">
        <v>23</v>
      </c>
      <c r="X516" s="24">
        <f>+X515</f>
        <v>25</v>
      </c>
      <c r="Y516" s="24"/>
      <c r="Z516" s="7" t="s">
        <v>10</v>
      </c>
      <c r="AA516" s="24">
        <f>+AA515</f>
        <v>3</v>
      </c>
      <c r="AB516" s="24"/>
      <c r="AC516" s="7" t="s">
        <v>10</v>
      </c>
      <c r="AD516" s="1" t="s">
        <v>21</v>
      </c>
      <c r="AF516" s="24">
        <f>+U516</f>
        <v>33.690067525979785</v>
      </c>
      <c r="AG516" s="24"/>
      <c r="AH516" s="1" t="s">
        <v>23</v>
      </c>
      <c r="AI516" s="24">
        <f>+AI515</f>
        <v>4</v>
      </c>
      <c r="AJ516" s="24"/>
      <c r="AK516" s="7" t="s">
        <v>10</v>
      </c>
      <c r="AL516" s="1" t="s">
        <v>21</v>
      </c>
      <c r="AN516" s="24">
        <f>+AF516</f>
        <v>33.690067525979785</v>
      </c>
      <c r="AO516" s="24"/>
      <c r="AP516" s="1" t="s">
        <v>24</v>
      </c>
      <c r="AQ516" s="24">
        <f>H516*COS(M516*PI()/180)+P516*SIN(U516*PI()/180)+X516*AA516*COS(AF516*PI()/180)+AI516*COS(AN516*PI()/180)</f>
        <v>1.6641005886756806</v>
      </c>
      <c r="AR516" s="24"/>
      <c r="AS516" s="1" t="s">
        <v>0</v>
      </c>
      <c r="BJ516" s="3"/>
    </row>
    <row r="517" spans="2:62" ht="11.25" customHeight="1">
      <c r="B517" s="2"/>
      <c r="F517" s="1" t="s">
        <v>37</v>
      </c>
      <c r="J517" s="24">
        <f>+AC514</f>
        <v>16.999999999999943</v>
      </c>
      <c r="K517" s="24"/>
      <c r="L517" s="1" t="s">
        <v>27</v>
      </c>
      <c r="BJ517" s="3"/>
    </row>
    <row r="518" spans="2:62" ht="11.25" customHeight="1">
      <c r="B518" s="2"/>
      <c r="BJ518" s="3"/>
    </row>
    <row r="519" spans="2:62" ht="11.25" customHeight="1">
      <c r="B519" s="2"/>
      <c r="BJ519" s="3"/>
    </row>
    <row r="520" spans="2:62" ht="11.25" customHeight="1">
      <c r="B520" s="2"/>
      <c r="D520" s="12" t="s">
        <v>55</v>
      </c>
      <c r="BJ520" s="3"/>
    </row>
    <row r="521" spans="2:62" ht="11.25" customHeight="1">
      <c r="B521" s="2"/>
      <c r="M521" s="34">
        <v>15</v>
      </c>
      <c r="N521" s="34"/>
      <c r="O521" s="1" t="s">
        <v>3</v>
      </c>
      <c r="Y521" s="34">
        <v>25</v>
      </c>
      <c r="Z521" s="34"/>
      <c r="AA521" s="1" t="s">
        <v>3</v>
      </c>
      <c r="BJ521" s="3"/>
    </row>
    <row r="522" spans="2:62" ht="11.25" customHeight="1">
      <c r="B522" s="2"/>
      <c r="BJ522" s="3"/>
    </row>
    <row r="523" spans="2:62" ht="11.25" customHeight="1">
      <c r="B523" s="2"/>
      <c r="BJ523" s="3"/>
    </row>
    <row r="524" spans="2:62" ht="11.25" customHeight="1">
      <c r="B524" s="2"/>
      <c r="D524" s="5" t="s">
        <v>1</v>
      </c>
      <c r="T524" s="1" t="s">
        <v>18</v>
      </c>
      <c r="AL524" s="5" t="s">
        <v>1</v>
      </c>
      <c r="BJ524" s="3"/>
    </row>
    <row r="525" spans="2:62" ht="11.25" customHeight="1">
      <c r="B525" s="2"/>
      <c r="D525" s="37">
        <f>+AN529-D531</f>
        <v>1</v>
      </c>
      <c r="AA525" s="34">
        <v>15</v>
      </c>
      <c r="AB525" s="34"/>
      <c r="AC525" s="1" t="s">
        <v>0</v>
      </c>
      <c r="AL525" s="37">
        <f>+AN529-AL531</f>
        <v>1</v>
      </c>
      <c r="BJ525" s="3"/>
    </row>
    <row r="526" spans="2:62" ht="11.25" customHeight="1">
      <c r="B526" s="2"/>
      <c r="D526" s="37"/>
      <c r="AL526" s="37"/>
      <c r="BJ526" s="3"/>
    </row>
    <row r="527" spans="2:62" ht="11.25" customHeight="1">
      <c r="B527" s="2"/>
      <c r="D527" s="37"/>
      <c r="M527" s="1" t="s">
        <v>17</v>
      </c>
      <c r="AB527" s="6" t="s">
        <v>30</v>
      </c>
      <c r="AL527" s="37"/>
      <c r="BJ527" s="3"/>
    </row>
    <row r="528" spans="2:62" ht="11.25" customHeight="1">
      <c r="B528" s="2"/>
      <c r="AN528" s="5" t="s">
        <v>1</v>
      </c>
      <c r="BJ528" s="3"/>
    </row>
    <row r="529" spans="2:62" ht="11.25" customHeight="1">
      <c r="B529" s="2"/>
      <c r="AN529" s="38">
        <v>4</v>
      </c>
      <c r="BJ529" s="3"/>
    </row>
    <row r="530" spans="2:62" ht="11.25" customHeight="1">
      <c r="B530" s="2"/>
      <c r="D530" s="5" t="s">
        <v>1</v>
      </c>
      <c r="AL530" s="5" t="s">
        <v>1</v>
      </c>
      <c r="AN530" s="38"/>
      <c r="BJ530" s="3"/>
    </row>
    <row r="531" spans="2:62" ht="11.25" customHeight="1">
      <c r="B531" s="2"/>
      <c r="D531" s="37">
        <f>+Y547</f>
        <v>3</v>
      </c>
      <c r="I531" s="1" t="s">
        <v>58</v>
      </c>
      <c r="AL531" s="37">
        <f>+Y548</f>
        <v>3</v>
      </c>
      <c r="AN531" s="38"/>
      <c r="BJ531" s="3"/>
    </row>
    <row r="532" spans="2:62" ht="11.25" customHeight="1">
      <c r="B532" s="2"/>
      <c r="D532" s="37"/>
      <c r="AL532" s="37"/>
      <c r="AN532" s="37" t="s">
        <v>42</v>
      </c>
      <c r="BJ532" s="3"/>
    </row>
    <row r="533" spans="2:62" ht="11.25" customHeight="1">
      <c r="B533" s="2"/>
      <c r="D533" s="37"/>
      <c r="AL533" s="37"/>
      <c r="AN533" s="37"/>
      <c r="BJ533" s="3"/>
    </row>
    <row r="534" spans="2:62" ht="11.25" customHeight="1">
      <c r="B534" s="2"/>
      <c r="BJ534" s="3"/>
    </row>
    <row r="535" spans="2:62" ht="11.25" customHeight="1">
      <c r="B535" s="2"/>
      <c r="BJ535" s="3"/>
    </row>
    <row r="536" spans="2:62" ht="11.25" customHeight="1">
      <c r="B536" s="2"/>
      <c r="D536" s="1" t="s">
        <v>5</v>
      </c>
      <c r="F536" s="24">
        <f>+AF556</f>
        <v>95.625</v>
      </c>
      <c r="G536" s="24"/>
      <c r="H536" s="1" t="s">
        <v>0</v>
      </c>
      <c r="L536" s="1" t="s">
        <v>48</v>
      </c>
      <c r="AE536" s="1" t="s">
        <v>33</v>
      </c>
      <c r="AG536" s="1" t="s">
        <v>6</v>
      </c>
      <c r="AI536" s="24">
        <f>+AL557</f>
        <v>95.625</v>
      </c>
      <c r="AJ536" s="24"/>
      <c r="AK536" s="1" t="s">
        <v>0</v>
      </c>
      <c r="BJ536" s="3"/>
    </row>
    <row r="537" spans="2:62" ht="11.25" customHeight="1">
      <c r="B537" s="2"/>
      <c r="BJ537" s="3"/>
    </row>
    <row r="538" spans="2:62" ht="11.25" customHeight="1">
      <c r="B538" s="2"/>
      <c r="BJ538" s="3"/>
    </row>
    <row r="539" spans="2:62" ht="11.25" customHeight="1">
      <c r="B539" s="2"/>
      <c r="BJ539" s="3"/>
    </row>
    <row r="540" spans="2:62" ht="11.25" customHeight="1">
      <c r="B540" s="2"/>
      <c r="BJ540" s="3"/>
    </row>
    <row r="541" spans="2:62" ht="11.25" customHeight="1">
      <c r="B541" s="2"/>
      <c r="F541" s="1" t="s">
        <v>4</v>
      </c>
      <c r="H541" s="24">
        <f>+AO554</f>
        <v>108.75</v>
      </c>
      <c r="I541" s="24"/>
      <c r="J541" s="1" t="s">
        <v>0</v>
      </c>
      <c r="AC541" s="1" t="s">
        <v>7</v>
      </c>
      <c r="AE541" s="24">
        <f>+AF555</f>
        <v>146.25</v>
      </c>
      <c r="AF541" s="24"/>
      <c r="AG541" s="1" t="s">
        <v>0</v>
      </c>
      <c r="BJ541" s="3"/>
    </row>
    <row r="542" spans="2:62" ht="11.25" customHeight="1">
      <c r="B542" s="2"/>
      <c r="J542" s="34">
        <v>3</v>
      </c>
      <c r="K542" s="34"/>
      <c r="L542" s="1" t="s">
        <v>1</v>
      </c>
      <c r="Q542" s="24">
        <f>+T544/2-J542</f>
        <v>3</v>
      </c>
      <c r="R542" s="24"/>
      <c r="S542" s="1" t="s">
        <v>1</v>
      </c>
      <c r="W542" s="24">
        <f>+T544/2-AC542</f>
        <v>3</v>
      </c>
      <c r="X542" s="24"/>
      <c r="Y542" s="1" t="s">
        <v>1</v>
      </c>
      <c r="AC542" s="34">
        <v>3</v>
      </c>
      <c r="AD542" s="34"/>
      <c r="AE542" s="1" t="s">
        <v>1</v>
      </c>
      <c r="BJ542" s="3"/>
    </row>
    <row r="543" spans="2:62" ht="11.25" customHeight="1">
      <c r="B543" s="2"/>
      <c r="BJ543" s="3"/>
    </row>
    <row r="544" spans="2:62" ht="11.25" customHeight="1">
      <c r="B544" s="2"/>
      <c r="S544" s="1" t="s">
        <v>43</v>
      </c>
      <c r="T544" s="34">
        <v>12</v>
      </c>
      <c r="U544" s="34"/>
      <c r="V544" s="1" t="s">
        <v>1</v>
      </c>
      <c r="BJ544" s="3"/>
    </row>
    <row r="545" spans="2:62" ht="11.25" customHeight="1">
      <c r="B545" s="2"/>
      <c r="BJ545" s="3"/>
    </row>
    <row r="546" spans="2:62" ht="11.25" customHeight="1">
      <c r="B546" s="2"/>
      <c r="F546" s="1" t="s">
        <v>40</v>
      </c>
      <c r="BJ546" s="3"/>
    </row>
    <row r="547" spans="2:62" ht="11.25" customHeight="1">
      <c r="B547" s="2"/>
      <c r="F547" s="1" t="s">
        <v>41</v>
      </c>
      <c r="H547" s="1">
        <v>4</v>
      </c>
      <c r="I547" s="7" t="s">
        <v>10</v>
      </c>
      <c r="J547" s="24">
        <f>+AN529</f>
        <v>4</v>
      </c>
      <c r="K547" s="24"/>
      <c r="L547" s="7" t="s">
        <v>10</v>
      </c>
      <c r="M547" s="24">
        <f>+J542</f>
        <v>3</v>
      </c>
      <c r="N547" s="24"/>
      <c r="O547" s="1" t="s">
        <v>44</v>
      </c>
      <c r="P547" s="24">
        <f>+T544</f>
        <v>12</v>
      </c>
      <c r="Q547" s="24"/>
      <c r="R547" s="7" t="s">
        <v>9</v>
      </c>
      <c r="S547" s="24">
        <f>+M547</f>
        <v>3</v>
      </c>
      <c r="T547" s="24"/>
      <c r="U547" s="1" t="s">
        <v>45</v>
      </c>
      <c r="V547" s="24">
        <f>+P547</f>
        <v>12</v>
      </c>
      <c r="W547" s="24"/>
      <c r="X547" s="1" t="s">
        <v>46</v>
      </c>
      <c r="Y547" s="24">
        <f>H547*J547*M547*(P547-S547)/V547^2</f>
        <v>3</v>
      </c>
      <c r="Z547" s="24"/>
      <c r="AA547" s="1" t="s">
        <v>1</v>
      </c>
      <c r="BJ547" s="3"/>
    </row>
    <row r="548" spans="2:62" ht="11.25" customHeight="1">
      <c r="B548" s="2"/>
      <c r="F548" s="1" t="s">
        <v>41</v>
      </c>
      <c r="H548" s="1">
        <v>4</v>
      </c>
      <c r="I548" s="7" t="s">
        <v>10</v>
      </c>
      <c r="J548" s="24">
        <f>+J547</f>
        <v>4</v>
      </c>
      <c r="K548" s="24"/>
      <c r="L548" s="7" t="s">
        <v>10</v>
      </c>
      <c r="M548" s="24">
        <f>+J542+Q542+W542</f>
        <v>9</v>
      </c>
      <c r="N548" s="24"/>
      <c r="O548" s="1" t="s">
        <v>44</v>
      </c>
      <c r="P548" s="24">
        <f>+P547</f>
        <v>12</v>
      </c>
      <c r="Q548" s="24"/>
      <c r="R548" s="7" t="s">
        <v>9</v>
      </c>
      <c r="S548" s="24">
        <f>+M548</f>
        <v>9</v>
      </c>
      <c r="T548" s="24"/>
      <c r="U548" s="1" t="s">
        <v>45</v>
      </c>
      <c r="V548" s="24">
        <f>+P548</f>
        <v>12</v>
      </c>
      <c r="W548" s="24"/>
      <c r="X548" s="1" t="s">
        <v>46</v>
      </c>
      <c r="Y548" s="24">
        <f>H548*J548*M548*(P548-S548)/V548^2</f>
        <v>3</v>
      </c>
      <c r="Z548" s="24"/>
      <c r="AA548" s="1" t="s">
        <v>1</v>
      </c>
      <c r="BJ548" s="3"/>
    </row>
    <row r="549" spans="2:62" ht="11.25" customHeight="1">
      <c r="B549" s="2"/>
      <c r="F549" s="1" t="s">
        <v>47</v>
      </c>
      <c r="N549" s="1">
        <v>4</v>
      </c>
      <c r="O549" s="7" t="s">
        <v>10</v>
      </c>
      <c r="P549" s="24">
        <f>+AN529</f>
        <v>4</v>
      </c>
      <c r="Q549" s="24"/>
      <c r="R549" s="7" t="s">
        <v>10</v>
      </c>
      <c r="S549" s="7" t="s">
        <v>48</v>
      </c>
      <c r="T549" s="1" t="s">
        <v>44</v>
      </c>
      <c r="U549" s="24">
        <f>+T544</f>
        <v>12</v>
      </c>
      <c r="V549" s="24"/>
      <c r="W549" s="7" t="s">
        <v>9</v>
      </c>
      <c r="X549" s="7" t="s">
        <v>48</v>
      </c>
      <c r="Y549" s="1" t="s">
        <v>45</v>
      </c>
      <c r="Z549" s="24">
        <f>+U549</f>
        <v>12</v>
      </c>
      <c r="AA549" s="24"/>
      <c r="AB549" s="1" t="s">
        <v>46</v>
      </c>
      <c r="AC549" s="24">
        <f>+N549*P549/Z549^2</f>
        <v>0.1111111111111111</v>
      </c>
      <c r="AD549" s="24"/>
      <c r="AE549" s="7" t="s">
        <v>10</v>
      </c>
      <c r="AF549" s="7" t="s">
        <v>48</v>
      </c>
      <c r="AG549" s="1" t="s">
        <v>44</v>
      </c>
      <c r="AH549" s="24">
        <f>+U549</f>
        <v>12</v>
      </c>
      <c r="AI549" s="24"/>
      <c r="AJ549" s="7" t="s">
        <v>9</v>
      </c>
      <c r="AK549" s="7" t="s">
        <v>48</v>
      </c>
      <c r="AL549" s="1" t="s">
        <v>49</v>
      </c>
      <c r="BJ549" s="3"/>
    </row>
    <row r="550" spans="2:62" ht="11.25" customHeight="1">
      <c r="B550" s="2"/>
      <c r="F550" s="1" t="s">
        <v>50</v>
      </c>
      <c r="J550" s="24">
        <f>+AC549</f>
        <v>0.1111111111111111</v>
      </c>
      <c r="K550" s="24"/>
      <c r="L550" s="7" t="s">
        <v>44</v>
      </c>
      <c r="M550" s="24">
        <f>+AH549</f>
        <v>12</v>
      </c>
      <c r="N550" s="24"/>
      <c r="O550" s="7" t="s">
        <v>9</v>
      </c>
      <c r="P550" s="1">
        <v>2</v>
      </c>
      <c r="Q550" s="7" t="s">
        <v>10</v>
      </c>
      <c r="R550" s="7" t="s">
        <v>48</v>
      </c>
      <c r="S550" s="1" t="s">
        <v>49</v>
      </c>
      <c r="AO550" s="7"/>
      <c r="BJ550" s="3"/>
    </row>
    <row r="551" spans="2:62" ht="11.25" customHeight="1">
      <c r="B551" s="2"/>
      <c r="F551" s="1" t="s">
        <v>51</v>
      </c>
      <c r="I551" s="24">
        <f>+J550</f>
        <v>0.1111111111111111</v>
      </c>
      <c r="J551" s="24"/>
      <c r="K551" s="1" t="s">
        <v>44</v>
      </c>
      <c r="L551" s="24">
        <f>+M550</f>
        <v>12</v>
      </c>
      <c r="M551" s="24"/>
      <c r="N551" s="7" t="s">
        <v>9</v>
      </c>
      <c r="O551" s="1">
        <v>2</v>
      </c>
      <c r="P551" s="7" t="s">
        <v>10</v>
      </c>
      <c r="Q551" s="24">
        <f>+J542</f>
        <v>3</v>
      </c>
      <c r="R551" s="24"/>
      <c r="S551" s="1" t="s">
        <v>24</v>
      </c>
      <c r="T551" s="24">
        <f>+I551*(L551-O551*Q551)</f>
        <v>0.66666666666666663</v>
      </c>
      <c r="U551" s="24"/>
      <c r="Y551" s="9" t="s">
        <v>52</v>
      </c>
      <c r="AA551" s="24">
        <f>ATAN(T551)*180/PI()</f>
        <v>33.690067525979785</v>
      </c>
      <c r="AB551" s="24"/>
      <c r="AC551" s="8" t="s">
        <v>8</v>
      </c>
      <c r="BJ551" s="3"/>
    </row>
    <row r="552" spans="2:62" ht="11.25" customHeight="1">
      <c r="B552" s="2"/>
      <c r="F552" s="1" t="s">
        <v>53</v>
      </c>
      <c r="I552" s="24">
        <f>+I551</f>
        <v>0.1111111111111111</v>
      </c>
      <c r="J552" s="24"/>
      <c r="K552" s="1" t="s">
        <v>44</v>
      </c>
      <c r="L552" s="24">
        <f>+L551</f>
        <v>12</v>
      </c>
      <c r="M552" s="24"/>
      <c r="N552" s="7" t="s">
        <v>9</v>
      </c>
      <c r="O552" s="1">
        <v>2</v>
      </c>
      <c r="P552" s="7" t="s">
        <v>10</v>
      </c>
      <c r="Q552" s="24">
        <f>+J542+Q542+W542</f>
        <v>9</v>
      </c>
      <c r="R552" s="24"/>
      <c r="S552" s="1" t="s">
        <v>24</v>
      </c>
      <c r="T552" s="24">
        <f>+I552*(L552-O552*Q552)</f>
        <v>-0.66666666666666663</v>
      </c>
      <c r="U552" s="24"/>
      <c r="Y552" s="9" t="s">
        <v>54</v>
      </c>
      <c r="AA552" s="24">
        <f>-ATAN(T552)*180/PI()</f>
        <v>33.690067525979785</v>
      </c>
      <c r="AB552" s="24"/>
      <c r="AC552" s="8" t="s">
        <v>8</v>
      </c>
      <c r="BJ552" s="3"/>
    </row>
    <row r="553" spans="2:62" ht="11.25" customHeight="1">
      <c r="B553" s="2"/>
      <c r="F553" s="4" t="s">
        <v>28</v>
      </c>
      <c r="BJ553" s="3"/>
    </row>
    <row r="554" spans="2:62" ht="11.25" customHeight="1">
      <c r="B554" s="2"/>
      <c r="F554" s="1" t="s">
        <v>11</v>
      </c>
      <c r="H554" s="24">
        <f>+T544</f>
        <v>12</v>
      </c>
      <c r="I554" s="24"/>
      <c r="J554" s="7" t="s">
        <v>9</v>
      </c>
      <c r="K554" s="24">
        <f>+M521</f>
        <v>15</v>
      </c>
      <c r="L554" s="24"/>
      <c r="M554" s="7" t="s">
        <v>10</v>
      </c>
      <c r="N554" s="24">
        <f>+T544/2</f>
        <v>6</v>
      </c>
      <c r="O554" s="24"/>
      <c r="P554" s="7" t="s">
        <v>10</v>
      </c>
      <c r="Q554" s="24">
        <f>+T544/2+T544/2/2</f>
        <v>9</v>
      </c>
      <c r="R554" s="24"/>
      <c r="S554" s="7" t="s">
        <v>9</v>
      </c>
      <c r="T554" s="24">
        <f>+Y521</f>
        <v>25</v>
      </c>
      <c r="U554" s="24"/>
      <c r="V554" s="7" t="s">
        <v>10</v>
      </c>
      <c r="W554" s="24">
        <f>+T544/2</f>
        <v>6</v>
      </c>
      <c r="X554" s="24"/>
      <c r="Y554" s="7" t="s">
        <v>10</v>
      </c>
      <c r="Z554" s="24">
        <f>+W554/2</f>
        <v>3</v>
      </c>
      <c r="AA554" s="24"/>
      <c r="AB554" s="7" t="s">
        <v>9</v>
      </c>
      <c r="AC554" s="24">
        <f>+AA525</f>
        <v>15</v>
      </c>
      <c r="AD554" s="24"/>
      <c r="AE554" s="7" t="s">
        <v>10</v>
      </c>
      <c r="AF554" s="24">
        <f>+AC542</f>
        <v>3</v>
      </c>
      <c r="AG554" s="24"/>
      <c r="AH554" s="7" t="s">
        <v>12</v>
      </c>
      <c r="AI554" s="1">
        <v>0</v>
      </c>
      <c r="AM554" s="1" t="s">
        <v>4</v>
      </c>
      <c r="AO554" s="24">
        <f>(K554*N554*Q554+T554*W554*Z554+AC554*AF554)/H554</f>
        <v>108.75</v>
      </c>
      <c r="AP554" s="24"/>
      <c r="AQ554" s="1" t="s">
        <v>0</v>
      </c>
      <c r="BJ554" s="3"/>
    </row>
    <row r="555" spans="2:62" ht="11.25" customHeight="1">
      <c r="B555" s="2"/>
      <c r="F555" s="1" t="s">
        <v>13</v>
      </c>
      <c r="H555" s="24">
        <f>+H541</f>
        <v>108.75</v>
      </c>
      <c r="I555" s="24"/>
      <c r="J555" s="7" t="s">
        <v>9</v>
      </c>
      <c r="K555" s="24">
        <f>+M521</f>
        <v>15</v>
      </c>
      <c r="L555" s="24"/>
      <c r="M555" s="7" t="s">
        <v>10</v>
      </c>
      <c r="N555" s="24">
        <f>+T544/2</f>
        <v>6</v>
      </c>
      <c r="O555" s="24"/>
      <c r="P555" s="7" t="s">
        <v>9</v>
      </c>
      <c r="Q555" s="24">
        <f>+Y521</f>
        <v>25</v>
      </c>
      <c r="R555" s="24"/>
      <c r="S555" s="7" t="s">
        <v>10</v>
      </c>
      <c r="T555" s="24">
        <f>+T544/2</f>
        <v>6</v>
      </c>
      <c r="U555" s="24"/>
      <c r="V555" s="7" t="s">
        <v>9</v>
      </c>
      <c r="W555" s="24">
        <f>+AA525</f>
        <v>15</v>
      </c>
      <c r="X555" s="24"/>
      <c r="Y555" s="7" t="s">
        <v>12</v>
      </c>
      <c r="Z555" s="1">
        <v>0</v>
      </c>
      <c r="AD555" s="1" t="s">
        <v>7</v>
      </c>
      <c r="AF555" s="24">
        <f>+K555*N555+Q555*T555+W555-H555</f>
        <v>146.25</v>
      </c>
      <c r="AG555" s="24"/>
      <c r="AH555" s="1" t="s">
        <v>0</v>
      </c>
      <c r="BJ555" s="3"/>
    </row>
    <row r="556" spans="2:62" ht="11.25" customHeight="1">
      <c r="B556" s="2"/>
      <c r="F556" s="1" t="s">
        <v>14</v>
      </c>
      <c r="H556" s="24">
        <f>+AN529</f>
        <v>4</v>
      </c>
      <c r="I556" s="24"/>
      <c r="J556" s="7" t="s">
        <v>9</v>
      </c>
      <c r="K556" s="24">
        <f>+H541</f>
        <v>108.75</v>
      </c>
      <c r="L556" s="24"/>
      <c r="M556" s="7" t="s">
        <v>10</v>
      </c>
      <c r="N556" s="24">
        <f>+T544/2</f>
        <v>6</v>
      </c>
      <c r="O556" s="24"/>
      <c r="P556" s="7" t="s">
        <v>15</v>
      </c>
      <c r="Q556" s="24">
        <f>+M521</f>
        <v>15</v>
      </c>
      <c r="R556" s="24"/>
      <c r="S556" s="7" t="s">
        <v>10</v>
      </c>
      <c r="T556" s="24">
        <f>+T544/2</f>
        <v>6</v>
      </c>
      <c r="U556" s="24"/>
      <c r="V556" s="7" t="s">
        <v>10</v>
      </c>
      <c r="W556" s="24">
        <f>+T556/2</f>
        <v>3</v>
      </c>
      <c r="X556" s="24"/>
      <c r="Y556" s="7" t="s">
        <v>12</v>
      </c>
      <c r="Z556" s="1">
        <v>0</v>
      </c>
      <c r="AD556" s="1" t="s">
        <v>5</v>
      </c>
      <c r="AF556" s="24">
        <f>(K556*N556-Q556*T556*W556)/H556</f>
        <v>95.625</v>
      </c>
      <c r="AG556" s="24"/>
      <c r="AH556" s="1" t="s">
        <v>0</v>
      </c>
      <c r="BJ556" s="3"/>
    </row>
    <row r="557" spans="2:62" ht="11.25" customHeight="1">
      <c r="B557" s="2"/>
      <c r="F557" s="1" t="s">
        <v>16</v>
      </c>
      <c r="H557" s="24">
        <f>+AN529</f>
        <v>4</v>
      </c>
      <c r="I557" s="24"/>
      <c r="J557" s="7" t="s">
        <v>9</v>
      </c>
      <c r="K557" s="24">
        <f>+AE541</f>
        <v>146.25</v>
      </c>
      <c r="L557" s="24"/>
      <c r="M557" s="7" t="s">
        <v>10</v>
      </c>
      <c r="N557" s="24">
        <f>+T544/2</f>
        <v>6</v>
      </c>
      <c r="O557" s="24"/>
      <c r="P557" s="7" t="s">
        <v>15</v>
      </c>
      <c r="Q557" s="24">
        <f>+Y521</f>
        <v>25</v>
      </c>
      <c r="R557" s="24"/>
      <c r="S557" s="7" t="s">
        <v>10</v>
      </c>
      <c r="T557" s="24">
        <f>+T544/2</f>
        <v>6</v>
      </c>
      <c r="U557" s="24"/>
      <c r="V557" s="7" t="s">
        <v>10</v>
      </c>
      <c r="W557" s="24">
        <f>+T557/2</f>
        <v>3</v>
      </c>
      <c r="X557" s="24"/>
      <c r="Y557" s="7" t="s">
        <v>15</v>
      </c>
      <c r="Z557" s="24">
        <f>+AA525</f>
        <v>15</v>
      </c>
      <c r="AA557" s="24"/>
      <c r="AB557" s="7" t="s">
        <v>10</v>
      </c>
      <c r="AC557" s="24">
        <f>+W542</f>
        <v>3</v>
      </c>
      <c r="AD557" s="24"/>
      <c r="AE557" s="7" t="s">
        <v>12</v>
      </c>
      <c r="AF557" s="1">
        <v>0</v>
      </c>
      <c r="AJ557" s="1" t="s">
        <v>6</v>
      </c>
      <c r="AL557" s="24">
        <f>(K557*N557-Q557*T557*W557-Z557*AC557)/H557</f>
        <v>95.625</v>
      </c>
      <c r="AM557" s="24"/>
      <c r="AN557" s="1" t="s">
        <v>0</v>
      </c>
      <c r="BJ557" s="3"/>
    </row>
    <row r="558" spans="2:62" ht="11.25" customHeight="1">
      <c r="B558" s="2"/>
      <c r="F558" s="4" t="s">
        <v>29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L558" s="7"/>
      <c r="AM558" s="7"/>
      <c r="BJ558" s="3"/>
    </row>
    <row r="559" spans="2:62" ht="11.25" customHeight="1">
      <c r="B559" s="2"/>
      <c r="F559" s="1" t="s">
        <v>19</v>
      </c>
      <c r="H559" s="24">
        <f>-H541</f>
        <v>-108.75</v>
      </c>
      <c r="I559" s="24"/>
      <c r="J559" s="7" t="s">
        <v>10</v>
      </c>
      <c r="K559" s="1" t="s">
        <v>20</v>
      </c>
      <c r="M559" s="24">
        <f>+AA551</f>
        <v>33.690067525979785</v>
      </c>
      <c r="N559" s="24"/>
      <c r="O559" s="1" t="s">
        <v>22</v>
      </c>
      <c r="P559" s="24">
        <f>+F536</f>
        <v>95.625</v>
      </c>
      <c r="Q559" s="24"/>
      <c r="R559" s="7" t="s">
        <v>10</v>
      </c>
      <c r="S559" s="1" t="s">
        <v>21</v>
      </c>
      <c r="U559" s="24">
        <f>+M559</f>
        <v>33.690067525979785</v>
      </c>
      <c r="V559" s="24"/>
      <c r="W559" s="1" t="s">
        <v>23</v>
      </c>
      <c r="X559" s="24">
        <f>+M521</f>
        <v>15</v>
      </c>
      <c r="Y559" s="24"/>
      <c r="Z559" s="7" t="s">
        <v>10</v>
      </c>
      <c r="AA559" s="24">
        <f>+J542</f>
        <v>3</v>
      </c>
      <c r="AB559" s="24"/>
      <c r="AC559" s="7" t="s">
        <v>10</v>
      </c>
      <c r="AD559" s="1" t="s">
        <v>20</v>
      </c>
      <c r="AF559" s="24">
        <f>+U559</f>
        <v>33.690067525979785</v>
      </c>
      <c r="AG559" s="24"/>
      <c r="AH559" s="1" t="s">
        <v>24</v>
      </c>
      <c r="AI559" s="24">
        <f>H559*SIN(M559*PI()/180)-P559*COS(U559*PI()/180)+X559*AA559*SIN(AF559*PI()/180)</f>
        <v>-114.92694690541467</v>
      </c>
      <c r="AJ559" s="24"/>
      <c r="AK559" s="1" t="s">
        <v>0</v>
      </c>
      <c r="BJ559" s="3"/>
    </row>
    <row r="560" spans="2:62" ht="11.25" customHeight="1">
      <c r="B560" s="2"/>
      <c r="F560" s="1" t="s">
        <v>25</v>
      </c>
      <c r="H560" s="24">
        <f>+H541</f>
        <v>108.75</v>
      </c>
      <c r="I560" s="24"/>
      <c r="J560" s="7" t="s">
        <v>10</v>
      </c>
      <c r="K560" s="1" t="s">
        <v>21</v>
      </c>
      <c r="M560" s="24">
        <f>+M559</f>
        <v>33.690067525979785</v>
      </c>
      <c r="N560" s="24"/>
      <c r="O560" s="1" t="s">
        <v>22</v>
      </c>
      <c r="P560" s="24">
        <f>+F536</f>
        <v>95.625</v>
      </c>
      <c r="Q560" s="24"/>
      <c r="R560" s="7" t="s">
        <v>10</v>
      </c>
      <c r="S560" s="1" t="s">
        <v>20</v>
      </c>
      <c r="U560" s="24">
        <f>+M560</f>
        <v>33.690067525979785</v>
      </c>
      <c r="V560" s="24"/>
      <c r="W560" s="1" t="s">
        <v>22</v>
      </c>
      <c r="X560" s="24">
        <f>+X559</f>
        <v>15</v>
      </c>
      <c r="Y560" s="24"/>
      <c r="Z560" s="7" t="s">
        <v>10</v>
      </c>
      <c r="AA560" s="24">
        <f>+AA559</f>
        <v>3</v>
      </c>
      <c r="AB560" s="24"/>
      <c r="AC560" s="7" t="s">
        <v>10</v>
      </c>
      <c r="AD560" s="1" t="s">
        <v>21</v>
      </c>
      <c r="AF560" s="24">
        <f>+U560</f>
        <v>33.690067525979785</v>
      </c>
      <c r="AG560" s="24"/>
      <c r="AH560" s="1" t="s">
        <v>24</v>
      </c>
      <c r="AI560" s="24">
        <f>H560*COS(M560*PI()/180)-P560*SIN(U560*PI()/180)-X560*AA560*COS(AF560*PI()/180)</f>
        <v>0</v>
      </c>
      <c r="AJ560" s="24"/>
      <c r="AK560" s="1" t="s">
        <v>0</v>
      </c>
      <c r="BJ560" s="3"/>
    </row>
    <row r="561" spans="2:62" ht="11.25" customHeight="1">
      <c r="B561" s="2"/>
      <c r="F561" s="1" t="s">
        <v>26</v>
      </c>
      <c r="H561" s="24">
        <f>+H541</f>
        <v>108.75</v>
      </c>
      <c r="I561" s="24"/>
      <c r="J561" s="7" t="s">
        <v>10</v>
      </c>
      <c r="K561" s="24">
        <f>+J542</f>
        <v>3</v>
      </c>
      <c r="L561" s="24"/>
      <c r="M561" s="7" t="s">
        <v>9</v>
      </c>
      <c r="N561" s="24">
        <f>+F536</f>
        <v>95.625</v>
      </c>
      <c r="O561" s="24"/>
      <c r="P561" s="7" t="s">
        <v>10</v>
      </c>
      <c r="Q561" s="24">
        <f>+D531</f>
        <v>3</v>
      </c>
      <c r="R561" s="24"/>
      <c r="S561" s="7" t="s">
        <v>9</v>
      </c>
      <c r="T561" s="24">
        <f>+M521</f>
        <v>15</v>
      </c>
      <c r="U561" s="24"/>
      <c r="V561" s="7" t="s">
        <v>10</v>
      </c>
      <c r="W561" s="24">
        <f>+J542</f>
        <v>3</v>
      </c>
      <c r="X561" s="24"/>
      <c r="Y561" s="7" t="s">
        <v>10</v>
      </c>
      <c r="Z561" s="24">
        <f>+W561/2</f>
        <v>1.5</v>
      </c>
      <c r="AA561" s="24"/>
      <c r="AB561" s="7" t="s">
        <v>12</v>
      </c>
      <c r="AC561" s="24">
        <f>H561*K561-N561*Q561-T561*W561*Z561</f>
        <v>-28.125</v>
      </c>
      <c r="AD561" s="24"/>
      <c r="AE561" s="1" t="s">
        <v>27</v>
      </c>
      <c r="BJ561" s="3"/>
    </row>
    <row r="562" spans="2:62" ht="11.25" customHeight="1">
      <c r="B562" s="2"/>
      <c r="F562" s="1" t="s">
        <v>34</v>
      </c>
      <c r="H562" s="24">
        <f>-AE541</f>
        <v>-146.25</v>
      </c>
      <c r="I562" s="24"/>
      <c r="J562" s="7" t="s">
        <v>10</v>
      </c>
      <c r="K562" s="1" t="s">
        <v>20</v>
      </c>
      <c r="M562" s="24">
        <f>+AA552</f>
        <v>33.690067525979785</v>
      </c>
      <c r="N562" s="24"/>
      <c r="O562" s="1" t="s">
        <v>22</v>
      </c>
      <c r="P562" s="24">
        <f>+AI536</f>
        <v>95.625</v>
      </c>
      <c r="Q562" s="24"/>
      <c r="R562" s="7" t="s">
        <v>10</v>
      </c>
      <c r="S562" s="1" t="s">
        <v>21</v>
      </c>
      <c r="U562" s="24">
        <f>+M562</f>
        <v>33.690067525979785</v>
      </c>
      <c r="V562" s="24"/>
      <c r="W562" s="1" t="s">
        <v>23</v>
      </c>
      <c r="X562" s="24">
        <f>+Y521</f>
        <v>25</v>
      </c>
      <c r="Y562" s="24"/>
      <c r="Z562" s="7" t="s">
        <v>10</v>
      </c>
      <c r="AA562" s="24">
        <f>+AC542</f>
        <v>3</v>
      </c>
      <c r="AB562" s="24"/>
      <c r="AC562" s="7" t="s">
        <v>10</v>
      </c>
      <c r="AD562" s="1" t="s">
        <v>20</v>
      </c>
      <c r="AF562" s="24">
        <f>+U562</f>
        <v>33.690067525979785</v>
      </c>
      <c r="AG562" s="24"/>
      <c r="AH562" s="1" t="s">
        <v>24</v>
      </c>
      <c r="AI562" s="24">
        <f>H562*SIN(M562*PI()/180)-P562*COS(U562*PI()/180)+X562*AA562*SIN(AF562*PI()/180)</f>
        <v>-119.08719837710385</v>
      </c>
      <c r="AJ562" s="24"/>
      <c r="AK562" s="1" t="s">
        <v>0</v>
      </c>
      <c r="BJ562" s="3"/>
    </row>
    <row r="563" spans="2:62" ht="11.25" customHeight="1">
      <c r="B563" s="2"/>
      <c r="F563" s="1" t="s">
        <v>35</v>
      </c>
      <c r="H563" s="24">
        <f>-AE541</f>
        <v>-146.25</v>
      </c>
      <c r="I563" s="24"/>
      <c r="J563" s="7" t="s">
        <v>10</v>
      </c>
      <c r="K563" s="1" t="s">
        <v>21</v>
      </c>
      <c r="M563" s="24">
        <f>+M562</f>
        <v>33.690067525979785</v>
      </c>
      <c r="N563" s="24"/>
      <c r="O563" s="1" t="s">
        <v>23</v>
      </c>
      <c r="P563" s="24">
        <f>+AI536</f>
        <v>95.625</v>
      </c>
      <c r="Q563" s="24"/>
      <c r="R563" s="7" t="s">
        <v>10</v>
      </c>
      <c r="S563" s="1" t="s">
        <v>20</v>
      </c>
      <c r="U563" s="24">
        <f>+M563</f>
        <v>33.690067525979785</v>
      </c>
      <c r="V563" s="24"/>
      <c r="W563" s="1" t="s">
        <v>23</v>
      </c>
      <c r="X563" s="24">
        <f>+X562</f>
        <v>25</v>
      </c>
      <c r="Y563" s="24"/>
      <c r="Z563" s="7" t="s">
        <v>10</v>
      </c>
      <c r="AA563" s="24">
        <f>+AA562</f>
        <v>3</v>
      </c>
      <c r="AB563" s="24"/>
      <c r="AC563" s="7" t="s">
        <v>10</v>
      </c>
      <c r="AD563" s="1" t="s">
        <v>21</v>
      </c>
      <c r="AF563" s="24">
        <f>+U563</f>
        <v>33.690067525979785</v>
      </c>
      <c r="AG563" s="24"/>
      <c r="AH563" s="1" t="s">
        <v>24</v>
      </c>
      <c r="AI563" s="24">
        <f>H563*COS(M563*PI()/180)+P563*SIN(U563*PI()/180)+X563*AA563*COS(AF563*PI()/180)</f>
        <v>-6.2403772075338395</v>
      </c>
      <c r="AJ563" s="24"/>
      <c r="AK563" s="1" t="s">
        <v>0</v>
      </c>
      <c r="BJ563" s="3"/>
    </row>
    <row r="564" spans="2:62" ht="11.25" customHeight="1">
      <c r="B564" s="2"/>
      <c r="F564" s="1" t="s">
        <v>36</v>
      </c>
      <c r="H564" s="24">
        <f>+AE541</f>
        <v>146.25</v>
      </c>
      <c r="I564" s="24"/>
      <c r="J564" s="7" t="s">
        <v>10</v>
      </c>
      <c r="K564" s="24">
        <f>+AC542</f>
        <v>3</v>
      </c>
      <c r="L564" s="24"/>
      <c r="M564" s="7" t="s">
        <v>9</v>
      </c>
      <c r="N564" s="24">
        <f>+AI536</f>
        <v>95.625</v>
      </c>
      <c r="O564" s="24"/>
      <c r="P564" s="7" t="s">
        <v>10</v>
      </c>
      <c r="Q564" s="24">
        <f>+AL531</f>
        <v>3</v>
      </c>
      <c r="R564" s="24"/>
      <c r="S564" s="7" t="s">
        <v>9</v>
      </c>
      <c r="T564" s="24">
        <f>+Y521</f>
        <v>25</v>
      </c>
      <c r="U564" s="24"/>
      <c r="V564" s="7" t="s">
        <v>10</v>
      </c>
      <c r="W564" s="24">
        <f>+AC542</f>
        <v>3</v>
      </c>
      <c r="X564" s="24"/>
      <c r="Y564" s="7" t="s">
        <v>10</v>
      </c>
      <c r="Z564" s="24">
        <f>+W564/2</f>
        <v>1.5</v>
      </c>
      <c r="AA564" s="24"/>
      <c r="AB564" s="7" t="s">
        <v>12</v>
      </c>
      <c r="AC564" s="24">
        <f>H564*K564-N564*Q564-T564*W564*Z564</f>
        <v>39.375</v>
      </c>
      <c r="AD564" s="24"/>
      <c r="AE564" s="1" t="s">
        <v>27</v>
      </c>
      <c r="BJ564" s="3"/>
    </row>
    <row r="565" spans="2:62" ht="11.25" customHeight="1">
      <c r="B565" s="2"/>
      <c r="F565" s="1" t="s">
        <v>31</v>
      </c>
      <c r="H565" s="24">
        <f>-AE541</f>
        <v>-146.25</v>
      </c>
      <c r="I565" s="24"/>
      <c r="J565" s="7" t="s">
        <v>10</v>
      </c>
      <c r="K565" s="1" t="s">
        <v>20</v>
      </c>
      <c r="M565" s="24">
        <f>+AA552</f>
        <v>33.690067525979785</v>
      </c>
      <c r="N565" s="24"/>
      <c r="O565" s="1" t="s">
        <v>22</v>
      </c>
      <c r="P565" s="24">
        <f>+AI536</f>
        <v>95.625</v>
      </c>
      <c r="Q565" s="24"/>
      <c r="R565" s="7" t="s">
        <v>10</v>
      </c>
      <c r="S565" s="1" t="s">
        <v>21</v>
      </c>
      <c r="U565" s="24">
        <f>+M565</f>
        <v>33.690067525979785</v>
      </c>
      <c r="V565" s="24"/>
      <c r="W565" s="1" t="s">
        <v>23</v>
      </c>
      <c r="X565" s="24">
        <f>+Y521</f>
        <v>25</v>
      </c>
      <c r="Y565" s="24"/>
      <c r="Z565" s="7" t="s">
        <v>10</v>
      </c>
      <c r="AA565" s="24">
        <f>+AC542</f>
        <v>3</v>
      </c>
      <c r="AB565" s="24"/>
      <c r="AC565" s="7" t="s">
        <v>10</v>
      </c>
      <c r="AD565" s="1" t="s">
        <v>20</v>
      </c>
      <c r="AF565" s="24">
        <f>+U565</f>
        <v>33.690067525979785</v>
      </c>
      <c r="AG565" s="24"/>
      <c r="AH565" s="1" t="s">
        <v>23</v>
      </c>
      <c r="AI565" s="24">
        <f>+AA525</f>
        <v>15</v>
      </c>
      <c r="AJ565" s="24"/>
      <c r="AK565" s="7" t="s">
        <v>10</v>
      </c>
      <c r="AL565" s="1" t="s">
        <v>20</v>
      </c>
      <c r="AN565" s="24">
        <f>+AF565</f>
        <v>33.690067525979785</v>
      </c>
      <c r="AO565" s="24"/>
      <c r="AP565" s="1" t="s">
        <v>24</v>
      </c>
      <c r="AQ565" s="24">
        <f>H565*SIN(M565*PI()/180)-P565*COS(U565*PI()/180)+X565*AA565*SIN(AF565*PI()/180)+AI565*SIN(AN565*PI()/180)</f>
        <v>-110.7666954337254</v>
      </c>
      <c r="AR565" s="24"/>
      <c r="AS565" s="1" t="s">
        <v>0</v>
      </c>
      <c r="BJ565" s="3"/>
    </row>
    <row r="566" spans="2:62" ht="11.25" customHeight="1">
      <c r="B566" s="2"/>
      <c r="F566" s="1" t="s">
        <v>32</v>
      </c>
      <c r="H566" s="24">
        <f>-AE541</f>
        <v>-146.25</v>
      </c>
      <c r="I566" s="24"/>
      <c r="J566" s="7" t="s">
        <v>10</v>
      </c>
      <c r="K566" s="1" t="s">
        <v>21</v>
      </c>
      <c r="M566" s="24">
        <f>+M565</f>
        <v>33.690067525979785</v>
      </c>
      <c r="N566" s="24"/>
      <c r="O566" s="1" t="s">
        <v>23</v>
      </c>
      <c r="P566" s="24">
        <f>+AI536</f>
        <v>95.625</v>
      </c>
      <c r="Q566" s="24"/>
      <c r="R566" s="7" t="s">
        <v>10</v>
      </c>
      <c r="S566" s="1" t="s">
        <v>20</v>
      </c>
      <c r="U566" s="24">
        <f>+M566</f>
        <v>33.690067525979785</v>
      </c>
      <c r="V566" s="24"/>
      <c r="W566" s="1" t="s">
        <v>23</v>
      </c>
      <c r="X566" s="24">
        <f>+X565</f>
        <v>25</v>
      </c>
      <c r="Y566" s="24"/>
      <c r="Z566" s="7" t="s">
        <v>10</v>
      </c>
      <c r="AA566" s="24">
        <f>+AA565</f>
        <v>3</v>
      </c>
      <c r="AB566" s="24"/>
      <c r="AC566" s="7" t="s">
        <v>10</v>
      </c>
      <c r="AD566" s="1" t="s">
        <v>21</v>
      </c>
      <c r="AF566" s="24">
        <f>+U566</f>
        <v>33.690067525979785</v>
      </c>
      <c r="AG566" s="24"/>
      <c r="AH566" s="1" t="s">
        <v>23</v>
      </c>
      <c r="AI566" s="24">
        <f>+AI565</f>
        <v>15</v>
      </c>
      <c r="AJ566" s="24"/>
      <c r="AK566" s="7" t="s">
        <v>10</v>
      </c>
      <c r="AL566" s="1" t="s">
        <v>21</v>
      </c>
      <c r="AN566" s="24">
        <f>+AF566</f>
        <v>33.690067525979785</v>
      </c>
      <c r="AO566" s="24"/>
      <c r="AP566" s="1" t="s">
        <v>24</v>
      </c>
      <c r="AQ566" s="24">
        <f>H566*COS(M566*PI()/180)+P566*SIN(U566*PI()/180)+X566*AA566*COS(AF566*PI()/180)+AI566*COS(AN566*PI()/180)</f>
        <v>6.2403772075338164</v>
      </c>
      <c r="AR566" s="24"/>
      <c r="AS566" s="1" t="s">
        <v>0</v>
      </c>
      <c r="BJ566" s="3"/>
    </row>
    <row r="567" spans="2:62" ht="11.25" customHeight="1">
      <c r="B567" s="2"/>
      <c r="F567" s="1" t="s">
        <v>37</v>
      </c>
      <c r="J567" s="24">
        <f>+AC564</f>
        <v>39.375</v>
      </c>
      <c r="K567" s="24"/>
      <c r="L567" s="1" t="s">
        <v>27</v>
      </c>
      <c r="BJ567" s="3"/>
    </row>
    <row r="568" spans="2:62" ht="11.25" customHeight="1">
      <c r="B568" s="2"/>
      <c r="BJ568" s="3"/>
    </row>
    <row r="569" spans="2:62" ht="11.25" customHeight="1">
      <c r="B569" s="2"/>
      <c r="BJ569" s="3"/>
    </row>
    <row r="570" spans="2:62" ht="11.25" customHeight="1">
      <c r="B570" s="2"/>
      <c r="D570" s="12" t="s">
        <v>55</v>
      </c>
      <c r="BJ570" s="3"/>
    </row>
    <row r="571" spans="2:62" ht="11.25" customHeight="1">
      <c r="B571" s="2"/>
      <c r="N571" s="34">
        <v>20</v>
      </c>
      <c r="O571" s="34"/>
      <c r="P571" s="1" t="s">
        <v>3</v>
      </c>
      <c r="BJ571" s="3"/>
    </row>
    <row r="572" spans="2:62" ht="11.25" customHeight="1">
      <c r="B572" s="2"/>
      <c r="BJ572" s="3"/>
    </row>
    <row r="573" spans="2:62" ht="11.25" customHeight="1">
      <c r="B573" s="2"/>
      <c r="BJ573" s="3"/>
    </row>
    <row r="574" spans="2:62" ht="11.25" customHeight="1">
      <c r="B574" s="2"/>
      <c r="D574" s="5" t="s">
        <v>1</v>
      </c>
      <c r="T574" s="1" t="s">
        <v>18</v>
      </c>
      <c r="AL574" s="5" t="s">
        <v>1</v>
      </c>
      <c r="BJ574" s="3"/>
    </row>
    <row r="575" spans="2:62" ht="11.25" customHeight="1">
      <c r="B575" s="2"/>
      <c r="D575" s="37">
        <f>+AN579-D581</f>
        <v>1</v>
      </c>
      <c r="AA575" s="34">
        <v>4</v>
      </c>
      <c r="AB575" s="34"/>
      <c r="AC575" s="1" t="s">
        <v>0</v>
      </c>
      <c r="AL575" s="37">
        <f>+AN579-AL581</f>
        <v>1</v>
      </c>
      <c r="BJ575" s="3"/>
    </row>
    <row r="576" spans="2:62" ht="11.25" customHeight="1">
      <c r="B576" s="2"/>
      <c r="D576" s="37"/>
      <c r="AL576" s="37"/>
      <c r="BJ576" s="3"/>
    </row>
    <row r="577" spans="2:62" ht="11.25" customHeight="1">
      <c r="B577" s="2"/>
      <c r="D577" s="37"/>
      <c r="M577" s="1" t="s">
        <v>17</v>
      </c>
      <c r="AB577" s="6" t="s">
        <v>30</v>
      </c>
      <c r="AL577" s="37"/>
      <c r="BJ577" s="3"/>
    </row>
    <row r="578" spans="2:62" ht="11.25" customHeight="1">
      <c r="B578" s="2"/>
      <c r="AN578" s="5" t="s">
        <v>1</v>
      </c>
      <c r="BJ578" s="3"/>
    </row>
    <row r="579" spans="2:62" ht="11.25" customHeight="1">
      <c r="B579" s="2"/>
      <c r="AN579" s="38">
        <v>4</v>
      </c>
      <c r="BJ579" s="3"/>
    </row>
    <row r="580" spans="2:62" ht="11.25" customHeight="1">
      <c r="B580" s="2"/>
      <c r="D580" s="5" t="s">
        <v>1</v>
      </c>
      <c r="AL580" s="5" t="s">
        <v>1</v>
      </c>
      <c r="AN580" s="38"/>
      <c r="BJ580" s="3"/>
    </row>
    <row r="581" spans="2:62" ht="11.25" customHeight="1">
      <c r="B581" s="2"/>
      <c r="D581" s="37">
        <f>+Y597</f>
        <v>3</v>
      </c>
      <c r="I581" s="1" t="s">
        <v>58</v>
      </c>
      <c r="AL581" s="37">
        <f>+Y598</f>
        <v>3</v>
      </c>
      <c r="AN581" s="38"/>
      <c r="BJ581" s="3"/>
    </row>
    <row r="582" spans="2:62" ht="11.25" customHeight="1">
      <c r="B582" s="2"/>
      <c r="D582" s="37"/>
      <c r="AL582" s="37"/>
      <c r="AN582" s="37" t="s">
        <v>42</v>
      </c>
      <c r="BJ582" s="3"/>
    </row>
    <row r="583" spans="2:62" ht="11.25" customHeight="1">
      <c r="B583" s="2"/>
      <c r="D583" s="37"/>
      <c r="AL583" s="37"/>
      <c r="AN583" s="37"/>
      <c r="BJ583" s="3"/>
    </row>
    <row r="584" spans="2:62" ht="11.25" customHeight="1">
      <c r="B584" s="2"/>
      <c r="BJ584" s="3"/>
    </row>
    <row r="585" spans="2:62" ht="11.25" customHeight="1">
      <c r="B585" s="2"/>
      <c r="BJ585" s="3"/>
    </row>
    <row r="586" spans="2:62" ht="11.25" customHeight="1">
      <c r="B586" s="2"/>
      <c r="D586" s="1" t="s">
        <v>5</v>
      </c>
      <c r="F586" s="24">
        <f>+AF606</f>
        <v>46.5</v>
      </c>
      <c r="G586" s="24"/>
      <c r="H586" s="1" t="s">
        <v>0</v>
      </c>
      <c r="L586" s="1" t="s">
        <v>48</v>
      </c>
      <c r="AE586" s="1" t="s">
        <v>33</v>
      </c>
      <c r="AG586" s="1" t="s">
        <v>6</v>
      </c>
      <c r="AI586" s="24">
        <f>+AC607</f>
        <v>46.5</v>
      </c>
      <c r="AJ586" s="24"/>
      <c r="AK586" s="1" t="s">
        <v>0</v>
      </c>
      <c r="BJ586" s="3"/>
    </row>
    <row r="587" spans="2:62" ht="11.25" customHeight="1">
      <c r="B587" s="2"/>
      <c r="BJ587" s="3"/>
    </row>
    <row r="588" spans="2:62" ht="11.25" customHeight="1">
      <c r="B588" s="2"/>
      <c r="BJ588" s="3"/>
    </row>
    <row r="589" spans="2:62" ht="11.25" customHeight="1">
      <c r="B589" s="2"/>
      <c r="BJ589" s="3"/>
    </row>
    <row r="590" spans="2:62" ht="11.25" customHeight="1">
      <c r="B590" s="2"/>
      <c r="BJ590" s="3"/>
    </row>
    <row r="591" spans="2:62" ht="11.25" customHeight="1">
      <c r="B591" s="2"/>
      <c r="F591" s="1" t="s">
        <v>4</v>
      </c>
      <c r="H591" s="24">
        <f>+AF604</f>
        <v>91</v>
      </c>
      <c r="I591" s="24"/>
      <c r="J591" s="1" t="s">
        <v>0</v>
      </c>
      <c r="AC591" s="1" t="s">
        <v>7</v>
      </c>
      <c r="AE591" s="24">
        <f>+Z605</f>
        <v>33</v>
      </c>
      <c r="AF591" s="24"/>
      <c r="AG591" s="1" t="s">
        <v>0</v>
      </c>
      <c r="BJ591" s="3"/>
    </row>
    <row r="592" spans="2:62" ht="11.25" customHeight="1">
      <c r="B592" s="2"/>
      <c r="J592" s="34">
        <v>3</v>
      </c>
      <c r="K592" s="34"/>
      <c r="L592" s="1" t="s">
        <v>1</v>
      </c>
      <c r="Q592" s="24">
        <f>+T594/2-J592</f>
        <v>3</v>
      </c>
      <c r="R592" s="24"/>
      <c r="S592" s="1" t="s">
        <v>1</v>
      </c>
      <c r="W592" s="24">
        <f>+T594/2-AC592</f>
        <v>3</v>
      </c>
      <c r="X592" s="24"/>
      <c r="Y592" s="1" t="s">
        <v>1</v>
      </c>
      <c r="AC592" s="34">
        <v>3</v>
      </c>
      <c r="AD592" s="34"/>
      <c r="AE592" s="1" t="s">
        <v>1</v>
      </c>
      <c r="BJ592" s="3"/>
    </row>
    <row r="593" spans="2:62" ht="11.25" customHeight="1">
      <c r="B593" s="2"/>
      <c r="BJ593" s="3"/>
    </row>
    <row r="594" spans="2:62" ht="11.25" customHeight="1">
      <c r="B594" s="2"/>
      <c r="S594" s="1" t="s">
        <v>43</v>
      </c>
      <c r="T594" s="34">
        <v>12</v>
      </c>
      <c r="U594" s="34"/>
      <c r="V594" s="1" t="s">
        <v>1</v>
      </c>
      <c r="BJ594" s="3"/>
    </row>
    <row r="595" spans="2:62" ht="11.25" customHeight="1">
      <c r="B595" s="2"/>
      <c r="BJ595" s="3"/>
    </row>
    <row r="596" spans="2:62" ht="11.25" customHeight="1">
      <c r="B596" s="2"/>
      <c r="F596" s="1" t="s">
        <v>40</v>
      </c>
      <c r="BJ596" s="3"/>
    </row>
    <row r="597" spans="2:62" ht="11.25" customHeight="1">
      <c r="B597" s="2"/>
      <c r="F597" s="1" t="s">
        <v>41</v>
      </c>
      <c r="H597" s="1">
        <v>4</v>
      </c>
      <c r="I597" s="7" t="s">
        <v>10</v>
      </c>
      <c r="J597" s="24">
        <f>+AN579</f>
        <v>4</v>
      </c>
      <c r="K597" s="24"/>
      <c r="L597" s="7" t="s">
        <v>10</v>
      </c>
      <c r="M597" s="24">
        <f>+J592</f>
        <v>3</v>
      </c>
      <c r="N597" s="24"/>
      <c r="O597" s="1" t="s">
        <v>44</v>
      </c>
      <c r="P597" s="24">
        <f>+T594</f>
        <v>12</v>
      </c>
      <c r="Q597" s="24"/>
      <c r="R597" s="7" t="s">
        <v>9</v>
      </c>
      <c r="S597" s="24">
        <f>+M597</f>
        <v>3</v>
      </c>
      <c r="T597" s="24"/>
      <c r="U597" s="1" t="s">
        <v>45</v>
      </c>
      <c r="V597" s="24">
        <f>+P597</f>
        <v>12</v>
      </c>
      <c r="W597" s="24"/>
      <c r="X597" s="1" t="s">
        <v>46</v>
      </c>
      <c r="Y597" s="24">
        <f>H597*J597*M597*(P597-S597)/V597^2</f>
        <v>3</v>
      </c>
      <c r="Z597" s="24"/>
      <c r="AA597" s="1" t="s">
        <v>1</v>
      </c>
      <c r="BJ597" s="3"/>
    </row>
    <row r="598" spans="2:62" ht="11.25" customHeight="1">
      <c r="B598" s="2"/>
      <c r="F598" s="1" t="s">
        <v>41</v>
      </c>
      <c r="H598" s="1">
        <v>4</v>
      </c>
      <c r="I598" s="7" t="s">
        <v>10</v>
      </c>
      <c r="J598" s="24">
        <f>+J597</f>
        <v>4</v>
      </c>
      <c r="K598" s="24"/>
      <c r="L598" s="7" t="s">
        <v>10</v>
      </c>
      <c r="M598" s="24">
        <f>+J592+Q592+W592</f>
        <v>9</v>
      </c>
      <c r="N598" s="24"/>
      <c r="O598" s="1" t="s">
        <v>44</v>
      </c>
      <c r="P598" s="24">
        <f>+P597</f>
        <v>12</v>
      </c>
      <c r="Q598" s="24"/>
      <c r="R598" s="7" t="s">
        <v>9</v>
      </c>
      <c r="S598" s="24">
        <f>+M598</f>
        <v>9</v>
      </c>
      <c r="T598" s="24"/>
      <c r="U598" s="1" t="s">
        <v>45</v>
      </c>
      <c r="V598" s="24">
        <f>+P598</f>
        <v>12</v>
      </c>
      <c r="W598" s="24"/>
      <c r="X598" s="1" t="s">
        <v>46</v>
      </c>
      <c r="Y598" s="24">
        <f>H598*J598*M598*(P598-S598)/V598^2</f>
        <v>3</v>
      </c>
      <c r="Z598" s="24"/>
      <c r="AA598" s="1" t="s">
        <v>1</v>
      </c>
      <c r="BJ598" s="3"/>
    </row>
    <row r="599" spans="2:62" ht="11.25" customHeight="1">
      <c r="B599" s="2"/>
      <c r="F599" s="1" t="s">
        <v>47</v>
      </c>
      <c r="N599" s="1">
        <v>4</v>
      </c>
      <c r="O599" s="7" t="s">
        <v>10</v>
      </c>
      <c r="P599" s="24">
        <f>+AN579</f>
        <v>4</v>
      </c>
      <c r="Q599" s="24"/>
      <c r="R599" s="7" t="s">
        <v>10</v>
      </c>
      <c r="S599" s="7" t="s">
        <v>48</v>
      </c>
      <c r="T599" s="1" t="s">
        <v>44</v>
      </c>
      <c r="U599" s="24">
        <f>+T594</f>
        <v>12</v>
      </c>
      <c r="V599" s="24"/>
      <c r="W599" s="7" t="s">
        <v>9</v>
      </c>
      <c r="X599" s="7" t="s">
        <v>48</v>
      </c>
      <c r="Y599" s="1" t="s">
        <v>45</v>
      </c>
      <c r="Z599" s="24">
        <f>+U599</f>
        <v>12</v>
      </c>
      <c r="AA599" s="24"/>
      <c r="AB599" s="1" t="s">
        <v>46</v>
      </c>
      <c r="AC599" s="24">
        <f>+N599*P599/Z599^2</f>
        <v>0.1111111111111111</v>
      </c>
      <c r="AD599" s="24"/>
      <c r="AE599" s="7" t="s">
        <v>10</v>
      </c>
      <c r="AF599" s="7" t="s">
        <v>48</v>
      </c>
      <c r="AG599" s="1" t="s">
        <v>44</v>
      </c>
      <c r="AH599" s="24">
        <f>+U599</f>
        <v>12</v>
      </c>
      <c r="AI599" s="24"/>
      <c r="AJ599" s="7" t="s">
        <v>9</v>
      </c>
      <c r="AK599" s="7" t="s">
        <v>48</v>
      </c>
      <c r="AL599" s="1" t="s">
        <v>49</v>
      </c>
      <c r="BJ599" s="3"/>
    </row>
    <row r="600" spans="2:62" ht="11.25" customHeight="1">
      <c r="B600" s="2"/>
      <c r="F600" s="1" t="s">
        <v>50</v>
      </c>
      <c r="J600" s="24">
        <f>+AC599</f>
        <v>0.1111111111111111</v>
      </c>
      <c r="K600" s="24"/>
      <c r="L600" s="7" t="s">
        <v>44</v>
      </c>
      <c r="M600" s="24">
        <f>+AH599</f>
        <v>12</v>
      </c>
      <c r="N600" s="24"/>
      <c r="O600" s="7" t="s">
        <v>9</v>
      </c>
      <c r="P600" s="1">
        <v>2</v>
      </c>
      <c r="Q600" s="7" t="s">
        <v>10</v>
      </c>
      <c r="R600" s="7" t="s">
        <v>48</v>
      </c>
      <c r="S600" s="1" t="s">
        <v>49</v>
      </c>
      <c r="AO600" s="7"/>
      <c r="BJ600" s="3"/>
    </row>
    <row r="601" spans="2:62" ht="11.25" customHeight="1">
      <c r="B601" s="2"/>
      <c r="F601" s="1" t="s">
        <v>51</v>
      </c>
      <c r="I601" s="24">
        <f>+J600</f>
        <v>0.1111111111111111</v>
      </c>
      <c r="J601" s="24"/>
      <c r="K601" s="1" t="s">
        <v>44</v>
      </c>
      <c r="L601" s="24">
        <f>+M600</f>
        <v>12</v>
      </c>
      <c r="M601" s="24"/>
      <c r="N601" s="7" t="s">
        <v>9</v>
      </c>
      <c r="O601" s="1">
        <v>2</v>
      </c>
      <c r="P601" s="7" t="s">
        <v>10</v>
      </c>
      <c r="Q601" s="24">
        <f>+J592</f>
        <v>3</v>
      </c>
      <c r="R601" s="24"/>
      <c r="S601" s="1" t="s">
        <v>24</v>
      </c>
      <c r="T601" s="24">
        <f>+I601*(L601-O601*Q601)</f>
        <v>0.66666666666666663</v>
      </c>
      <c r="U601" s="24"/>
      <c r="Y601" s="9" t="s">
        <v>52</v>
      </c>
      <c r="AA601" s="24">
        <f>ATAN(T601)*180/PI()</f>
        <v>33.690067525979785</v>
      </c>
      <c r="AB601" s="24"/>
      <c r="AC601" s="8" t="s">
        <v>8</v>
      </c>
      <c r="BJ601" s="3"/>
    </row>
    <row r="602" spans="2:62" ht="11.25" customHeight="1">
      <c r="B602" s="2"/>
      <c r="F602" s="1" t="s">
        <v>53</v>
      </c>
      <c r="I602" s="24">
        <f>+I601</f>
        <v>0.1111111111111111</v>
      </c>
      <c r="J602" s="24"/>
      <c r="K602" s="1" t="s">
        <v>44</v>
      </c>
      <c r="L602" s="24">
        <f>+L601</f>
        <v>12</v>
      </c>
      <c r="M602" s="24"/>
      <c r="N602" s="7" t="s">
        <v>9</v>
      </c>
      <c r="O602" s="1">
        <v>2</v>
      </c>
      <c r="P602" s="7" t="s">
        <v>10</v>
      </c>
      <c r="Q602" s="24">
        <f>+J592+Q592+W592</f>
        <v>9</v>
      </c>
      <c r="R602" s="24"/>
      <c r="S602" s="1" t="s">
        <v>24</v>
      </c>
      <c r="T602" s="24">
        <f>+I602*(L602-O602*Q602)</f>
        <v>-0.66666666666666663</v>
      </c>
      <c r="U602" s="24"/>
      <c r="Y602" s="9" t="s">
        <v>54</v>
      </c>
      <c r="AA602" s="24">
        <f>-ATAN(T602)*180/PI()</f>
        <v>33.690067525979785</v>
      </c>
      <c r="AB602" s="24"/>
      <c r="AC602" s="8" t="s">
        <v>8</v>
      </c>
      <c r="BJ602" s="3"/>
    </row>
    <row r="603" spans="2:62" ht="11.25" customHeight="1">
      <c r="B603" s="2"/>
      <c r="F603" s="4" t="s">
        <v>28</v>
      </c>
      <c r="BJ603" s="3"/>
    </row>
    <row r="604" spans="2:62" ht="11.25" customHeight="1">
      <c r="B604" s="2"/>
      <c r="F604" s="1" t="s">
        <v>11</v>
      </c>
      <c r="H604" s="24">
        <f>+T594</f>
        <v>12</v>
      </c>
      <c r="I604" s="24"/>
      <c r="J604" s="7" t="s">
        <v>9</v>
      </c>
      <c r="K604" s="24">
        <f>+N571</f>
        <v>20</v>
      </c>
      <c r="L604" s="24"/>
      <c r="M604" s="7" t="s">
        <v>10</v>
      </c>
      <c r="N604" s="24">
        <f>+T594/2</f>
        <v>6</v>
      </c>
      <c r="O604" s="24"/>
      <c r="P604" s="7" t="s">
        <v>10</v>
      </c>
      <c r="Q604" s="24">
        <f>+T594/2+T594/4</f>
        <v>9</v>
      </c>
      <c r="R604" s="24"/>
      <c r="S604" s="7" t="s">
        <v>9</v>
      </c>
      <c r="T604" s="24">
        <f>+AA575</f>
        <v>4</v>
      </c>
      <c r="U604" s="24"/>
      <c r="V604" s="7" t="s">
        <v>10</v>
      </c>
      <c r="W604" s="24">
        <f>+AC592</f>
        <v>3</v>
      </c>
      <c r="X604" s="24"/>
      <c r="Y604" s="7" t="s">
        <v>12</v>
      </c>
      <c r="Z604" s="1">
        <v>0</v>
      </c>
      <c r="AD604" s="1" t="s">
        <v>4</v>
      </c>
      <c r="AF604" s="24">
        <f>(K604*N604*Q604+T604*W604)/H604</f>
        <v>91</v>
      </c>
      <c r="AG604" s="24"/>
      <c r="AH604" s="1" t="s">
        <v>0</v>
      </c>
      <c r="BJ604" s="3"/>
    </row>
    <row r="605" spans="2:62" ht="11.25" customHeight="1">
      <c r="B605" s="2"/>
      <c r="F605" s="1" t="s">
        <v>13</v>
      </c>
      <c r="H605" s="24">
        <f>+H591</f>
        <v>91</v>
      </c>
      <c r="I605" s="24"/>
      <c r="J605" s="7" t="s">
        <v>9</v>
      </c>
      <c r="K605" s="24">
        <f>+N571</f>
        <v>20</v>
      </c>
      <c r="L605" s="24"/>
      <c r="M605" s="7" t="s">
        <v>10</v>
      </c>
      <c r="N605" s="24">
        <f>+T594/2</f>
        <v>6</v>
      </c>
      <c r="O605" s="24"/>
      <c r="P605" s="7" t="s">
        <v>9</v>
      </c>
      <c r="Q605" s="24">
        <f>+AA575</f>
        <v>4</v>
      </c>
      <c r="R605" s="24"/>
      <c r="S605" s="7" t="s">
        <v>12</v>
      </c>
      <c r="T605" s="1">
        <v>0</v>
      </c>
      <c r="X605" s="1" t="s">
        <v>7</v>
      </c>
      <c r="Z605" s="24">
        <f>+K605*N605+Q605-H605</f>
        <v>33</v>
      </c>
      <c r="AA605" s="24"/>
      <c r="AB605" s="1" t="s">
        <v>0</v>
      </c>
      <c r="BJ605" s="3"/>
    </row>
    <row r="606" spans="2:62" ht="11.25" customHeight="1">
      <c r="B606" s="2"/>
      <c r="F606" s="1" t="s">
        <v>14</v>
      </c>
      <c r="H606" s="24">
        <f>+AN579</f>
        <v>4</v>
      </c>
      <c r="I606" s="24"/>
      <c r="J606" s="7" t="s">
        <v>9</v>
      </c>
      <c r="K606" s="24">
        <f>+H591</f>
        <v>91</v>
      </c>
      <c r="L606" s="24"/>
      <c r="M606" s="7" t="s">
        <v>10</v>
      </c>
      <c r="N606" s="24">
        <f>+T594/2</f>
        <v>6</v>
      </c>
      <c r="O606" s="24"/>
      <c r="P606" s="7" t="s">
        <v>15</v>
      </c>
      <c r="Q606" s="24">
        <f>+N571</f>
        <v>20</v>
      </c>
      <c r="R606" s="24"/>
      <c r="S606" s="7" t="s">
        <v>10</v>
      </c>
      <c r="T606" s="24">
        <f>+T594/2</f>
        <v>6</v>
      </c>
      <c r="U606" s="24"/>
      <c r="V606" s="7" t="s">
        <v>10</v>
      </c>
      <c r="W606" s="24">
        <f>+T606/2</f>
        <v>3</v>
      </c>
      <c r="X606" s="24"/>
      <c r="Y606" s="7" t="s">
        <v>12</v>
      </c>
      <c r="Z606" s="1">
        <v>0</v>
      </c>
      <c r="AD606" s="1" t="s">
        <v>5</v>
      </c>
      <c r="AF606" s="24">
        <f>(K606*N606-Q606*T606*W606)/H606</f>
        <v>46.5</v>
      </c>
      <c r="AG606" s="24"/>
      <c r="AH606" s="1" t="s">
        <v>0</v>
      </c>
      <c r="BJ606" s="3"/>
    </row>
    <row r="607" spans="2:62" ht="11.25" customHeight="1">
      <c r="B607" s="2"/>
      <c r="F607" s="1" t="s">
        <v>16</v>
      </c>
      <c r="H607" s="24">
        <f>+AN579</f>
        <v>4</v>
      </c>
      <c r="I607" s="24"/>
      <c r="J607" s="7" t="s">
        <v>9</v>
      </c>
      <c r="K607" s="24">
        <f>+AE591</f>
        <v>33</v>
      </c>
      <c r="L607" s="24"/>
      <c r="M607" s="7" t="s">
        <v>10</v>
      </c>
      <c r="N607" s="24">
        <f>+T594/2</f>
        <v>6</v>
      </c>
      <c r="O607" s="24"/>
      <c r="P607" s="7" t="s">
        <v>15</v>
      </c>
      <c r="Q607" s="24">
        <f>+AA575</f>
        <v>4</v>
      </c>
      <c r="R607" s="24"/>
      <c r="S607" s="7" t="s">
        <v>10</v>
      </c>
      <c r="T607" s="24">
        <f>+W592</f>
        <v>3</v>
      </c>
      <c r="U607" s="24"/>
      <c r="V607" s="7" t="s">
        <v>12</v>
      </c>
      <c r="W607" s="1">
        <v>0</v>
      </c>
      <c r="AA607" s="1" t="s">
        <v>6</v>
      </c>
      <c r="AC607" s="24">
        <f>(K607*N607-Q607*T607)/H607</f>
        <v>46.5</v>
      </c>
      <c r="AD607" s="24"/>
      <c r="AE607" s="1" t="s">
        <v>0</v>
      </c>
      <c r="BJ607" s="3"/>
    </row>
    <row r="608" spans="2:62" ht="11.25" customHeight="1">
      <c r="B608" s="2"/>
      <c r="F608" s="4" t="s">
        <v>29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L608" s="7"/>
      <c r="AM608" s="7"/>
      <c r="BJ608" s="3"/>
    </row>
    <row r="609" spans="2:62" ht="11.25" customHeight="1">
      <c r="B609" s="2"/>
      <c r="F609" s="1" t="s">
        <v>19</v>
      </c>
      <c r="H609" s="24">
        <f>-H591</f>
        <v>-91</v>
      </c>
      <c r="I609" s="24"/>
      <c r="J609" s="7" t="s">
        <v>10</v>
      </c>
      <c r="K609" s="1" t="s">
        <v>20</v>
      </c>
      <c r="M609" s="24">
        <f>+AA601</f>
        <v>33.690067525979785</v>
      </c>
      <c r="N609" s="24"/>
      <c r="O609" s="1" t="s">
        <v>22</v>
      </c>
      <c r="P609" s="24">
        <f>+F586</f>
        <v>46.5</v>
      </c>
      <c r="Q609" s="24"/>
      <c r="R609" s="7" t="s">
        <v>10</v>
      </c>
      <c r="S609" s="1" t="s">
        <v>21</v>
      </c>
      <c r="U609" s="24">
        <f>+M609</f>
        <v>33.690067525979785</v>
      </c>
      <c r="V609" s="24"/>
      <c r="W609" s="1" t="s">
        <v>23</v>
      </c>
      <c r="X609" s="24">
        <f>+N571</f>
        <v>20</v>
      </c>
      <c r="Y609" s="24"/>
      <c r="Z609" s="7" t="s">
        <v>10</v>
      </c>
      <c r="AA609" s="24">
        <f>+J592</f>
        <v>3</v>
      </c>
      <c r="AB609" s="24"/>
      <c r="AC609" s="7" t="s">
        <v>10</v>
      </c>
      <c r="AD609" s="1" t="s">
        <v>20</v>
      </c>
      <c r="AF609" s="24">
        <f>+U609</f>
        <v>33.690067525979785</v>
      </c>
      <c r="AG609" s="24"/>
      <c r="AH609" s="1" t="s">
        <v>24</v>
      </c>
      <c r="AI609" s="24">
        <f>H609*SIN(M609*PI()/180)-P609*COS(U609*PI()/180)+X609*AA609*SIN(AF609*PI()/180)</f>
        <v>-55.886044769691836</v>
      </c>
      <c r="AJ609" s="24"/>
      <c r="AK609" s="1" t="s">
        <v>0</v>
      </c>
      <c r="BJ609" s="3"/>
    </row>
    <row r="610" spans="2:62" ht="11.25" customHeight="1">
      <c r="B610" s="2"/>
      <c r="F610" s="1" t="s">
        <v>25</v>
      </c>
      <c r="H610" s="24">
        <f>+H591</f>
        <v>91</v>
      </c>
      <c r="I610" s="24"/>
      <c r="J610" s="7" t="s">
        <v>10</v>
      </c>
      <c r="K610" s="1" t="s">
        <v>21</v>
      </c>
      <c r="M610" s="24">
        <f>+M609</f>
        <v>33.690067525979785</v>
      </c>
      <c r="N610" s="24"/>
      <c r="O610" s="1" t="s">
        <v>22</v>
      </c>
      <c r="P610" s="24">
        <f>+F586</f>
        <v>46.5</v>
      </c>
      <c r="Q610" s="24"/>
      <c r="R610" s="7" t="s">
        <v>10</v>
      </c>
      <c r="S610" s="1" t="s">
        <v>20</v>
      </c>
      <c r="U610" s="24">
        <f>+M610</f>
        <v>33.690067525979785</v>
      </c>
      <c r="V610" s="24"/>
      <c r="W610" s="1" t="s">
        <v>22</v>
      </c>
      <c r="X610" s="24">
        <f>+X609</f>
        <v>20</v>
      </c>
      <c r="Y610" s="24"/>
      <c r="Z610" s="7" t="s">
        <v>10</v>
      </c>
      <c r="AA610" s="24">
        <f>+AA609</f>
        <v>3</v>
      </c>
      <c r="AB610" s="24"/>
      <c r="AC610" s="7" t="s">
        <v>10</v>
      </c>
      <c r="AD610" s="1" t="s">
        <v>21</v>
      </c>
      <c r="AF610" s="24">
        <f>+U610</f>
        <v>33.690067525979785</v>
      </c>
      <c r="AG610" s="24"/>
      <c r="AH610" s="1" t="s">
        <v>24</v>
      </c>
      <c r="AI610" s="24">
        <f>H610*COS(M610*PI()/180)-P610*SIN(U610*PI()/180)-X610*AA610*COS(AF610*PI()/180)</f>
        <v>0</v>
      </c>
      <c r="AJ610" s="24"/>
      <c r="AK610" s="1" t="s">
        <v>0</v>
      </c>
      <c r="BJ610" s="3"/>
    </row>
    <row r="611" spans="2:62" ht="11.25" customHeight="1">
      <c r="B611" s="2"/>
      <c r="F611" s="1" t="s">
        <v>26</v>
      </c>
      <c r="H611" s="24">
        <f>+H591</f>
        <v>91</v>
      </c>
      <c r="I611" s="24"/>
      <c r="J611" s="7" t="s">
        <v>10</v>
      </c>
      <c r="K611" s="24">
        <f>+J592</f>
        <v>3</v>
      </c>
      <c r="L611" s="24"/>
      <c r="M611" s="7" t="s">
        <v>9</v>
      </c>
      <c r="N611" s="24">
        <f>+F586</f>
        <v>46.5</v>
      </c>
      <c r="O611" s="24"/>
      <c r="P611" s="7" t="s">
        <v>10</v>
      </c>
      <c r="Q611" s="24">
        <f>+D581</f>
        <v>3</v>
      </c>
      <c r="R611" s="24"/>
      <c r="S611" s="7" t="s">
        <v>9</v>
      </c>
      <c r="T611" s="24">
        <f>+N571</f>
        <v>20</v>
      </c>
      <c r="U611" s="24"/>
      <c r="V611" s="7" t="s">
        <v>10</v>
      </c>
      <c r="W611" s="24">
        <f>+J592</f>
        <v>3</v>
      </c>
      <c r="X611" s="24"/>
      <c r="Y611" s="7" t="s">
        <v>10</v>
      </c>
      <c r="Z611" s="24">
        <f>+W611/2</f>
        <v>1.5</v>
      </c>
      <c r="AA611" s="24"/>
      <c r="AB611" s="7" t="s">
        <v>12</v>
      </c>
      <c r="AC611" s="24">
        <f>H611*K611-N611*Q611-T611*W611*Z611</f>
        <v>43.5</v>
      </c>
      <c r="AD611" s="24"/>
      <c r="AE611" s="1" t="s">
        <v>27</v>
      </c>
      <c r="BJ611" s="3"/>
    </row>
    <row r="612" spans="2:62" ht="11.25" customHeight="1">
      <c r="B612" s="2"/>
      <c r="F612" s="1" t="s">
        <v>34</v>
      </c>
      <c r="H612" s="24">
        <f>-AE591</f>
        <v>-33</v>
      </c>
      <c r="I612" s="24"/>
      <c r="J612" s="7" t="s">
        <v>10</v>
      </c>
      <c r="K612" s="1" t="s">
        <v>20</v>
      </c>
      <c r="M612" s="24">
        <f>+AA602</f>
        <v>33.690067525979785</v>
      </c>
      <c r="N612" s="24"/>
      <c r="O612" s="1" t="s">
        <v>22</v>
      </c>
      <c r="P612" s="24">
        <f>+AI586</f>
        <v>46.5</v>
      </c>
      <c r="Q612" s="24"/>
      <c r="R612" s="7" t="s">
        <v>10</v>
      </c>
      <c r="S612" s="1" t="s">
        <v>21</v>
      </c>
      <c r="U612" s="24">
        <f>+M612</f>
        <v>33.690067525979785</v>
      </c>
      <c r="V612" s="24"/>
      <c r="W612" s="1" t="s">
        <v>24</v>
      </c>
      <c r="X612" s="24">
        <f>H612*SIN(M612*PI()/180)-P612*COS(U612*PI()/180)</f>
        <v>-56.995445162142289</v>
      </c>
      <c r="Y612" s="24"/>
      <c r="Z612" s="1" t="s">
        <v>0</v>
      </c>
      <c r="AC612" s="7"/>
      <c r="BJ612" s="3"/>
    </row>
    <row r="613" spans="2:62" ht="11.25" customHeight="1">
      <c r="B613" s="2"/>
      <c r="F613" s="1" t="s">
        <v>35</v>
      </c>
      <c r="H613" s="24">
        <f>-AE591</f>
        <v>-33</v>
      </c>
      <c r="I613" s="24"/>
      <c r="J613" s="7" t="s">
        <v>10</v>
      </c>
      <c r="K613" s="1" t="s">
        <v>21</v>
      </c>
      <c r="M613" s="24">
        <f>+M612</f>
        <v>33.690067525979785</v>
      </c>
      <c r="N613" s="24"/>
      <c r="O613" s="1" t="s">
        <v>23</v>
      </c>
      <c r="P613" s="24">
        <f>+AI586</f>
        <v>46.5</v>
      </c>
      <c r="Q613" s="24"/>
      <c r="R613" s="7" t="s">
        <v>10</v>
      </c>
      <c r="S613" s="1" t="s">
        <v>20</v>
      </c>
      <c r="U613" s="24">
        <f>+M613</f>
        <v>33.690067525979785</v>
      </c>
      <c r="V613" s="24"/>
      <c r="W613" s="1" t="s">
        <v>24</v>
      </c>
      <c r="X613" s="24">
        <f>H613*COS(M613*PI()/180)+P613*SIN(U613*PI()/180)</f>
        <v>-1.6641005886756908</v>
      </c>
      <c r="Y613" s="24"/>
      <c r="Z613" s="1" t="s">
        <v>0</v>
      </c>
      <c r="AC613" s="7"/>
      <c r="BJ613" s="3"/>
    </row>
    <row r="614" spans="2:62" ht="11.25" customHeight="1">
      <c r="B614" s="2"/>
      <c r="F614" s="1" t="s">
        <v>36</v>
      </c>
      <c r="H614" s="24">
        <f>+AE591</f>
        <v>33</v>
      </c>
      <c r="I614" s="24"/>
      <c r="J614" s="7" t="s">
        <v>10</v>
      </c>
      <c r="K614" s="24">
        <f>+AC592</f>
        <v>3</v>
      </c>
      <c r="L614" s="24"/>
      <c r="M614" s="7" t="s">
        <v>9</v>
      </c>
      <c r="N614" s="24">
        <f>+AI586</f>
        <v>46.5</v>
      </c>
      <c r="O614" s="24"/>
      <c r="P614" s="7" t="s">
        <v>10</v>
      </c>
      <c r="Q614" s="24">
        <f>+AL581</f>
        <v>3</v>
      </c>
      <c r="R614" s="24"/>
      <c r="S614" s="7" t="s">
        <v>12</v>
      </c>
      <c r="T614" s="24">
        <f>H614*K614-N614*Q614</f>
        <v>-40.5</v>
      </c>
      <c r="U614" s="24"/>
      <c r="V614" s="1" t="s">
        <v>27</v>
      </c>
      <c r="Y614" s="7"/>
      <c r="BJ614" s="3"/>
    </row>
    <row r="615" spans="2:62" ht="11.25" customHeight="1">
      <c r="B615" s="2"/>
      <c r="F615" s="1" t="s">
        <v>31</v>
      </c>
      <c r="H615" s="24">
        <f>-AE591</f>
        <v>-33</v>
      </c>
      <c r="I615" s="24"/>
      <c r="J615" s="7" t="s">
        <v>10</v>
      </c>
      <c r="K615" s="1" t="s">
        <v>20</v>
      </c>
      <c r="M615" s="24">
        <f>+AA602</f>
        <v>33.690067525979785</v>
      </c>
      <c r="N615" s="24"/>
      <c r="O615" s="1" t="s">
        <v>22</v>
      </c>
      <c r="P615" s="24">
        <f>+AI586</f>
        <v>46.5</v>
      </c>
      <c r="Q615" s="24"/>
      <c r="R615" s="7" t="s">
        <v>10</v>
      </c>
      <c r="S615" s="1" t="s">
        <v>21</v>
      </c>
      <c r="U615" s="24">
        <f>+M615</f>
        <v>33.690067525979785</v>
      </c>
      <c r="V615" s="24"/>
      <c r="W615" s="1" t="s">
        <v>23</v>
      </c>
      <c r="X615" s="24">
        <f>+AA575</f>
        <v>4</v>
      </c>
      <c r="Y615" s="24"/>
      <c r="Z615" s="7" t="s">
        <v>10</v>
      </c>
      <c r="AA615" s="1" t="s">
        <v>20</v>
      </c>
      <c r="AC615" s="24">
        <f>+U615</f>
        <v>33.690067525979785</v>
      </c>
      <c r="AD615" s="24"/>
      <c r="AE615" s="1" t="s">
        <v>24</v>
      </c>
      <c r="AF615" s="24">
        <f>H615*SIN(M615*PI()/180)-P615*COS(U615*PI()/180)+X615*SIN(AC615*PI()/180)</f>
        <v>-54.776644377241375</v>
      </c>
      <c r="AG615" s="24"/>
      <c r="AH615" s="1" t="s">
        <v>0</v>
      </c>
      <c r="AV615" s="25" t="s">
        <v>59</v>
      </c>
      <c r="AW615" s="26"/>
      <c r="AX615" s="33" t="s">
        <v>48</v>
      </c>
      <c r="AY615" s="25"/>
      <c r="AZ615" s="25" t="s">
        <v>58</v>
      </c>
      <c r="BA615" s="25"/>
      <c r="BB615" s="56" t="s">
        <v>66</v>
      </c>
      <c r="BC615" s="25"/>
      <c r="BD615" s="25" t="s">
        <v>62</v>
      </c>
      <c r="BE615" s="25"/>
      <c r="BF615" s="25" t="s">
        <v>65</v>
      </c>
      <c r="BG615" s="25"/>
      <c r="BH615" s="25" t="s">
        <v>63</v>
      </c>
      <c r="BI615" s="25"/>
      <c r="BJ615" s="3"/>
    </row>
    <row r="616" spans="2:62" ht="11.25" customHeight="1" thickBot="1">
      <c r="B616" s="2"/>
      <c r="F616" s="1" t="s">
        <v>32</v>
      </c>
      <c r="H616" s="24">
        <f>-AE591</f>
        <v>-33</v>
      </c>
      <c r="I616" s="24"/>
      <c r="J616" s="7" t="s">
        <v>10</v>
      </c>
      <c r="K616" s="1" t="s">
        <v>21</v>
      </c>
      <c r="M616" s="24">
        <f>+M615</f>
        <v>33.690067525979785</v>
      </c>
      <c r="N616" s="24"/>
      <c r="O616" s="1" t="s">
        <v>23</v>
      </c>
      <c r="P616" s="24">
        <f>+AI586</f>
        <v>46.5</v>
      </c>
      <c r="Q616" s="24"/>
      <c r="R616" s="7" t="s">
        <v>10</v>
      </c>
      <c r="S616" s="1" t="s">
        <v>20</v>
      </c>
      <c r="U616" s="24">
        <f>+M616</f>
        <v>33.690067525979785</v>
      </c>
      <c r="V616" s="24"/>
      <c r="W616" s="1" t="s">
        <v>23</v>
      </c>
      <c r="X616" s="24">
        <f>+X615</f>
        <v>4</v>
      </c>
      <c r="Y616" s="24"/>
      <c r="Z616" s="7" t="s">
        <v>10</v>
      </c>
      <c r="AA616" s="1" t="s">
        <v>21</v>
      </c>
      <c r="AC616" s="24">
        <f>+U616</f>
        <v>33.690067525979785</v>
      </c>
      <c r="AD616" s="24"/>
      <c r="AE616" s="1" t="s">
        <v>24</v>
      </c>
      <c r="AF616" s="24">
        <f>H616*COS(M616*PI()/180)+P616*SIN(U616*PI()/180)+X616*COS(AC616*PI()/180)</f>
        <v>1.6641005886756841</v>
      </c>
      <c r="AG616" s="24"/>
      <c r="AH616" s="1" t="s">
        <v>0</v>
      </c>
      <c r="AV616" s="57"/>
      <c r="AW616" s="61"/>
      <c r="AX616" s="47" t="s">
        <v>60</v>
      </c>
      <c r="AY616" s="57"/>
      <c r="AZ616" s="57" t="s">
        <v>60</v>
      </c>
      <c r="BA616" s="57"/>
      <c r="BB616" s="57" t="s">
        <v>67</v>
      </c>
      <c r="BC616" s="57"/>
      <c r="BD616" s="57" t="s">
        <v>61</v>
      </c>
      <c r="BE616" s="57"/>
      <c r="BF616" s="57" t="s">
        <v>61</v>
      </c>
      <c r="BG616" s="57"/>
      <c r="BH616" s="57" t="s">
        <v>64</v>
      </c>
      <c r="BI616" s="57"/>
      <c r="BJ616" s="3"/>
    </row>
    <row r="617" spans="2:62" ht="11.25" customHeight="1" thickTop="1">
      <c r="B617" s="2"/>
      <c r="F617" s="1" t="s">
        <v>37</v>
      </c>
      <c r="J617" s="24">
        <f>+T614</f>
        <v>-40.5</v>
      </c>
      <c r="K617" s="24"/>
      <c r="L617" s="1" t="s">
        <v>27</v>
      </c>
      <c r="AU617" s="63" t="s">
        <v>91</v>
      </c>
      <c r="AV617" s="58">
        <v>0</v>
      </c>
      <c r="AW617" s="59"/>
      <c r="AX617" s="60">
        <v>0</v>
      </c>
      <c r="AY617" s="54"/>
      <c r="AZ617" s="54">
        <f>$H$628-$Y$629+SQRT($Y$629^2-($W$657/2-AX617)^2)</f>
        <v>0</v>
      </c>
      <c r="BA617" s="54"/>
      <c r="BB617" s="54">
        <f>ASIN(($Y$629-$H$628+AZ617)/$Y$629)*180/PI()</f>
        <v>46.397181027296376</v>
      </c>
      <c r="BC617" s="54"/>
      <c r="BD617" s="54">
        <f>IF(AX617&lt;=$W$657/2,-$K$653*COS(BB617*PI()/180)+$I$648*SIN(BB617*PI()/180)+$Q$621*AX617*COS(BB617*PI()/180)-$E$629*AZ617*SIN(BB617*PI()/180)-$D$642*$H$640*SIN(BB617*PI()/180)-$BA$663*SIN(BB617*PI()/180),-$AH$653*COS(BB617*PI()/180)+$AB$620*($W$657-AX617)*COS(BB617*PI()/180)-$BA$663*SIN(BB617*PI()/180))</f>
        <v>-414.04525862068965</v>
      </c>
      <c r="BE617" s="54"/>
      <c r="BF617" s="54">
        <f>IF(AX617&lt;=$W$657/2,$K$653*SIN(BB617*PI()/180)+$I$648*COS(BB617*PI()/180)-$Q$621*AX617*SIN(BB617*PI()/180)-$E$629*AZ617*COS(BB617*PI()/180)-$D$642*$H$640*COS(BB617*PI()/180)-$BA$663*COS(BB617*PI()/180),-$AH$653*SIN(BB617*PI()/180)+$AB$620*($W$657-AX617)*SIN(BB617*PI()/180)+$BA$663*COS(BB617*PI()/180))</f>
        <v>-27.168103448275929</v>
      </c>
      <c r="BG617" s="54"/>
      <c r="BH617" s="54">
        <f>IF(AX617&lt;=$W$657/2,$K$653*AX617+$I$648*($H$640+AZ617)-$Q$621*AX617*AX617/2-$E$629*AZ617*AZ617/2-$D$642*$H$640*($H$640/2+AZ617)-$BA$663*AZ617,$AH$653*($W$657-AX617)-$AB$620*($W$657-AX617)*($W$657-AX617)/2-$BA$663*AZ617)</f>
        <v>317.25</v>
      </c>
      <c r="BI617" s="54"/>
      <c r="BJ617" s="3"/>
    </row>
    <row r="618" spans="2:62" ht="11.25" customHeight="1">
      <c r="B618" s="2"/>
      <c r="AU618" s="63"/>
      <c r="AV618" s="25">
        <v>1</v>
      </c>
      <c r="AW618" s="26"/>
      <c r="AX618" s="30">
        <f>$W$657/32+AX617</f>
        <v>0.9375</v>
      </c>
      <c r="AY618" s="28"/>
      <c r="AZ618" s="54">
        <f t="shared" ref="AZ618:AZ649" si="0">$H$628-$Y$629+SQRT($Y$629^2-($W$657/2-AX618)^2)</f>
        <v>0.84242579462086908</v>
      </c>
      <c r="BA618" s="54"/>
      <c r="BB618" s="54">
        <f t="shared" ref="BB618:BB649" si="1">ASIN(($Y$629-$H$628+AZ618)/$Y$629)*180/PI()</f>
        <v>49.717881644014774</v>
      </c>
      <c r="BC618" s="54"/>
      <c r="BD618" s="54">
        <f t="shared" ref="BD618:BD649" si="2">IF(AX618&lt;=$W$657/2,-$K$653*COS(BB618*PI()/180)+$I$648*SIN(BB618*PI()/180)+$Q$621*AX618*COS(BB618*PI()/180)-$E$629*AZ618*SIN(BB618*PI()/180)-$D$642*$H$640*SIN(BB618*PI()/180)-$BA$663*SIN(BB618*PI()/180),-$AH$653*COS(BB618*PI()/180)+$AB$620*($W$657-AX618)*COS(BB618*PI()/180)-$BA$663*SIN(BB618*PI()/180))</f>
        <v>-407.94220940582443</v>
      </c>
      <c r="BE618" s="54"/>
      <c r="BF618" s="54">
        <f t="shared" ref="BF618:BF649" si="3">IF(AX618&lt;=$W$657/2,$K$653*SIN(BB618*PI()/180)+$I$648*COS(BB618*PI()/180)-$Q$621*AX618*SIN(BB618*PI()/180)-$E$629*AZ618*COS(BB618*PI()/180)-$D$642*$H$640*COS(BB618*PI()/180)-$BA$663*COS(BB618*PI()/180),-$AH$653*SIN(BB618*PI()/180)+$AB$620*($W$657-AX618)*SIN(BB618*PI()/180)+$BA$663*COS(BB618*PI()/180))</f>
        <v>-21.800222236743252</v>
      </c>
      <c r="BG618" s="54"/>
      <c r="BH618" s="54">
        <f t="shared" ref="BH618:BH649" si="4">IF(AX618&lt;=$W$657/2,$K$653*AX618+$I$648*($H$640+AZ618)-$Q$621*AX618*AX618/2-$E$629*AZ618*AZ618/2-$D$642*$H$640*($H$640/2+AZ618)-$BA$663*AZ618,$AH$653*($W$657-AX618)-$AB$620*($W$657-AX618)*($W$657-AX618)/2-$BA$663*AZ618)</f>
        <v>286.51475792331888</v>
      </c>
      <c r="BI618" s="54"/>
      <c r="BJ618" s="3"/>
    </row>
    <row r="619" spans="2:62" ht="11.25" customHeight="1">
      <c r="B619" s="2"/>
      <c r="AU619" s="63"/>
      <c r="AV619" s="25">
        <v>2</v>
      </c>
      <c r="AW619" s="26"/>
      <c r="AX619" s="30">
        <f t="shared" ref="AX619:AX649" si="5">$W$657/32+AX618</f>
        <v>1.875</v>
      </c>
      <c r="AY619" s="28"/>
      <c r="AZ619" s="54">
        <f t="shared" si="0"/>
        <v>1.5934966197707681</v>
      </c>
      <c r="BA619" s="54"/>
      <c r="BB619" s="54">
        <f t="shared" si="1"/>
        <v>52.88273653282085</v>
      </c>
      <c r="BC619" s="54"/>
      <c r="BD619" s="54">
        <f t="shared" si="2"/>
        <v>-402.0001812802119</v>
      </c>
      <c r="BE619" s="54"/>
      <c r="BF619" s="54">
        <f t="shared" si="3"/>
        <v>-17.822019174058909</v>
      </c>
      <c r="BG619" s="54"/>
      <c r="BH619" s="54">
        <f t="shared" si="4"/>
        <v>262.82418215539121</v>
      </c>
      <c r="BI619" s="54"/>
      <c r="BJ619" s="3"/>
    </row>
    <row r="620" spans="2:62" ht="11.25" customHeight="1">
      <c r="B620" s="2"/>
      <c r="E620" s="12" t="s">
        <v>99</v>
      </c>
      <c r="AB620" s="34">
        <v>15</v>
      </c>
      <c r="AC620" s="34"/>
      <c r="AD620" s="1" t="s">
        <v>3</v>
      </c>
      <c r="AF620" s="13"/>
      <c r="AU620" s="63"/>
      <c r="AV620" s="25">
        <v>3</v>
      </c>
      <c r="AW620" s="26"/>
      <c r="AX620" s="30">
        <f t="shared" si="5"/>
        <v>2.8125</v>
      </c>
      <c r="AY620" s="28"/>
      <c r="AZ620" s="54">
        <f t="shared" si="0"/>
        <v>2.2646424818812321</v>
      </c>
      <c r="BA620" s="54"/>
      <c r="BB620" s="54">
        <f t="shared" si="1"/>
        <v>55.92035177807503</v>
      </c>
      <c r="BC620" s="54"/>
      <c r="BD620" s="54">
        <f t="shared" si="2"/>
        <v>-396.32036921458644</v>
      </c>
      <c r="BE620" s="54"/>
      <c r="BF620" s="54">
        <f t="shared" si="3"/>
        <v>-15.032812895129553</v>
      </c>
      <c r="BG620" s="54"/>
      <c r="BH620" s="54">
        <f t="shared" si="4"/>
        <v>243.97728208274521</v>
      </c>
      <c r="BI620" s="54"/>
      <c r="BJ620" s="3"/>
    </row>
    <row r="621" spans="2:62" ht="11.25" customHeight="1">
      <c r="B621" s="2"/>
      <c r="Q621" s="34">
        <v>20</v>
      </c>
      <c r="R621" s="34"/>
      <c r="S621" s="1" t="s">
        <v>3</v>
      </c>
      <c r="AF621" s="13"/>
      <c r="AU621" s="63"/>
      <c r="AV621" s="25">
        <v>4</v>
      </c>
      <c r="AW621" s="26"/>
      <c r="AX621" s="30">
        <f t="shared" si="5"/>
        <v>3.75</v>
      </c>
      <c r="AY621" s="28"/>
      <c r="AZ621" s="54">
        <f t="shared" si="0"/>
        <v>2.8645104689862855</v>
      </c>
      <c r="BA621" s="54"/>
      <c r="BB621" s="54">
        <f t="shared" si="1"/>
        <v>58.852610078491033</v>
      </c>
      <c r="BC621" s="54"/>
      <c r="BD621" s="54">
        <f t="shared" si="2"/>
        <v>-390.97932975559405</v>
      </c>
      <c r="BE621" s="54"/>
      <c r="BF621" s="54">
        <f t="shared" si="3"/>
        <v>-13.268477307632594</v>
      </c>
      <c r="BG621" s="54"/>
      <c r="BH621" s="54">
        <f t="shared" si="4"/>
        <v>228.30895281582843</v>
      </c>
      <c r="BI621" s="54"/>
      <c r="BJ621" s="3"/>
    </row>
    <row r="622" spans="2:62" ht="11.25" customHeight="1">
      <c r="B622" s="2"/>
      <c r="AF622" s="18"/>
      <c r="AU622" s="63"/>
      <c r="AV622" s="25">
        <v>5</v>
      </c>
      <c r="AW622" s="26"/>
      <c r="AX622" s="30">
        <f t="shared" si="5"/>
        <v>4.6875</v>
      </c>
      <c r="AY622" s="28"/>
      <c r="AZ622" s="54">
        <f t="shared" si="0"/>
        <v>3.3998000968678532</v>
      </c>
      <c r="BA622" s="54"/>
      <c r="BB622" s="54">
        <f t="shared" si="1"/>
        <v>61.69676436500157</v>
      </c>
      <c r="BC622" s="54"/>
      <c r="BD622" s="54">
        <f t="shared" si="2"/>
        <v>-386.03637671968352</v>
      </c>
      <c r="BE622" s="54"/>
      <c r="BF622" s="54">
        <f t="shared" si="3"/>
        <v>-12.390802187044471</v>
      </c>
      <c r="BG622" s="54"/>
      <c r="BH622" s="54">
        <f t="shared" si="4"/>
        <v>214.52911884688388</v>
      </c>
      <c r="BI622" s="54"/>
      <c r="BJ622" s="3"/>
    </row>
    <row r="623" spans="2:62" ht="11.25" customHeight="1">
      <c r="B623" s="2"/>
      <c r="AF623" s="18"/>
      <c r="AU623" s="63"/>
      <c r="AV623" s="25">
        <v>6</v>
      </c>
      <c r="AW623" s="26"/>
      <c r="AX623" s="30">
        <f t="shared" si="5"/>
        <v>5.625</v>
      </c>
      <c r="AY623" s="28"/>
      <c r="AZ623" s="54">
        <f t="shared" si="0"/>
        <v>3.8757961621942876</v>
      </c>
      <c r="BA623" s="54"/>
      <c r="BB623" s="54">
        <f t="shared" si="1"/>
        <v>64.466771055921072</v>
      </c>
      <c r="BC623" s="54"/>
      <c r="BD623" s="54">
        <f t="shared" si="2"/>
        <v>-381.53829878080637</v>
      </c>
      <c r="BE623" s="54"/>
      <c r="BF623" s="54">
        <f t="shared" si="3"/>
        <v>-12.280536243127386</v>
      </c>
      <c r="BG623" s="54"/>
      <c r="BH623" s="54">
        <f t="shared" si="4"/>
        <v>201.62012651746227</v>
      </c>
      <c r="BI623" s="54"/>
      <c r="BJ623" s="3"/>
    </row>
    <row r="624" spans="2:62" ht="11.25" customHeight="1">
      <c r="B624" s="2"/>
      <c r="W624" s="1" t="s">
        <v>18</v>
      </c>
      <c r="AF624" s="18"/>
      <c r="AK624" s="5"/>
      <c r="AU624" s="63"/>
      <c r="AV624" s="25">
        <v>7</v>
      </c>
      <c r="AW624" s="26"/>
      <c r="AX624" s="30">
        <f t="shared" si="5"/>
        <v>6.5625</v>
      </c>
      <c r="AY624" s="28"/>
      <c r="AZ624" s="54">
        <f t="shared" si="0"/>
        <v>4.2967227683230043</v>
      </c>
      <c r="BA624" s="54"/>
      <c r="BB624" s="54">
        <f t="shared" si="1"/>
        <v>67.174176563384322</v>
      </c>
      <c r="BC624" s="54"/>
      <c r="BD624" s="54">
        <f t="shared" si="2"/>
        <v>-377.52249381954937</v>
      </c>
      <c r="BE624" s="54"/>
      <c r="BF624" s="54">
        <f t="shared" si="3"/>
        <v>-12.832635766727265</v>
      </c>
      <c r="BG624" s="54"/>
      <c r="BH624" s="54">
        <f t="shared" si="4"/>
        <v>188.76857192480156</v>
      </c>
      <c r="BI624" s="54"/>
      <c r="BJ624" s="3"/>
    </row>
    <row r="625" spans="2:70" ht="11.25" customHeight="1">
      <c r="B625" s="2"/>
      <c r="J625" s="37" t="s">
        <v>71</v>
      </c>
      <c r="AF625" s="18"/>
      <c r="AK625" s="5"/>
      <c r="AU625" s="63"/>
      <c r="AV625" s="25">
        <v>8</v>
      </c>
      <c r="AW625" s="26"/>
      <c r="AX625" s="30">
        <f t="shared" si="5"/>
        <v>7.5</v>
      </c>
      <c r="AY625" s="28"/>
      <c r="AZ625" s="54">
        <f t="shared" si="0"/>
        <v>4.6659863832243005</v>
      </c>
      <c r="BA625" s="54"/>
      <c r="BB625" s="54">
        <f t="shared" si="1"/>
        <v>69.828728653535038</v>
      </c>
      <c r="BC625" s="54"/>
      <c r="BD625" s="54">
        <f t="shared" si="2"/>
        <v>-374.019120823891</v>
      </c>
      <c r="BE625" s="54"/>
      <c r="BF625" s="54">
        <f t="shared" si="3"/>
        <v>-13.952897049992643</v>
      </c>
      <c r="BG625" s="54"/>
      <c r="BH625" s="54">
        <f t="shared" si="4"/>
        <v>175.31849708037043</v>
      </c>
      <c r="BI625" s="54"/>
      <c r="BJ625" s="3"/>
      <c r="BN625" s="24"/>
      <c r="BO625" s="24"/>
      <c r="BP625" s="24"/>
      <c r="BQ625" s="24"/>
      <c r="BR625" s="24"/>
    </row>
    <row r="626" spans="2:70" ht="11.25" customHeight="1">
      <c r="B626" s="2"/>
      <c r="E626" s="37" t="s">
        <v>3</v>
      </c>
      <c r="J626" s="37"/>
      <c r="P626" s="1" t="s">
        <v>17</v>
      </c>
      <c r="AF626" s="18"/>
      <c r="AK626" s="5"/>
      <c r="AU626" s="63"/>
      <c r="AV626" s="25">
        <v>9</v>
      </c>
      <c r="AW626" s="26"/>
      <c r="AX626" s="30">
        <f t="shared" si="5"/>
        <v>8.4375</v>
      </c>
      <c r="AY626" s="28"/>
      <c r="AZ626" s="54">
        <f t="shared" si="0"/>
        <v>4.9863471650626074</v>
      </c>
      <c r="BA626" s="54"/>
      <c r="BB626" s="54">
        <f t="shared" si="1"/>
        <v>72.438811688447643</v>
      </c>
      <c r="BC626" s="54"/>
      <c r="BD626" s="54">
        <f t="shared" si="2"/>
        <v>-371.05261671137328</v>
      </c>
      <c r="BE626" s="54"/>
      <c r="BF626" s="54">
        <f t="shared" si="3"/>
        <v>-15.555490299268001</v>
      </c>
      <c r="BG626" s="54"/>
      <c r="BH626" s="54">
        <f t="shared" si="4"/>
        <v>160.73839902763166</v>
      </c>
      <c r="BI626" s="54"/>
      <c r="BJ626" s="3"/>
    </row>
    <row r="627" spans="2:70" ht="11.25" customHeight="1">
      <c r="B627" s="2"/>
      <c r="E627" s="37"/>
      <c r="H627" s="5" t="s">
        <v>1</v>
      </c>
      <c r="J627" s="37"/>
      <c r="AF627" s="18"/>
      <c r="AK627" s="5"/>
      <c r="AU627" s="63"/>
      <c r="AV627" s="25">
        <v>10</v>
      </c>
      <c r="AW627" s="26"/>
      <c r="AX627" s="30">
        <f t="shared" si="5"/>
        <v>9.375</v>
      </c>
      <c r="AY627" s="28"/>
      <c r="AZ627" s="54">
        <f t="shared" si="0"/>
        <v>5.2600422417471577</v>
      </c>
      <c r="BA627" s="54"/>
      <c r="BB627" s="54">
        <f t="shared" si="1"/>
        <v>75.011765517694855</v>
      </c>
      <c r="BC627" s="54"/>
      <c r="BD627" s="54">
        <f t="shared" si="2"/>
        <v>-368.64278777822699</v>
      </c>
      <c r="BE627" s="54"/>
      <c r="BF627" s="54">
        <f t="shared" si="3"/>
        <v>-17.561098973870884</v>
      </c>
      <c r="BG627" s="54"/>
      <c r="BH627" s="54">
        <f t="shared" si="4"/>
        <v>144.59749082356325</v>
      </c>
      <c r="BI627" s="54"/>
      <c r="BJ627" s="3"/>
    </row>
    <row r="628" spans="2:70" ht="11.25" customHeight="1">
      <c r="B628" s="2"/>
      <c r="E628" s="37"/>
      <c r="H628" s="38">
        <v>6</v>
      </c>
      <c r="L628" s="1" t="s">
        <v>58</v>
      </c>
      <c r="AF628" s="18"/>
      <c r="AU628" s="63"/>
      <c r="AV628" s="25">
        <v>11</v>
      </c>
      <c r="AW628" s="26"/>
      <c r="AX628" s="30">
        <f t="shared" si="5"/>
        <v>10.3125</v>
      </c>
      <c r="AY628" s="28"/>
      <c r="AZ628" s="54">
        <f t="shared" si="0"/>
        <v>5.4888757647385837</v>
      </c>
      <c r="BA628" s="54"/>
      <c r="BB628" s="54">
        <f t="shared" si="1"/>
        <v>77.554125520211159</v>
      </c>
      <c r="BC628" s="54"/>
      <c r="BD628" s="54">
        <f t="shared" si="2"/>
        <v>-366.80560698609071</v>
      </c>
      <c r="BE628" s="54"/>
      <c r="BF628" s="54">
        <f t="shared" si="3"/>
        <v>-19.895475515179726</v>
      </c>
      <c r="BG628" s="54"/>
      <c r="BH628" s="54">
        <f t="shared" si="4"/>
        <v>126.5483605525269</v>
      </c>
      <c r="BI628" s="54"/>
      <c r="BJ628" s="3"/>
    </row>
    <row r="629" spans="2:70" ht="11.25" customHeight="1">
      <c r="B629" s="2"/>
      <c r="E629" s="38">
        <v>8</v>
      </c>
      <c r="H629" s="38"/>
      <c r="J629" s="5"/>
      <c r="X629" s="1" t="s">
        <v>2</v>
      </c>
      <c r="Y629" s="24">
        <f>(W657^2+4*H628^2)/(8*H628)</f>
        <v>21.75</v>
      </c>
      <c r="Z629" s="24"/>
      <c r="AA629" s="1" t="s">
        <v>1</v>
      </c>
      <c r="AF629" s="18"/>
      <c r="AK629" s="5"/>
      <c r="AU629" s="63"/>
      <c r="AV629" s="25">
        <v>12</v>
      </c>
      <c r="AW629" s="26"/>
      <c r="AX629" s="30">
        <f t="shared" si="5"/>
        <v>11.25</v>
      </c>
      <c r="AY629" s="28"/>
      <c r="AZ629" s="54">
        <f t="shared" si="0"/>
        <v>5.6742852856285495</v>
      </c>
      <c r="BA629" s="54"/>
      <c r="BB629" s="54">
        <f t="shared" si="1"/>
        <v>80.071808157713519</v>
      </c>
      <c r="BC629" s="54"/>
      <c r="BD629" s="54">
        <f t="shared" si="2"/>
        <v>-365.55380162362519</v>
      </c>
      <c r="BE629" s="54"/>
      <c r="BF629" s="54">
        <f t="shared" si="3"/>
        <v>-22.488288391668483</v>
      </c>
      <c r="BG629" s="54"/>
      <c r="BH629" s="54">
        <f t="shared" si="4"/>
        <v>106.31418968615208</v>
      </c>
      <c r="BI629" s="54"/>
      <c r="BJ629" s="3"/>
    </row>
    <row r="630" spans="2:70" ht="11.25" customHeight="1">
      <c r="B630" s="2"/>
      <c r="E630" s="38"/>
      <c r="H630" s="38"/>
      <c r="J630" s="37" t="s">
        <v>58</v>
      </c>
      <c r="AF630" s="18"/>
      <c r="AK630" s="5"/>
      <c r="AU630" s="63"/>
      <c r="AV630" s="25">
        <v>13</v>
      </c>
      <c r="AW630" s="26"/>
      <c r="AX630" s="30">
        <f t="shared" si="5"/>
        <v>12.1875</v>
      </c>
      <c r="AY630" s="28"/>
      <c r="AZ630" s="54">
        <f t="shared" si="0"/>
        <v>5.8173907496943187</v>
      </c>
      <c r="BA630" s="54"/>
      <c r="BB630" s="54">
        <f t="shared" si="1"/>
        <v>82.570258389182214</v>
      </c>
      <c r="BC630" s="54"/>
      <c r="BD630" s="54">
        <f t="shared" si="2"/>
        <v>-364.89728706841441</v>
      </c>
      <c r="BE630" s="54"/>
      <c r="BF630" s="54">
        <f t="shared" si="3"/>
        <v>-25.272174840511877</v>
      </c>
      <c r="BG630" s="54"/>
      <c r="BH630" s="54">
        <f t="shared" si="4"/>
        <v>83.679318761987361</v>
      </c>
      <c r="BI630" s="54"/>
      <c r="BJ630" s="3"/>
    </row>
    <row r="631" spans="2:70" ht="11.25" customHeight="1">
      <c r="B631" s="2"/>
      <c r="E631" s="38"/>
      <c r="H631" s="37" t="s">
        <v>42</v>
      </c>
      <c r="J631" s="37"/>
      <c r="AF631" s="18"/>
      <c r="AK631" s="5"/>
      <c r="AU631" s="63"/>
      <c r="AV631" s="25">
        <v>14</v>
      </c>
      <c r="AW631" s="26"/>
      <c r="AX631" s="30">
        <f t="shared" si="5"/>
        <v>13.125</v>
      </c>
      <c r="AY631" s="28"/>
      <c r="AZ631" s="54">
        <f t="shared" si="0"/>
        <v>5.919030319790501</v>
      </c>
      <c r="BA631" s="54"/>
      <c r="BB631" s="54">
        <f t="shared" si="1"/>
        <v>85.054570282116671</v>
      </c>
      <c r="BC631" s="54"/>
      <c r="BD631" s="54">
        <f t="shared" si="2"/>
        <v>-364.84348395193831</v>
      </c>
      <c r="BE631" s="54"/>
      <c r="BF631" s="54">
        <f t="shared" si="3"/>
        <v>-28.181938619198316</v>
      </c>
      <c r="BG631" s="54"/>
      <c r="BH631" s="54">
        <f t="shared" si="4"/>
        <v>58.48234904534138</v>
      </c>
      <c r="BI631" s="54"/>
      <c r="BJ631" s="3"/>
    </row>
    <row r="632" spans="2:70" ht="11.25" customHeight="1">
      <c r="B632" s="2"/>
      <c r="H632" s="37"/>
      <c r="J632" s="37"/>
      <c r="AF632" s="18"/>
      <c r="AK632" s="5"/>
      <c r="AU632" s="63"/>
      <c r="AV632" s="25">
        <v>15</v>
      </c>
      <c r="AW632" s="26"/>
      <c r="AX632" s="30">
        <f t="shared" si="5"/>
        <v>14.0625</v>
      </c>
      <c r="AY632" s="28"/>
      <c r="AZ632" s="54">
        <f t="shared" si="0"/>
        <v>5.9797858652587728</v>
      </c>
      <c r="BA632" s="54"/>
      <c r="BB632" s="54">
        <f t="shared" si="1"/>
        <v>87.529588962499972</v>
      </c>
      <c r="BC632" s="54"/>
      <c r="BD632" s="54">
        <f t="shared" si="2"/>
        <v>-365.39754382431681</v>
      </c>
      <c r="BE632" s="54"/>
      <c r="BF632" s="54">
        <f t="shared" si="3"/>
        <v>-31.153848065186722</v>
      </c>
      <c r="BG632" s="54"/>
      <c r="BH632" s="54">
        <f t="shared" si="4"/>
        <v>30.611234321107986</v>
      </c>
      <c r="BI632" s="54"/>
      <c r="BJ632" s="3"/>
    </row>
    <row r="633" spans="2:70" ht="11.25" customHeight="1">
      <c r="B633" s="2"/>
      <c r="M633" s="1" t="s">
        <v>84</v>
      </c>
      <c r="O633" s="1" t="s">
        <v>48</v>
      </c>
      <c r="V633" s="1" t="s">
        <v>76</v>
      </c>
      <c r="AF633" s="18"/>
      <c r="AH633" s="1" t="s">
        <v>33</v>
      </c>
      <c r="AU633" s="63"/>
      <c r="AV633" s="25">
        <v>16</v>
      </c>
      <c r="AW633" s="26"/>
      <c r="AX633" s="30">
        <f t="shared" si="5"/>
        <v>15</v>
      </c>
      <c r="AY633" s="28"/>
      <c r="AZ633" s="54">
        <f t="shared" si="0"/>
        <v>6</v>
      </c>
      <c r="BA633" s="54"/>
      <c r="BB633" s="54">
        <f t="shared" si="1"/>
        <v>90</v>
      </c>
      <c r="BC633" s="54"/>
      <c r="BD633" s="54">
        <f t="shared" si="2"/>
        <v>-366.5625</v>
      </c>
      <c r="BE633" s="54"/>
      <c r="BF633" s="54">
        <f t="shared" si="3"/>
        <v>-34.125000000000021</v>
      </c>
      <c r="BG633" s="54"/>
      <c r="BH633" s="54">
        <f t="shared" si="4"/>
        <v>0</v>
      </c>
      <c r="BI633" s="54"/>
      <c r="BJ633" s="3"/>
    </row>
    <row r="634" spans="2:70" ht="11.25" customHeight="1">
      <c r="B634" s="2"/>
      <c r="AF634" s="18"/>
      <c r="AU634" s="63"/>
      <c r="AV634" s="25">
        <v>17</v>
      </c>
      <c r="AW634" s="26"/>
      <c r="AX634" s="30">
        <f t="shared" si="5"/>
        <v>15.9375</v>
      </c>
      <c r="AY634" s="28"/>
      <c r="AZ634" s="54">
        <f t="shared" si="0"/>
        <v>5.9797858652587728</v>
      </c>
      <c r="BA634" s="54"/>
      <c r="BB634" s="54">
        <f t="shared" si="1"/>
        <v>87.529588962499972</v>
      </c>
      <c r="BC634" s="54"/>
      <c r="BD634" s="54">
        <f t="shared" si="2"/>
        <v>-368.29886953949062</v>
      </c>
      <c r="BE634" s="54"/>
      <c r="BF634" s="54">
        <f t="shared" si="3"/>
        <v>-32.342607477339719</v>
      </c>
      <c r="BG634" s="54"/>
      <c r="BH634" s="54">
        <f t="shared" si="4"/>
        <v>-31.174240608918808</v>
      </c>
      <c r="BI634" s="54"/>
      <c r="BJ634" s="3"/>
    </row>
    <row r="635" spans="2:70" ht="11.25" customHeight="1">
      <c r="B635" s="2"/>
      <c r="AF635" s="18"/>
      <c r="AU635" s="63"/>
      <c r="AV635" s="25">
        <v>18</v>
      </c>
      <c r="AW635" s="26"/>
      <c r="AX635" s="30">
        <f t="shared" si="5"/>
        <v>16.875</v>
      </c>
      <c r="AY635" s="28"/>
      <c r="AZ635" s="54">
        <f t="shared" si="0"/>
        <v>5.919030319790501</v>
      </c>
      <c r="BA635" s="54"/>
      <c r="BB635" s="54">
        <f t="shared" si="1"/>
        <v>85.054570282116671</v>
      </c>
      <c r="BC635" s="54"/>
      <c r="BD635" s="54">
        <f t="shared" si="2"/>
        <v>-370.56426099302092</v>
      </c>
      <c r="BE635" s="54"/>
      <c r="BF635" s="54">
        <f t="shared" si="3"/>
        <v>-30.418043673883211</v>
      </c>
      <c r="BG635" s="54"/>
      <c r="BH635" s="54">
        <f t="shared" si="4"/>
        <v>-60.671114098205635</v>
      </c>
      <c r="BI635" s="54"/>
      <c r="BJ635" s="3"/>
    </row>
    <row r="636" spans="2:70" ht="11.25" customHeight="1">
      <c r="B636" s="2"/>
      <c r="AF636" s="18"/>
      <c r="AU636" s="63"/>
      <c r="AV636" s="25">
        <v>19</v>
      </c>
      <c r="AW636" s="26"/>
      <c r="AX636" s="30">
        <f t="shared" si="5"/>
        <v>17.8125</v>
      </c>
      <c r="AY636" s="28"/>
      <c r="AZ636" s="54">
        <f t="shared" si="0"/>
        <v>5.8173907496943187</v>
      </c>
      <c r="BA636" s="54"/>
      <c r="BB636" s="54">
        <f t="shared" si="1"/>
        <v>82.570258389182214</v>
      </c>
      <c r="BC636" s="54"/>
      <c r="BD636" s="54">
        <f t="shared" si="2"/>
        <v>-373.35290013493443</v>
      </c>
      <c r="BE636" s="54"/>
      <c r="BF636" s="54">
        <f t="shared" si="3"/>
        <v>-28.271470130393105</v>
      </c>
      <c r="BG636" s="54"/>
      <c r="BH636" s="54">
        <f t="shared" si="4"/>
        <v>-88.36503105982365</v>
      </c>
      <c r="BI636" s="54"/>
      <c r="BJ636" s="3"/>
    </row>
    <row r="637" spans="2:70" ht="11.25" customHeight="1">
      <c r="B637" s="2"/>
      <c r="AF637" s="18"/>
      <c r="AU637" s="63"/>
      <c r="AV637" s="25">
        <v>20</v>
      </c>
      <c r="AW637" s="26"/>
      <c r="AX637" s="30">
        <f t="shared" si="5"/>
        <v>18.75</v>
      </c>
      <c r="AY637" s="28"/>
      <c r="AZ637" s="54">
        <f t="shared" si="0"/>
        <v>5.6742852856285495</v>
      </c>
      <c r="BA637" s="54"/>
      <c r="BB637" s="54">
        <f t="shared" si="1"/>
        <v>80.071808157713519</v>
      </c>
      <c r="BC637" s="54"/>
      <c r="BD637" s="54">
        <f t="shared" si="2"/>
        <v>-376.65498046037771</v>
      </c>
      <c r="BE637" s="54"/>
      <c r="BF637" s="54">
        <f t="shared" si="3"/>
        <v>-25.821168169594522</v>
      </c>
      <c r="BG637" s="54"/>
      <c r="BH637" s="54">
        <f t="shared" si="4"/>
        <v>-114.04270001321538</v>
      </c>
      <c r="BI637" s="54"/>
      <c r="BJ637" s="3"/>
    </row>
    <row r="638" spans="2:70" ht="11.25" customHeight="1">
      <c r="B638" s="2"/>
      <c r="U638" s="65" t="s">
        <v>70</v>
      </c>
      <c r="V638" s="24"/>
      <c r="W638" s="8"/>
      <c r="AA638" s="8"/>
      <c r="AF638" s="18"/>
      <c r="AU638" s="63"/>
      <c r="AV638" s="25">
        <v>21</v>
      </c>
      <c r="AW638" s="26"/>
      <c r="AX638" s="30">
        <f t="shared" si="5"/>
        <v>19.6875</v>
      </c>
      <c r="AY638" s="28"/>
      <c r="AZ638" s="54">
        <f t="shared" si="0"/>
        <v>5.4888757647385837</v>
      </c>
      <c r="BA638" s="54"/>
      <c r="BB638" s="54">
        <f t="shared" si="1"/>
        <v>77.554125520211159</v>
      </c>
      <c r="BC638" s="54"/>
      <c r="BD638" s="54">
        <f t="shared" si="2"/>
        <v>-380.45637603503388</v>
      </c>
      <c r="BE638" s="54"/>
      <c r="BF638" s="54">
        <f t="shared" si="3"/>
        <v>-22.982683628960245</v>
      </c>
      <c r="BG638" s="54"/>
      <c r="BH638" s="54">
        <f t="shared" si="4"/>
        <v>-137.3968818869871</v>
      </c>
      <c r="BI638" s="54"/>
      <c r="BJ638" s="3"/>
    </row>
    <row r="639" spans="2:70" ht="11.25" customHeight="1">
      <c r="B639" s="2"/>
      <c r="D639" s="37" t="s">
        <v>3</v>
      </c>
      <c r="H639" s="5" t="s">
        <v>1</v>
      </c>
      <c r="AF639" s="18"/>
      <c r="AU639" s="63"/>
      <c r="AV639" s="25">
        <v>22</v>
      </c>
      <c r="AW639" s="26"/>
      <c r="AX639" s="30">
        <f t="shared" si="5"/>
        <v>20.625</v>
      </c>
      <c r="AY639" s="28"/>
      <c r="AZ639" s="54">
        <f t="shared" si="0"/>
        <v>5.2600422417471577</v>
      </c>
      <c r="BA639" s="54"/>
      <c r="BB639" s="54">
        <f t="shared" si="1"/>
        <v>75.011765517694855</v>
      </c>
      <c r="BC639" s="54"/>
      <c r="BD639" s="54">
        <f t="shared" si="2"/>
        <v>-384.73821191910082</v>
      </c>
      <c r="BE639" s="54"/>
      <c r="BF639" s="54">
        <f t="shared" si="3"/>
        <v>-19.667859455036037</v>
      </c>
      <c r="BG639" s="54"/>
      <c r="BH639" s="54">
        <f t="shared" si="4"/>
        <v>-158.01704674044254</v>
      </c>
      <c r="BI639" s="54"/>
      <c r="BJ639" s="3"/>
    </row>
    <row r="640" spans="2:70" ht="11.25" customHeight="1">
      <c r="B640" s="2"/>
      <c r="D640" s="37"/>
      <c r="H640" s="38">
        <v>4.5</v>
      </c>
      <c r="AF640" s="18"/>
      <c r="AU640" s="63"/>
      <c r="AV640" s="25">
        <v>23</v>
      </c>
      <c r="AW640" s="26"/>
      <c r="AX640" s="30">
        <f t="shared" si="5"/>
        <v>21.5625</v>
      </c>
      <c r="AY640" s="28"/>
      <c r="AZ640" s="54">
        <f t="shared" si="0"/>
        <v>4.9863471650626074</v>
      </c>
      <c r="BA640" s="54"/>
      <c r="BB640" s="54">
        <f t="shared" si="1"/>
        <v>72.438811688447643</v>
      </c>
      <c r="BC640" s="54"/>
      <c r="BD640" s="54">
        <f t="shared" si="2"/>
        <v>-389.47626041118446</v>
      </c>
      <c r="BE640" s="54"/>
      <c r="BF640" s="54">
        <f t="shared" si="3"/>
        <v>-15.783706428442045</v>
      </c>
      <c r="BG640" s="54"/>
      <c r="BH640" s="54">
        <f t="shared" si="4"/>
        <v>-175.37624206826194</v>
      </c>
      <c r="BI640" s="54"/>
      <c r="BJ640" s="3"/>
    </row>
    <row r="641" spans="2:62" ht="11.25" customHeight="1">
      <c r="B641" s="2"/>
      <c r="D641" s="37"/>
      <c r="H641" s="38"/>
      <c r="AF641" s="18"/>
      <c r="AU641" s="63"/>
      <c r="AV641" s="25">
        <v>24</v>
      </c>
      <c r="AW641" s="26"/>
      <c r="AX641" s="30">
        <f t="shared" si="5"/>
        <v>22.5</v>
      </c>
      <c r="AY641" s="28"/>
      <c r="AZ641" s="54">
        <f t="shared" si="0"/>
        <v>4.6659863832243005</v>
      </c>
      <c r="BA641" s="54"/>
      <c r="BB641" s="54">
        <f t="shared" si="1"/>
        <v>69.828728653535038</v>
      </c>
      <c r="BC641" s="54"/>
      <c r="BD641" s="54">
        <f t="shared" si="2"/>
        <v>-394.64011533796122</v>
      </c>
      <c r="BE641" s="54"/>
      <c r="BF641" s="54">
        <f t="shared" si="3"/>
        <v>-11.231046135184585</v>
      </c>
      <c r="BG641" s="54"/>
      <c r="BH641" s="54">
        <f t="shared" si="4"/>
        <v>-188.81313360065769</v>
      </c>
      <c r="BI641" s="54"/>
      <c r="BJ641" s="3"/>
    </row>
    <row r="642" spans="2:62" ht="11.25" customHeight="1">
      <c r="B642" s="2"/>
      <c r="D642" s="38">
        <v>10</v>
      </c>
      <c r="H642" s="38"/>
      <c r="AF642" s="18"/>
      <c r="AU642" s="63"/>
      <c r="AV642" s="25">
        <v>25</v>
      </c>
      <c r="AW642" s="26"/>
      <c r="AX642" s="30">
        <f t="shared" si="5"/>
        <v>23.4375</v>
      </c>
      <c r="AY642" s="28"/>
      <c r="AZ642" s="54">
        <f t="shared" si="0"/>
        <v>4.2967227683230043</v>
      </c>
      <c r="BA642" s="54"/>
      <c r="BB642" s="54">
        <f t="shared" si="1"/>
        <v>67.174176563384322</v>
      </c>
      <c r="BC642" s="54"/>
      <c r="BD642" s="54">
        <f t="shared" si="2"/>
        <v>-400.19207337992651</v>
      </c>
      <c r="BE642" s="54"/>
      <c r="BF642" s="54">
        <f t="shared" si="3"/>
        <v>-5.9028354521794597</v>
      </c>
      <c r="BG642" s="54"/>
      <c r="BH642" s="54">
        <f t="shared" si="4"/>
        <v>-197.50767413840117</v>
      </c>
      <c r="BI642" s="54"/>
      <c r="BJ642" s="3"/>
    </row>
    <row r="643" spans="2:62" ht="11.25" customHeight="1">
      <c r="B643" s="2"/>
      <c r="D643" s="38"/>
      <c r="AF643" s="18"/>
      <c r="AU643" s="63"/>
      <c r="AV643" s="25">
        <v>26</v>
      </c>
      <c r="AW643" s="26"/>
      <c r="AX643" s="30">
        <f t="shared" si="5"/>
        <v>24.375</v>
      </c>
      <c r="AY643" s="28"/>
      <c r="AZ643" s="54">
        <f t="shared" si="0"/>
        <v>3.8757961621942876</v>
      </c>
      <c r="BA643" s="54"/>
      <c r="BB643" s="54">
        <f t="shared" si="1"/>
        <v>64.466771055921072</v>
      </c>
      <c r="BC643" s="54"/>
      <c r="BD643" s="54">
        <f t="shared" si="2"/>
        <v>-406.08561635422268</v>
      </c>
      <c r="BE643" s="54"/>
      <c r="BF643" s="54">
        <f t="shared" si="3"/>
        <v>0.31795669685266148</v>
      </c>
      <c r="BG643" s="54"/>
      <c r="BH643" s="54">
        <f t="shared" si="4"/>
        <v>-200.44809320434365</v>
      </c>
      <c r="BI643" s="54"/>
      <c r="BJ643" s="3"/>
    </row>
    <row r="644" spans="2:62" ht="11.25" customHeight="1">
      <c r="B644" s="2"/>
      <c r="D644" s="38"/>
      <c r="AF644" s="18"/>
      <c r="AU644" s="63"/>
      <c r="AV644" s="25">
        <v>27</v>
      </c>
      <c r="AW644" s="26"/>
      <c r="AX644" s="30">
        <f t="shared" si="5"/>
        <v>25.3125</v>
      </c>
      <c r="AY644" s="28"/>
      <c r="AZ644" s="54">
        <f t="shared" si="0"/>
        <v>3.3998000968678532</v>
      </c>
      <c r="BA644" s="54"/>
      <c r="BB644" s="54">
        <f t="shared" si="1"/>
        <v>61.69676436500157</v>
      </c>
      <c r="BC644" s="54"/>
      <c r="BD644" s="54">
        <f t="shared" si="2"/>
        <v>-412.26333352910905</v>
      </c>
      <c r="BE644" s="54"/>
      <c r="BF644" s="54">
        <f t="shared" si="3"/>
        <v>7.5611103659833532</v>
      </c>
      <c r="BG644" s="54"/>
      <c r="BH644" s="54">
        <f t="shared" si="4"/>
        <v>-196.38570738312251</v>
      </c>
      <c r="BI644" s="54"/>
      <c r="BJ644" s="3"/>
    </row>
    <row r="645" spans="2:62" ht="11.25" customHeight="1">
      <c r="B645" s="2"/>
      <c r="AF645" s="18"/>
      <c r="AU645" s="63"/>
      <c r="AV645" s="25">
        <v>28</v>
      </c>
      <c r="AW645" s="26"/>
      <c r="AX645" s="30">
        <f t="shared" si="5"/>
        <v>26.25</v>
      </c>
      <c r="AY645" s="28"/>
      <c r="AZ645" s="54">
        <f t="shared" si="0"/>
        <v>2.8645104689862855</v>
      </c>
      <c r="BA645" s="54"/>
      <c r="BB645" s="54">
        <f t="shared" si="1"/>
        <v>58.852610078491033</v>
      </c>
      <c r="BC645" s="54"/>
      <c r="BD645" s="54">
        <f t="shared" si="2"/>
        <v>-418.65403419713948</v>
      </c>
      <c r="BE645" s="54"/>
      <c r="BF645" s="54">
        <f t="shared" si="3"/>
        <v>15.972842004800327</v>
      </c>
      <c r="BG645" s="54"/>
      <c r="BH645" s="54">
        <f t="shared" si="4"/>
        <v>-183.7721187877853</v>
      </c>
      <c r="BI645" s="54"/>
      <c r="BJ645" s="3"/>
    </row>
    <row r="646" spans="2:62" ht="11.25" customHeight="1">
      <c r="B646" s="2"/>
      <c r="AF646" s="18"/>
      <c r="AU646" s="63"/>
      <c r="AV646" s="25">
        <v>29</v>
      </c>
      <c r="AW646" s="26"/>
      <c r="AX646" s="30">
        <f t="shared" ref="AX646" si="6">$W$657/32+AX645</f>
        <v>27.1875</v>
      </c>
      <c r="AY646" s="28"/>
      <c r="AZ646" s="54">
        <f t="shared" si="0"/>
        <v>2.2646424818812321</v>
      </c>
      <c r="BA646" s="54"/>
      <c r="BB646" s="54">
        <f t="shared" si="1"/>
        <v>55.92035177807503</v>
      </c>
      <c r="BC646" s="54"/>
      <c r="BD646" s="54">
        <f t="shared" si="2"/>
        <v>-425.16865131101559</v>
      </c>
      <c r="BE646" s="54"/>
      <c r="BF646" s="54">
        <f t="shared" si="3"/>
        <v>25.720871969512189</v>
      </c>
      <c r="BG646" s="54"/>
      <c r="BH646" s="54">
        <f t="shared" si="4"/>
        <v>-160.67011913958913</v>
      </c>
      <c r="BI646" s="54"/>
      <c r="BJ646" s="3"/>
    </row>
    <row r="647" spans="2:62" ht="11.25" customHeight="1">
      <c r="B647" s="2"/>
      <c r="AF647" s="18"/>
      <c r="AU647" s="63"/>
      <c r="AV647" s="25">
        <v>30</v>
      </c>
      <c r="AW647" s="26"/>
      <c r="AX647" s="30">
        <f t="shared" si="5"/>
        <v>28.125</v>
      </c>
      <c r="AY647" s="28"/>
      <c r="AZ647" s="54">
        <f t="shared" si="0"/>
        <v>1.5934966197707681</v>
      </c>
      <c r="BA647" s="54"/>
      <c r="BB647" s="54">
        <f t="shared" si="1"/>
        <v>52.88273653282085</v>
      </c>
      <c r="BC647" s="54"/>
      <c r="BD647" s="54">
        <f t="shared" si="2"/>
        <v>-431.69427492803317</v>
      </c>
      <c r="BE647" s="54"/>
      <c r="BF647" s="54">
        <f t="shared" si="3"/>
        <v>37.001613486572523</v>
      </c>
      <c r="BG647" s="54"/>
      <c r="BH647" s="54">
        <f t="shared" si="4"/>
        <v>-124.62391718472213</v>
      </c>
      <c r="BI647" s="54"/>
      <c r="BJ647" s="3"/>
    </row>
    <row r="648" spans="2:62" ht="11.25" customHeight="1">
      <c r="B648" s="2"/>
      <c r="G648" s="1" t="s">
        <v>5</v>
      </c>
      <c r="I648" s="24">
        <f>+W662</f>
        <v>93</v>
      </c>
      <c r="J648" s="24"/>
      <c r="K648" s="1" t="s">
        <v>0</v>
      </c>
      <c r="AF648" s="18"/>
      <c r="AU648" s="63"/>
      <c r="AV648" s="25">
        <v>31</v>
      </c>
      <c r="AW648" s="26"/>
      <c r="AX648" s="30">
        <f t="shared" si="5"/>
        <v>29.0625</v>
      </c>
      <c r="AY648" s="28"/>
      <c r="AZ648" s="54">
        <f t="shared" si="0"/>
        <v>0.84242579462086908</v>
      </c>
      <c r="BA648" s="54"/>
      <c r="BB648" s="54">
        <f t="shared" si="1"/>
        <v>49.717881644014774</v>
      </c>
      <c r="BC648" s="54"/>
      <c r="BD648" s="54">
        <f t="shared" si="2"/>
        <v>-438.08517179727414</v>
      </c>
      <c r="BE648" s="54"/>
      <c r="BF648" s="54">
        <f t="shared" si="3"/>
        <v>50.05074988302178</v>
      </c>
      <c r="BG648" s="54"/>
      <c r="BH648" s="54">
        <f t="shared" si="4"/>
        <v>-72.463814715712317</v>
      </c>
      <c r="BI648" s="54"/>
      <c r="BJ648" s="3"/>
    </row>
    <row r="649" spans="2:62" ht="11.25" customHeight="1">
      <c r="B649" s="2"/>
      <c r="AF649" s="18"/>
      <c r="AU649" s="63"/>
      <c r="AV649" s="25">
        <v>32</v>
      </c>
      <c r="AW649" s="26"/>
      <c r="AX649" s="30">
        <f t="shared" si="5"/>
        <v>30</v>
      </c>
      <c r="AY649" s="28"/>
      <c r="AZ649" s="54">
        <f t="shared" si="0"/>
        <v>0</v>
      </c>
      <c r="BA649" s="54"/>
      <c r="BB649" s="54">
        <f t="shared" si="1"/>
        <v>46.397181027296376</v>
      </c>
      <c r="BC649" s="54"/>
      <c r="BD649" s="54">
        <f t="shared" si="2"/>
        <v>-444.14870689655174</v>
      </c>
      <c r="BE649" s="54"/>
      <c r="BF649" s="54">
        <f t="shared" si="3"/>
        <v>65.159482758620726</v>
      </c>
      <c r="BG649" s="54"/>
      <c r="BH649" s="54">
        <f t="shared" si="4"/>
        <v>0</v>
      </c>
      <c r="BI649" s="54"/>
      <c r="BJ649" s="3"/>
    </row>
    <row r="650" spans="2:62" ht="11.25" customHeight="1">
      <c r="B650" s="2"/>
      <c r="AF650" s="18"/>
      <c r="AX650" s="21"/>
      <c r="AY650" s="22"/>
      <c r="AZ650" s="25" t="s">
        <v>59</v>
      </c>
      <c r="BA650" s="25"/>
      <c r="BB650" s="25" t="s">
        <v>58</v>
      </c>
      <c r="BC650" s="25"/>
      <c r="BD650" s="25" t="s">
        <v>62</v>
      </c>
      <c r="BE650" s="25"/>
      <c r="BF650" s="25" t="s">
        <v>65</v>
      </c>
      <c r="BG650" s="25"/>
      <c r="BH650" s="25" t="s">
        <v>63</v>
      </c>
      <c r="BI650" s="25"/>
      <c r="BJ650" s="3"/>
    </row>
    <row r="651" spans="2:62" ht="11.25" customHeight="1" thickBot="1">
      <c r="B651" s="2"/>
      <c r="AF651" s="18"/>
      <c r="AZ651" s="57"/>
      <c r="BA651" s="57"/>
      <c r="BB651" s="57" t="s">
        <v>60</v>
      </c>
      <c r="BC651" s="57"/>
      <c r="BD651" s="57" t="s">
        <v>61</v>
      </c>
      <c r="BE651" s="57"/>
      <c r="BF651" s="57" t="s">
        <v>61</v>
      </c>
      <c r="BG651" s="57"/>
      <c r="BH651" s="57" t="s">
        <v>64</v>
      </c>
      <c r="BI651" s="57"/>
      <c r="BJ651" s="3"/>
    </row>
    <row r="652" spans="2:62" ht="11.25" customHeight="1" thickTop="1">
      <c r="B652" s="2"/>
      <c r="AF652" s="18"/>
      <c r="AY652" s="63" t="s">
        <v>92</v>
      </c>
      <c r="AZ652" s="55">
        <v>1</v>
      </c>
      <c r="BA652" s="73"/>
      <c r="BB652" s="54">
        <v>0</v>
      </c>
      <c r="BC652" s="54"/>
      <c r="BD652" s="54">
        <f>-K653</f>
        <v>-265.875</v>
      </c>
      <c r="BE652" s="54"/>
      <c r="BF652" s="54">
        <f>$I$648-$D$642*BB652</f>
        <v>93</v>
      </c>
      <c r="BG652" s="54"/>
      <c r="BH652" s="54">
        <f>$I$648*BB652-$D$642*BB652*BB652/2</f>
        <v>0</v>
      </c>
      <c r="BI652" s="54"/>
      <c r="BJ652" s="3"/>
    </row>
    <row r="653" spans="2:62" ht="11.25" customHeight="1">
      <c r="B653" s="2"/>
      <c r="I653" s="1" t="s">
        <v>4</v>
      </c>
      <c r="K653" s="24">
        <f>+AX660</f>
        <v>265.875</v>
      </c>
      <c r="L653" s="24"/>
      <c r="M653" s="1" t="s">
        <v>0</v>
      </c>
      <c r="AF653" s="1" t="s">
        <v>7</v>
      </c>
      <c r="AH653" s="24">
        <f>+Z661</f>
        <v>259.125</v>
      </c>
      <c r="AI653" s="24"/>
      <c r="AJ653" s="1" t="s">
        <v>0</v>
      </c>
      <c r="AY653" s="63"/>
      <c r="AZ653" s="25">
        <v>2</v>
      </c>
      <c r="BA653" s="26"/>
      <c r="BB653" s="54">
        <f>$H$640/3+BB652</f>
        <v>1.5</v>
      </c>
      <c r="BC653" s="54"/>
      <c r="BD653" s="54">
        <f>+BD652</f>
        <v>-265.875</v>
      </c>
      <c r="BE653" s="54"/>
      <c r="BF653" s="54">
        <f>$I$648-$D$642*BB653</f>
        <v>78</v>
      </c>
      <c r="BG653" s="54"/>
      <c r="BH653" s="54">
        <f>$I$648*BB653-$D$642*BB653*BB653/2</f>
        <v>128.25</v>
      </c>
      <c r="BI653" s="54"/>
      <c r="BJ653" s="3"/>
    </row>
    <row r="654" spans="2:62" ht="11.25" customHeight="1">
      <c r="B654" s="2"/>
      <c r="AF654" s="18"/>
      <c r="AY654" s="63"/>
      <c r="AZ654" s="25">
        <v>3</v>
      </c>
      <c r="BA654" s="26"/>
      <c r="BB654" s="54">
        <f t="shared" ref="BB654:BB655" si="7">$H$640/3+BB653</f>
        <v>3</v>
      </c>
      <c r="BC654" s="54"/>
      <c r="BD654" s="54">
        <f>+BD653</f>
        <v>-265.875</v>
      </c>
      <c r="BE654" s="54"/>
      <c r="BF654" s="54">
        <f>$I$648-$D$642*BB654</f>
        <v>63</v>
      </c>
      <c r="BG654" s="54"/>
      <c r="BH654" s="54">
        <f>$I$648*BB654-$D$642*BB654*BB654/2</f>
        <v>234</v>
      </c>
      <c r="BI654" s="54"/>
      <c r="BJ654" s="3"/>
    </row>
    <row r="655" spans="2:62" ht="11.25" customHeight="1" thickBot="1">
      <c r="B655" s="2"/>
      <c r="M655" s="24" t="s">
        <v>48</v>
      </c>
      <c r="N655" s="24"/>
      <c r="O655" s="24"/>
      <c r="S655" s="24" t="s">
        <v>72</v>
      </c>
      <c r="T655" s="24"/>
      <c r="U655" s="24"/>
      <c r="AC655" s="24">
        <f>+W657/2</f>
        <v>15</v>
      </c>
      <c r="AD655" s="24"/>
      <c r="AE655" s="1" t="s">
        <v>1</v>
      </c>
      <c r="AF655" s="18"/>
      <c r="AY655" s="72"/>
      <c r="AZ655" s="66">
        <v>4</v>
      </c>
      <c r="BA655" s="67"/>
      <c r="BB655" s="54">
        <f t="shared" si="7"/>
        <v>4.5</v>
      </c>
      <c r="BC655" s="54"/>
      <c r="BD655" s="68">
        <f>+BD654</f>
        <v>-265.875</v>
      </c>
      <c r="BE655" s="68"/>
      <c r="BF655" s="54">
        <f>$I$648-$D$642*BB655</f>
        <v>48</v>
      </c>
      <c r="BG655" s="54"/>
      <c r="BH655" s="54">
        <f>$I$648*BB655-$D$642*BB655*BB655/2</f>
        <v>317.25</v>
      </c>
      <c r="BI655" s="54"/>
      <c r="BJ655" s="3"/>
    </row>
    <row r="656" spans="2:62" ht="11.25" customHeight="1">
      <c r="B656" s="2"/>
      <c r="AF656" s="18"/>
      <c r="AY656" s="64" t="s">
        <v>93</v>
      </c>
      <c r="AZ656" s="69">
        <v>1</v>
      </c>
      <c r="BA656" s="70"/>
      <c r="BB656" s="71">
        <f>+BB652</f>
        <v>0</v>
      </c>
      <c r="BC656" s="71"/>
      <c r="BD656" s="71">
        <f>-AH653</f>
        <v>-259.125</v>
      </c>
      <c r="BE656" s="71"/>
      <c r="BF656" s="71">
        <v>0</v>
      </c>
      <c r="BG656" s="71"/>
      <c r="BH656" s="71">
        <v>0</v>
      </c>
      <c r="BI656" s="71"/>
      <c r="BJ656" s="3"/>
    </row>
    <row r="657" spans="2:62" ht="11.25" customHeight="1">
      <c r="B657" s="2"/>
      <c r="W657" s="34">
        <v>30</v>
      </c>
      <c r="X657" s="34"/>
      <c r="Y657" s="1" t="s">
        <v>1</v>
      </c>
      <c r="AF657" s="18"/>
      <c r="AY657" s="63"/>
      <c r="AZ657" s="25">
        <v>2</v>
      </c>
      <c r="BA657" s="26"/>
      <c r="BB657" s="54">
        <f>+BB653</f>
        <v>1.5</v>
      </c>
      <c r="BC657" s="54"/>
      <c r="BD657" s="54">
        <f>+BD656</f>
        <v>-259.125</v>
      </c>
      <c r="BE657" s="54"/>
      <c r="BF657" s="54">
        <v>0</v>
      </c>
      <c r="BG657" s="54"/>
      <c r="BH657" s="54">
        <v>0</v>
      </c>
      <c r="BI657" s="54"/>
      <c r="BJ657" s="3"/>
    </row>
    <row r="658" spans="2:62" ht="11.25" customHeight="1">
      <c r="B658" s="2"/>
      <c r="AF658" s="18"/>
      <c r="AY658" s="63"/>
      <c r="AZ658" s="25">
        <v>3</v>
      </c>
      <c r="BA658" s="26"/>
      <c r="BB658" s="54">
        <f>+BB654</f>
        <v>3</v>
      </c>
      <c r="BC658" s="54"/>
      <c r="BD658" s="54">
        <f>+BD657</f>
        <v>-259.125</v>
      </c>
      <c r="BE658" s="54"/>
      <c r="BF658" s="54">
        <v>0</v>
      </c>
      <c r="BG658" s="54"/>
      <c r="BH658" s="54">
        <v>0</v>
      </c>
      <c r="BI658" s="54"/>
      <c r="BJ658" s="3"/>
    </row>
    <row r="659" spans="2:62" ht="11.25" customHeight="1">
      <c r="B659" s="2"/>
      <c r="C659" s="4" t="s">
        <v>28</v>
      </c>
      <c r="AY659" s="63"/>
      <c r="AZ659" s="25">
        <v>4</v>
      </c>
      <c r="BA659" s="26"/>
      <c r="BB659" s="54">
        <f>+BB655</f>
        <v>4.5</v>
      </c>
      <c r="BC659" s="54"/>
      <c r="BD659" s="54">
        <f>+BD658</f>
        <v>-259.125</v>
      </c>
      <c r="BE659" s="54"/>
      <c r="BF659" s="54">
        <v>0</v>
      </c>
      <c r="BG659" s="54"/>
      <c r="BH659" s="54">
        <v>0</v>
      </c>
      <c r="BI659" s="54"/>
      <c r="BJ659" s="3"/>
    </row>
    <row r="660" spans="2:62" ht="11.25" customHeight="1">
      <c r="B660" s="2"/>
      <c r="C660" s="1" t="s">
        <v>11</v>
      </c>
      <c r="E660" s="24">
        <f>+W657</f>
        <v>30</v>
      </c>
      <c r="F660" s="24"/>
      <c r="G660" s="7" t="s">
        <v>9</v>
      </c>
      <c r="H660" s="24">
        <f>+Q621</f>
        <v>20</v>
      </c>
      <c r="I660" s="24"/>
      <c r="J660" s="7" t="s">
        <v>10</v>
      </c>
      <c r="K660" s="24">
        <f>+W657/2</f>
        <v>15</v>
      </c>
      <c r="L660" s="24"/>
      <c r="M660" s="7" t="s">
        <v>10</v>
      </c>
      <c r="N660" s="24">
        <f>+W657/2+W657/2/2</f>
        <v>22.5</v>
      </c>
      <c r="O660" s="24"/>
      <c r="P660" s="7" t="s">
        <v>9</v>
      </c>
      <c r="Q660" s="24">
        <f>+AB620</f>
        <v>15</v>
      </c>
      <c r="R660" s="24"/>
      <c r="S660" s="7" t="s">
        <v>10</v>
      </c>
      <c r="T660" s="24">
        <f>+W657/2</f>
        <v>15</v>
      </c>
      <c r="U660" s="24"/>
      <c r="V660" s="7" t="s">
        <v>10</v>
      </c>
      <c r="W660" s="24">
        <f>+T660/2</f>
        <v>7.5</v>
      </c>
      <c r="X660" s="24"/>
      <c r="Y660" s="7" t="s">
        <v>15</v>
      </c>
      <c r="Z660" s="24">
        <f>+E629</f>
        <v>8</v>
      </c>
      <c r="AA660" s="24"/>
      <c r="AB660" s="7" t="s">
        <v>10</v>
      </c>
      <c r="AC660" s="24">
        <f>+H628</f>
        <v>6</v>
      </c>
      <c r="AD660" s="24"/>
      <c r="AE660" s="7" t="s">
        <v>10</v>
      </c>
      <c r="AF660" s="24">
        <f>+H640+H628/2</f>
        <v>7.5</v>
      </c>
      <c r="AG660" s="24"/>
      <c r="AH660" s="7" t="s">
        <v>15</v>
      </c>
      <c r="AI660" s="24">
        <f>+D642</f>
        <v>10</v>
      </c>
      <c r="AJ660" s="24"/>
      <c r="AK660" s="7" t="s">
        <v>10</v>
      </c>
      <c r="AL660" s="24">
        <f>+H640</f>
        <v>4.5</v>
      </c>
      <c r="AM660" s="24"/>
      <c r="AN660" s="7" t="s">
        <v>10</v>
      </c>
      <c r="AO660" s="24">
        <f>+AL660/2</f>
        <v>2.25</v>
      </c>
      <c r="AP660" s="24"/>
      <c r="AQ660" s="7" t="s">
        <v>12</v>
      </c>
      <c r="AR660" s="1">
        <v>0</v>
      </c>
      <c r="AV660" s="1" t="s">
        <v>4</v>
      </c>
      <c r="AX660" s="24">
        <f>(H660*K660*N660+Q660*T660*W660-Z660*AC660*AF660-AI660*AL660*AO660)/E660</f>
        <v>265.875</v>
      </c>
      <c r="AY660" s="24"/>
      <c r="AZ660" s="1" t="s">
        <v>0</v>
      </c>
      <c r="BJ660" s="3"/>
    </row>
    <row r="661" spans="2:62" ht="11.25" customHeight="1">
      <c r="B661" s="2"/>
      <c r="C661" s="1" t="s">
        <v>13</v>
      </c>
      <c r="E661" s="24">
        <f>+AX660</f>
        <v>265.875</v>
      </c>
      <c r="F661" s="24"/>
      <c r="G661" s="7" t="s">
        <v>9</v>
      </c>
      <c r="H661" s="24">
        <f>+Q621</f>
        <v>20</v>
      </c>
      <c r="I661" s="24"/>
      <c r="J661" s="7" t="s">
        <v>10</v>
      </c>
      <c r="K661" s="24">
        <f>+W657/2</f>
        <v>15</v>
      </c>
      <c r="L661" s="24"/>
      <c r="M661" s="7" t="s">
        <v>9</v>
      </c>
      <c r="N661" s="24">
        <f>+AB620</f>
        <v>15</v>
      </c>
      <c r="O661" s="24"/>
      <c r="P661" s="7" t="s">
        <v>10</v>
      </c>
      <c r="Q661" s="24">
        <f>+W657/2</f>
        <v>15</v>
      </c>
      <c r="R661" s="24"/>
      <c r="S661" s="7" t="s">
        <v>12</v>
      </c>
      <c r="T661" s="1">
        <v>0</v>
      </c>
      <c r="X661" s="1" t="s">
        <v>7</v>
      </c>
      <c r="Z661" s="24">
        <f>-E661+H661*K661+N661*Q661</f>
        <v>259.125</v>
      </c>
      <c r="AA661" s="24"/>
      <c r="AB661" s="1" t="s">
        <v>0</v>
      </c>
      <c r="BJ661" s="3"/>
    </row>
    <row r="662" spans="2:62" ht="11.25" customHeight="1">
      <c r="B662" s="2"/>
      <c r="C662" s="1" t="s">
        <v>94</v>
      </c>
      <c r="E662" s="24">
        <f>+D642</f>
        <v>10</v>
      </c>
      <c r="F662" s="24"/>
      <c r="G662" s="7" t="s">
        <v>10</v>
      </c>
      <c r="H662" s="24">
        <f>+H640</f>
        <v>4.5</v>
      </c>
      <c r="I662" s="24"/>
      <c r="J662" s="7" t="s">
        <v>9</v>
      </c>
      <c r="K662" s="24">
        <f>+E629</f>
        <v>8</v>
      </c>
      <c r="L662" s="24"/>
      <c r="M662" s="7" t="s">
        <v>10</v>
      </c>
      <c r="N662" s="24">
        <f>+H628</f>
        <v>6</v>
      </c>
      <c r="O662" s="24"/>
      <c r="P662" s="7" t="s">
        <v>12</v>
      </c>
      <c r="Q662" s="1">
        <v>0</v>
      </c>
      <c r="U662" s="1" t="s">
        <v>5</v>
      </c>
      <c r="W662" s="24">
        <f>+E662*H662+K662*N662</f>
        <v>93</v>
      </c>
      <c r="X662" s="24"/>
      <c r="Y662" s="1" t="s">
        <v>0</v>
      </c>
      <c r="AX662" s="1" t="s">
        <v>95</v>
      </c>
      <c r="BJ662" s="3"/>
    </row>
    <row r="663" spans="2:62" ht="11.25" customHeight="1">
      <c r="B663" s="2"/>
      <c r="C663" s="24">
        <f>+I648</f>
        <v>93</v>
      </c>
      <c r="D663" s="24"/>
      <c r="E663" s="7" t="s">
        <v>10</v>
      </c>
      <c r="F663" s="24">
        <f>+H640+H628</f>
        <v>10.5</v>
      </c>
      <c r="G663" s="24"/>
      <c r="H663" s="7" t="s">
        <v>15</v>
      </c>
      <c r="I663" s="24">
        <f>+K653</f>
        <v>265.875</v>
      </c>
      <c r="J663" s="24"/>
      <c r="K663" s="7" t="s">
        <v>10</v>
      </c>
      <c r="L663" s="24">
        <f>+W657/2</f>
        <v>15</v>
      </c>
      <c r="M663" s="24"/>
      <c r="N663" s="7" t="s">
        <v>9</v>
      </c>
      <c r="O663" s="24">
        <f>+Q621</f>
        <v>20</v>
      </c>
      <c r="P663" s="24"/>
      <c r="Q663" s="7" t="s">
        <v>10</v>
      </c>
      <c r="R663" s="24">
        <f>+W657/2</f>
        <v>15</v>
      </c>
      <c r="S663" s="24"/>
      <c r="T663" s="7" t="s">
        <v>10</v>
      </c>
      <c r="U663" s="24">
        <f>+R663/2</f>
        <v>7.5</v>
      </c>
      <c r="V663" s="24"/>
      <c r="W663" s="7" t="s">
        <v>9</v>
      </c>
      <c r="X663" s="24">
        <f>+E629</f>
        <v>8</v>
      </c>
      <c r="Y663" s="24"/>
      <c r="Z663" s="7" t="s">
        <v>10</v>
      </c>
      <c r="AA663" s="24">
        <f>+H628</f>
        <v>6</v>
      </c>
      <c r="AB663" s="24"/>
      <c r="AC663" s="7" t="s">
        <v>10</v>
      </c>
      <c r="AD663" s="24">
        <f>+AA663/2</f>
        <v>3</v>
      </c>
      <c r="AE663" s="24"/>
      <c r="AF663" s="7" t="s">
        <v>9</v>
      </c>
      <c r="AG663" s="24">
        <f>+D642</f>
        <v>10</v>
      </c>
      <c r="AH663" s="24"/>
      <c r="AI663" s="7" t="s">
        <v>10</v>
      </c>
      <c r="AJ663" s="24">
        <f>+H640</f>
        <v>4.5</v>
      </c>
      <c r="AK663" s="24"/>
      <c r="AL663" s="7" t="s">
        <v>10</v>
      </c>
      <c r="AM663" s="24">
        <f>+H640/2+H628</f>
        <v>8.25</v>
      </c>
      <c r="AN663" s="24"/>
      <c r="AO663" s="7" t="s">
        <v>9</v>
      </c>
      <c r="AP663" s="7" t="s">
        <v>73</v>
      </c>
      <c r="AQ663" s="7" t="s">
        <v>10</v>
      </c>
      <c r="AR663" s="24">
        <f>+H628</f>
        <v>6</v>
      </c>
      <c r="AS663" s="24"/>
      <c r="AT663" s="7" t="s">
        <v>12</v>
      </c>
      <c r="AU663" s="1">
        <v>0</v>
      </c>
      <c r="AY663" s="1" t="s">
        <v>74</v>
      </c>
      <c r="BA663" s="24">
        <f>(C663*F663+I663*L663-O663*R663*U663-X663*AA663*AD663-AG663*AJ663*AM663)/AR663</f>
        <v>366.5625</v>
      </c>
      <c r="BB663" s="24"/>
      <c r="BC663" s="1" t="s">
        <v>0</v>
      </c>
      <c r="BJ663" s="3"/>
    </row>
    <row r="664" spans="2:62" ht="11.25" customHeight="1">
      <c r="B664" s="2"/>
      <c r="BJ664" s="3"/>
    </row>
    <row r="665" spans="2:62" ht="11.25" customHeight="1">
      <c r="B665" s="2"/>
      <c r="AV665" s="25" t="s">
        <v>59</v>
      </c>
      <c r="AW665" s="26"/>
      <c r="AX665" s="33" t="s">
        <v>48</v>
      </c>
      <c r="AY665" s="25"/>
      <c r="AZ665" s="25" t="s">
        <v>58</v>
      </c>
      <c r="BA665" s="25"/>
      <c r="BB665" s="56" t="s">
        <v>66</v>
      </c>
      <c r="BC665" s="25"/>
      <c r="BD665" s="25" t="s">
        <v>62</v>
      </c>
      <c r="BE665" s="25"/>
      <c r="BF665" s="25" t="s">
        <v>65</v>
      </c>
      <c r="BG665" s="25"/>
      <c r="BH665" s="25" t="s">
        <v>63</v>
      </c>
      <c r="BI665" s="25"/>
      <c r="BJ665" s="3"/>
    </row>
    <row r="666" spans="2:62" ht="11.25" customHeight="1" thickBot="1">
      <c r="B666" s="2"/>
      <c r="AV666" s="57"/>
      <c r="AW666" s="61"/>
      <c r="AX666" s="47" t="s">
        <v>60</v>
      </c>
      <c r="AY666" s="57"/>
      <c r="AZ666" s="57" t="s">
        <v>60</v>
      </c>
      <c r="BA666" s="57"/>
      <c r="BB666" s="57" t="s">
        <v>67</v>
      </c>
      <c r="BC666" s="57"/>
      <c r="BD666" s="57" t="s">
        <v>61</v>
      </c>
      <c r="BE666" s="57"/>
      <c r="BF666" s="57" t="s">
        <v>61</v>
      </c>
      <c r="BG666" s="57"/>
      <c r="BH666" s="57" t="s">
        <v>64</v>
      </c>
      <c r="BI666" s="57"/>
      <c r="BJ666" s="3"/>
    </row>
    <row r="667" spans="2:62" ht="11.25" customHeight="1" thickTop="1">
      <c r="B667" s="2"/>
      <c r="AU667" s="63" t="s">
        <v>91</v>
      </c>
      <c r="AV667" s="58">
        <v>0</v>
      </c>
      <c r="AW667" s="59"/>
      <c r="AX667" s="60">
        <v>0</v>
      </c>
      <c r="AY667" s="54"/>
      <c r="AZ667" s="54">
        <f t="shared" ref="AZ667:AZ698" si="8">$H$678-$Y$679+SQRT($Y$679^2-($W$707/2-AX667)^2)</f>
        <v>0</v>
      </c>
      <c r="BA667" s="54"/>
      <c r="BB667" s="54">
        <f t="shared" ref="BB667:BB698" si="9">ASIN(($Y$679-$H$678+AZ667)/$Y$679)*180/PI()</f>
        <v>46.397181027296376</v>
      </c>
      <c r="BC667" s="54"/>
      <c r="BD667" s="54">
        <f t="shared" ref="BD667:BD698" si="10">IF(AX667&lt;=$W$707/2,-$K$703*COS(BB667*PI()/180)-$I$698*SIN(BB667*PI()/180)+$Q$671*AX667*COS(BB667*PI()/180)-$E$679*AZ667*SIN(BB667*PI()/180)-$D$692*$H$690*SIN(BB667*PI()/180),-$AH$703*COS(BB667*PI()/180)-$AL$698*SIN(BB667*PI()/180)+$AB$670*($W$707-AX667)*COS(BB667*PI()/180))</f>
        <v>-300.2844827586207</v>
      </c>
      <c r="BE667" s="54"/>
      <c r="BF667" s="54">
        <f t="shared" ref="BF667:BF698" si="11">IF(AX667&lt;=$W$707/2,$K$703*SIN(BB667*PI()/180)-$I$698*COS(BB667*PI()/180)-$Q$671*AX667*SIN(BB667*PI()/180)-$E$679*AZ667*COS(BB667*PI()/180)-$D$692*$H$690*COS(BB667*PI()/180),-$AH$703*SIN(BB667*PI()/180)+$AL$698*COS(BB667*PI()/180)+$AB$670*($W$707-AX667)*SIN(BB667*PI()/180))</f>
        <v>81.175492610837409</v>
      </c>
      <c r="BG667" s="54"/>
      <c r="BH667" s="54">
        <f t="shared" ref="BH667:BH698" si="12">IF(AX667&lt;=$W$707/2,$K$703*AX667-$I$698*($H$690+AZ667)-$Q$671*AX667*AX667/2-$E$679*AZ667*AZ667/2-$D$692*$H$690*($H$690/2+AZ667),$AH$703*($W$707-AX667)-$AL$698*($H$690+AZ667)-$AB$670*($W$707-AX667)*($W$707-AX667)/2)</f>
        <v>-625.33928571428567</v>
      </c>
      <c r="BI667" s="54"/>
      <c r="BJ667" s="3"/>
    </row>
    <row r="668" spans="2:62" ht="11.25" customHeight="1">
      <c r="B668" s="2"/>
      <c r="AU668" s="63"/>
      <c r="AV668" s="25">
        <v>1</v>
      </c>
      <c r="AW668" s="26"/>
      <c r="AX668" s="30">
        <f t="shared" ref="AX668:AX699" si="13">$W$707/32+AX667</f>
        <v>0.9375</v>
      </c>
      <c r="AY668" s="28"/>
      <c r="AZ668" s="54">
        <f t="shared" si="8"/>
        <v>0.84242579462086908</v>
      </c>
      <c r="BA668" s="54"/>
      <c r="BB668" s="54">
        <f t="shared" si="9"/>
        <v>49.717881644014774</v>
      </c>
      <c r="BC668" s="54"/>
      <c r="BD668" s="54">
        <f t="shared" si="10"/>
        <v>-288.09667087694334</v>
      </c>
      <c r="BE668" s="54"/>
      <c r="BF668" s="54">
        <f t="shared" si="11"/>
        <v>79.771899068675452</v>
      </c>
      <c r="BG668" s="54"/>
      <c r="BH668" s="54">
        <f t="shared" si="12"/>
        <v>-523.73093978780423</v>
      </c>
      <c r="BI668" s="54"/>
      <c r="BJ668" s="3"/>
    </row>
    <row r="669" spans="2:62" ht="11.25" customHeight="1">
      <c r="B669" s="2"/>
      <c r="AU669" s="63"/>
      <c r="AV669" s="25">
        <v>2</v>
      </c>
      <c r="AW669" s="26"/>
      <c r="AX669" s="30">
        <f t="shared" si="13"/>
        <v>1.875</v>
      </c>
      <c r="AY669" s="28"/>
      <c r="AZ669" s="54">
        <f t="shared" si="8"/>
        <v>1.5934966197707681</v>
      </c>
      <c r="BA669" s="54"/>
      <c r="BB669" s="54">
        <f t="shared" si="9"/>
        <v>52.88273653282085</v>
      </c>
      <c r="BC669" s="54"/>
      <c r="BD669" s="54">
        <f t="shared" si="10"/>
        <v>-276.72972847854248</v>
      </c>
      <c r="BE669" s="54"/>
      <c r="BF669" s="54">
        <f t="shared" si="11"/>
        <v>76.978627377665191</v>
      </c>
      <c r="BG669" s="54"/>
      <c r="BH669" s="54">
        <f t="shared" si="12"/>
        <v>-429.42963012258491</v>
      </c>
      <c r="BI669" s="54"/>
      <c r="BJ669" s="3"/>
    </row>
    <row r="670" spans="2:62" ht="11.25" customHeight="1">
      <c r="B670" s="2"/>
      <c r="E670" s="12" t="s">
        <v>83</v>
      </c>
      <c r="AB670" s="34">
        <v>15</v>
      </c>
      <c r="AC670" s="34"/>
      <c r="AD670" s="1" t="s">
        <v>3</v>
      </c>
      <c r="AF670" s="13"/>
      <c r="AU670" s="63"/>
      <c r="AV670" s="25">
        <v>3</v>
      </c>
      <c r="AW670" s="26"/>
      <c r="AX670" s="30">
        <f t="shared" si="13"/>
        <v>2.8125</v>
      </c>
      <c r="AY670" s="28"/>
      <c r="AZ670" s="54">
        <f t="shared" si="8"/>
        <v>2.2646424818812321</v>
      </c>
      <c r="BA670" s="54"/>
      <c r="BB670" s="54">
        <f t="shared" si="9"/>
        <v>55.92035177807503</v>
      </c>
      <c r="BC670" s="54"/>
      <c r="BD670" s="54">
        <f t="shared" si="10"/>
        <v>-266.20229266750096</v>
      </c>
      <c r="BE670" s="54"/>
      <c r="BF670" s="54">
        <f t="shared" si="11"/>
        <v>72.996358902900056</v>
      </c>
      <c r="BG670" s="54"/>
      <c r="BH670" s="54">
        <f t="shared" si="12"/>
        <v>-342.84071373243074</v>
      </c>
      <c r="BI670" s="54"/>
      <c r="BJ670" s="3"/>
    </row>
    <row r="671" spans="2:62" ht="11.25" customHeight="1">
      <c r="B671" s="2"/>
      <c r="Q671" s="34">
        <v>20</v>
      </c>
      <c r="R671" s="34"/>
      <c r="S671" s="1" t="s">
        <v>3</v>
      </c>
      <c r="AF671" s="13"/>
      <c r="AU671" s="63"/>
      <c r="AV671" s="25">
        <v>4</v>
      </c>
      <c r="AW671" s="26"/>
      <c r="AX671" s="30">
        <f t="shared" si="13"/>
        <v>3.75</v>
      </c>
      <c r="AY671" s="28"/>
      <c r="AZ671" s="54">
        <f t="shared" si="8"/>
        <v>2.8645104689862855</v>
      </c>
      <c r="BA671" s="54"/>
      <c r="BB671" s="54">
        <f t="shared" si="9"/>
        <v>58.852610078491033</v>
      </c>
      <c r="BC671" s="54"/>
      <c r="BD671" s="54">
        <f t="shared" si="10"/>
        <v>-256.52846288292835</v>
      </c>
      <c r="BE671" s="54"/>
      <c r="BF671" s="54">
        <f t="shared" si="11"/>
        <v>67.989219736702438</v>
      </c>
      <c r="BG671" s="54"/>
      <c r="BH671" s="54">
        <f t="shared" si="12"/>
        <v>-264.270853417978</v>
      </c>
      <c r="BI671" s="54"/>
      <c r="BJ671" s="3"/>
    </row>
    <row r="672" spans="2:62" ht="11.25" customHeight="1">
      <c r="B672" s="2"/>
      <c r="AF672" s="18"/>
      <c r="AU672" s="63"/>
      <c r="AV672" s="25">
        <v>5</v>
      </c>
      <c r="AW672" s="26"/>
      <c r="AX672" s="30">
        <f t="shared" si="13"/>
        <v>4.6875</v>
      </c>
      <c r="AY672" s="28"/>
      <c r="AZ672" s="54">
        <f t="shared" si="8"/>
        <v>3.3998000968678532</v>
      </c>
      <c r="BA672" s="54"/>
      <c r="BB672" s="54">
        <f t="shared" si="9"/>
        <v>61.69676436500157</v>
      </c>
      <c r="BC672" s="54"/>
      <c r="BD672" s="54">
        <f t="shared" si="10"/>
        <v>-247.71916296582884</v>
      </c>
      <c r="BE672" s="54"/>
      <c r="BF672" s="54">
        <f t="shared" si="11"/>
        <v>62.095420103595863</v>
      </c>
      <c r="BG672" s="54"/>
      <c r="BH672" s="54">
        <f t="shared" si="12"/>
        <v>-193.95764272106356</v>
      </c>
      <c r="BI672" s="54"/>
      <c r="BJ672" s="3"/>
    </row>
    <row r="673" spans="2:62" ht="11.25" customHeight="1">
      <c r="B673" s="2"/>
      <c r="AF673" s="18"/>
      <c r="AU673" s="63"/>
      <c r="AV673" s="25">
        <v>6</v>
      </c>
      <c r="AW673" s="26"/>
      <c r="AX673" s="30">
        <f t="shared" si="13"/>
        <v>5.625</v>
      </c>
      <c r="AY673" s="28"/>
      <c r="AZ673" s="54">
        <f t="shared" si="8"/>
        <v>3.8757961621942876</v>
      </c>
      <c r="BA673" s="54"/>
      <c r="BB673" s="54">
        <f t="shared" si="9"/>
        <v>64.466771055921072</v>
      </c>
      <c r="BC673" s="54"/>
      <c r="BD673" s="54">
        <f t="shared" si="10"/>
        <v>-239.78300999845473</v>
      </c>
      <c r="BE673" s="54"/>
      <c r="BF673" s="54">
        <f t="shared" si="11"/>
        <v>55.434211293818393</v>
      </c>
      <c r="BG673" s="54"/>
      <c r="BH673" s="54">
        <f t="shared" si="12"/>
        <v>-132.08850318067607</v>
      </c>
      <c r="BI673" s="54"/>
      <c r="BJ673" s="3"/>
    </row>
    <row r="674" spans="2:62" ht="11.25" customHeight="1">
      <c r="B674" s="2"/>
      <c r="W674" s="1" t="s">
        <v>18</v>
      </c>
      <c r="AF674" s="18"/>
      <c r="AK674" s="5"/>
      <c r="AU674" s="63"/>
      <c r="AV674" s="25">
        <v>7</v>
      </c>
      <c r="AW674" s="26"/>
      <c r="AX674" s="30">
        <f t="shared" si="13"/>
        <v>6.5625</v>
      </c>
      <c r="AY674" s="28"/>
      <c r="AZ674" s="54">
        <f t="shared" si="8"/>
        <v>4.2967227683230043</v>
      </c>
      <c r="BA674" s="54"/>
      <c r="BB674" s="54">
        <f t="shared" si="9"/>
        <v>67.174176563384322</v>
      </c>
      <c r="BC674" s="54"/>
      <c r="BD674" s="54">
        <f t="shared" si="10"/>
        <v>-232.72689155820149</v>
      </c>
      <c r="BE674" s="54"/>
      <c r="BF674" s="54">
        <f t="shared" si="11"/>
        <v>48.110637016523988</v>
      </c>
      <c r="BG674" s="54"/>
      <c r="BH674" s="54">
        <f t="shared" si="12"/>
        <v>-78.813239605169201</v>
      </c>
      <c r="BI674" s="54"/>
      <c r="BJ674" s="3"/>
    </row>
    <row r="675" spans="2:62" ht="11.25" customHeight="1">
      <c r="B675" s="2"/>
      <c r="J675" s="37" t="s">
        <v>71</v>
      </c>
      <c r="AF675" s="18"/>
      <c r="AK675" s="5"/>
      <c r="AU675" s="63"/>
      <c r="AV675" s="25">
        <v>8</v>
      </c>
      <c r="AW675" s="26"/>
      <c r="AX675" s="30">
        <f t="shared" si="13"/>
        <v>7.5</v>
      </c>
      <c r="AY675" s="28"/>
      <c r="AZ675" s="54">
        <f t="shared" si="8"/>
        <v>4.6659863832243005</v>
      </c>
      <c r="BA675" s="54"/>
      <c r="BB675" s="54">
        <f t="shared" si="9"/>
        <v>69.828728653535038</v>
      </c>
      <c r="BC675" s="54"/>
      <c r="BD675" s="54">
        <f t="shared" si="10"/>
        <v>-226.55636203373027</v>
      </c>
      <c r="BE675" s="54"/>
      <c r="BF675" s="54">
        <f t="shared" si="11"/>
        <v>40.218900979563969</v>
      </c>
      <c r="BG675" s="54"/>
      <c r="BH675" s="54">
        <f t="shared" si="12"/>
        <v>-34.252659947919028</v>
      </c>
      <c r="BI675" s="54"/>
      <c r="BJ675" s="3"/>
    </row>
    <row r="676" spans="2:62" ht="11.25" customHeight="1">
      <c r="B676" s="2"/>
      <c r="E676" s="37" t="s">
        <v>3</v>
      </c>
      <c r="J676" s="37"/>
      <c r="P676" s="1" t="s">
        <v>17</v>
      </c>
      <c r="AF676" s="18"/>
      <c r="AK676" s="5"/>
      <c r="AU676" s="63"/>
      <c r="AV676" s="25">
        <v>9</v>
      </c>
      <c r="AW676" s="26"/>
      <c r="AX676" s="30">
        <f t="shared" si="13"/>
        <v>8.4375</v>
      </c>
      <c r="AY676" s="28"/>
      <c r="AZ676" s="54">
        <f t="shared" si="8"/>
        <v>4.9863471650626074</v>
      </c>
      <c r="BA676" s="54"/>
      <c r="BB676" s="54">
        <f t="shared" si="9"/>
        <v>72.438811688447643</v>
      </c>
      <c r="BC676" s="54"/>
      <c r="BD676" s="54">
        <f t="shared" si="10"/>
        <v>-221.27592197850112</v>
      </c>
      <c r="BE676" s="54"/>
      <c r="BF676" s="54">
        <f t="shared" si="11"/>
        <v>31.844832976594041</v>
      </c>
      <c r="BG676" s="54"/>
      <c r="BH676" s="54">
        <f t="shared" si="12"/>
        <v>1.4953487533152838</v>
      </c>
      <c r="BI676" s="54"/>
      <c r="BJ676" s="3"/>
    </row>
    <row r="677" spans="2:62" ht="11.25" customHeight="1">
      <c r="B677" s="2"/>
      <c r="E677" s="37"/>
      <c r="H677" s="5" t="s">
        <v>1</v>
      </c>
      <c r="J677" s="37"/>
      <c r="AF677" s="18"/>
      <c r="AK677" s="5"/>
      <c r="AU677" s="63"/>
      <c r="AV677" s="25">
        <v>10</v>
      </c>
      <c r="AW677" s="26"/>
      <c r="AX677" s="30">
        <f t="shared" si="13"/>
        <v>9.375</v>
      </c>
      <c r="AY677" s="28"/>
      <c r="AZ677" s="54">
        <f t="shared" si="8"/>
        <v>5.2600422417471577</v>
      </c>
      <c r="BA677" s="54"/>
      <c r="BB677" s="54">
        <f t="shared" si="9"/>
        <v>75.011765517694855</v>
      </c>
      <c r="BC677" s="54"/>
      <c r="BD677" s="54">
        <f t="shared" si="10"/>
        <v>-216.8892191232429</v>
      </c>
      <c r="BE677" s="54"/>
      <c r="BF677" s="54">
        <f t="shared" si="11"/>
        <v>23.067749548296643</v>
      </c>
      <c r="BG677" s="54"/>
      <c r="BH677" s="54">
        <f t="shared" si="12"/>
        <v>28.351448355181446</v>
      </c>
      <c r="BI677" s="54"/>
      <c r="BJ677" s="3"/>
    </row>
    <row r="678" spans="2:62" ht="11.25" customHeight="1">
      <c r="B678" s="2"/>
      <c r="E678" s="37"/>
      <c r="H678" s="38">
        <v>6</v>
      </c>
      <c r="L678" s="1" t="s">
        <v>58</v>
      </c>
      <c r="AF678" s="18"/>
      <c r="AU678" s="63"/>
      <c r="AV678" s="25">
        <v>11</v>
      </c>
      <c r="AW678" s="26"/>
      <c r="AX678" s="30">
        <f t="shared" si="13"/>
        <v>10.3125</v>
      </c>
      <c r="AY678" s="28"/>
      <c r="AZ678" s="54">
        <f t="shared" si="8"/>
        <v>5.4888757647385837</v>
      </c>
      <c r="BA678" s="54"/>
      <c r="BB678" s="54">
        <f t="shared" si="9"/>
        <v>77.554125520211159</v>
      </c>
      <c r="BC678" s="54"/>
      <c r="BD678" s="54">
        <f t="shared" si="10"/>
        <v>-213.39919521245554</v>
      </c>
      <c r="BE678" s="54"/>
      <c r="BF678" s="54">
        <f t="shared" si="11"/>
        <v>13.961898253293212</v>
      </c>
      <c r="BG678" s="54"/>
      <c r="BH678" s="54">
        <f t="shared" si="12"/>
        <v>46.251655914806804</v>
      </c>
      <c r="BI678" s="54"/>
      <c r="BJ678" s="3"/>
    </row>
    <row r="679" spans="2:62" ht="11.25" customHeight="1">
      <c r="B679" s="2"/>
      <c r="E679" s="38">
        <v>8</v>
      </c>
      <c r="H679" s="38"/>
      <c r="J679" s="5"/>
      <c r="X679" s="1" t="s">
        <v>2</v>
      </c>
      <c r="Y679" s="24">
        <f>(W707^2+4*H678^2)/(8*H678)</f>
        <v>21.75</v>
      </c>
      <c r="Z679" s="24"/>
      <c r="AA679" s="1" t="s">
        <v>1</v>
      </c>
      <c r="AF679" s="18"/>
      <c r="AK679" s="5"/>
      <c r="AU679" s="63"/>
      <c r="AV679" s="25">
        <v>12</v>
      </c>
      <c r="AW679" s="26"/>
      <c r="AX679" s="30">
        <f t="shared" si="13"/>
        <v>11.25</v>
      </c>
      <c r="AY679" s="28"/>
      <c r="AZ679" s="54">
        <f t="shared" si="8"/>
        <v>5.6742852856285495</v>
      </c>
      <c r="BA679" s="54"/>
      <c r="BB679" s="54">
        <f t="shared" si="9"/>
        <v>80.071808157713519</v>
      </c>
      <c r="BC679" s="54"/>
      <c r="BD679" s="54">
        <f t="shared" si="10"/>
        <v>-210.80819423420223</v>
      </c>
      <c r="BE679" s="54"/>
      <c r="BF679" s="54">
        <f t="shared" si="11"/>
        <v>4.5976106231098317</v>
      </c>
      <c r="BG679" s="54"/>
      <c r="BH679" s="54">
        <f t="shared" si="12"/>
        <v>55.144989691816193</v>
      </c>
      <c r="BI679" s="54"/>
      <c r="BJ679" s="3"/>
    </row>
    <row r="680" spans="2:62" ht="11.25" customHeight="1">
      <c r="B680" s="2"/>
      <c r="E680" s="38"/>
      <c r="H680" s="38"/>
      <c r="J680" s="37" t="s">
        <v>58</v>
      </c>
      <c r="AF680" s="18"/>
      <c r="AK680" s="5"/>
      <c r="AU680" s="63"/>
      <c r="AV680" s="25">
        <v>13</v>
      </c>
      <c r="AW680" s="26"/>
      <c r="AX680" s="30">
        <f t="shared" si="13"/>
        <v>12.1875</v>
      </c>
      <c r="AY680" s="28"/>
      <c r="AZ680" s="54">
        <f t="shared" si="8"/>
        <v>5.8173907496943187</v>
      </c>
      <c r="BA680" s="54"/>
      <c r="BB680" s="54">
        <f t="shared" si="9"/>
        <v>82.570258389182214</v>
      </c>
      <c r="BC680" s="54"/>
      <c r="BD680" s="54">
        <f t="shared" si="10"/>
        <v>-209.11804230615184</v>
      </c>
      <c r="BE680" s="54"/>
      <c r="BF680" s="54">
        <f t="shared" si="11"/>
        <v>-4.9577505794281684</v>
      </c>
      <c r="BG680" s="54"/>
      <c r="BH680" s="54">
        <f t="shared" si="12"/>
        <v>54.991731626912042</v>
      </c>
      <c r="BI680" s="54"/>
      <c r="BJ680" s="3"/>
    </row>
    <row r="681" spans="2:62" ht="11.25" customHeight="1">
      <c r="B681" s="2"/>
      <c r="E681" s="38"/>
      <c r="H681" s="37" t="s">
        <v>42</v>
      </c>
      <c r="J681" s="37"/>
      <c r="AF681" s="18"/>
      <c r="AK681" s="5"/>
      <c r="AU681" s="63"/>
      <c r="AV681" s="25">
        <v>14</v>
      </c>
      <c r="AW681" s="26"/>
      <c r="AX681" s="30">
        <f t="shared" si="13"/>
        <v>13.125</v>
      </c>
      <c r="AY681" s="28"/>
      <c r="AZ681" s="54">
        <f t="shared" si="8"/>
        <v>5.919030319790501</v>
      </c>
      <c r="BA681" s="54"/>
      <c r="BB681" s="54">
        <f t="shared" si="9"/>
        <v>85.054570282116671</v>
      </c>
      <c r="BC681" s="54"/>
      <c r="BD681" s="54">
        <f t="shared" si="10"/>
        <v>-208.33010608793427</v>
      </c>
      <c r="BE681" s="54"/>
      <c r="BF681" s="54">
        <f t="shared" si="11"/>
        <v>-14.638989111809199</v>
      </c>
      <c r="BG681" s="54"/>
      <c r="BH681" s="54">
        <f t="shared" si="12"/>
        <v>45.762156873144193</v>
      </c>
      <c r="BI681" s="54"/>
      <c r="BJ681" s="3"/>
    </row>
    <row r="682" spans="2:62" ht="11.25" customHeight="1">
      <c r="B682" s="2"/>
      <c r="H682" s="37"/>
      <c r="J682" s="37"/>
      <c r="AF682" s="18"/>
      <c r="AK682" s="5"/>
      <c r="AU682" s="63"/>
      <c r="AV682" s="25">
        <v>15</v>
      </c>
      <c r="AW682" s="26"/>
      <c r="AX682" s="30">
        <f t="shared" si="13"/>
        <v>14.0625</v>
      </c>
      <c r="AY682" s="28"/>
      <c r="AZ682" s="54">
        <f t="shared" si="8"/>
        <v>5.9797858652587728</v>
      </c>
      <c r="BA682" s="54"/>
      <c r="BB682" s="54">
        <f t="shared" si="9"/>
        <v>87.529588962499972</v>
      </c>
      <c r="BC682" s="54"/>
      <c r="BD682" s="54">
        <f t="shared" si="10"/>
        <v>-208.44533434187508</v>
      </c>
      <c r="BE682" s="54"/>
      <c r="BF682" s="54">
        <f t="shared" si="11"/>
        <v>-24.382373311491797</v>
      </c>
      <c r="BG682" s="54"/>
      <c r="BH682" s="54">
        <f t="shared" si="12"/>
        <v>27.435629849930081</v>
      </c>
      <c r="BI682" s="54"/>
      <c r="BJ682" s="3"/>
    </row>
    <row r="683" spans="2:62" ht="11.25" customHeight="1">
      <c r="B683" s="2"/>
      <c r="M683" s="1" t="s">
        <v>84</v>
      </c>
      <c r="O683" s="1" t="s">
        <v>48</v>
      </c>
      <c r="AF683" s="18"/>
      <c r="AH683" s="1" t="s">
        <v>33</v>
      </c>
      <c r="AU683" s="63"/>
      <c r="AV683" s="25">
        <v>16</v>
      </c>
      <c r="AW683" s="26"/>
      <c r="AX683" s="30">
        <f t="shared" si="13"/>
        <v>15</v>
      </c>
      <c r="AY683" s="28"/>
      <c r="AZ683" s="54">
        <f t="shared" si="8"/>
        <v>6</v>
      </c>
      <c r="BA683" s="54"/>
      <c r="BB683" s="54">
        <f t="shared" si="9"/>
        <v>90</v>
      </c>
      <c r="BC683" s="54"/>
      <c r="BD683" s="54">
        <f t="shared" si="10"/>
        <v>-209.46428571428572</v>
      </c>
      <c r="BE683" s="54"/>
      <c r="BF683" s="54">
        <f t="shared" si="11"/>
        <v>-34.125</v>
      </c>
      <c r="BG683" s="54"/>
      <c r="BH683" s="54">
        <f t="shared" si="12"/>
        <v>0</v>
      </c>
      <c r="BI683" s="54"/>
      <c r="BJ683" s="3"/>
    </row>
    <row r="684" spans="2:62" ht="11.25" customHeight="1">
      <c r="B684" s="2"/>
      <c r="AF684" s="18"/>
      <c r="AU684" s="63"/>
      <c r="AV684" s="25">
        <v>17</v>
      </c>
      <c r="AW684" s="26"/>
      <c r="AX684" s="30">
        <f t="shared" si="13"/>
        <v>15.9375</v>
      </c>
      <c r="AY684" s="28"/>
      <c r="AZ684" s="54">
        <f t="shared" si="8"/>
        <v>5.9797858652587728</v>
      </c>
      <c r="BA684" s="54"/>
      <c r="BB684" s="54">
        <f t="shared" si="9"/>
        <v>87.529588962499972</v>
      </c>
      <c r="BC684" s="54"/>
      <c r="BD684" s="54">
        <f t="shared" si="10"/>
        <v>-211.34666005704887</v>
      </c>
      <c r="BE684" s="54"/>
      <c r="BF684" s="54">
        <f t="shared" si="11"/>
        <v>-39.114082231034644</v>
      </c>
      <c r="BG684" s="54"/>
      <c r="BH684" s="54">
        <f t="shared" si="12"/>
        <v>-34.349845080096657</v>
      </c>
      <c r="BI684" s="54"/>
      <c r="BJ684" s="3"/>
    </row>
    <row r="685" spans="2:62" ht="11.25" customHeight="1">
      <c r="B685" s="2"/>
      <c r="AF685" s="18"/>
      <c r="AU685" s="63"/>
      <c r="AV685" s="25">
        <v>18</v>
      </c>
      <c r="AW685" s="26"/>
      <c r="AX685" s="30">
        <f t="shared" si="13"/>
        <v>16.875</v>
      </c>
      <c r="AY685" s="28"/>
      <c r="AZ685" s="54">
        <f t="shared" si="8"/>
        <v>5.919030319790501</v>
      </c>
      <c r="BA685" s="54"/>
      <c r="BB685" s="54">
        <f t="shared" si="9"/>
        <v>85.054570282116671</v>
      </c>
      <c r="BC685" s="54"/>
      <c r="BD685" s="54">
        <f t="shared" si="10"/>
        <v>-214.05088312901691</v>
      </c>
      <c r="BE685" s="54"/>
      <c r="BF685" s="54">
        <f t="shared" si="11"/>
        <v>-43.960993181272357</v>
      </c>
      <c r="BG685" s="54"/>
      <c r="BH685" s="54">
        <f t="shared" si="12"/>
        <v>-73.39130627040322</v>
      </c>
      <c r="BI685" s="54"/>
      <c r="BJ685" s="3"/>
    </row>
    <row r="686" spans="2:62" ht="11.25" customHeight="1">
      <c r="B686" s="2"/>
      <c r="AF686" s="18"/>
      <c r="AU686" s="63"/>
      <c r="AV686" s="25">
        <v>19</v>
      </c>
      <c r="AW686" s="26"/>
      <c r="AX686" s="30">
        <f t="shared" si="13"/>
        <v>17.8125</v>
      </c>
      <c r="AY686" s="28"/>
      <c r="AZ686" s="54">
        <f t="shared" si="8"/>
        <v>5.8173907496943187</v>
      </c>
      <c r="BA686" s="54"/>
      <c r="BB686" s="54">
        <f t="shared" si="9"/>
        <v>82.570258389182214</v>
      </c>
      <c r="BC686" s="54"/>
      <c r="BD686" s="54">
        <f t="shared" si="10"/>
        <v>-217.57365537267185</v>
      </c>
      <c r="BE686" s="54"/>
      <c r="BF686" s="54">
        <f t="shared" si="11"/>
        <v>-48.585894391476813</v>
      </c>
      <c r="BG686" s="54"/>
      <c r="BH686" s="54">
        <f t="shared" si="12"/>
        <v>-117.05261819489942</v>
      </c>
      <c r="BI686" s="54"/>
      <c r="BJ686" s="3"/>
    </row>
    <row r="687" spans="2:62" ht="11.25" customHeight="1">
      <c r="B687" s="2"/>
      <c r="AF687" s="18"/>
      <c r="AU687" s="63"/>
      <c r="AV687" s="25">
        <v>20</v>
      </c>
      <c r="AW687" s="26"/>
      <c r="AX687" s="30">
        <f t="shared" si="13"/>
        <v>18.75</v>
      </c>
      <c r="AY687" s="28"/>
      <c r="AZ687" s="54">
        <f t="shared" si="8"/>
        <v>5.6742852856285495</v>
      </c>
      <c r="BA687" s="54"/>
      <c r="BB687" s="54">
        <f t="shared" si="9"/>
        <v>80.071808157713519</v>
      </c>
      <c r="BC687" s="54"/>
      <c r="BD687" s="54">
        <f t="shared" si="10"/>
        <v>-221.90937307095476</v>
      </c>
      <c r="BE687" s="54"/>
      <c r="BF687" s="54">
        <f t="shared" si="11"/>
        <v>-52.907067184372835</v>
      </c>
      <c r="BG687" s="54"/>
      <c r="BH687" s="54">
        <f t="shared" si="12"/>
        <v>-165.21190000755178</v>
      </c>
      <c r="BI687" s="54"/>
      <c r="BJ687" s="3"/>
    </row>
    <row r="688" spans="2:62" ht="11.25" customHeight="1">
      <c r="B688" s="2"/>
      <c r="U688" s="65" t="s">
        <v>70</v>
      </c>
      <c r="V688" s="24"/>
      <c r="W688" s="8"/>
      <c r="AA688" s="8"/>
      <c r="AF688" s="18"/>
      <c r="AU688" s="63"/>
      <c r="AV688" s="25">
        <v>21</v>
      </c>
      <c r="AW688" s="26"/>
      <c r="AX688" s="30">
        <f t="shared" si="13"/>
        <v>19.6875</v>
      </c>
      <c r="AY688" s="28"/>
      <c r="AZ688" s="54">
        <f t="shared" si="8"/>
        <v>5.4888757647385837</v>
      </c>
      <c r="BA688" s="54"/>
      <c r="BB688" s="54">
        <f t="shared" si="9"/>
        <v>77.554125520211159</v>
      </c>
      <c r="BC688" s="54"/>
      <c r="BD688" s="54">
        <f t="shared" si="10"/>
        <v>-227.04996426139866</v>
      </c>
      <c r="BE688" s="54"/>
      <c r="BF688" s="54">
        <f t="shared" si="11"/>
        <v>-56.840057397433185</v>
      </c>
      <c r="BG688" s="54"/>
      <c r="BH688" s="54">
        <f t="shared" si="12"/>
        <v>-217.69358652470692</v>
      </c>
      <c r="BI688" s="54"/>
      <c r="BJ688" s="3"/>
    </row>
    <row r="689" spans="2:62" ht="11.25" customHeight="1">
      <c r="B689" s="2"/>
      <c r="D689" s="37" t="s">
        <v>3</v>
      </c>
      <c r="H689" s="5" t="s">
        <v>1</v>
      </c>
      <c r="AF689" s="18"/>
      <c r="AU689" s="63"/>
      <c r="AV689" s="25">
        <v>22</v>
      </c>
      <c r="AW689" s="26"/>
      <c r="AX689" s="30">
        <f t="shared" si="13"/>
        <v>20.625</v>
      </c>
      <c r="AY689" s="28"/>
      <c r="AZ689" s="54">
        <f t="shared" si="8"/>
        <v>5.2600422417471577</v>
      </c>
      <c r="BA689" s="54"/>
      <c r="BB689" s="54">
        <f t="shared" si="9"/>
        <v>75.011765517694855</v>
      </c>
      <c r="BC689" s="54"/>
      <c r="BD689" s="54">
        <f t="shared" si="10"/>
        <v>-232.98464326411678</v>
      </c>
      <c r="BE689" s="54"/>
      <c r="BF689" s="54">
        <f t="shared" si="11"/>
        <v>-60.296707977203596</v>
      </c>
      <c r="BG689" s="54"/>
      <c r="BH689" s="54">
        <f t="shared" si="12"/>
        <v>-274.26308920882434</v>
      </c>
      <c r="BI689" s="54"/>
      <c r="BJ689" s="3"/>
    </row>
    <row r="690" spans="2:62" ht="11.25" customHeight="1">
      <c r="B690" s="2"/>
      <c r="D690" s="37"/>
      <c r="H690" s="38">
        <v>4.5</v>
      </c>
      <c r="AF690" s="18"/>
      <c r="AU690" s="63"/>
      <c r="AV690" s="25">
        <v>23</v>
      </c>
      <c r="AW690" s="26"/>
      <c r="AX690" s="30">
        <f t="shared" si="13"/>
        <v>21.5625</v>
      </c>
      <c r="AY690" s="28"/>
      <c r="AZ690" s="54">
        <f t="shared" si="8"/>
        <v>4.9863471650626074</v>
      </c>
      <c r="BA690" s="54"/>
      <c r="BB690" s="54">
        <f t="shared" si="9"/>
        <v>72.438811688447643</v>
      </c>
      <c r="BC690" s="54"/>
      <c r="BD690" s="54">
        <f t="shared" si="10"/>
        <v>-239.6995656783123</v>
      </c>
      <c r="BE690" s="54"/>
      <c r="BF690" s="54">
        <f t="shared" si="11"/>
        <v>-63.184029704304066</v>
      </c>
      <c r="BG690" s="54"/>
      <c r="BH690" s="54">
        <f t="shared" si="12"/>
        <v>-334.61929234257832</v>
      </c>
      <c r="BI690" s="54"/>
      <c r="BJ690" s="3"/>
    </row>
    <row r="691" spans="2:62" ht="11.25" customHeight="1">
      <c r="B691" s="2"/>
      <c r="D691" s="37"/>
      <c r="H691" s="38"/>
      <c r="AF691" s="18"/>
      <c r="AU691" s="63"/>
      <c r="AV691" s="25">
        <v>24</v>
      </c>
      <c r="AW691" s="26"/>
      <c r="AX691" s="30">
        <f t="shared" si="13"/>
        <v>22.5</v>
      </c>
      <c r="AY691" s="28"/>
      <c r="AZ691" s="54">
        <f t="shared" si="8"/>
        <v>4.6659863832243005</v>
      </c>
      <c r="BA691" s="54"/>
      <c r="BB691" s="54">
        <f t="shared" si="9"/>
        <v>69.828728653535038</v>
      </c>
      <c r="BC691" s="54"/>
      <c r="BD691" s="54">
        <f t="shared" si="10"/>
        <v>-247.17735654780049</v>
      </c>
      <c r="BE691" s="54"/>
      <c r="BF691" s="54">
        <f t="shared" si="11"/>
        <v>-65.402844164741197</v>
      </c>
      <c r="BG691" s="54"/>
      <c r="BH691" s="54">
        <f t="shared" si="12"/>
        <v>-398.38429062894738</v>
      </c>
      <c r="BI691" s="54"/>
      <c r="BJ691" s="3"/>
    </row>
    <row r="692" spans="2:62" ht="11.25" customHeight="1">
      <c r="B692" s="2"/>
      <c r="D692" s="38">
        <v>10</v>
      </c>
      <c r="H692" s="38"/>
      <c r="AF692" s="18"/>
      <c r="AU692" s="63"/>
      <c r="AV692" s="25">
        <v>25</v>
      </c>
      <c r="AW692" s="26"/>
      <c r="AX692" s="30">
        <f t="shared" si="13"/>
        <v>23.4375</v>
      </c>
      <c r="AY692" s="28"/>
      <c r="AZ692" s="54">
        <f t="shared" si="8"/>
        <v>4.2967227683230043</v>
      </c>
      <c r="BA692" s="54"/>
      <c r="BB692" s="54">
        <f t="shared" si="9"/>
        <v>67.174176563384322</v>
      </c>
      <c r="BC692" s="54"/>
      <c r="BD692" s="54">
        <f t="shared" si="10"/>
        <v>-255.39647111857872</v>
      </c>
      <c r="BE692" s="54"/>
      <c r="BF692" s="54">
        <f t="shared" si="11"/>
        <v>-66.846108235430719</v>
      </c>
      <c r="BG692" s="54"/>
      <c r="BH692" s="54">
        <f t="shared" si="12"/>
        <v>-465.08948566837216</v>
      </c>
      <c r="BI692" s="54"/>
      <c r="BJ692" s="3"/>
    </row>
    <row r="693" spans="2:62" ht="11.25" customHeight="1">
      <c r="B693" s="2"/>
      <c r="D693" s="38"/>
      <c r="AF693" s="18"/>
      <c r="AU693" s="63"/>
      <c r="AV693" s="25">
        <v>26</v>
      </c>
      <c r="AW693" s="26"/>
      <c r="AX693" s="30">
        <f t="shared" si="13"/>
        <v>24.375</v>
      </c>
      <c r="AY693" s="28"/>
      <c r="AZ693" s="54">
        <f t="shared" si="8"/>
        <v>3.8757961621942876</v>
      </c>
      <c r="BA693" s="54"/>
      <c r="BB693" s="54">
        <f t="shared" si="9"/>
        <v>64.466771055921072</v>
      </c>
      <c r="BC693" s="54"/>
      <c r="BD693" s="54">
        <f t="shared" si="10"/>
        <v>-264.33032757187107</v>
      </c>
      <c r="BE693" s="54"/>
      <c r="BF693" s="54">
        <f t="shared" si="11"/>
        <v>-67.39679084009309</v>
      </c>
      <c r="BG693" s="54"/>
      <c r="BH693" s="54">
        <f t="shared" si="12"/>
        <v>-534.15672290248199</v>
      </c>
      <c r="BI693" s="54"/>
      <c r="BJ693" s="3"/>
    </row>
    <row r="694" spans="2:62" ht="11.25" customHeight="1">
      <c r="B694" s="2"/>
      <c r="D694" s="38"/>
      <c r="AF694" s="18"/>
      <c r="AU694" s="63"/>
      <c r="AV694" s="25">
        <v>27</v>
      </c>
      <c r="AW694" s="26"/>
      <c r="AX694" s="30">
        <f t="shared" si="13"/>
        <v>25.3125</v>
      </c>
      <c r="AY694" s="28"/>
      <c r="AZ694" s="54">
        <f t="shared" si="8"/>
        <v>3.3998000968678532</v>
      </c>
      <c r="BA694" s="54"/>
      <c r="BB694" s="54">
        <f t="shared" si="9"/>
        <v>61.69676436500157</v>
      </c>
      <c r="BC694" s="54"/>
      <c r="BD694" s="54">
        <f t="shared" si="10"/>
        <v>-273.94611977525449</v>
      </c>
      <c r="BE694" s="54"/>
      <c r="BF694" s="54">
        <f t="shared" si="11"/>
        <v>-66.925111924657017</v>
      </c>
      <c r="BG694" s="54"/>
      <c r="BH694" s="54">
        <f t="shared" si="12"/>
        <v>-604.87246895107</v>
      </c>
      <c r="BI694" s="54"/>
      <c r="BJ694" s="3"/>
    </row>
    <row r="695" spans="2:62" ht="11.25" customHeight="1">
      <c r="B695" s="2"/>
      <c r="AF695" s="18"/>
      <c r="AU695" s="63"/>
      <c r="AV695" s="25">
        <v>28</v>
      </c>
      <c r="AW695" s="26"/>
      <c r="AX695" s="30">
        <f t="shared" si="13"/>
        <v>26.25</v>
      </c>
      <c r="AY695" s="28"/>
      <c r="AZ695" s="54">
        <f t="shared" si="8"/>
        <v>2.8645104689862855</v>
      </c>
      <c r="BA695" s="54"/>
      <c r="BB695" s="54">
        <f t="shared" si="9"/>
        <v>58.852610078491033</v>
      </c>
      <c r="BC695" s="54"/>
      <c r="BD695" s="54">
        <f t="shared" si="10"/>
        <v>-284.20316732447378</v>
      </c>
      <c r="BE695" s="54"/>
      <c r="BF695" s="54">
        <f t="shared" si="11"/>
        <v>-65.284855039534648</v>
      </c>
      <c r="BG695" s="54"/>
      <c r="BH695" s="54">
        <f t="shared" si="12"/>
        <v>-676.35192502159157</v>
      </c>
      <c r="BI695" s="54"/>
      <c r="BJ695" s="3"/>
    </row>
    <row r="696" spans="2:62" ht="11.25" customHeight="1">
      <c r="B696" s="2"/>
      <c r="AF696" s="18"/>
      <c r="AU696" s="63"/>
      <c r="AV696" s="25">
        <v>29</v>
      </c>
      <c r="AW696" s="26"/>
      <c r="AX696" s="30">
        <f t="shared" si="13"/>
        <v>27.1875</v>
      </c>
      <c r="AY696" s="28"/>
      <c r="AZ696" s="54">
        <f t="shared" si="8"/>
        <v>2.2646424818812321</v>
      </c>
      <c r="BA696" s="54"/>
      <c r="BB696" s="54">
        <f t="shared" si="9"/>
        <v>55.92035177807503</v>
      </c>
      <c r="BC696" s="54"/>
      <c r="BD696" s="54">
        <f t="shared" si="10"/>
        <v>-295.05057476393011</v>
      </c>
      <c r="BE696" s="54"/>
      <c r="BF696" s="54">
        <f t="shared" si="11"/>
        <v>-62.308299828517377</v>
      </c>
      <c r="BG696" s="54"/>
      <c r="BH696" s="54">
        <f t="shared" si="12"/>
        <v>-747.48811495476525</v>
      </c>
      <c r="BI696" s="54"/>
      <c r="BJ696" s="3"/>
    </row>
    <row r="697" spans="2:62" ht="11.25" customHeight="1">
      <c r="B697" s="2"/>
      <c r="AF697" s="18"/>
      <c r="AU697" s="63"/>
      <c r="AV697" s="25">
        <v>30</v>
      </c>
      <c r="AW697" s="26"/>
      <c r="AX697" s="30">
        <f t="shared" si="13"/>
        <v>28.125</v>
      </c>
      <c r="AY697" s="28"/>
      <c r="AZ697" s="54">
        <f t="shared" si="8"/>
        <v>1.5934966197707681</v>
      </c>
      <c r="BA697" s="54"/>
      <c r="BB697" s="54">
        <f t="shared" si="9"/>
        <v>52.88273653282085</v>
      </c>
      <c r="BC697" s="54"/>
      <c r="BD697" s="54">
        <f t="shared" si="10"/>
        <v>-306.4238221263638</v>
      </c>
      <c r="BE697" s="54"/>
      <c r="BF697" s="54">
        <f t="shared" si="11"/>
        <v>-57.799033065151598</v>
      </c>
      <c r="BG697" s="54"/>
      <c r="BH697" s="54">
        <f t="shared" si="12"/>
        <v>-816.87772946269843</v>
      </c>
      <c r="BI697" s="54"/>
      <c r="BJ697" s="3"/>
    </row>
    <row r="698" spans="2:62" ht="11.25" customHeight="1">
      <c r="B698" s="2"/>
      <c r="G698" s="1" t="s">
        <v>5</v>
      </c>
      <c r="I698" s="24">
        <f>+AU712</f>
        <v>116.46428571428571</v>
      </c>
      <c r="J698" s="24"/>
      <c r="K698" s="1" t="s">
        <v>0</v>
      </c>
      <c r="AF698" s="18"/>
      <c r="AJ698" s="1" t="s">
        <v>6</v>
      </c>
      <c r="AL698" s="24">
        <f>+AC713</f>
        <v>209.46428571428572</v>
      </c>
      <c r="AM698" s="24"/>
      <c r="AN698" s="1" t="s">
        <v>0</v>
      </c>
      <c r="AU698" s="63"/>
      <c r="AV698" s="25">
        <v>31</v>
      </c>
      <c r="AW698" s="26"/>
      <c r="AX698" s="30">
        <f t="shared" si="13"/>
        <v>29.0625</v>
      </c>
      <c r="AY698" s="28"/>
      <c r="AZ698" s="54">
        <f t="shared" si="8"/>
        <v>0.84242579462086908</v>
      </c>
      <c r="BA698" s="54"/>
      <c r="BB698" s="54">
        <f t="shared" si="9"/>
        <v>49.717881644014774</v>
      </c>
      <c r="BC698" s="54"/>
      <c r="BD698" s="54">
        <f t="shared" si="10"/>
        <v>-318.23963326839316</v>
      </c>
      <c r="BE698" s="54"/>
      <c r="BF698" s="54">
        <f t="shared" si="11"/>
        <v>-51.521371422396932</v>
      </c>
      <c r="BG698" s="54"/>
      <c r="BH698" s="54">
        <f t="shared" si="12"/>
        <v>-882.70951242683554</v>
      </c>
      <c r="BI698" s="54"/>
      <c r="BJ698" s="3"/>
    </row>
    <row r="699" spans="2:62" ht="11.25" customHeight="1">
      <c r="B699" s="2"/>
      <c r="AF699" s="18"/>
      <c r="AU699" s="63"/>
      <c r="AV699" s="25">
        <v>32</v>
      </c>
      <c r="AW699" s="26"/>
      <c r="AX699" s="30">
        <f t="shared" si="13"/>
        <v>30</v>
      </c>
      <c r="AY699" s="28"/>
      <c r="AZ699" s="54">
        <f t="shared" ref="AZ699" si="14">$H$678-$Y$679+SQRT($Y$679^2-($W$707/2-AX699)^2)</f>
        <v>0</v>
      </c>
      <c r="BA699" s="54"/>
      <c r="BB699" s="54">
        <f t="shared" ref="BB699" si="15">ASIN(($Y$679-$H$678+AZ699)/$Y$679)*180/PI()</f>
        <v>46.397181027296376</v>
      </c>
      <c r="BC699" s="54"/>
      <c r="BD699" s="54">
        <f t="shared" ref="BD699" si="16">IF(AX699&lt;=$W$707/2,-$K$703*COS(BB699*PI()/180)-$I$698*SIN(BB699*PI()/180)+$Q$671*AX699*COS(BB699*PI()/180)-$E$679*AZ699*SIN(BB699*PI()/180)-$D$692*$H$690*SIN(BB699*PI()/180),-$AH$703*COS(BB699*PI()/180)-$AL$698*SIN(BB699*PI()/180)+$AB$670*($W$707-AX699)*COS(BB699*PI()/180))</f>
        <v>-330.38793103448279</v>
      </c>
      <c r="BE699" s="54"/>
      <c r="BF699" s="54">
        <f t="shared" ref="BF699" si="17">IF(AX699&lt;=$W$707/2,$K$703*SIN(BB699*PI()/180)-$I$698*COS(BB699*PI()/180)-$Q$671*AX699*SIN(BB699*PI()/180)-$E$679*AZ699*COS(BB699*PI()/180)-$D$692*$H$690*COS(BB699*PI()/180),-$AH$703*SIN(BB699*PI()/180)+$AL$698*COS(BB699*PI()/180)+$AB$670*($W$707-AX699)*SIN(BB699*PI()/180))</f>
        <v>-43.184113300492584</v>
      </c>
      <c r="BG699" s="54"/>
      <c r="BH699" s="54">
        <f t="shared" ref="BH699" si="18">IF(AX699&lt;=$W$707/2,$K$703*AX699-$I$698*($H$690+AZ699)-$Q$671*AX699*AX699/2-$E$679*AZ699*AZ699/2-$D$692*$H$690*($H$690/2+AZ699),$AH$703*($W$707-AX699)-$AL$698*($H$690+AZ699)-$AB$670*($W$707-AX699)*($W$707-AX699)/2)</f>
        <v>-942.58928571428578</v>
      </c>
      <c r="BI699" s="54"/>
      <c r="BJ699" s="3"/>
    </row>
    <row r="700" spans="2:62" ht="11.25" customHeight="1">
      <c r="B700" s="2"/>
      <c r="AF700" s="18"/>
      <c r="AX700" s="21"/>
      <c r="AY700" s="22"/>
      <c r="AZ700" s="25" t="s">
        <v>59</v>
      </c>
      <c r="BA700" s="25"/>
      <c r="BB700" s="25" t="s">
        <v>58</v>
      </c>
      <c r="BC700" s="25"/>
      <c r="BD700" s="25" t="s">
        <v>62</v>
      </c>
      <c r="BE700" s="25"/>
      <c r="BF700" s="25" t="s">
        <v>65</v>
      </c>
      <c r="BG700" s="25"/>
      <c r="BH700" s="25" t="s">
        <v>63</v>
      </c>
      <c r="BI700" s="25"/>
      <c r="BJ700" s="3"/>
    </row>
    <row r="701" spans="2:62" ht="11.25" customHeight="1" thickBot="1">
      <c r="B701" s="2"/>
      <c r="AF701" s="18"/>
      <c r="AZ701" s="57"/>
      <c r="BA701" s="57"/>
      <c r="BB701" s="57" t="s">
        <v>60</v>
      </c>
      <c r="BC701" s="57"/>
      <c r="BD701" s="57" t="s">
        <v>61</v>
      </c>
      <c r="BE701" s="57"/>
      <c r="BF701" s="57" t="s">
        <v>61</v>
      </c>
      <c r="BG701" s="57"/>
      <c r="BH701" s="57" t="s">
        <v>64</v>
      </c>
      <c r="BI701" s="57"/>
      <c r="BJ701" s="3"/>
    </row>
    <row r="702" spans="2:62" ht="11.25" customHeight="1" thickTop="1">
      <c r="B702" s="2"/>
      <c r="AF702" s="18"/>
      <c r="AY702" s="63" t="s">
        <v>92</v>
      </c>
      <c r="AZ702" s="55">
        <v>1</v>
      </c>
      <c r="BA702" s="73"/>
      <c r="BB702" s="54">
        <v>0</v>
      </c>
      <c r="BC702" s="54"/>
      <c r="BD702" s="54">
        <f>-K703</f>
        <v>-265.875</v>
      </c>
      <c r="BE702" s="54"/>
      <c r="BF702" s="54">
        <f>-$I$698-$D$692*BB702</f>
        <v>-116.46428571428571</v>
      </c>
      <c r="BG702" s="54"/>
      <c r="BH702" s="54">
        <f>-$I$698*BB702-$D$692*BB702*BB702/2</f>
        <v>0</v>
      </c>
      <c r="BI702" s="54"/>
      <c r="BJ702" s="3"/>
    </row>
    <row r="703" spans="2:62" ht="11.25" customHeight="1">
      <c r="B703" s="2"/>
      <c r="I703" s="1" t="s">
        <v>4</v>
      </c>
      <c r="K703" s="24">
        <f>+AX710</f>
        <v>265.875</v>
      </c>
      <c r="L703" s="24"/>
      <c r="M703" s="1" t="s">
        <v>0</v>
      </c>
      <c r="AF703" s="1" t="s">
        <v>7</v>
      </c>
      <c r="AH703" s="24">
        <f>+Z711</f>
        <v>259.125</v>
      </c>
      <c r="AI703" s="24"/>
      <c r="AJ703" s="1" t="s">
        <v>0</v>
      </c>
      <c r="AY703" s="63"/>
      <c r="AZ703" s="25">
        <v>2</v>
      </c>
      <c r="BA703" s="26"/>
      <c r="BB703" s="54">
        <f>$H$690/3+BB702</f>
        <v>1.5</v>
      </c>
      <c r="BC703" s="54"/>
      <c r="BD703" s="54">
        <f>+BD702</f>
        <v>-265.875</v>
      </c>
      <c r="BE703" s="54"/>
      <c r="BF703" s="54">
        <f>-$I$698-$D$692*BB703</f>
        <v>-131.46428571428572</v>
      </c>
      <c r="BG703" s="54"/>
      <c r="BH703" s="54">
        <f>-$I$698*BB703-$D$692*BB703*BB703/2</f>
        <v>-185.94642857142856</v>
      </c>
      <c r="BI703" s="54"/>
      <c r="BJ703" s="3"/>
    </row>
    <row r="704" spans="2:62" ht="11.25" customHeight="1">
      <c r="B704" s="2"/>
      <c r="AF704" s="18"/>
      <c r="AY704" s="63"/>
      <c r="AZ704" s="25">
        <v>3</v>
      </c>
      <c r="BA704" s="26"/>
      <c r="BB704" s="54">
        <f>$H$690/3+BB703</f>
        <v>3</v>
      </c>
      <c r="BC704" s="54"/>
      <c r="BD704" s="54">
        <f>+BD703</f>
        <v>-265.875</v>
      </c>
      <c r="BE704" s="54"/>
      <c r="BF704" s="54">
        <f>-$I$698-$D$692*BB704</f>
        <v>-146.46428571428572</v>
      </c>
      <c r="BG704" s="54"/>
      <c r="BH704" s="54">
        <f>-$I$698*BB704-$D$692*BB704*BB704/2</f>
        <v>-394.39285714285711</v>
      </c>
      <c r="BI704" s="54"/>
      <c r="BJ704" s="3"/>
    </row>
    <row r="705" spans="2:62" ht="11.25" customHeight="1" thickBot="1">
      <c r="B705" s="2"/>
      <c r="M705" s="24" t="s">
        <v>48</v>
      </c>
      <c r="N705" s="24"/>
      <c r="O705" s="24"/>
      <c r="S705" s="24" t="s">
        <v>72</v>
      </c>
      <c r="T705" s="24"/>
      <c r="U705" s="24"/>
      <c r="AC705" s="24">
        <f>+W707/2</f>
        <v>15</v>
      </c>
      <c r="AD705" s="24"/>
      <c r="AE705" s="1" t="s">
        <v>1</v>
      </c>
      <c r="AF705" s="18"/>
      <c r="AY705" s="72"/>
      <c r="AZ705" s="66">
        <v>4</v>
      </c>
      <c r="BA705" s="67"/>
      <c r="BB705" s="68">
        <f>$H$690/3+BB704</f>
        <v>4.5</v>
      </c>
      <c r="BC705" s="68"/>
      <c r="BD705" s="68">
        <f>+BD704</f>
        <v>-265.875</v>
      </c>
      <c r="BE705" s="68"/>
      <c r="BF705" s="68">
        <f>-$I$698-$D$692*BB705</f>
        <v>-161.46428571428572</v>
      </c>
      <c r="BG705" s="68"/>
      <c r="BH705" s="68">
        <f>-$I$698*BB705-$D$692*BB705*BB705/2</f>
        <v>-625.33928571428567</v>
      </c>
      <c r="BI705" s="68"/>
      <c r="BJ705" s="3"/>
    </row>
    <row r="706" spans="2:62" ht="11.25" customHeight="1">
      <c r="B706" s="2"/>
      <c r="AF706" s="18"/>
      <c r="AY706" s="64" t="s">
        <v>93</v>
      </c>
      <c r="AZ706" s="69">
        <v>1</v>
      </c>
      <c r="BA706" s="70"/>
      <c r="BB706" s="71">
        <f>+BB702</f>
        <v>0</v>
      </c>
      <c r="BC706" s="71"/>
      <c r="BD706" s="71">
        <f>-AH703</f>
        <v>-259.125</v>
      </c>
      <c r="BE706" s="71"/>
      <c r="BF706" s="71">
        <f>+AL698</f>
        <v>209.46428571428572</v>
      </c>
      <c r="BG706" s="71"/>
      <c r="BH706" s="71">
        <f>-$AL$698*BB706</f>
        <v>0</v>
      </c>
      <c r="BI706" s="71"/>
      <c r="BJ706" s="3"/>
    </row>
    <row r="707" spans="2:62" ht="11.25" customHeight="1">
      <c r="B707" s="2"/>
      <c r="W707" s="34">
        <v>30</v>
      </c>
      <c r="X707" s="34"/>
      <c r="Y707" s="1" t="s">
        <v>1</v>
      </c>
      <c r="AF707" s="18"/>
      <c r="AY707" s="63"/>
      <c r="AZ707" s="25">
        <v>2</v>
      </c>
      <c r="BA707" s="26"/>
      <c r="BB707" s="54">
        <f>+BB703</f>
        <v>1.5</v>
      </c>
      <c r="BC707" s="54"/>
      <c r="BD707" s="54">
        <f>+BD706</f>
        <v>-259.125</v>
      </c>
      <c r="BE707" s="54"/>
      <c r="BF707" s="54">
        <f>+BF706</f>
        <v>209.46428571428572</v>
      </c>
      <c r="BG707" s="54"/>
      <c r="BH707" s="54">
        <f>-$AL$698*BB707</f>
        <v>-314.19642857142856</v>
      </c>
      <c r="BI707" s="54"/>
      <c r="BJ707" s="3"/>
    </row>
    <row r="708" spans="2:62" ht="11.25" customHeight="1">
      <c r="B708" s="2"/>
      <c r="AF708" s="18"/>
      <c r="AY708" s="63"/>
      <c r="AZ708" s="25">
        <v>3</v>
      </c>
      <c r="BA708" s="26"/>
      <c r="BB708" s="54">
        <f>+BB704</f>
        <v>3</v>
      </c>
      <c r="BC708" s="54"/>
      <c r="BD708" s="54">
        <f>+BD707</f>
        <v>-259.125</v>
      </c>
      <c r="BE708" s="54"/>
      <c r="BF708" s="54">
        <f>+BF707</f>
        <v>209.46428571428572</v>
      </c>
      <c r="BG708" s="54"/>
      <c r="BH708" s="54">
        <f>-$AL$698*BB708</f>
        <v>-628.39285714285711</v>
      </c>
      <c r="BI708" s="54"/>
      <c r="BJ708" s="3"/>
    </row>
    <row r="709" spans="2:62" ht="11.25" customHeight="1">
      <c r="B709" s="2"/>
      <c r="C709" s="4" t="s">
        <v>28</v>
      </c>
      <c r="AY709" s="63"/>
      <c r="AZ709" s="25">
        <v>4</v>
      </c>
      <c r="BA709" s="26"/>
      <c r="BB709" s="54">
        <f>+BB705</f>
        <v>4.5</v>
      </c>
      <c r="BC709" s="54"/>
      <c r="BD709" s="54">
        <f>+BD708</f>
        <v>-259.125</v>
      </c>
      <c r="BE709" s="54"/>
      <c r="BF709" s="54">
        <f>+BF708</f>
        <v>209.46428571428572</v>
      </c>
      <c r="BG709" s="54"/>
      <c r="BH709" s="54">
        <f>-$AL$698*BB709</f>
        <v>-942.58928571428578</v>
      </c>
      <c r="BI709" s="54"/>
      <c r="BJ709" s="3"/>
    </row>
    <row r="710" spans="2:62" ht="11.25" customHeight="1">
      <c r="B710" s="2"/>
      <c r="C710" s="1" t="s">
        <v>11</v>
      </c>
      <c r="E710" s="24">
        <f>+W707</f>
        <v>30</v>
      </c>
      <c r="F710" s="24"/>
      <c r="G710" s="7" t="s">
        <v>9</v>
      </c>
      <c r="H710" s="24">
        <f>+Q671</f>
        <v>20</v>
      </c>
      <c r="I710" s="24"/>
      <c r="J710" s="7" t="s">
        <v>10</v>
      </c>
      <c r="K710" s="24">
        <f>+W707/2</f>
        <v>15</v>
      </c>
      <c r="L710" s="24"/>
      <c r="M710" s="7" t="s">
        <v>10</v>
      </c>
      <c r="N710" s="24">
        <f>+W707/2+W707/2/2</f>
        <v>22.5</v>
      </c>
      <c r="O710" s="24"/>
      <c r="P710" s="7" t="s">
        <v>9</v>
      </c>
      <c r="Q710" s="24">
        <f>+AB670</f>
        <v>15</v>
      </c>
      <c r="R710" s="24"/>
      <c r="S710" s="7" t="s">
        <v>10</v>
      </c>
      <c r="T710" s="24">
        <f>+W707/2</f>
        <v>15</v>
      </c>
      <c r="U710" s="24"/>
      <c r="V710" s="7" t="s">
        <v>10</v>
      </c>
      <c r="W710" s="24">
        <f>+T710/2</f>
        <v>7.5</v>
      </c>
      <c r="X710" s="24"/>
      <c r="Y710" s="7" t="s">
        <v>15</v>
      </c>
      <c r="Z710" s="24">
        <f>+E679</f>
        <v>8</v>
      </c>
      <c r="AA710" s="24"/>
      <c r="AB710" s="7" t="s">
        <v>10</v>
      </c>
      <c r="AC710" s="24">
        <f>+H678</f>
        <v>6</v>
      </c>
      <c r="AD710" s="24"/>
      <c r="AE710" s="7" t="s">
        <v>10</v>
      </c>
      <c r="AF710" s="24">
        <f>+H690+H678/2</f>
        <v>7.5</v>
      </c>
      <c r="AG710" s="24"/>
      <c r="AH710" s="7" t="s">
        <v>15</v>
      </c>
      <c r="AI710" s="24">
        <f>+D692</f>
        <v>10</v>
      </c>
      <c r="AJ710" s="24"/>
      <c r="AK710" s="7" t="s">
        <v>10</v>
      </c>
      <c r="AL710" s="24">
        <f>+H690</f>
        <v>4.5</v>
      </c>
      <c r="AM710" s="24"/>
      <c r="AN710" s="7" t="s">
        <v>10</v>
      </c>
      <c r="AO710" s="24">
        <f>+AL710/2</f>
        <v>2.25</v>
      </c>
      <c r="AP710" s="24"/>
      <c r="AQ710" s="7" t="s">
        <v>12</v>
      </c>
      <c r="AR710" s="1">
        <v>0</v>
      </c>
      <c r="AV710" s="1" t="s">
        <v>4</v>
      </c>
      <c r="AX710" s="24">
        <f>(H710*K710*N710+Q710*T710*W710-Z710*AC710*AF710-AI710*AL710*AO710)/E710</f>
        <v>265.875</v>
      </c>
      <c r="AY710" s="24"/>
      <c r="AZ710" s="1" t="s">
        <v>0</v>
      </c>
      <c r="BJ710" s="3"/>
    </row>
    <row r="711" spans="2:62" ht="11.25" customHeight="1">
      <c r="B711" s="2"/>
      <c r="C711" s="1" t="s">
        <v>13</v>
      </c>
      <c r="E711" s="24">
        <f>+AX710</f>
        <v>265.875</v>
      </c>
      <c r="F711" s="24"/>
      <c r="G711" s="7" t="s">
        <v>9</v>
      </c>
      <c r="H711" s="24">
        <f>+Q671</f>
        <v>20</v>
      </c>
      <c r="I711" s="24"/>
      <c r="J711" s="7" t="s">
        <v>10</v>
      </c>
      <c r="K711" s="24">
        <f>+W707/2</f>
        <v>15</v>
      </c>
      <c r="L711" s="24"/>
      <c r="M711" s="7" t="s">
        <v>9</v>
      </c>
      <c r="N711" s="24">
        <f>+AB670</f>
        <v>15</v>
      </c>
      <c r="O711" s="24"/>
      <c r="P711" s="7" t="s">
        <v>10</v>
      </c>
      <c r="Q711" s="24">
        <f>+W707/2</f>
        <v>15</v>
      </c>
      <c r="R711" s="24"/>
      <c r="S711" s="7" t="s">
        <v>12</v>
      </c>
      <c r="T711" s="1">
        <v>0</v>
      </c>
      <c r="X711" s="1" t="s">
        <v>7</v>
      </c>
      <c r="Z711" s="24">
        <f>-E711+H711*K711+N711*Q711</f>
        <v>259.125</v>
      </c>
      <c r="AA711" s="24"/>
      <c r="AB711" s="1" t="s">
        <v>0</v>
      </c>
      <c r="BJ711" s="3"/>
    </row>
    <row r="712" spans="2:62" ht="11.25" customHeight="1">
      <c r="B712" s="2"/>
      <c r="C712" s="1" t="s">
        <v>14</v>
      </c>
      <c r="E712" s="24">
        <f>+H690+H678</f>
        <v>10.5</v>
      </c>
      <c r="F712" s="24"/>
      <c r="G712" s="7" t="s">
        <v>9</v>
      </c>
      <c r="H712" s="24">
        <f>+K703</f>
        <v>265.875</v>
      </c>
      <c r="I712" s="24"/>
      <c r="J712" s="7" t="s">
        <v>10</v>
      </c>
      <c r="K712" s="24">
        <f>+W707/2</f>
        <v>15</v>
      </c>
      <c r="L712" s="24"/>
      <c r="M712" s="7" t="s">
        <v>15</v>
      </c>
      <c r="N712" s="24">
        <f>+Q671</f>
        <v>20</v>
      </c>
      <c r="O712" s="24"/>
      <c r="P712" s="7" t="s">
        <v>10</v>
      </c>
      <c r="Q712" s="24">
        <f>+W707/2</f>
        <v>15</v>
      </c>
      <c r="R712" s="24"/>
      <c r="S712" s="7" t="s">
        <v>10</v>
      </c>
      <c r="T712" s="24">
        <f>+Q712/2</f>
        <v>7.5</v>
      </c>
      <c r="U712" s="24"/>
      <c r="V712" s="7" t="s">
        <v>15</v>
      </c>
      <c r="W712" s="24">
        <f>+E679</f>
        <v>8</v>
      </c>
      <c r="X712" s="24"/>
      <c r="Y712" s="7" t="s">
        <v>10</v>
      </c>
      <c r="Z712" s="24">
        <f>+H678</f>
        <v>6</v>
      </c>
      <c r="AA712" s="24"/>
      <c r="AB712" s="7" t="s">
        <v>10</v>
      </c>
      <c r="AC712" s="24">
        <f>+Z712/2</f>
        <v>3</v>
      </c>
      <c r="AD712" s="24"/>
      <c r="AE712" s="7" t="s">
        <v>15</v>
      </c>
      <c r="AF712" s="24">
        <f>+D692</f>
        <v>10</v>
      </c>
      <c r="AG712" s="24"/>
      <c r="AH712" s="7" t="s">
        <v>10</v>
      </c>
      <c r="AI712" s="24">
        <f>+H690</f>
        <v>4.5</v>
      </c>
      <c r="AJ712" s="24"/>
      <c r="AK712" s="7" t="s">
        <v>10</v>
      </c>
      <c r="AL712" s="24">
        <f>+H690/2+H678</f>
        <v>8.25</v>
      </c>
      <c r="AM712" s="24"/>
      <c r="AN712" s="7" t="s">
        <v>12</v>
      </c>
      <c r="AO712" s="1">
        <v>0</v>
      </c>
      <c r="AS712" s="1" t="s">
        <v>5</v>
      </c>
      <c r="AU712" s="24">
        <f>(H712*K712-N712*Q712*T712-W712*Z712*AC712-AF712*AI712*AL712)/E712</f>
        <v>116.46428571428571</v>
      </c>
      <c r="AV712" s="24"/>
      <c r="AW712" s="1" t="s">
        <v>0</v>
      </c>
      <c r="BJ712" s="3"/>
    </row>
    <row r="713" spans="2:62" ht="11.25" customHeight="1">
      <c r="B713" s="2"/>
      <c r="C713" s="1" t="s">
        <v>16</v>
      </c>
      <c r="E713" s="24">
        <f>+H690+H678</f>
        <v>10.5</v>
      </c>
      <c r="F713" s="24"/>
      <c r="G713" s="7" t="s">
        <v>9</v>
      </c>
      <c r="H713" s="24">
        <f>+AH703</f>
        <v>259.125</v>
      </c>
      <c r="I713" s="24"/>
      <c r="J713" s="7" t="s">
        <v>10</v>
      </c>
      <c r="K713" s="24">
        <f>+W707/2</f>
        <v>15</v>
      </c>
      <c r="L713" s="24"/>
      <c r="M713" s="7" t="s">
        <v>15</v>
      </c>
      <c r="N713" s="24">
        <f>+AB670</f>
        <v>15</v>
      </c>
      <c r="O713" s="24"/>
      <c r="P713" s="7" t="s">
        <v>10</v>
      </c>
      <c r="Q713" s="24">
        <f>+W707/2</f>
        <v>15</v>
      </c>
      <c r="R713" s="24"/>
      <c r="S713" s="7" t="s">
        <v>10</v>
      </c>
      <c r="T713" s="24">
        <f>+Q713/2</f>
        <v>7.5</v>
      </c>
      <c r="U713" s="24"/>
      <c r="V713" s="7" t="s">
        <v>12</v>
      </c>
      <c r="W713" s="1">
        <v>0</v>
      </c>
      <c r="AA713" s="1" t="s">
        <v>6</v>
      </c>
      <c r="AC713" s="24">
        <f>(H713*K713-N713*Q713*T713)/E713</f>
        <v>209.46428571428572</v>
      </c>
      <c r="AD713" s="24"/>
      <c r="AE713" s="1" t="s">
        <v>0</v>
      </c>
      <c r="BJ713" s="3"/>
    </row>
    <row r="714" spans="2:62" ht="11.25" customHeight="1">
      <c r="B714" s="2"/>
      <c r="AF714" s="18"/>
      <c r="BJ714" s="3"/>
    </row>
    <row r="715" spans="2:62" ht="11.25" customHeight="1">
      <c r="B715" s="2"/>
      <c r="AV715" s="25" t="s">
        <v>59</v>
      </c>
      <c r="AW715" s="26"/>
      <c r="AX715" s="33" t="s">
        <v>48</v>
      </c>
      <c r="AY715" s="25"/>
      <c r="AZ715" s="25" t="s">
        <v>58</v>
      </c>
      <c r="BA715" s="25"/>
      <c r="BB715" s="56" t="s">
        <v>66</v>
      </c>
      <c r="BC715" s="25"/>
      <c r="BD715" s="25" t="s">
        <v>62</v>
      </c>
      <c r="BE715" s="25"/>
      <c r="BF715" s="25" t="s">
        <v>65</v>
      </c>
      <c r="BG715" s="25"/>
      <c r="BH715" s="25" t="s">
        <v>63</v>
      </c>
      <c r="BI715" s="25"/>
      <c r="BJ715" s="3"/>
    </row>
    <row r="716" spans="2:62" ht="11.25" customHeight="1" thickBot="1">
      <c r="B716" s="2"/>
      <c r="D716" s="12" t="s">
        <v>82</v>
      </c>
      <c r="X716" s="34">
        <v>18</v>
      </c>
      <c r="Y716" s="34"/>
      <c r="Z716" s="1" t="s">
        <v>3</v>
      </c>
      <c r="AB716" s="18"/>
      <c r="AV716" s="57"/>
      <c r="AW716" s="61"/>
      <c r="AX716" s="47" t="s">
        <v>60</v>
      </c>
      <c r="AY716" s="57"/>
      <c r="AZ716" s="57" t="s">
        <v>60</v>
      </c>
      <c r="BA716" s="57"/>
      <c r="BB716" s="57" t="s">
        <v>67</v>
      </c>
      <c r="BC716" s="57"/>
      <c r="BD716" s="57" t="s">
        <v>61</v>
      </c>
      <c r="BE716" s="57"/>
      <c r="BF716" s="57" t="s">
        <v>61</v>
      </c>
      <c r="BG716" s="57"/>
      <c r="BH716" s="57" t="s">
        <v>64</v>
      </c>
      <c r="BI716" s="57"/>
      <c r="BJ716" s="3"/>
    </row>
    <row r="717" spans="2:62" ht="11.25" customHeight="1" thickTop="1">
      <c r="B717" s="2"/>
      <c r="M717" s="34">
        <v>25</v>
      </c>
      <c r="N717" s="34"/>
      <c r="O717" s="1" t="s">
        <v>3</v>
      </c>
      <c r="AB717" s="18"/>
      <c r="AV717" s="58">
        <v>0</v>
      </c>
      <c r="AW717" s="59"/>
      <c r="AX717" s="60">
        <v>0</v>
      </c>
      <c r="AY717" s="54"/>
      <c r="AZ717" s="54">
        <f>$AJ$724-$T$727+SQRT($T$727^2-($S$740/2-AX717)^2)</f>
        <v>0</v>
      </c>
      <c r="BA717" s="54"/>
      <c r="BB717" s="54">
        <f>ASIN(($T$727-$AJ$724+AZ717)/$T$727)*180/PI()</f>
        <v>46.397181027296376</v>
      </c>
      <c r="BC717" s="54"/>
      <c r="BD717" s="54">
        <f>IF(AX717&lt;=$I$736,-$G$734*COS(BB717*PI()/180)+$M$717*AX717*COS(BB717*PI()/180),IF(AND($I$736&lt;AX717,AX717&lt;=($I$736+$N$736)),-$G$734*COS(BB717*PI()/180)-$AC$745*SIN(BB717*PI()/180)+$M$717*AX717*COS(BB717*PI()/180),IF(AND(($I$736+$N$736)&lt;AX717,AX717&lt;=($I$736+$N$736+$X$736)),-$AD$734*COS(BB717*PI()/180)-$AC$745*SIN(BB717*PI()/180)+$X$716*($S$740-AX717)*COS(BB717*PI()/180),-$AD$734*COS(BB717*PI()/180)+$X$716*($S$740-AX717)*COS(BB717*PI()/180))))</f>
        <v>-240.51724137931035</v>
      </c>
      <c r="BE717" s="54"/>
      <c r="BF717" s="54">
        <f>IF(AX717&lt;=$I$736,+$G$734*SIN(BB717*PI()/180)-$M$717*AX717*SIN(BB717*PI()/180),IF(AND($I$736&lt;AX717,AX717&lt;=($I$736+$N$736)),$G$734*SIN(BB717*PI()/180)-$AC$745*COS(BB717*PI()/180)-$M$717*AX717*SIN(BB717*PI()/180),IF(AND(($I$736+$N$736)&lt;AX717,AX717&lt;=($I$736+$N$736+$X$736)),-$AD$734*SIN(BB717*PI()/180)+$AC$745*COS(BB717*PI()/180)+$X$716*($S$740-AX717)*SIN(BB717*PI()/180),-$AD$734*SIN(BB717*PI()/180)+$X$716*($S$740-AX717)*SIN(BB717*PI()/180))))</f>
        <v>252.54310344827582</v>
      </c>
      <c r="BG717" s="54"/>
      <c r="BH717" s="54">
        <f>IF(AX717&lt;=$I$736,+$G$734*AX717-$M$717*AX717*AX717/2,IF(AND($I$736&lt;AX717,AX717&lt;=($I$736+$N$736)),$G$734*AX717-$AC$745*(AZ717-$AH$726)-$M$717*AX717*AX717/2,IF(AND(($I$736+$N$736)&lt;AX717,AX717&lt;=($I$736+$N$736+$X$736)),$AD$734*($S$740-AX717)-$AC$745*(AZ717-$AH$726)-$X$716*($S$740-AX717)*($S$740-AX717)/2,$AD$734*($S$740-AX717)-$X$716*($S$740-AX717)*($S$740-AX717)/2)))</f>
        <v>0</v>
      </c>
      <c r="BI717" s="54"/>
      <c r="BJ717" s="3"/>
    </row>
    <row r="718" spans="2:62" ht="11.25" customHeight="1">
      <c r="B718" s="2"/>
      <c r="AB718" s="18"/>
      <c r="AV718" s="25">
        <v>1</v>
      </c>
      <c r="AW718" s="26"/>
      <c r="AX718" s="30">
        <f>($S$740-$AC$736-$X$736-$N$736)/10+AX717</f>
        <v>0.18000000000000008</v>
      </c>
      <c r="AY718" s="28"/>
      <c r="AZ718" s="54">
        <f t="shared" ref="AZ718:AZ748" si="19">$AJ$724-$T$727+SQRT($T$727^2-($S$740/2-AX718)^2)</f>
        <v>0.16948805709530212</v>
      </c>
      <c r="BA718" s="54"/>
      <c r="BB718" s="54">
        <f t="shared" ref="BB718:BB748" si="20">ASIN(($T$727-$AJ$724+AZ718)/$T$727)*180/PI()</f>
        <v>47.048478531142926</v>
      </c>
      <c r="BC718" s="54"/>
      <c r="BD718" s="54">
        <f t="shared" ref="BD718:BD748" si="21">IF(AX718&lt;=$I$736,-$G$734*COS(BB718*PI()/180)+$M$717*AX718*COS(BB718*PI()/180),IF(AND($I$736&lt;AX718,AX718&lt;=($I$736+$N$736)),-$G$734*COS(BB718*PI()/180)-$AC$745*SIN(BB718*PI()/180)+$M$717*AX718*COS(BB718*PI()/180),IF(AND(($I$736+$N$736)&lt;AX718,AX718&lt;=($I$736+$N$736+$X$736)),-$AD$734*COS(BB718*PI()/180)-$AC$745*SIN(BB718*PI()/180)+$X$716*($S$740-AX718)*COS(BB718*PI()/180),-$AD$734*COS(BB718*PI()/180)+$X$716*($S$740-AX718)*COS(BB718*PI()/180))))</f>
        <v>-234.56482758620692</v>
      </c>
      <c r="BE718" s="54"/>
      <c r="BF718" s="54">
        <f t="shared" ref="BF718:BF748" si="22">IF(AX718&lt;=$I$736,+$G$734*SIN(BB718*PI()/180)-$M$717*AX718*SIN(BB718*PI()/180),IF(AND($I$736&lt;AX718,AX718&lt;=($I$736+$N$736)),$G$734*SIN(BB718*PI()/180)-$AC$745*COS(BB718*PI()/180)-$M$717*AX718*SIN(BB718*PI()/180),IF(AND(($I$736+$N$736)&lt;AX718,AX718&lt;=($I$736+$N$736+$X$736)),-$AD$734*SIN(BB718*PI()/180)+$AC$745*COS(BB718*PI()/180)+$X$716*($S$740-AX718)*SIN(BB718*PI()/180),-$AD$734*SIN(BB718*PI()/180)+$X$716*($S$740-AX718)*SIN(BB718*PI()/180))))</f>
        <v>251.96706959333599</v>
      </c>
      <c r="BG718" s="54"/>
      <c r="BH718" s="54">
        <f t="shared" ref="BH718:BH748" si="23">IF(AX718&lt;=$I$736,+$G$734*AX718-$M$717*AX718*AX718/2,IF(AND($I$736&lt;AX718,AX718&lt;=($I$736+$N$736)),$G$734*AX718-$AC$745*(AZ718-$AH$726)-$M$717*AX718*AX718/2,IF(AND(($I$736+$N$736)&lt;AX718,AX718&lt;=($I$736+$N$736+$X$736)),$AD$734*($S$740-AX718)-$AC$745*(AZ718-$AH$726)-$X$716*($S$740-AX718)*($S$740-AX718)/2,$AD$734*($S$740-AX718)-$X$716*($S$740-AX718)*($S$740-AX718)/2)))</f>
        <v>62.370000000000026</v>
      </c>
      <c r="BI718" s="54"/>
      <c r="BJ718" s="3"/>
    </row>
    <row r="719" spans="2:62" ht="11.25" customHeight="1">
      <c r="B719" s="2"/>
      <c r="AB719" s="18"/>
      <c r="AV719" s="25">
        <v>2</v>
      </c>
      <c r="AW719" s="26"/>
      <c r="AX719" s="30">
        <f t="shared" ref="AX719:AX726" si="24">($S$740-$AC$736-$X$736-$N$736)/10+AX718</f>
        <v>0.36000000000000015</v>
      </c>
      <c r="AY719" s="28"/>
      <c r="AZ719" s="54">
        <f t="shared" si="19"/>
        <v>0.33517640562266138</v>
      </c>
      <c r="BA719" s="54"/>
      <c r="BB719" s="54">
        <f t="shared" si="20"/>
        <v>47.692955312687019</v>
      </c>
      <c r="BC719" s="54"/>
      <c r="BD719" s="54">
        <f t="shared" si="21"/>
        <v>-228.68689655172415</v>
      </c>
      <c r="BE719" s="54"/>
      <c r="BF719" s="54">
        <f t="shared" si="22"/>
        <v>251.26154868093329</v>
      </c>
      <c r="BG719" s="54"/>
      <c r="BH719" s="54">
        <f t="shared" si="23"/>
        <v>123.93000000000005</v>
      </c>
      <c r="BI719" s="54"/>
      <c r="BJ719" s="3"/>
    </row>
    <row r="720" spans="2:62" ht="11.25" customHeight="1">
      <c r="B720" s="2"/>
      <c r="AB720" s="18"/>
      <c r="AV720" s="25">
        <v>3</v>
      </c>
      <c r="AW720" s="26"/>
      <c r="AX720" s="30">
        <f t="shared" si="24"/>
        <v>0.54000000000000026</v>
      </c>
      <c r="AY720" s="28"/>
      <c r="AZ720" s="54">
        <f t="shared" si="19"/>
        <v>0.49718129399681388</v>
      </c>
      <c r="BA720" s="54"/>
      <c r="BB720" s="54">
        <f t="shared" si="20"/>
        <v>48.330900362190278</v>
      </c>
      <c r="BC720" s="54"/>
      <c r="BD720" s="54">
        <f t="shared" si="21"/>
        <v>-222.88344827586209</v>
      </c>
      <c r="BE720" s="54"/>
      <c r="BF720" s="54">
        <f t="shared" si="22"/>
        <v>250.43069097988192</v>
      </c>
      <c r="BG720" s="54"/>
      <c r="BH720" s="54">
        <f t="shared" si="23"/>
        <v>184.68000000000009</v>
      </c>
      <c r="BI720" s="54"/>
      <c r="BJ720" s="3"/>
    </row>
    <row r="721" spans="2:70" ht="11.25" customHeight="1">
      <c r="B721" s="2"/>
      <c r="C721" s="24" t="s">
        <v>71</v>
      </c>
      <c r="D721" s="24"/>
      <c r="E721" s="75"/>
      <c r="AB721" s="18"/>
      <c r="AH721" s="5" t="s">
        <v>1</v>
      </c>
      <c r="AV721" s="25">
        <v>4</v>
      </c>
      <c r="AW721" s="26"/>
      <c r="AX721" s="30">
        <f t="shared" si="24"/>
        <v>0.72000000000000031</v>
      </c>
      <c r="AY721" s="28"/>
      <c r="AZ721" s="54">
        <f t="shared" si="19"/>
        <v>0.65561184473166634</v>
      </c>
      <c r="BA721" s="54"/>
      <c r="BB721" s="54">
        <f t="shared" si="20"/>
        <v>48.962585119059966</v>
      </c>
      <c r="BC721" s="54"/>
      <c r="BD721" s="54">
        <f t="shared" si="21"/>
        <v>-217.1544827586207</v>
      </c>
      <c r="BE721" s="54"/>
      <c r="BF721" s="54">
        <f t="shared" si="22"/>
        <v>249.47844219057464</v>
      </c>
      <c r="BG721" s="54"/>
      <c r="BH721" s="54">
        <f t="shared" si="23"/>
        <v>244.62000000000009</v>
      </c>
      <c r="BI721" s="54"/>
      <c r="BJ721" s="3"/>
    </row>
    <row r="722" spans="2:70" ht="11.25" customHeight="1">
      <c r="B722" s="2"/>
      <c r="C722" s="24"/>
      <c r="D722" s="24"/>
      <c r="E722" s="75"/>
      <c r="M722" s="1" t="s">
        <v>17</v>
      </c>
      <c r="Z722" s="7"/>
      <c r="AB722" s="18"/>
      <c r="AH722" s="37">
        <f>T727-X736*TAN(W734*PI()/180)</f>
        <v>4.4635168411848483</v>
      </c>
      <c r="AV722" s="25">
        <v>5</v>
      </c>
      <c r="AW722" s="26"/>
      <c r="AX722" s="30">
        <f t="shared" si="24"/>
        <v>0.90000000000000036</v>
      </c>
      <c r="AY722" s="28"/>
      <c r="AZ722" s="54">
        <f t="shared" si="19"/>
        <v>0.81057064234200737</v>
      </c>
      <c r="BA722" s="54"/>
      <c r="BB722" s="54">
        <f t="shared" si="20"/>
        <v>49.588264954947086</v>
      </c>
      <c r="BC722" s="54"/>
      <c r="BD722" s="54">
        <f t="shared" si="21"/>
        <v>-211.5</v>
      </c>
      <c r="BE722" s="54"/>
      <c r="BF722" s="54">
        <f t="shared" si="22"/>
        <v>248.40855963513013</v>
      </c>
      <c r="BG722" s="54"/>
      <c r="BH722" s="54">
        <f t="shared" si="23"/>
        <v>303.75000000000011</v>
      </c>
      <c r="BI722" s="54"/>
      <c r="BJ722" s="3"/>
    </row>
    <row r="723" spans="2:70" ht="11.25" customHeight="1">
      <c r="B723" s="2"/>
      <c r="AB723" s="18"/>
      <c r="AH723" s="37"/>
      <c r="AJ723" s="5" t="s">
        <v>1</v>
      </c>
      <c r="AV723" s="25">
        <v>6</v>
      </c>
      <c r="AW723" s="26"/>
      <c r="AX723" s="30">
        <f t="shared" si="24"/>
        <v>1.0800000000000005</v>
      </c>
      <c r="AY723" s="28"/>
      <c r="AZ723" s="54">
        <f t="shared" si="19"/>
        <v>0.96215425969973722</v>
      </c>
      <c r="BA723" s="54"/>
      <c r="BB723" s="54">
        <f t="shared" si="20"/>
        <v>50.208180500442779</v>
      </c>
      <c r="BC723" s="54"/>
      <c r="BD723" s="54">
        <f t="shared" si="21"/>
        <v>-205.91999999999996</v>
      </c>
      <c r="BE723" s="54"/>
      <c r="BF723" s="54">
        <f t="shared" si="22"/>
        <v>247.22462680728228</v>
      </c>
      <c r="BG723" s="54"/>
      <c r="BH723" s="54">
        <f t="shared" si="23"/>
        <v>362.07000000000016</v>
      </c>
      <c r="BI723" s="54"/>
      <c r="BJ723" s="3"/>
    </row>
    <row r="724" spans="2:70" ht="11.25" customHeight="1">
      <c r="B724" s="2"/>
      <c r="D724" s="5"/>
      <c r="H724" s="1" t="s">
        <v>58</v>
      </c>
      <c r="AB724" s="18"/>
      <c r="AF724" s="5"/>
      <c r="AH724" s="37"/>
      <c r="AJ724" s="38">
        <v>6</v>
      </c>
      <c r="AV724" s="25">
        <v>7</v>
      </c>
      <c r="AW724" s="26"/>
      <c r="AX724" s="30">
        <f t="shared" si="24"/>
        <v>1.2600000000000007</v>
      </c>
      <c r="AY724" s="28"/>
      <c r="AZ724" s="54">
        <f t="shared" si="19"/>
        <v>1.1104537305494837</v>
      </c>
      <c r="BA724" s="54"/>
      <c r="BB724" s="54">
        <f t="shared" si="20"/>
        <v>50.822558835076208</v>
      </c>
      <c r="BC724" s="54"/>
      <c r="BD724" s="54">
        <f t="shared" si="21"/>
        <v>-200.41448275862069</v>
      </c>
      <c r="BE724" s="54"/>
      <c r="BF724" s="54">
        <f t="shared" si="22"/>
        <v>245.9300664835321</v>
      </c>
      <c r="BG724" s="54"/>
      <c r="BH724" s="54">
        <f t="shared" si="23"/>
        <v>419.58000000000021</v>
      </c>
      <c r="BI724" s="54"/>
      <c r="BJ724" s="3"/>
    </row>
    <row r="725" spans="2:70" ht="11.25" customHeight="1">
      <c r="B725" s="2"/>
      <c r="D725" s="37" t="s">
        <v>58</v>
      </c>
      <c r="R725" s="1" t="s">
        <v>76</v>
      </c>
      <c r="AB725" s="18"/>
      <c r="AF725" s="5"/>
      <c r="AH725" s="5" t="s">
        <v>1</v>
      </c>
      <c r="AJ725" s="38"/>
      <c r="AV725" s="25">
        <v>8</v>
      </c>
      <c r="AW725" s="26"/>
      <c r="AX725" s="30">
        <f t="shared" si="24"/>
        <v>1.4400000000000008</v>
      </c>
      <c r="AY725" s="28"/>
      <c r="AZ725" s="54">
        <f t="shared" si="19"/>
        <v>1.2555549747722168</v>
      </c>
      <c r="BA725" s="54"/>
      <c r="BB725" s="54">
        <f t="shared" si="20"/>
        <v>51.431614557450949</v>
      </c>
      <c r="BC725" s="54"/>
      <c r="BD725" s="54">
        <f t="shared" si="21"/>
        <v>-194.98344827586197</v>
      </c>
      <c r="BE725" s="54"/>
      <c r="BF725" s="54">
        <f t="shared" si="22"/>
        <v>244.5281525682764</v>
      </c>
      <c r="BG725" s="54"/>
      <c r="BH725" s="54">
        <f t="shared" si="23"/>
        <v>476.28000000000026</v>
      </c>
      <c r="BI725" s="54"/>
      <c r="BJ725" s="3"/>
    </row>
    <row r="726" spans="2:70" ht="11.25" customHeight="1">
      <c r="B726" s="2"/>
      <c r="D726" s="37"/>
      <c r="AB726" s="18"/>
      <c r="AF726" s="5"/>
      <c r="AH726" s="37">
        <f>+AJ724-AH722</f>
        <v>1.5364831588151517</v>
      </c>
      <c r="AJ726" s="38"/>
      <c r="AV726" s="25">
        <v>9</v>
      </c>
      <c r="AW726" s="26"/>
      <c r="AX726" s="30">
        <f t="shared" si="24"/>
        <v>1.620000000000001</v>
      </c>
      <c r="AY726" s="28"/>
      <c r="AZ726" s="54">
        <f t="shared" si="19"/>
        <v>1.397539182051748</v>
      </c>
      <c r="BA726" s="54"/>
      <c r="BB726" s="54">
        <f t="shared" si="20"/>
        <v>52.035550749960741</v>
      </c>
      <c r="BC726" s="54"/>
      <c r="BD726" s="54">
        <f t="shared" si="21"/>
        <v>-189.62689655172412</v>
      </c>
      <c r="BE726" s="54"/>
      <c r="BF726" s="54">
        <f t="shared" si="22"/>
        <v>243.02202082149199</v>
      </c>
      <c r="BG726" s="54"/>
      <c r="BH726" s="54">
        <f t="shared" si="23"/>
        <v>532.1700000000003</v>
      </c>
      <c r="BI726" s="54"/>
      <c r="BJ726" s="3"/>
    </row>
    <row r="727" spans="2:70" ht="11.25" customHeight="1">
      <c r="B727" s="2"/>
      <c r="D727" s="37"/>
      <c r="S727" s="1" t="s">
        <v>2</v>
      </c>
      <c r="T727" s="24">
        <f>(S740^2+4*AJ724^2)/(8*AJ724)</f>
        <v>21.75</v>
      </c>
      <c r="U727" s="24"/>
      <c r="V727" s="1" t="s">
        <v>1</v>
      </c>
      <c r="AB727" s="18"/>
      <c r="AF727" s="5"/>
      <c r="AH727" s="37"/>
      <c r="AJ727" s="37" t="s">
        <v>42</v>
      </c>
      <c r="AV727" s="25">
        <v>10</v>
      </c>
      <c r="AW727" s="26"/>
      <c r="AX727" s="33">
        <f>($S$740-$AC$736-$X$736-$N$736)/10+AX726</f>
        <v>1.8000000000000012</v>
      </c>
      <c r="AY727" s="25"/>
      <c r="AZ727" s="55">
        <f t="shared" si="19"/>
        <v>1.5364831588151553</v>
      </c>
      <c r="BA727" s="55"/>
      <c r="BB727" s="55">
        <f t="shared" si="20"/>
        <v>52.634559850515764</v>
      </c>
      <c r="BC727" s="55"/>
      <c r="BD727" s="55">
        <f t="shared" si="21"/>
        <v>-184.34482758620692</v>
      </c>
      <c r="BE727" s="55"/>
      <c r="BF727" s="55">
        <f t="shared" si="22"/>
        <v>241.41467859724605</v>
      </c>
      <c r="BG727" s="55"/>
      <c r="BH727" s="55">
        <f t="shared" si="23"/>
        <v>587.25000000000045</v>
      </c>
      <c r="BI727" s="55"/>
      <c r="BJ727" s="3"/>
    </row>
    <row r="728" spans="2:70" ht="11.25" customHeight="1">
      <c r="B728" s="2"/>
      <c r="AB728" s="18"/>
      <c r="AH728" s="37"/>
      <c r="AJ728" s="37"/>
      <c r="AV728" s="25">
        <v>11</v>
      </c>
      <c r="AW728" s="26"/>
      <c r="AX728" s="33">
        <f>($S$740-$AC$736-$X$736-$N$736)/10+AX726+0.000001</f>
        <v>1.8000010000000011</v>
      </c>
      <c r="AY728" s="25"/>
      <c r="AZ728" s="55">
        <f t="shared" si="19"/>
        <v>1.53648392241751</v>
      </c>
      <c r="BA728" s="55"/>
      <c r="BB728" s="55">
        <f t="shared" si="20"/>
        <v>52.634563165000152</v>
      </c>
      <c r="BC728" s="55"/>
      <c r="BD728" s="55">
        <f t="shared" si="21"/>
        <v>-615.03124989516527</v>
      </c>
      <c r="BE728" s="55"/>
      <c r="BF728" s="55">
        <f t="shared" si="22"/>
        <v>-87.458498450013309</v>
      </c>
      <c r="BG728" s="55"/>
      <c r="BH728" s="55">
        <f t="shared" si="23"/>
        <v>587.24988995896399</v>
      </c>
      <c r="BI728" s="55"/>
      <c r="BJ728" s="3"/>
      <c r="BN728" s="16"/>
      <c r="BO728" s="16"/>
      <c r="BP728" s="16"/>
      <c r="BQ728" s="16"/>
      <c r="BR728" s="16"/>
    </row>
    <row r="729" spans="2:70" ht="11.25" customHeight="1">
      <c r="B729" s="2"/>
      <c r="C729" s="1" t="s">
        <v>5</v>
      </c>
      <c r="E729" s="24">
        <v>0</v>
      </c>
      <c r="F729" s="24"/>
      <c r="G729" s="1" t="s">
        <v>0</v>
      </c>
      <c r="K729" s="1" t="s">
        <v>48</v>
      </c>
      <c r="AB729" s="18"/>
      <c r="AV729" s="25">
        <v>12</v>
      </c>
      <c r="AW729" s="26"/>
      <c r="AX729" s="30">
        <f>($S$740-2*$AC$736)/10+AX727</f>
        <v>4.4400000000000013</v>
      </c>
      <c r="AY729" s="28"/>
      <c r="AZ729" s="54">
        <f t="shared" si="19"/>
        <v>3.2644392502119288</v>
      </c>
      <c r="BA729" s="54"/>
      <c r="BB729" s="54">
        <f t="shared" si="20"/>
        <v>60.953633786307805</v>
      </c>
      <c r="BC729" s="54"/>
      <c r="BD729" s="54">
        <f t="shared" si="21"/>
        <v>-589.16955328120662</v>
      </c>
      <c r="BE729" s="54"/>
      <c r="BF729" s="54">
        <f t="shared" si="22"/>
        <v>-55.251063090794815</v>
      </c>
      <c r="BG729" s="54"/>
      <c r="BH729" s="54">
        <f t="shared" si="23"/>
        <v>365.66212131255253</v>
      </c>
      <c r="BI729" s="54"/>
      <c r="BJ729" s="3"/>
    </row>
    <row r="730" spans="2:70" ht="11.25" customHeight="1">
      <c r="B730" s="2"/>
      <c r="AB730" s="18"/>
      <c r="AV730" s="25">
        <v>13</v>
      </c>
      <c r="AW730" s="26"/>
      <c r="AX730" s="30">
        <f>($S$740-2*$AC$736)/10+AX729</f>
        <v>7.080000000000001</v>
      </c>
      <c r="AY730" s="28"/>
      <c r="AZ730" s="54">
        <f t="shared" si="19"/>
        <v>4.5067544290787112</v>
      </c>
      <c r="BA730" s="54"/>
      <c r="BB730" s="54">
        <f t="shared" si="20"/>
        <v>68.645460861762842</v>
      </c>
      <c r="BC730" s="54"/>
      <c r="BD730" s="54">
        <f t="shared" si="21"/>
        <v>-567.23034904721692</v>
      </c>
      <c r="BE730" s="54"/>
      <c r="BF730" s="54">
        <f t="shared" si="22"/>
        <v>-37.365406541504996</v>
      </c>
      <c r="BG730" s="54"/>
      <c r="BH730" s="54">
        <f t="shared" si="23"/>
        <v>232.9998134018274</v>
      </c>
      <c r="BI730" s="54"/>
      <c r="BJ730" s="3"/>
    </row>
    <row r="731" spans="2:70" ht="11.25" customHeight="1">
      <c r="B731" s="2"/>
      <c r="AB731" s="18"/>
      <c r="AV731" s="25">
        <v>14</v>
      </c>
      <c r="AW731" s="26"/>
      <c r="AX731" s="30">
        <f>($S$740-2*$AC$736)/10+AX730</f>
        <v>9.7200000000000006</v>
      </c>
      <c r="AY731" s="28"/>
      <c r="AZ731" s="54">
        <f t="shared" si="19"/>
        <v>5.3493862469978026</v>
      </c>
      <c r="BA731" s="54"/>
      <c r="BB731" s="54">
        <f t="shared" si="20"/>
        <v>75.95058622253498</v>
      </c>
      <c r="BC731" s="54"/>
      <c r="BD731" s="54">
        <f t="shared" si="21"/>
        <v>-551.35524839946379</v>
      </c>
      <c r="BE731" s="54"/>
      <c r="BF731" s="54">
        <f t="shared" si="22"/>
        <v>-28.962606039600701</v>
      </c>
      <c r="BG731" s="54"/>
      <c r="BH731" s="54">
        <f t="shared" si="23"/>
        <v>142.68325249045824</v>
      </c>
      <c r="BI731" s="54"/>
      <c r="BJ731" s="3"/>
    </row>
    <row r="732" spans="2:70" ht="11.25" customHeight="1">
      <c r="B732" s="2"/>
      <c r="AB732" s="18"/>
      <c r="AV732" s="25">
        <v>15</v>
      </c>
      <c r="AW732" s="26"/>
      <c r="AX732" s="30">
        <f t="shared" ref="AX732:AX738" si="25">($S$740-2*$AC$736)/10+AX731</f>
        <v>12.36</v>
      </c>
      <c r="AY732" s="28"/>
      <c r="AZ732" s="54">
        <f t="shared" si="19"/>
        <v>5.8391847923908422</v>
      </c>
      <c r="BA732" s="54"/>
      <c r="BB732" s="54">
        <f t="shared" si="20"/>
        <v>83.02828682203878</v>
      </c>
      <c r="BC732" s="54"/>
      <c r="BD732" s="54">
        <f t="shared" si="21"/>
        <v>-542.7115042288674</v>
      </c>
      <c r="BE732" s="54"/>
      <c r="BF732" s="54">
        <f t="shared" si="22"/>
        <v>-26.318542206580901</v>
      </c>
      <c r="BG732" s="54"/>
      <c r="BH732" s="54">
        <f t="shared" si="23"/>
        <v>69.324688200929813</v>
      </c>
      <c r="BI732" s="54"/>
      <c r="BJ732" s="3"/>
    </row>
    <row r="733" spans="2:70" ht="11.25" customHeight="1">
      <c r="B733" s="2"/>
      <c r="Q733" s="65" t="s">
        <v>70</v>
      </c>
      <c r="R733" s="24"/>
      <c r="S733" s="8"/>
      <c r="X733" s="8"/>
      <c r="AB733" s="18"/>
      <c r="AV733" s="25">
        <v>16</v>
      </c>
      <c r="AW733" s="26"/>
      <c r="AX733" s="30">
        <f t="shared" si="25"/>
        <v>15</v>
      </c>
      <c r="AY733" s="28"/>
      <c r="AZ733" s="54">
        <f t="shared" si="19"/>
        <v>6</v>
      </c>
      <c r="BA733" s="54"/>
      <c r="BB733" s="54">
        <f t="shared" si="20"/>
        <v>90</v>
      </c>
      <c r="BC733" s="54"/>
      <c r="BD733" s="54">
        <f t="shared" si="21"/>
        <v>-541.89332897373777</v>
      </c>
      <c r="BE733" s="54"/>
      <c r="BF733" s="54">
        <f t="shared" si="22"/>
        <v>-26.250000000000057</v>
      </c>
      <c r="BG733" s="54"/>
      <c r="BH733" s="54">
        <f t="shared" si="23"/>
        <v>0</v>
      </c>
      <c r="BI733" s="54"/>
      <c r="BJ733" s="3"/>
    </row>
    <row r="734" spans="2:70" ht="11.25" customHeight="1">
      <c r="B734" s="2"/>
      <c r="E734" s="1" t="s">
        <v>4</v>
      </c>
      <c r="G734" s="24">
        <f>+AF743</f>
        <v>348.75</v>
      </c>
      <c r="H734" s="24"/>
      <c r="I734" s="1" t="s">
        <v>0</v>
      </c>
      <c r="O734" s="24">
        <f>ACOS(N736/T727)*180/PI()</f>
        <v>52.634559850515778</v>
      </c>
      <c r="P734" s="24"/>
      <c r="Q734" s="8" t="s">
        <v>8</v>
      </c>
      <c r="W734" s="24">
        <f>+O734</f>
        <v>52.634559850515778</v>
      </c>
      <c r="X734" s="24"/>
      <c r="Y734" s="8" t="s">
        <v>8</v>
      </c>
      <c r="AB734" s="1" t="s">
        <v>7</v>
      </c>
      <c r="AD734" s="24">
        <f>+Z744</f>
        <v>296.25</v>
      </c>
      <c r="AE734" s="24"/>
      <c r="AF734" s="1" t="s">
        <v>0</v>
      </c>
      <c r="AV734" s="25">
        <v>17</v>
      </c>
      <c r="AW734" s="26"/>
      <c r="AX734" s="30">
        <f t="shared" si="25"/>
        <v>17.64</v>
      </c>
      <c r="AY734" s="28"/>
      <c r="AZ734" s="54">
        <f t="shared" si="19"/>
        <v>5.8391847923908422</v>
      </c>
      <c r="BA734" s="54"/>
      <c r="BB734" s="54">
        <f t="shared" si="20"/>
        <v>83.02828682203878</v>
      </c>
      <c r="BC734" s="54"/>
      <c r="BD734" s="54">
        <f t="shared" si="21"/>
        <v>-546.84082836679852</v>
      </c>
      <c r="BE734" s="54"/>
      <c r="BF734" s="54">
        <f t="shared" si="22"/>
        <v>-7.4499206273104619</v>
      </c>
      <c r="BG734" s="54"/>
      <c r="BH734" s="54">
        <f t="shared" si="23"/>
        <v>-44.881711799070672</v>
      </c>
      <c r="BI734" s="54"/>
      <c r="BJ734" s="3"/>
    </row>
    <row r="735" spans="2:70" ht="11.25" customHeight="1">
      <c r="B735" s="2"/>
      <c r="AB735" s="18"/>
      <c r="AV735" s="25">
        <v>18</v>
      </c>
      <c r="AW735" s="26"/>
      <c r="AX735" s="30">
        <f t="shared" si="25"/>
        <v>20.28</v>
      </c>
      <c r="AY735" s="28"/>
      <c r="AZ735" s="54">
        <f t="shared" si="19"/>
        <v>5.3493862469978026</v>
      </c>
      <c r="BA735" s="54"/>
      <c r="BB735" s="54">
        <f t="shared" si="20"/>
        <v>75.95058622253498</v>
      </c>
      <c r="BC735" s="54"/>
      <c r="BD735" s="54">
        <f t="shared" si="21"/>
        <v>-555.12771736498121</v>
      </c>
      <c r="BE735" s="54"/>
      <c r="BF735" s="54">
        <f t="shared" si="22"/>
        <v>13.887458348642241</v>
      </c>
      <c r="BG735" s="54"/>
      <c r="BH735" s="54">
        <f t="shared" si="23"/>
        <v>-36.942347509541946</v>
      </c>
      <c r="BI735" s="54"/>
      <c r="BJ735" s="3"/>
    </row>
    <row r="736" spans="2:70" ht="11.25" customHeight="1">
      <c r="B736" s="2"/>
      <c r="I736" s="34">
        <v>1.8</v>
      </c>
      <c r="J736" s="34"/>
      <c r="K736" s="1" t="s">
        <v>1</v>
      </c>
      <c r="N736" s="24">
        <f>+S740/2-I736</f>
        <v>13.2</v>
      </c>
      <c r="O736" s="24"/>
      <c r="P736" s="1" t="s">
        <v>1</v>
      </c>
      <c r="X736" s="24">
        <f>+S740/2-AC736</f>
        <v>13.2</v>
      </c>
      <c r="Y736" s="24"/>
      <c r="Z736" s="1" t="s">
        <v>1</v>
      </c>
      <c r="AB736" s="18"/>
      <c r="AC736" s="24">
        <f>+I736</f>
        <v>1.8</v>
      </c>
      <c r="AD736" s="24"/>
      <c r="AE736" s="1" t="s">
        <v>1</v>
      </c>
      <c r="AV736" s="25">
        <v>19</v>
      </c>
      <c r="AW736" s="26"/>
      <c r="AX736" s="30">
        <f t="shared" si="25"/>
        <v>22.92</v>
      </c>
      <c r="AY736" s="28"/>
      <c r="AZ736" s="54">
        <f t="shared" si="19"/>
        <v>4.5067544290787112</v>
      </c>
      <c r="BA736" s="54"/>
      <c r="BB736" s="54">
        <f t="shared" si="20"/>
        <v>68.645460861762842</v>
      </c>
      <c r="BC736" s="54"/>
      <c r="BD736" s="54">
        <f t="shared" si="21"/>
        <v>-566.1597835299757</v>
      </c>
      <c r="BE736" s="54"/>
      <c r="BF736" s="54">
        <f t="shared" si="22"/>
        <v>40.103560933297643</v>
      </c>
      <c r="BG736" s="54"/>
      <c r="BH736" s="54">
        <f t="shared" si="23"/>
        <v>36.742213401826575</v>
      </c>
      <c r="BI736" s="54"/>
      <c r="BJ736" s="3"/>
    </row>
    <row r="737" spans="2:67" ht="11.25" customHeight="1">
      <c r="B737" s="2"/>
      <c r="AB737" s="18"/>
      <c r="AV737" s="25">
        <v>20</v>
      </c>
      <c r="AW737" s="26"/>
      <c r="AX737" s="30">
        <f t="shared" si="25"/>
        <v>25.560000000000002</v>
      </c>
      <c r="AY737" s="28"/>
      <c r="AZ737" s="54">
        <f t="shared" si="19"/>
        <v>3.2644392502119288</v>
      </c>
      <c r="BA737" s="54"/>
      <c r="BB737" s="54">
        <f t="shared" si="20"/>
        <v>60.953633786307805</v>
      </c>
      <c r="BC737" s="54"/>
      <c r="BD737" s="54">
        <f t="shared" si="21"/>
        <v>-578.76977397086182</v>
      </c>
      <c r="BE737" s="54"/>
      <c r="BF737" s="54">
        <f t="shared" si="22"/>
        <v>73.977007400658621</v>
      </c>
      <c r="BG737" s="54"/>
      <c r="BH737" s="54">
        <f t="shared" si="23"/>
        <v>201.55972131255157</v>
      </c>
      <c r="BI737" s="54"/>
      <c r="BJ737" s="3"/>
    </row>
    <row r="738" spans="2:67" ht="11.25" customHeight="1">
      <c r="B738" s="2"/>
      <c r="J738" s="62" t="s">
        <v>48</v>
      </c>
      <c r="K738" s="62"/>
      <c r="O738" s="24" t="s">
        <v>81</v>
      </c>
      <c r="P738" s="24"/>
      <c r="Q738" s="24"/>
      <c r="R738" s="24"/>
      <c r="Y738" s="24">
        <f>+S740/2</f>
        <v>15</v>
      </c>
      <c r="Z738" s="24"/>
      <c r="AA738" s="1" t="s">
        <v>1</v>
      </c>
      <c r="AB738" s="18"/>
      <c r="AV738" s="25">
        <v>21</v>
      </c>
      <c r="AW738" s="26"/>
      <c r="AX738" s="33">
        <f t="shared" si="25"/>
        <v>28.200000000000003</v>
      </c>
      <c r="AY738" s="25"/>
      <c r="AZ738" s="55">
        <f t="shared" si="19"/>
        <v>1.5364831588151553</v>
      </c>
      <c r="BA738" s="55"/>
      <c r="BB738" s="55">
        <f t="shared" si="20"/>
        <v>52.634559850515764</v>
      </c>
      <c r="BC738" s="55"/>
      <c r="BD738" s="55">
        <f t="shared" si="21"/>
        <v>-590.81608759442747</v>
      </c>
      <c r="BE738" s="55"/>
      <c r="BF738" s="55">
        <f t="shared" si="22"/>
        <v>119.17026947126266</v>
      </c>
      <c r="BG738" s="55"/>
      <c r="BH738" s="55">
        <f t="shared" si="23"/>
        <v>504.08999999999736</v>
      </c>
      <c r="BI738" s="55"/>
      <c r="BJ738" s="3"/>
    </row>
    <row r="739" spans="2:67" ht="11.25" customHeight="1">
      <c r="B739" s="2"/>
      <c r="AB739" s="18"/>
      <c r="AV739" s="25">
        <v>22</v>
      </c>
      <c r="AW739" s="26"/>
      <c r="AX739" s="33">
        <f>($S$740-2*$AC$736)/10+AX737+0.000001</f>
        <v>28.200001000000004</v>
      </c>
      <c r="AY739" s="25"/>
      <c r="AZ739" s="55">
        <f t="shared" si="19"/>
        <v>1.5364823952127082</v>
      </c>
      <c r="BA739" s="55"/>
      <c r="BB739" s="55">
        <f t="shared" si="20"/>
        <v>52.634556536031255</v>
      </c>
      <c r="BC739" s="55"/>
      <c r="BD739" s="55">
        <f t="shared" si="21"/>
        <v>-160.12967822758711</v>
      </c>
      <c r="BE739" s="55"/>
      <c r="BF739" s="55">
        <f t="shared" si="22"/>
        <v>-209.70292832797966</v>
      </c>
      <c r="BG739" s="55"/>
      <c r="BH739" s="55">
        <f t="shared" si="23"/>
        <v>504.08973614998996</v>
      </c>
      <c r="BI739" s="55"/>
      <c r="BJ739" s="3"/>
    </row>
    <row r="740" spans="2:67" ht="11.25" customHeight="1">
      <c r="B740" s="2"/>
      <c r="R740" s="1" t="s">
        <v>43</v>
      </c>
      <c r="S740" s="34">
        <v>30</v>
      </c>
      <c r="T740" s="34"/>
      <c r="U740" s="1" t="s">
        <v>1</v>
      </c>
      <c r="AB740" s="18"/>
      <c r="AV740" s="25">
        <v>23</v>
      </c>
      <c r="AW740" s="26"/>
      <c r="AX740" s="30">
        <f>$AC$736/9+AX738</f>
        <v>28.400000000000002</v>
      </c>
      <c r="AY740" s="28"/>
      <c r="AZ740" s="54">
        <f t="shared" si="19"/>
        <v>1.3819146624071159</v>
      </c>
      <c r="BA740" s="54"/>
      <c r="BB740" s="54">
        <f t="shared" si="20"/>
        <v>51.968693473562034</v>
      </c>
      <c r="BC740" s="54"/>
      <c r="BD740" s="54">
        <f t="shared" si="21"/>
        <v>-164.77379310344836</v>
      </c>
      <c r="BE740" s="54"/>
      <c r="BF740" s="54">
        <f t="shared" si="22"/>
        <v>-210.66347477980614</v>
      </c>
      <c r="BG740" s="54"/>
      <c r="BH740" s="54">
        <f t="shared" si="23"/>
        <v>450.95999999999941</v>
      </c>
      <c r="BI740" s="54"/>
      <c r="BJ740" s="3"/>
    </row>
    <row r="741" spans="2:67" ht="11.25" customHeight="1">
      <c r="B741" s="2"/>
      <c r="AB741" s="18"/>
      <c r="AV741" s="25">
        <v>24</v>
      </c>
      <c r="AW741" s="26"/>
      <c r="AX741" s="30">
        <f>$AC$736/9+AX740</f>
        <v>28.6</v>
      </c>
      <c r="AY741" s="28"/>
      <c r="AZ741" s="54">
        <f t="shared" si="19"/>
        <v>1.2235824150354304</v>
      </c>
      <c r="BA741" s="54"/>
      <c r="BB741" s="54">
        <f t="shared" si="20"/>
        <v>51.296718247661069</v>
      </c>
      <c r="BC741" s="54"/>
      <c r="BD741" s="54">
        <f t="shared" si="21"/>
        <v>-169.4841379310345</v>
      </c>
      <c r="BE741" s="54"/>
      <c r="BF741" s="54">
        <f t="shared" si="22"/>
        <v>-211.52595464806222</v>
      </c>
      <c r="BG741" s="54"/>
      <c r="BH741" s="54">
        <f t="shared" si="23"/>
        <v>397.10999999999962</v>
      </c>
      <c r="BI741" s="54"/>
      <c r="BJ741" s="3"/>
    </row>
    <row r="742" spans="2:67" ht="11.25" customHeight="1">
      <c r="B742" s="2"/>
      <c r="C742" s="4" t="s">
        <v>28</v>
      </c>
      <c r="AV742" s="25">
        <v>25</v>
      </c>
      <c r="AW742" s="26"/>
      <c r="AX742" s="30">
        <f t="shared" ref="AX742:AX748" si="26">$AC$736/9+AX741</f>
        <v>28.8</v>
      </c>
      <c r="AY742" s="28"/>
      <c r="AZ742" s="54">
        <f t="shared" si="19"/>
        <v>1.0613800742235284</v>
      </c>
      <c r="BA742" s="54"/>
      <c r="BB742" s="54">
        <f t="shared" si="20"/>
        <v>50.618367809887005</v>
      </c>
      <c r="BC742" s="54"/>
      <c r="BD742" s="54">
        <f t="shared" si="21"/>
        <v>-174.26068965517243</v>
      </c>
      <c r="BE742" s="54"/>
      <c r="BF742" s="54">
        <f t="shared" si="22"/>
        <v>-212.28715114416059</v>
      </c>
      <c r="BG742" s="54"/>
      <c r="BH742" s="54">
        <f t="shared" si="23"/>
        <v>342.53999999999979</v>
      </c>
      <c r="BI742" s="54"/>
      <c r="BJ742" s="3"/>
    </row>
    <row r="743" spans="2:67" ht="11.25" customHeight="1">
      <c r="B743" s="2"/>
      <c r="C743" s="1" t="s">
        <v>11</v>
      </c>
      <c r="E743" s="24">
        <f>+S740</f>
        <v>30</v>
      </c>
      <c r="F743" s="24"/>
      <c r="G743" s="7" t="s">
        <v>9</v>
      </c>
      <c r="H743" s="24">
        <f>+M717</f>
        <v>25</v>
      </c>
      <c r="I743" s="24"/>
      <c r="J743" s="7" t="s">
        <v>10</v>
      </c>
      <c r="K743" s="24">
        <f>+S740/2</f>
        <v>15</v>
      </c>
      <c r="L743" s="24"/>
      <c r="M743" s="7" t="s">
        <v>10</v>
      </c>
      <c r="N743" s="24">
        <f>+S740/2+S740/2/2</f>
        <v>22.5</v>
      </c>
      <c r="O743" s="24"/>
      <c r="P743" s="7" t="s">
        <v>9</v>
      </c>
      <c r="Q743" s="24">
        <f>+X716</f>
        <v>18</v>
      </c>
      <c r="R743" s="24"/>
      <c r="S743" s="7" t="s">
        <v>10</v>
      </c>
      <c r="T743" s="24">
        <f>+S740/2</f>
        <v>15</v>
      </c>
      <c r="U743" s="24"/>
      <c r="V743" s="7" t="s">
        <v>10</v>
      </c>
      <c r="W743" s="24">
        <f>+T743/2</f>
        <v>7.5</v>
      </c>
      <c r="X743" s="24"/>
      <c r="Y743" s="7" t="s">
        <v>12</v>
      </c>
      <c r="Z743" s="1">
        <v>0</v>
      </c>
      <c r="AD743" s="1" t="s">
        <v>4</v>
      </c>
      <c r="AF743" s="24">
        <f>(H743*K743*N743+Q743*T743*W743)/E743</f>
        <v>348.75</v>
      </c>
      <c r="AG743" s="24"/>
      <c r="AH743" s="1" t="s">
        <v>0</v>
      </c>
      <c r="AV743" s="25">
        <v>26</v>
      </c>
      <c r="AW743" s="26"/>
      <c r="AX743" s="30">
        <f t="shared" si="26"/>
        <v>29</v>
      </c>
      <c r="AY743" s="28"/>
      <c r="AZ743" s="54">
        <f t="shared" si="19"/>
        <v>0.89519450171730597</v>
      </c>
      <c r="BA743" s="54"/>
      <c r="BB743" s="54">
        <f t="shared" si="20"/>
        <v>49.933359284530425</v>
      </c>
      <c r="BC743" s="54"/>
      <c r="BD743" s="54">
        <f t="shared" si="21"/>
        <v>-179.10344827586204</v>
      </c>
      <c r="BE743" s="54"/>
      <c r="BF743" s="54">
        <f t="shared" si="22"/>
        <v>-212.94369517714213</v>
      </c>
      <c r="BG743" s="54"/>
      <c r="BH743" s="54">
        <f t="shared" si="23"/>
        <v>287.25</v>
      </c>
      <c r="BI743" s="54"/>
      <c r="BJ743" s="3"/>
    </row>
    <row r="744" spans="2:67" ht="11.25" customHeight="1">
      <c r="B744" s="2"/>
      <c r="C744" s="1" t="s">
        <v>13</v>
      </c>
      <c r="E744" s="24">
        <f>+AF743</f>
        <v>348.75</v>
      </c>
      <c r="F744" s="24"/>
      <c r="G744" s="7" t="s">
        <v>9</v>
      </c>
      <c r="H744" s="24">
        <f>+M717</f>
        <v>25</v>
      </c>
      <c r="I744" s="24"/>
      <c r="J744" s="7" t="s">
        <v>10</v>
      </c>
      <c r="K744" s="24">
        <f>+S740/2</f>
        <v>15</v>
      </c>
      <c r="L744" s="24"/>
      <c r="M744" s="7" t="s">
        <v>9</v>
      </c>
      <c r="N744" s="24">
        <f>+X716</f>
        <v>18</v>
      </c>
      <c r="O744" s="24"/>
      <c r="P744" s="7" t="s">
        <v>10</v>
      </c>
      <c r="Q744" s="24">
        <f>+S740/2</f>
        <v>15</v>
      </c>
      <c r="R744" s="24"/>
      <c r="S744" s="7" t="s">
        <v>12</v>
      </c>
      <c r="T744" s="1">
        <v>0</v>
      </c>
      <c r="X744" s="1" t="s">
        <v>7</v>
      </c>
      <c r="Z744" s="24">
        <f>H744*K744+N744*Q744-E744</f>
        <v>296.25</v>
      </c>
      <c r="AA744" s="24"/>
      <c r="AB744" s="1" t="s">
        <v>0</v>
      </c>
      <c r="AV744" s="25">
        <v>27</v>
      </c>
      <c r="AW744" s="26"/>
      <c r="AX744" s="30">
        <f t="shared" si="26"/>
        <v>29.2</v>
      </c>
      <c r="AY744" s="28"/>
      <c r="AZ744" s="54">
        <f t="shared" si="19"/>
        <v>0.72490515905933961</v>
      </c>
      <c r="BA744" s="54"/>
      <c r="BB744" s="54">
        <f t="shared" si="20"/>
        <v>49.241391764092498</v>
      </c>
      <c r="BC744" s="54"/>
      <c r="BD744" s="54">
        <f t="shared" si="21"/>
        <v>-184.01241379310343</v>
      </c>
      <c r="BE744" s="54"/>
      <c r="BF744" s="54">
        <f t="shared" si="22"/>
        <v>-213.49204685429308</v>
      </c>
      <c r="BG744" s="54"/>
      <c r="BH744" s="54">
        <f t="shared" si="23"/>
        <v>231.24000000000018</v>
      </c>
      <c r="BI744" s="54"/>
      <c r="BJ744" s="3"/>
    </row>
    <row r="745" spans="2:67" ht="11.25" customHeight="1">
      <c r="B745" s="2"/>
      <c r="C745" s="7" t="s">
        <v>73</v>
      </c>
      <c r="D745" s="7" t="s">
        <v>10</v>
      </c>
      <c r="E745" s="24">
        <f>+AH722</f>
        <v>4.4635168411848483</v>
      </c>
      <c r="F745" s="24"/>
      <c r="G745" s="7" t="s">
        <v>9</v>
      </c>
      <c r="H745" s="24">
        <f>+AD734</f>
        <v>296.25</v>
      </c>
      <c r="I745" s="24"/>
      <c r="J745" s="7" t="s">
        <v>10</v>
      </c>
      <c r="K745" s="24">
        <f>+S740/2</f>
        <v>15</v>
      </c>
      <c r="L745" s="24"/>
      <c r="M745" s="7" t="s">
        <v>15</v>
      </c>
      <c r="N745" s="24">
        <f>+X716</f>
        <v>18</v>
      </c>
      <c r="O745" s="24"/>
      <c r="P745" s="7" t="s">
        <v>10</v>
      </c>
      <c r="Q745" s="24">
        <f>+S740/2</f>
        <v>15</v>
      </c>
      <c r="R745" s="24"/>
      <c r="S745" s="7" t="s">
        <v>10</v>
      </c>
      <c r="T745" s="24">
        <f>+Q745/2</f>
        <v>7.5</v>
      </c>
      <c r="U745" s="24"/>
      <c r="V745" s="7" t="s">
        <v>12</v>
      </c>
      <c r="W745" s="1">
        <v>0</v>
      </c>
      <c r="AA745" s="1" t="s">
        <v>74</v>
      </c>
      <c r="AC745" s="24">
        <f>(H745*K745-N745*Q745*T745)/E745</f>
        <v>541.89332897373777</v>
      </c>
      <c r="AD745" s="24"/>
      <c r="AE745" s="1" t="s">
        <v>80</v>
      </c>
      <c r="AF745" s="18"/>
      <c r="AV745" s="25">
        <v>28</v>
      </c>
      <c r="AW745" s="26"/>
      <c r="AX745" s="30">
        <f t="shared" si="26"/>
        <v>29.4</v>
      </c>
      <c r="AY745" s="28"/>
      <c r="AZ745" s="54">
        <f t="shared" si="19"/>
        <v>0.55038343107302623</v>
      </c>
      <c r="BA745" s="54"/>
      <c r="BB745" s="54">
        <f t="shared" si="20"/>
        <v>48.542144607689615</v>
      </c>
      <c r="BC745" s="54"/>
      <c r="BD745" s="54">
        <f t="shared" si="21"/>
        <v>-188.98758620689651</v>
      </c>
      <c r="BE745" s="54"/>
      <c r="BF745" s="54">
        <f t="shared" si="22"/>
        <v>-213.9284804781515</v>
      </c>
      <c r="BG745" s="54"/>
      <c r="BH745" s="54">
        <f t="shared" si="23"/>
        <v>174.51000000000042</v>
      </c>
      <c r="BI745" s="54"/>
      <c r="BJ745" s="3"/>
    </row>
    <row r="746" spans="2:67" ht="11.25" customHeight="1">
      <c r="B746" s="2"/>
      <c r="C746" s="1" t="s">
        <v>75</v>
      </c>
      <c r="AF746" s="18"/>
      <c r="AV746" s="25">
        <v>29</v>
      </c>
      <c r="AW746" s="26"/>
      <c r="AX746" s="30">
        <f t="shared" si="26"/>
        <v>29.599999999999998</v>
      </c>
      <c r="AY746" s="28"/>
      <c r="AZ746" s="54">
        <f t="shared" si="19"/>
        <v>0.37149186644958121</v>
      </c>
      <c r="BA746" s="54"/>
      <c r="BB746" s="54">
        <f t="shared" si="20"/>
        <v>47.835275529281418</v>
      </c>
      <c r="BC746" s="54"/>
      <c r="BD746" s="54">
        <f t="shared" si="21"/>
        <v>-194.02896551724129</v>
      </c>
      <c r="BE746" s="54"/>
      <c r="BF746" s="54">
        <f t="shared" si="22"/>
        <v>-214.24906776998856</v>
      </c>
      <c r="BG746" s="54"/>
      <c r="BH746" s="54">
        <f t="shared" si="23"/>
        <v>117.06000000000061</v>
      </c>
      <c r="BI746" s="54"/>
      <c r="BJ746" s="3"/>
    </row>
    <row r="747" spans="2:67" ht="11.25" customHeight="1">
      <c r="B747" s="2"/>
      <c r="C747" s="4"/>
      <c r="AF747" s="18"/>
      <c r="AV747" s="25">
        <v>30</v>
      </c>
      <c r="AW747" s="26"/>
      <c r="AX747" s="30">
        <f t="shared" si="26"/>
        <v>29.799999999999997</v>
      </c>
      <c r="AY747" s="28"/>
      <c r="AZ747" s="54">
        <f t="shared" si="19"/>
        <v>0.18808332265834515</v>
      </c>
      <c r="BA747" s="54"/>
      <c r="BB747" s="54">
        <f t="shared" si="20"/>
        <v>47.120418443075152</v>
      </c>
      <c r="BC747" s="54"/>
      <c r="BD747" s="54">
        <f t="shared" si="21"/>
        <v>-199.13655172413786</v>
      </c>
      <c r="BE747" s="54"/>
      <c r="BF747" s="54">
        <f t="shared" si="22"/>
        <v>-214.44965905176846</v>
      </c>
      <c r="BG747" s="54"/>
      <c r="BH747" s="54">
        <f t="shared" si="23"/>
        <v>58.890000000000825</v>
      </c>
      <c r="BI747" s="54"/>
      <c r="BJ747" s="3"/>
    </row>
    <row r="748" spans="2:67" ht="11.25" customHeight="1">
      <c r="B748" s="2"/>
      <c r="G748" s="7"/>
      <c r="O748" s="7"/>
      <c r="W748" s="7"/>
      <c r="Z748" s="7"/>
      <c r="AV748" s="25">
        <v>31</v>
      </c>
      <c r="AW748" s="26"/>
      <c r="AX748" s="30">
        <f t="shared" si="26"/>
        <v>29.999999999999996</v>
      </c>
      <c r="AY748" s="28"/>
      <c r="AZ748" s="54">
        <f t="shared" si="19"/>
        <v>0</v>
      </c>
      <c r="BA748" s="54"/>
      <c r="BB748" s="54">
        <f t="shared" si="20"/>
        <v>46.397181027296376</v>
      </c>
      <c r="BC748" s="54"/>
      <c r="BD748" s="54">
        <f t="shared" si="21"/>
        <v>-204.31034482758616</v>
      </c>
      <c r="BE748" s="54"/>
      <c r="BF748" s="54">
        <f t="shared" si="22"/>
        <v>-214.52586206896544</v>
      </c>
      <c r="BG748" s="54"/>
      <c r="BH748" s="54">
        <f t="shared" si="23"/>
        <v>1.0524914273446482E-12</v>
      </c>
      <c r="BI748" s="54"/>
      <c r="BJ748" s="3"/>
    </row>
    <row r="749" spans="2:67" ht="11.25" customHeight="1">
      <c r="B749" s="2"/>
      <c r="G749" s="7"/>
      <c r="O749" s="7"/>
      <c r="W749" s="7"/>
      <c r="Z749" s="7"/>
      <c r="BJ749" s="3"/>
      <c r="BO749" s="19"/>
    </row>
    <row r="750" spans="2:67" ht="11.25" customHeight="1">
      <c r="B750" s="2"/>
      <c r="G750" s="7"/>
      <c r="O750" s="7"/>
      <c r="W750" s="7"/>
      <c r="Z750" s="7"/>
      <c r="BJ750" s="3"/>
      <c r="BO750" s="19"/>
    </row>
    <row r="751" spans="2:67" ht="11.25" customHeight="1">
      <c r="B751" s="2"/>
      <c r="D751" s="12" t="s">
        <v>98</v>
      </c>
      <c r="AV751" s="39" t="s">
        <v>59</v>
      </c>
      <c r="AW751" s="40"/>
      <c r="AX751" s="43" t="s">
        <v>48</v>
      </c>
      <c r="AY751" s="33"/>
      <c r="AZ751" s="32" t="s">
        <v>58</v>
      </c>
      <c r="BA751" s="33"/>
      <c r="BB751" s="44" t="s">
        <v>66</v>
      </c>
      <c r="BC751" s="45"/>
      <c r="BD751" s="32" t="s">
        <v>62</v>
      </c>
      <c r="BE751" s="33"/>
      <c r="BF751" s="32" t="s">
        <v>65</v>
      </c>
      <c r="BG751" s="33"/>
      <c r="BH751" s="32" t="s">
        <v>63</v>
      </c>
      <c r="BI751" s="33"/>
      <c r="BJ751" s="3"/>
    </row>
    <row r="752" spans="2:67" ht="11.25" customHeight="1" thickBot="1">
      <c r="B752" s="2"/>
      <c r="O752" s="34">
        <v>15</v>
      </c>
      <c r="P752" s="34"/>
      <c r="Q752" s="1" t="s">
        <v>3</v>
      </c>
      <c r="AA752" s="34">
        <v>20</v>
      </c>
      <c r="AB752" s="34"/>
      <c r="AC752" s="1" t="s">
        <v>3</v>
      </c>
      <c r="AV752" s="41"/>
      <c r="AW752" s="42"/>
      <c r="AX752" s="46" t="s">
        <v>60</v>
      </c>
      <c r="AY752" s="47"/>
      <c r="AZ752" s="48" t="s">
        <v>60</v>
      </c>
      <c r="BA752" s="47"/>
      <c r="BB752" s="48" t="s">
        <v>67</v>
      </c>
      <c r="BC752" s="47"/>
      <c r="BD752" s="48" t="s">
        <v>61</v>
      </c>
      <c r="BE752" s="47"/>
      <c r="BF752" s="48" t="s">
        <v>61</v>
      </c>
      <c r="BG752" s="47"/>
      <c r="BH752" s="48" t="s">
        <v>64</v>
      </c>
      <c r="BI752" s="47"/>
      <c r="BJ752" s="3"/>
    </row>
    <row r="753" spans="2:62" ht="11.25" customHeight="1" thickTop="1">
      <c r="B753" s="2"/>
      <c r="AV753" s="49">
        <v>0</v>
      </c>
      <c r="AW753" s="50"/>
      <c r="AX753" s="51">
        <v>0</v>
      </c>
      <c r="AY753" s="52"/>
      <c r="AZ753" s="53">
        <f>$Y$798*SIN(BB753*PI()/180)</f>
        <v>0</v>
      </c>
      <c r="BA753" s="52"/>
      <c r="BB753" s="53">
        <f>IF(AX753&lt;=$V$812/2,ACOS(($Y$798-AX753)/$Y$798)*180/PI(),ACOS((AX753-$Y$798)/$Y$798)*180/PI())</f>
        <v>0</v>
      </c>
      <c r="BC753" s="52"/>
      <c r="BD753" s="53">
        <f>IF(AX753&lt;=$V$776/2,-$J$773*COS(BB753*PI()/180)+$H$768*SIN(BB753*PI()/180)+$O$752*AX753*COS(BB753*PI()/180)-$C$762*AZ753*SIN(BB753*PI()/180)-$AI$782*SIN(BB753*PI()/180),IF(AND($V$776/2&lt;AX753,AX753&lt;=($V$776-$AE$774)),-$AG$773*COS(BB753*PI()/180)-$AI$782*SIN(BB753*PI()/180)+$AA$752*($V$776-AX753)*COS(BB753*PI()/180)+$AD$756*COS(BB753*PI()/180),-$AG$773*COS(BB753*PI()/180)-$AI$782*SIN(BB753*PI()/180)+$AA$752*($V$776-AX753)*COS(BB753*PI()/180)))</f>
        <v>-116.25</v>
      </c>
      <c r="BE753" s="52"/>
      <c r="BF753" s="53">
        <f>IF(AX753&lt;=$V$776/2,$J$773*SIN(BB753*PI()/180)+$H$768*COS(BB753*PI()/180)-$O$752*AX753*SIN(BB753*PI()/180)-$C$762*AZ753*COS(BB753*PI()/180)-$AI$782*COS(BB753*PI()/180),IF(AND($V$776/2&lt;AX753,AX753&lt;=($V$776-$AE$774)),-$AG$773*SIN(BB753*PI()/180)+$AI$782*COS(BB753*PI()/180)+$AA$752*($V$776-AX753)*SIN(BB753*PI()/180)+$AD$756*SIN(BB753*PI()/180),-$AG$773*SIN(BB753*PI()/180)+$AI$782*COS(BB753*PI()/180)+$AA$752*($V$776-AX753)*SIN(BB753*PI()/180)))</f>
        <v>-16.25</v>
      </c>
      <c r="BG753" s="52"/>
      <c r="BH753" s="53">
        <f>IF(AX753&lt;=$V$776/2,$J$773*AX753+$H$768*AZ753-$O$752*AX753*AX753/2-$C$762*AZ753*AZ753/2-$AI$782*AZ753,IF(AND($V$776/2&lt;AX753,AX753&lt;=($V$776-$AE$774)),$AG$773*($V$776-AX753)-$AI$782*AZ753-$AA$752*($V$776-AX753)*($V$776-AX753)/2-$AD$756*($V$776/2+$Y$774-AX753),$AG$773*($V$776-AX753)-$AI$782*AZ753-$AA$752*($V$776-AX753)*($V$776-AX753)/2))</f>
        <v>0</v>
      </c>
      <c r="BI753" s="52"/>
      <c r="BJ753" s="3"/>
    </row>
    <row r="754" spans="2:62" ht="11.25" customHeight="1">
      <c r="B754" s="2"/>
      <c r="AV754" s="25">
        <v>1</v>
      </c>
      <c r="AW754" s="26"/>
      <c r="AX754" s="27">
        <f>($V$776/2)/12+AX753</f>
        <v>0.66666666666666663</v>
      </c>
      <c r="AY754" s="28"/>
      <c r="AZ754" s="29">
        <f t="shared" ref="AZ754:AZ784" si="27">$Y$762*SIN(BB754*PI()/180)</f>
        <v>3.1972210155418139</v>
      </c>
      <c r="BA754" s="30"/>
      <c r="BB754" s="28">
        <f t="shared" ref="BB754:BB783" si="28">IF(AX754&lt;=$V$776/2,ACOS(($Y$762-AX754)/$Y$762)*180/PI(),ACOS((AX754-$Y$762)/$Y$762)*180/PI())</f>
        <v>23.556464309101241</v>
      </c>
      <c r="BC754" s="28"/>
      <c r="BD754" s="29">
        <f t="shared" ref="BD754:BD784" si="29">IF(AX754&lt;=$V$776/2,-$J$773*COS(BB754*PI()/180)+$H$768*SIN(BB754*PI()/180)+$O$752*AX754*COS(BB754*PI()/180)-$C$762*AZ754*SIN(BB754*PI()/180)-$AI$782*SIN(BB754*PI()/180),IF(AND($V$776/2&lt;AX754,AX754&lt;=($V$776-$AE$774)),-$AG$773*COS(BB754*PI()/180)-$AI$782*SIN(BB754*PI()/180)+$AA$752*($V$776-AX754)*COS(BB754*PI()/180)+$AD$756*COS(BB754*PI()/180),-$AG$773*COS(BB754*PI()/180)-$AI$782*SIN(BB754*PI()/180)+$AA$752*($V$776-AX754)*COS(BB754*PI()/180)))</f>
        <v>-116.66796629893042</v>
      </c>
      <c r="BE754" s="30"/>
      <c r="BF754" s="29">
        <f t="shared" ref="BF754:BF784" si="30">IF(AX754&lt;=$V$776/2,$J$773*SIN(BB754*PI()/180)+$H$768*COS(BB754*PI()/180)-$O$752*AX754*SIN(BB754*PI()/180)-$C$762*AZ754*COS(BB754*PI()/180)-$AI$782*COS(BB754*PI()/180),IF(AND($V$776/2&lt;AX754,AX754&lt;=($V$776-$AE$774)),-$AG$773*SIN(BB754*PI()/180)+$AI$782*COS(BB754*PI()/180)+$AA$752*($V$776-AX754)*SIN(BB754*PI()/180)+$AD$756*SIN(BB754*PI()/180),-$AG$773*SIN(BB754*PI()/180)+$AI$782*COS(BB754*PI()/180)+$AA$752*($V$776-AX754)*SIN(BB754*PI()/180)))</f>
        <v>-1.7406010298018941</v>
      </c>
      <c r="BG754" s="30"/>
      <c r="BH754" s="29">
        <f t="shared" ref="BH754:BH784" si="31">IF(AX754&lt;=$V$776/2,$J$773*AX754+$H$768*AZ754-$O$752*AX754*AX754/2-$C$762*AZ754*AZ754/2-$AI$782*AZ754,IF(AND($V$776/2&lt;AX754,AX754&lt;=($V$776-$AE$774)),$AG$773*($V$776-AX754)-$AI$782*AZ754-$AA$752*($V$776-AX754)*($V$776-AX754)/2-$AD$756*($V$776/2+$Y$774-AX754),$AG$773*($V$776-AX754)-$AI$782*AZ754-$AA$752*($V$776-AX754)*($V$776-AX754)/2))</f>
        <v>-28.89928594699893</v>
      </c>
      <c r="BI754" s="30"/>
      <c r="BJ754" s="3"/>
    </row>
    <row r="755" spans="2:62" ht="11.25" customHeight="1">
      <c r="B755" s="2"/>
      <c r="F755" s="5"/>
      <c r="AJ755" s="5" t="s">
        <v>1</v>
      </c>
      <c r="AV755" s="25">
        <v>2</v>
      </c>
      <c r="AW755" s="26"/>
      <c r="AX755" s="27">
        <f t="shared" ref="AX755:AX765" si="32">($V$776/2)/12+AX754</f>
        <v>1.3333333333333333</v>
      </c>
      <c r="AY755" s="28"/>
      <c r="AZ755" s="29">
        <f t="shared" si="27"/>
        <v>4.4221663871405328</v>
      </c>
      <c r="BA755" s="30"/>
      <c r="BB755" s="28">
        <f t="shared" si="28"/>
        <v>33.557309761920713</v>
      </c>
      <c r="BC755" s="28"/>
      <c r="BD755" s="29">
        <f t="shared" si="29"/>
        <v>-113.63530325165698</v>
      </c>
      <c r="BE755" s="30"/>
      <c r="BF755" s="29">
        <f t="shared" si="30"/>
        <v>2.8111361191134279</v>
      </c>
      <c r="BG755" s="30"/>
      <c r="BH755" s="29">
        <f t="shared" si="31"/>
        <v>-27.971314902144741</v>
      </c>
      <c r="BI755" s="30"/>
      <c r="BJ755" s="3"/>
    </row>
    <row r="756" spans="2:62" ht="11.25" customHeight="1">
      <c r="B756" s="2"/>
      <c r="G756" s="37" t="s">
        <v>68</v>
      </c>
      <c r="V756" s="1" t="s">
        <v>18</v>
      </c>
      <c r="AD756" s="34">
        <v>50</v>
      </c>
      <c r="AE756" s="34"/>
      <c r="AF756" s="1" t="s">
        <v>0</v>
      </c>
      <c r="AJ756" s="37">
        <f>+Y762-AJ763</f>
        <v>2.7084973778708195</v>
      </c>
      <c r="AV756" s="25">
        <v>3</v>
      </c>
      <c r="AW756" s="26"/>
      <c r="AX756" s="27">
        <f t="shared" si="32"/>
        <v>2</v>
      </c>
      <c r="AY756" s="28"/>
      <c r="AZ756" s="29">
        <f t="shared" si="27"/>
        <v>5.2915026221291805</v>
      </c>
      <c r="BA756" s="30"/>
      <c r="BB756" s="28">
        <f t="shared" si="28"/>
        <v>41.409622109270856</v>
      </c>
      <c r="BC756" s="28"/>
      <c r="BD756" s="29">
        <f t="shared" si="29"/>
        <v>-110.43586470119989</v>
      </c>
      <c r="BE756" s="30"/>
      <c r="BF756" s="29">
        <f t="shared" si="30"/>
        <v>5.175242978861391</v>
      </c>
      <c r="BG756" s="30"/>
      <c r="BH756" s="29">
        <f t="shared" si="31"/>
        <v>-23.486917609599118</v>
      </c>
      <c r="BI756" s="30"/>
      <c r="BJ756" s="3"/>
    </row>
    <row r="757" spans="2:62" ht="11.25" customHeight="1">
      <c r="B757" s="2"/>
      <c r="G757" s="37"/>
      <c r="AJ757" s="37"/>
      <c r="AV757" s="25">
        <v>4</v>
      </c>
      <c r="AW757" s="26"/>
      <c r="AX757" s="27">
        <f t="shared" si="32"/>
        <v>2.6666666666666665</v>
      </c>
      <c r="AY757" s="28"/>
      <c r="AZ757" s="29">
        <f t="shared" si="27"/>
        <v>5.9628479399994383</v>
      </c>
      <c r="BA757" s="30"/>
      <c r="BB757" s="28">
        <f t="shared" si="28"/>
        <v>48.189685104221397</v>
      </c>
      <c r="BC757" s="28"/>
      <c r="BD757" s="29">
        <f t="shared" si="29"/>
        <v>-107.38981265590164</v>
      </c>
      <c r="BE757" s="30"/>
      <c r="BF757" s="29">
        <f t="shared" si="30"/>
        <v>6.2477414947900485</v>
      </c>
      <c r="BG757" s="30"/>
      <c r="BH757" s="29">
        <f t="shared" si="31"/>
        <v>-18.007390136102003</v>
      </c>
      <c r="BI757" s="30"/>
      <c r="BJ757" s="3"/>
    </row>
    <row r="758" spans="2:62" ht="11.25" customHeight="1">
      <c r="B758" s="2"/>
      <c r="G758" s="37"/>
      <c r="N758" s="1" t="s">
        <v>17</v>
      </c>
      <c r="AJ758" s="37"/>
      <c r="AV758" s="25">
        <v>5</v>
      </c>
      <c r="AW758" s="26"/>
      <c r="AX758" s="27">
        <f t="shared" si="32"/>
        <v>3.333333333333333</v>
      </c>
      <c r="AY758" s="28"/>
      <c r="AZ758" s="29">
        <f t="shared" si="27"/>
        <v>6.497862896539309</v>
      </c>
      <c r="BA758" s="30"/>
      <c r="BB758" s="28">
        <f t="shared" si="28"/>
        <v>54.314665287347943</v>
      </c>
      <c r="BC758" s="28"/>
      <c r="BD758" s="29">
        <f t="shared" si="29"/>
        <v>-104.6223951197066</v>
      </c>
      <c r="BE758" s="30"/>
      <c r="BF758" s="29">
        <f t="shared" si="30"/>
        <v>6.427060215486847</v>
      </c>
      <c r="BG758" s="30"/>
      <c r="BH758" s="29">
        <f t="shared" si="31"/>
        <v>-12.534716513208195</v>
      </c>
      <c r="BI758" s="30"/>
      <c r="BJ758" s="3"/>
    </row>
    <row r="759" spans="2:62" ht="11.25" customHeight="1">
      <c r="B759" s="2"/>
      <c r="C759" s="37" t="s">
        <v>3</v>
      </c>
      <c r="AE759" s="6" t="s">
        <v>30</v>
      </c>
      <c r="AV759" s="25">
        <v>6</v>
      </c>
      <c r="AW759" s="26"/>
      <c r="AX759" s="27">
        <f t="shared" si="32"/>
        <v>3.9999999999999996</v>
      </c>
      <c r="AY759" s="28"/>
      <c r="AZ759" s="29">
        <f t="shared" si="27"/>
        <v>6.9282032302755088</v>
      </c>
      <c r="BA759" s="30"/>
      <c r="BB759" s="28">
        <f t="shared" si="28"/>
        <v>59.999999999999993</v>
      </c>
      <c r="BC759" s="28"/>
      <c r="BD759" s="29">
        <f t="shared" si="29"/>
        <v>-102.19791281149713</v>
      </c>
      <c r="BE759" s="30"/>
      <c r="BF759" s="29">
        <f t="shared" si="30"/>
        <v>5.9479128114970976</v>
      </c>
      <c r="BG759" s="30"/>
      <c r="BH759" s="29">
        <f t="shared" si="31"/>
        <v>-7.5833024919770651</v>
      </c>
      <c r="BI759" s="30"/>
      <c r="BJ759" s="3"/>
    </row>
    <row r="760" spans="2:62" ht="11.25" customHeight="1">
      <c r="B760" s="2"/>
      <c r="C760" s="37"/>
      <c r="AL760" s="5" t="s">
        <v>1</v>
      </c>
      <c r="AV760" s="25">
        <v>7</v>
      </c>
      <c r="AW760" s="26"/>
      <c r="AX760" s="27">
        <f t="shared" si="32"/>
        <v>4.6666666666666661</v>
      </c>
      <c r="AY760" s="28"/>
      <c r="AZ760" s="29">
        <f t="shared" si="27"/>
        <v>7.2724747430904761</v>
      </c>
      <c r="BA760" s="30"/>
      <c r="BB760" s="28">
        <f t="shared" si="28"/>
        <v>65.375681647835918</v>
      </c>
      <c r="BC760" s="28"/>
      <c r="BD760" s="29">
        <f t="shared" si="29"/>
        <v>-100.15415876634698</v>
      </c>
      <c r="BE760" s="30"/>
      <c r="BF760" s="29">
        <f t="shared" si="30"/>
        <v>4.9711831789481664</v>
      </c>
      <c r="BG760" s="30"/>
      <c r="BH760" s="29">
        <f t="shared" si="31"/>
        <v>-3.4554923529979078</v>
      </c>
      <c r="BI760" s="30"/>
      <c r="BJ760" s="3"/>
    </row>
    <row r="761" spans="2:62" ht="11.25" customHeight="1">
      <c r="B761" s="2"/>
      <c r="C761" s="37"/>
      <c r="AL761" s="37">
        <f>+V776/2</f>
        <v>8</v>
      </c>
      <c r="AV761" s="25">
        <v>8</v>
      </c>
      <c r="AW761" s="26"/>
      <c r="AX761" s="27">
        <f t="shared" si="32"/>
        <v>5.333333333333333</v>
      </c>
      <c r="AY761" s="28"/>
      <c r="AZ761" s="29">
        <f t="shared" si="27"/>
        <v>7.5424723326565069</v>
      </c>
      <c r="BA761" s="30"/>
      <c r="BB761" s="28">
        <f t="shared" si="28"/>
        <v>70.528779365509308</v>
      </c>
      <c r="BC761" s="28"/>
      <c r="BD761" s="29">
        <f t="shared" si="29"/>
        <v>-98.515091370152987</v>
      </c>
      <c r="BE761" s="30"/>
      <c r="BF761" s="29">
        <f t="shared" si="30"/>
        <v>3.6185866484947624</v>
      </c>
      <c r="BG761" s="30"/>
      <c r="BH761" s="29">
        <f t="shared" si="31"/>
        <v>-0.34295318344595671</v>
      </c>
      <c r="BI761" s="30"/>
      <c r="BJ761" s="3"/>
    </row>
    <row r="762" spans="2:62" ht="11.25" customHeight="1">
      <c r="B762" s="2"/>
      <c r="C762" s="38">
        <v>10</v>
      </c>
      <c r="G762" s="5"/>
      <c r="X762" s="1" t="s">
        <v>2</v>
      </c>
      <c r="Y762" s="24">
        <f>+V776/2</f>
        <v>8</v>
      </c>
      <c r="Z762" s="24"/>
      <c r="AA762" s="1" t="s">
        <v>1</v>
      </c>
      <c r="AJ762" s="5" t="s">
        <v>1</v>
      </c>
      <c r="AL762" s="37"/>
      <c r="AV762" s="25">
        <v>9</v>
      </c>
      <c r="AW762" s="26"/>
      <c r="AX762" s="27">
        <f t="shared" si="32"/>
        <v>6</v>
      </c>
      <c r="AY762" s="28"/>
      <c r="AZ762" s="29">
        <f t="shared" si="27"/>
        <v>7.745966692414834</v>
      </c>
      <c r="BA762" s="30"/>
      <c r="BB762" s="28">
        <f t="shared" si="28"/>
        <v>75.522487814070075</v>
      </c>
      <c r="BC762" s="28"/>
      <c r="BD762" s="29">
        <f t="shared" si="29"/>
        <v>-97.296494843967636</v>
      </c>
      <c r="BE762" s="30"/>
      <c r="BF762" s="29">
        <f t="shared" si="30"/>
        <v>1.9890364784490799</v>
      </c>
      <c r="BG762" s="30"/>
      <c r="BH762" s="29">
        <f t="shared" si="31"/>
        <v>1.6280412482589099</v>
      </c>
      <c r="BI762" s="30"/>
      <c r="BJ762" s="3"/>
    </row>
    <row r="763" spans="2:62" ht="11.25" customHeight="1">
      <c r="B763" s="2"/>
      <c r="C763" s="38"/>
      <c r="G763" s="37" t="s">
        <v>58</v>
      </c>
      <c r="K763" s="1" t="s">
        <v>58</v>
      </c>
      <c r="AJ763" s="37">
        <f>Y774*TAN(Y768*PI()/180)</f>
        <v>5.2915026221291805</v>
      </c>
      <c r="AL763" s="37"/>
      <c r="AV763" s="25">
        <v>10</v>
      </c>
      <c r="AW763" s="26"/>
      <c r="AX763" s="27">
        <f t="shared" si="32"/>
        <v>6.666666666666667</v>
      </c>
      <c r="AY763" s="28"/>
      <c r="AZ763" s="29">
        <f t="shared" si="27"/>
        <v>7.8881063774661548</v>
      </c>
      <c r="BA763" s="30"/>
      <c r="BB763" s="28">
        <f t="shared" si="28"/>
        <v>80.405931773139542</v>
      </c>
      <c r="BC763" s="28"/>
      <c r="BD763" s="29">
        <f t="shared" si="29"/>
        <v>-96.508827190339233</v>
      </c>
      <c r="BE763" s="30"/>
      <c r="BF763" s="29">
        <f t="shared" si="30"/>
        <v>0.16753878345119944</v>
      </c>
      <c r="BG763" s="30"/>
      <c r="BH763" s="29">
        <f t="shared" si="31"/>
        <v>2.3738269217307106</v>
      </c>
      <c r="BI763" s="30"/>
      <c r="BJ763" s="3"/>
    </row>
    <row r="764" spans="2:62" ht="11.25" customHeight="1">
      <c r="B764" s="2"/>
      <c r="C764" s="38"/>
      <c r="G764" s="37"/>
      <c r="AJ764" s="37"/>
      <c r="AV764" s="25">
        <v>11</v>
      </c>
      <c r="AW764" s="26"/>
      <c r="AX764" s="27">
        <f t="shared" si="32"/>
        <v>7.3333333333333339</v>
      </c>
      <c r="AY764" s="28"/>
      <c r="AZ764" s="29">
        <f t="shared" si="27"/>
        <v>7.9721738287342658</v>
      </c>
      <c r="BA764" s="30"/>
      <c r="BB764" s="28">
        <f t="shared" si="28"/>
        <v>85.219808152800852</v>
      </c>
      <c r="BC764" s="28"/>
      <c r="BD764" s="29">
        <f t="shared" si="29"/>
        <v>-96.158755867394262</v>
      </c>
      <c r="BE764" s="30"/>
      <c r="BF764" s="29">
        <f t="shared" si="30"/>
        <v>-1.7693840535799072</v>
      </c>
      <c r="BG764" s="30"/>
      <c r="BH764" s="29">
        <f t="shared" si="31"/>
        <v>1.8410641719569867</v>
      </c>
      <c r="BI764" s="30"/>
      <c r="BJ764" s="3"/>
    </row>
    <row r="765" spans="2:62" ht="11.25" customHeight="1">
      <c r="B765" s="2"/>
      <c r="G765" s="37"/>
      <c r="AJ765" s="37"/>
      <c r="AU765" s="18"/>
      <c r="AV765" s="25">
        <v>12</v>
      </c>
      <c r="AW765" s="26"/>
      <c r="AX765" s="27">
        <f t="shared" si="32"/>
        <v>8</v>
      </c>
      <c r="AY765" s="28"/>
      <c r="AZ765" s="29">
        <f t="shared" si="27"/>
        <v>8</v>
      </c>
      <c r="BA765" s="30"/>
      <c r="BB765" s="28">
        <f t="shared" si="28"/>
        <v>90</v>
      </c>
      <c r="BC765" s="28"/>
      <c r="BD765" s="29">
        <f t="shared" si="29"/>
        <v>-96.25</v>
      </c>
      <c r="BE765" s="30"/>
      <c r="BF765" s="29">
        <f t="shared" si="30"/>
        <v>-3.7500000000000107</v>
      </c>
      <c r="BG765" s="30"/>
      <c r="BH765" s="29">
        <f t="shared" si="31"/>
        <v>0</v>
      </c>
      <c r="BI765" s="30"/>
      <c r="BJ765" s="3"/>
    </row>
    <row r="766" spans="2:62" ht="11.25" customHeight="1">
      <c r="B766" s="2"/>
      <c r="AV766" s="25">
        <v>13</v>
      </c>
      <c r="AW766" s="26"/>
      <c r="AX766" s="27">
        <f>($V$776/2-$AE$774)/9+AX765</f>
        <v>8.6666666666666661</v>
      </c>
      <c r="AY766" s="28"/>
      <c r="AZ766" s="29">
        <f t="shared" si="27"/>
        <v>7.9721738287342658</v>
      </c>
      <c r="BA766" s="30"/>
      <c r="BB766" s="28">
        <f t="shared" si="28"/>
        <v>85.219808152800852</v>
      </c>
      <c r="BC766" s="28"/>
      <c r="BD766" s="29">
        <f t="shared" si="29"/>
        <v>-97.338827488070251</v>
      </c>
      <c r="BE766" s="30"/>
      <c r="BF766" s="29">
        <f t="shared" si="30"/>
        <v>-9.0030795301096376</v>
      </c>
      <c r="BG766" s="30"/>
      <c r="BH766" s="29">
        <f t="shared" si="31"/>
        <v>-4.2661754601174948</v>
      </c>
      <c r="BI766" s="30"/>
      <c r="BJ766" s="3"/>
    </row>
    <row r="767" spans="2:62" ht="11.25" customHeight="1">
      <c r="B767" s="2"/>
      <c r="AV767" s="25">
        <v>14</v>
      </c>
      <c r="AW767" s="26"/>
      <c r="AX767" s="27">
        <f t="shared" ref="AX767:AX774" si="33">($V$776/2-$AE$774)/9+AX766</f>
        <v>9.3333333333333321</v>
      </c>
      <c r="AY767" s="28"/>
      <c r="AZ767" s="29">
        <f t="shared" si="27"/>
        <v>7.8881063774661548</v>
      </c>
      <c r="BA767" s="30"/>
      <c r="BB767" s="28">
        <f t="shared" si="28"/>
        <v>80.405931773139542</v>
      </c>
      <c r="BC767" s="28"/>
      <c r="BD767" s="29">
        <f t="shared" si="29"/>
        <v>-99.973224298334131</v>
      </c>
      <c r="BE767" s="30"/>
      <c r="BF767" s="29">
        <f t="shared" si="30"/>
        <v>-13.949571122657751</v>
      </c>
      <c r="BG767" s="30"/>
      <c r="BH767" s="29">
        <f t="shared" si="31"/>
        <v>-12.00801660889519</v>
      </c>
      <c r="BI767" s="30"/>
      <c r="BJ767" s="3"/>
    </row>
    <row r="768" spans="2:62" ht="11.25" customHeight="1">
      <c r="B768" s="2"/>
      <c r="F768" s="1" t="s">
        <v>5</v>
      </c>
      <c r="H768" s="24">
        <f>+Q783</f>
        <v>80</v>
      </c>
      <c r="I768" s="24"/>
      <c r="J768" s="1" t="s">
        <v>0</v>
      </c>
      <c r="N768" s="1" t="s">
        <v>48</v>
      </c>
      <c r="P768" s="1" t="s">
        <v>76</v>
      </c>
      <c r="S768" s="35" t="s">
        <v>70</v>
      </c>
      <c r="T768" s="36"/>
      <c r="U768" s="8"/>
      <c r="Y768" s="24">
        <f>ACOS(Y774/Y762)*180/PI()</f>
        <v>41.409622109270856</v>
      </c>
      <c r="Z768" s="24"/>
      <c r="AA768" s="8" t="s">
        <v>8</v>
      </c>
      <c r="AG768" s="1" t="s">
        <v>33</v>
      </c>
      <c r="AV768" s="25">
        <v>15</v>
      </c>
      <c r="AW768" s="26"/>
      <c r="AX768" s="27">
        <f t="shared" si="33"/>
        <v>9.9999999999999982</v>
      </c>
      <c r="AY768" s="28"/>
      <c r="AZ768" s="29">
        <f t="shared" si="27"/>
        <v>7.745966692414834</v>
      </c>
      <c r="BA768" s="30"/>
      <c r="BB768" s="28">
        <f t="shared" si="28"/>
        <v>75.522487814070089</v>
      </c>
      <c r="BC768" s="28"/>
      <c r="BD768" s="29">
        <f t="shared" si="29"/>
        <v>-104.13116176811597</v>
      </c>
      <c r="BE768" s="30"/>
      <c r="BF768" s="29">
        <f t="shared" si="30"/>
        <v>-18.298255349143645</v>
      </c>
      <c r="BG768" s="30"/>
      <c r="BH768" s="29">
        <f t="shared" si="31"/>
        <v>-23.049294144927586</v>
      </c>
      <c r="BI768" s="30"/>
      <c r="BJ768" s="3"/>
    </row>
    <row r="769" spans="2:62" ht="11.25" customHeight="1">
      <c r="B769" s="2"/>
      <c r="AV769" s="25">
        <v>16</v>
      </c>
      <c r="AW769" s="26"/>
      <c r="AX769" s="27">
        <f t="shared" si="33"/>
        <v>10.666666666666664</v>
      </c>
      <c r="AY769" s="28"/>
      <c r="AZ769" s="29">
        <f t="shared" si="27"/>
        <v>7.5424723326565086</v>
      </c>
      <c r="BA769" s="30"/>
      <c r="BB769" s="28">
        <f t="shared" si="28"/>
        <v>70.528779365509337</v>
      </c>
      <c r="BC769" s="28"/>
      <c r="BD769" s="29">
        <f t="shared" si="29"/>
        <v>-109.77314803005136</v>
      </c>
      <c r="BE769" s="30"/>
      <c r="BF769" s="29">
        <f t="shared" si="30"/>
        <v>-21.735349456976131</v>
      </c>
      <c r="BG769" s="30"/>
      <c r="BH769" s="29">
        <f t="shared" si="31"/>
        <v>-37.074073129299961</v>
      </c>
      <c r="BI769" s="30"/>
      <c r="BJ769" s="3"/>
    </row>
    <row r="770" spans="2:62" ht="11.25" customHeight="1">
      <c r="B770" s="2"/>
      <c r="AV770" s="25">
        <v>17</v>
      </c>
      <c r="AW770" s="26"/>
      <c r="AX770" s="27">
        <f t="shared" si="33"/>
        <v>11.33333333333333</v>
      </c>
      <c r="AY770" s="28"/>
      <c r="AZ770" s="29">
        <f t="shared" si="27"/>
        <v>7.2724747430904779</v>
      </c>
      <c r="BA770" s="30"/>
      <c r="BB770" s="28">
        <f t="shared" si="28"/>
        <v>65.375681647835947</v>
      </c>
      <c r="BC770" s="28"/>
      <c r="BD770" s="29">
        <f t="shared" si="29"/>
        <v>-116.83723953058504</v>
      </c>
      <c r="BE770" s="30"/>
      <c r="BF770" s="29">
        <f t="shared" si="30"/>
        <v>-23.908762061577612</v>
      </c>
      <c r="BG770" s="30"/>
      <c r="BH770" s="29">
        <f t="shared" si="31"/>
        <v>-53.586805133569356</v>
      </c>
      <c r="BI770" s="30"/>
      <c r="BJ770" s="3"/>
    </row>
    <row r="771" spans="2:62" ht="11.25" customHeight="1">
      <c r="B771" s="2"/>
      <c r="AV771" s="25">
        <v>18</v>
      </c>
      <c r="AW771" s="26"/>
      <c r="AX771" s="27">
        <f t="shared" si="33"/>
        <v>11.999999999999996</v>
      </c>
      <c r="AY771" s="28"/>
      <c r="AZ771" s="29">
        <f t="shared" si="27"/>
        <v>6.9282032302755114</v>
      </c>
      <c r="BA771" s="30"/>
      <c r="BB771" s="28">
        <f t="shared" si="28"/>
        <v>60.000000000000028</v>
      </c>
      <c r="BC771" s="28"/>
      <c r="BD771" s="29">
        <f t="shared" si="29"/>
        <v>-125.22994511425216</v>
      </c>
      <c r="BE771" s="30"/>
      <c r="BF771" s="29">
        <f t="shared" si="30"/>
        <v>-24.404627566946751</v>
      </c>
      <c r="BG771" s="30"/>
      <c r="BH771" s="29">
        <f t="shared" si="31"/>
        <v>-71.839560914017625</v>
      </c>
      <c r="BI771" s="30"/>
      <c r="BJ771" s="3"/>
    </row>
    <row r="772" spans="2:62" ht="11.25" customHeight="1">
      <c r="B772" s="2"/>
      <c r="AV772" s="25">
        <v>19</v>
      </c>
      <c r="AW772" s="26"/>
      <c r="AX772" s="27">
        <f t="shared" si="33"/>
        <v>12.666666666666663</v>
      </c>
      <c r="AY772" s="28"/>
      <c r="AZ772" s="29">
        <f t="shared" si="27"/>
        <v>6.4978628965393117</v>
      </c>
      <c r="BA772" s="30"/>
      <c r="BB772" s="28">
        <f t="shared" si="28"/>
        <v>54.314665287347978</v>
      </c>
      <c r="BC772" s="28"/>
      <c r="BD772" s="29">
        <f t="shared" si="29"/>
        <v>-134.80935741843294</v>
      </c>
      <c r="BE772" s="30"/>
      <c r="BF772" s="29">
        <f t="shared" si="30"/>
        <v>-22.708440359044758</v>
      </c>
      <c r="BG772" s="30"/>
      <c r="BH772" s="29">
        <f t="shared" si="31"/>
        <v>-90.697081569686091</v>
      </c>
      <c r="BI772" s="30"/>
      <c r="BJ772" s="3"/>
    </row>
    <row r="773" spans="2:62" ht="11.25" customHeight="1">
      <c r="B773" s="2"/>
      <c r="H773" s="1" t="s">
        <v>4</v>
      </c>
      <c r="J773" s="24">
        <f>+E780</f>
        <v>116.25</v>
      </c>
      <c r="K773" s="24"/>
      <c r="L773" s="1" t="s">
        <v>0</v>
      </c>
      <c r="AE773" s="1" t="s">
        <v>7</v>
      </c>
      <c r="AG773" s="24">
        <f>+AC781</f>
        <v>213.75</v>
      </c>
      <c r="AH773" s="24"/>
      <c r="AI773" s="1" t="s">
        <v>0</v>
      </c>
      <c r="AV773" s="25">
        <v>20</v>
      </c>
      <c r="AW773" s="26"/>
      <c r="AX773" s="27">
        <f t="shared" si="33"/>
        <v>13.333333333333329</v>
      </c>
      <c r="AY773" s="28"/>
      <c r="AZ773" s="29">
        <f t="shared" si="27"/>
        <v>5.9628479399994436</v>
      </c>
      <c r="BA773" s="30"/>
      <c r="BB773" s="28">
        <f t="shared" si="28"/>
        <v>48.189685104221454</v>
      </c>
      <c r="BC773" s="28"/>
      <c r="BD773" s="29">
        <f t="shared" si="29"/>
        <v>-145.3516253892293</v>
      </c>
      <c r="BE773" s="30"/>
      <c r="BF773" s="29">
        <f t="shared" si="30"/>
        <v>-18.13305750520064</v>
      </c>
      <c r="BG773" s="30"/>
      <c r="BH773" s="29">
        <f t="shared" si="31"/>
        <v>-108.36855866939041</v>
      </c>
      <c r="BI773" s="30"/>
      <c r="BJ773" s="3"/>
    </row>
    <row r="774" spans="2:62" ht="11.25" customHeight="1">
      <c r="B774" s="2"/>
      <c r="L774" s="24" t="s">
        <v>48</v>
      </c>
      <c r="M774" s="24"/>
      <c r="R774" s="24" t="s">
        <v>69</v>
      </c>
      <c r="S774" s="24"/>
      <c r="Y774" s="24">
        <f>+V776/2-AE774</f>
        <v>6</v>
      </c>
      <c r="Z774" s="24"/>
      <c r="AA774" s="1" t="s">
        <v>1</v>
      </c>
      <c r="AE774" s="34">
        <v>2</v>
      </c>
      <c r="AF774" s="34"/>
      <c r="AG774" s="1" t="s">
        <v>1</v>
      </c>
      <c r="AV774" s="25">
        <v>21</v>
      </c>
      <c r="AW774" s="26"/>
      <c r="AX774" s="31">
        <f t="shared" si="33"/>
        <v>13.999999999999995</v>
      </c>
      <c r="AY774" s="25"/>
      <c r="AZ774" s="32">
        <f t="shared" si="27"/>
        <v>5.2915026221291876</v>
      </c>
      <c r="BA774" s="33"/>
      <c r="BB774" s="25">
        <f t="shared" si="28"/>
        <v>41.40962210927092</v>
      </c>
      <c r="BC774" s="25"/>
      <c r="BD774" s="32">
        <f t="shared" si="29"/>
        <v>-156.47589092249163</v>
      </c>
      <c r="BE774" s="33"/>
      <c r="BF774" s="32">
        <f t="shared" si="30"/>
        <v>-9.6654311860608715</v>
      </c>
      <c r="BG774" s="33"/>
      <c r="BH774" s="32">
        <f t="shared" si="31"/>
        <v>-121.80712737993363</v>
      </c>
      <c r="BI774" s="33"/>
      <c r="BJ774" s="3"/>
    </row>
    <row r="775" spans="2:62" ht="11.25" customHeight="1">
      <c r="B775" s="2"/>
      <c r="AV775" s="25">
        <v>22</v>
      </c>
      <c r="AW775" s="26"/>
      <c r="AX775" s="31">
        <f>($V$776/2-$AE$774)/9+AX773+0.000001</f>
        <v>14.000000999999994</v>
      </c>
      <c r="AY775" s="25"/>
      <c r="AZ775" s="32">
        <f t="shared" si="27"/>
        <v>5.2915014882355527</v>
      </c>
      <c r="BA775" s="33"/>
      <c r="BB775" s="25">
        <f t="shared" si="28"/>
        <v>41.40961128138521</v>
      </c>
      <c r="BC775" s="25"/>
      <c r="BD775" s="32">
        <f t="shared" si="29"/>
        <v>-193.97591399908626</v>
      </c>
      <c r="BE775" s="33"/>
      <c r="BF775" s="32">
        <f t="shared" si="30"/>
        <v>-42.737299145119621</v>
      </c>
      <c r="BG775" s="33"/>
      <c r="BH775" s="32">
        <f t="shared" si="31"/>
        <v>-121.80719199268086</v>
      </c>
      <c r="BI775" s="33"/>
      <c r="BJ775" s="3"/>
    </row>
    <row r="776" spans="2:62" ht="11.25" customHeight="1">
      <c r="B776" s="2"/>
      <c r="V776" s="34">
        <v>16</v>
      </c>
      <c r="W776" s="34"/>
      <c r="X776" s="1" t="s">
        <v>1</v>
      </c>
      <c r="AV776" s="25">
        <v>23</v>
      </c>
      <c r="AW776" s="26"/>
      <c r="AX776" s="27">
        <f>$AE$774/9+AX774</f>
        <v>14.222222222222216</v>
      </c>
      <c r="AY776" s="28"/>
      <c r="AZ776" s="29">
        <f t="shared" si="27"/>
        <v>5.0283148884376789</v>
      </c>
      <c r="BA776" s="30"/>
      <c r="BB776" s="28">
        <f t="shared" si="28"/>
        <v>38.942441268981455</v>
      </c>
      <c r="BC776" s="28"/>
      <c r="BD776" s="29">
        <f t="shared" si="29"/>
        <v>-199.09259251386126</v>
      </c>
      <c r="BE776" s="30"/>
      <c r="BF776" s="29">
        <f t="shared" si="30"/>
        <v>-37.141111143498989</v>
      </c>
      <c r="BG776" s="30"/>
      <c r="BH776" s="29">
        <f t="shared" si="31"/>
        <v>-135.58024628373047</v>
      </c>
      <c r="BI776" s="30"/>
      <c r="BJ776" s="3"/>
    </row>
    <row r="777" spans="2:62" ht="11.25" customHeight="1">
      <c r="B777" s="2"/>
      <c r="AV777" s="25">
        <v>24</v>
      </c>
      <c r="AW777" s="26"/>
      <c r="AX777" s="27">
        <f t="shared" ref="AX777:AX784" si="34">$AE$774/9+AX776</f>
        <v>14.444444444444438</v>
      </c>
      <c r="AY777" s="28"/>
      <c r="AZ777" s="29">
        <f t="shared" si="27"/>
        <v>4.7401620017114627</v>
      </c>
      <c r="BA777" s="30"/>
      <c r="BB777" s="28">
        <f t="shared" si="28"/>
        <v>36.336057514614019</v>
      </c>
      <c r="BC777" s="28"/>
      <c r="BD777" s="29">
        <f t="shared" si="29"/>
        <v>-204.15584568802907</v>
      </c>
      <c r="BE777" s="30"/>
      <c r="BF777" s="29">
        <f t="shared" si="30"/>
        <v>-30.682517921016899</v>
      </c>
      <c r="BG777" s="30"/>
      <c r="BH777" s="29">
        <f t="shared" si="31"/>
        <v>-147.93812352892456</v>
      </c>
      <c r="BI777" s="30"/>
      <c r="BJ777" s="3"/>
    </row>
    <row r="778" spans="2:62" ht="11.25" customHeight="1">
      <c r="B778" s="2"/>
      <c r="C778" s="4" t="s">
        <v>28</v>
      </c>
      <c r="AV778" s="25">
        <v>25</v>
      </c>
      <c r="AW778" s="26"/>
      <c r="AX778" s="27">
        <f t="shared" si="34"/>
        <v>14.666666666666659</v>
      </c>
      <c r="AY778" s="28"/>
      <c r="AZ778" s="29">
        <f t="shared" si="27"/>
        <v>4.4221663871405443</v>
      </c>
      <c r="BA778" s="30"/>
      <c r="BB778" s="28">
        <f t="shared" si="28"/>
        <v>33.557309761920813</v>
      </c>
      <c r="BC778" s="28"/>
      <c r="BD778" s="29">
        <f t="shared" si="29"/>
        <v>-209.10696712306216</v>
      </c>
      <c r="BE778" s="30"/>
      <c r="BF778" s="29">
        <f t="shared" si="30"/>
        <v>-23.205870199276276</v>
      </c>
      <c r="BG778" s="30"/>
      <c r="BH778" s="29">
        <f t="shared" si="31"/>
        <v>-158.41129254005375</v>
      </c>
      <c r="BI778" s="30"/>
      <c r="BJ778" s="3"/>
    </row>
    <row r="779" spans="2:62" ht="11.25" customHeight="1">
      <c r="B779" s="2"/>
      <c r="C779" s="1" t="s">
        <v>11</v>
      </c>
      <c r="E779" s="24">
        <f>+V776</f>
        <v>16</v>
      </c>
      <c r="F779" s="24"/>
      <c r="G779" s="7" t="s">
        <v>9</v>
      </c>
      <c r="H779" s="24">
        <f>+O752</f>
        <v>15</v>
      </c>
      <c r="I779" s="24"/>
      <c r="J779" s="7" t="s">
        <v>10</v>
      </c>
      <c r="K779" s="24">
        <f>+V776/2</f>
        <v>8</v>
      </c>
      <c r="L779" s="24"/>
      <c r="M779" s="7" t="s">
        <v>10</v>
      </c>
      <c r="N779" s="24">
        <f>+V776/2+V776/2/2</f>
        <v>12</v>
      </c>
      <c r="O779" s="24"/>
      <c r="P779" s="7" t="s">
        <v>9</v>
      </c>
      <c r="Q779" s="24">
        <f>+AA752</f>
        <v>20</v>
      </c>
      <c r="R779" s="24"/>
      <c r="S779" s="7" t="s">
        <v>10</v>
      </c>
      <c r="T779" s="24">
        <f>+V776/2</f>
        <v>8</v>
      </c>
      <c r="U779" s="24"/>
      <c r="V779" s="7" t="s">
        <v>10</v>
      </c>
      <c r="W779" s="24">
        <f>+T779/2</f>
        <v>4</v>
      </c>
      <c r="X779" s="24"/>
      <c r="Y779" s="7" t="s">
        <v>9</v>
      </c>
      <c r="Z779" s="24">
        <f>+AD756</f>
        <v>50</v>
      </c>
      <c r="AA779" s="24"/>
      <c r="AB779" s="7" t="s">
        <v>10</v>
      </c>
      <c r="AC779" s="24">
        <f>+AE774</f>
        <v>2</v>
      </c>
      <c r="AD779" s="24"/>
      <c r="AE779" s="7" t="s">
        <v>15</v>
      </c>
      <c r="AF779" s="24">
        <f>+C762</f>
        <v>10</v>
      </c>
      <c r="AG779" s="24"/>
      <c r="AH779" s="7" t="s">
        <v>10</v>
      </c>
      <c r="AI779" s="24">
        <f>+AL761</f>
        <v>8</v>
      </c>
      <c r="AJ779" s="24"/>
      <c r="AK779" s="7" t="s">
        <v>10</v>
      </c>
      <c r="AL779" s="24">
        <f>+AI779/2</f>
        <v>4</v>
      </c>
      <c r="AM779" s="24"/>
      <c r="AN779" s="7" t="s">
        <v>12</v>
      </c>
      <c r="AO779" s="1">
        <v>0</v>
      </c>
      <c r="AV779" s="25">
        <v>26</v>
      </c>
      <c r="AW779" s="26"/>
      <c r="AX779" s="27">
        <f t="shared" si="34"/>
        <v>14.88888888888888</v>
      </c>
      <c r="AY779" s="28"/>
      <c r="AZ779" s="29">
        <f t="shared" si="27"/>
        <v>4.0673344928273751</v>
      </c>
      <c r="BA779" s="30"/>
      <c r="BB779" s="28">
        <f t="shared" si="28"/>
        <v>30.558431785934985</v>
      </c>
      <c r="BC779" s="28"/>
      <c r="BD779" s="29">
        <f t="shared" si="29"/>
        <v>-213.86181564769322</v>
      </c>
      <c r="BE779" s="30"/>
      <c r="BF779" s="29">
        <f t="shared" si="30"/>
        <v>-14.493997666822073</v>
      </c>
      <c r="BG779" s="30"/>
      <c r="BH779" s="29">
        <f t="shared" si="31"/>
        <v>-166.32662394697891</v>
      </c>
      <c r="BI779" s="30"/>
      <c r="BJ779" s="3"/>
    </row>
    <row r="780" spans="2:62" ht="11.25" customHeight="1">
      <c r="B780" s="2"/>
      <c r="C780" s="1" t="s">
        <v>4</v>
      </c>
      <c r="E780" s="24">
        <f>(H779*K779*N779+Q779*T779*W779+Z779*AC779-AF779*AI779*AL779)/E779</f>
        <v>116.25</v>
      </c>
      <c r="F780" s="24"/>
      <c r="G780" s="1" t="s">
        <v>0</v>
      </c>
      <c r="AV780" s="25">
        <v>27</v>
      </c>
      <c r="AW780" s="26"/>
      <c r="AX780" s="27">
        <f t="shared" si="34"/>
        <v>15.111111111111102</v>
      </c>
      <c r="AY780" s="28"/>
      <c r="AZ780" s="29">
        <f t="shared" si="27"/>
        <v>3.6649827783268281</v>
      </c>
      <c r="BA780" s="30"/>
      <c r="BB780" s="28">
        <f t="shared" si="28"/>
        <v>27.26604445073297</v>
      </c>
      <c r="BC780" s="28"/>
      <c r="BD780" s="29">
        <f t="shared" si="29"/>
        <v>-218.29185491594177</v>
      </c>
      <c r="BE780" s="30"/>
      <c r="BF780" s="29">
        <f t="shared" si="30"/>
        <v>-4.2237968788047837</v>
      </c>
      <c r="BG780" s="30"/>
      <c r="BH780" s="29">
        <f t="shared" si="31"/>
        <v>-170.65582698185662</v>
      </c>
      <c r="BI780" s="30"/>
      <c r="BJ780" s="3"/>
    </row>
    <row r="781" spans="2:62" ht="11.25" customHeight="1">
      <c r="B781" s="2"/>
      <c r="C781" s="1" t="s">
        <v>13</v>
      </c>
      <c r="E781" s="24">
        <f>+J773</f>
        <v>116.25</v>
      </c>
      <c r="F781" s="24"/>
      <c r="G781" s="7" t="s">
        <v>9</v>
      </c>
      <c r="H781" s="24">
        <f>+O752</f>
        <v>15</v>
      </c>
      <c r="I781" s="24"/>
      <c r="J781" s="7" t="s">
        <v>10</v>
      </c>
      <c r="K781" s="24">
        <f>+V776/2</f>
        <v>8</v>
      </c>
      <c r="L781" s="24"/>
      <c r="M781" s="7" t="s">
        <v>9</v>
      </c>
      <c r="N781" s="24">
        <f>+AA752</f>
        <v>20</v>
      </c>
      <c r="O781" s="24"/>
      <c r="P781" s="7" t="s">
        <v>10</v>
      </c>
      <c r="Q781" s="24">
        <f>+V776/2</f>
        <v>8</v>
      </c>
      <c r="R781" s="24"/>
      <c r="S781" s="7" t="s">
        <v>9</v>
      </c>
      <c r="T781" s="24">
        <f>+AD756</f>
        <v>50</v>
      </c>
      <c r="U781" s="24"/>
      <c r="V781" s="7" t="s">
        <v>12</v>
      </c>
      <c r="W781" s="1">
        <v>0</v>
      </c>
      <c r="AA781" s="1" t="s">
        <v>7</v>
      </c>
      <c r="AC781" s="24">
        <f>+H781*K781+N781*Q781+T781-E781</f>
        <v>213.75</v>
      </c>
      <c r="AD781" s="24"/>
      <c r="AE781" s="1" t="s">
        <v>0</v>
      </c>
      <c r="AI781" s="1" t="s">
        <v>95</v>
      </c>
      <c r="AV781" s="25">
        <v>28</v>
      </c>
      <c r="AW781" s="26"/>
      <c r="AX781" s="27">
        <f t="shared" si="34"/>
        <v>15.333333333333323</v>
      </c>
      <c r="AY781" s="28"/>
      <c r="AZ781" s="29">
        <f t="shared" si="27"/>
        <v>3.1972210155418352</v>
      </c>
      <c r="BA781" s="30"/>
      <c r="BB781" s="28">
        <f t="shared" si="28"/>
        <v>23.556464309101401</v>
      </c>
      <c r="BC781" s="28"/>
      <c r="BD781" s="29">
        <f t="shared" si="29"/>
        <v>-222.18184312101505</v>
      </c>
      <c r="BE781" s="30"/>
      <c r="BF781" s="29">
        <f t="shared" si="30"/>
        <v>8.132119350227935</v>
      </c>
      <c r="BG781" s="30"/>
      <c r="BH781" s="29">
        <f t="shared" si="31"/>
        <v>-169.67696719034404</v>
      </c>
      <c r="BI781" s="30"/>
      <c r="BJ781" s="3"/>
    </row>
    <row r="782" spans="2:62" ht="11.25" customHeight="1">
      <c r="B782" s="2"/>
      <c r="C782" s="1" t="s">
        <v>73</v>
      </c>
      <c r="D782" s="7" t="s">
        <v>10</v>
      </c>
      <c r="E782" s="24">
        <f>+AL761</f>
        <v>8</v>
      </c>
      <c r="F782" s="24"/>
      <c r="G782" s="7" t="s">
        <v>9</v>
      </c>
      <c r="H782" s="24">
        <f>+AG773</f>
        <v>213.75</v>
      </c>
      <c r="I782" s="24"/>
      <c r="J782" s="7" t="s">
        <v>10</v>
      </c>
      <c r="K782" s="24">
        <f>+V776/2</f>
        <v>8</v>
      </c>
      <c r="L782" s="24"/>
      <c r="M782" s="7" t="s">
        <v>15</v>
      </c>
      <c r="N782" s="24">
        <f>+AA752</f>
        <v>20</v>
      </c>
      <c r="O782" s="24"/>
      <c r="P782" s="7" t="s">
        <v>10</v>
      </c>
      <c r="Q782" s="24">
        <f>+V776/2</f>
        <v>8</v>
      </c>
      <c r="R782" s="24"/>
      <c r="S782" s="7" t="s">
        <v>10</v>
      </c>
      <c r="T782" s="24">
        <f>+Q782/2</f>
        <v>4</v>
      </c>
      <c r="U782" s="24"/>
      <c r="V782" s="7" t="s">
        <v>15</v>
      </c>
      <c r="W782" s="24">
        <f>+AD756</f>
        <v>50</v>
      </c>
      <c r="X782" s="24"/>
      <c r="Y782" s="7" t="s">
        <v>10</v>
      </c>
      <c r="Z782" s="24">
        <f>+Y774</f>
        <v>6</v>
      </c>
      <c r="AA782" s="24"/>
      <c r="AB782" s="7" t="s">
        <v>12</v>
      </c>
      <c r="AC782" s="1">
        <v>0</v>
      </c>
      <c r="AG782" s="1" t="s">
        <v>74</v>
      </c>
      <c r="AI782" s="24">
        <f>(H782*K782-N782*Q782*T782-W782*Z782)/E782</f>
        <v>96.25</v>
      </c>
      <c r="AJ782" s="24"/>
      <c r="AK782" s="1" t="s">
        <v>0</v>
      </c>
      <c r="AV782" s="25">
        <v>29</v>
      </c>
      <c r="AW782" s="26"/>
      <c r="AX782" s="27">
        <f t="shared" si="34"/>
        <v>15.555555555555545</v>
      </c>
      <c r="AY782" s="28"/>
      <c r="AZ782" s="29">
        <f t="shared" si="27"/>
        <v>2.6293687924887479</v>
      </c>
      <c r="BA782" s="30"/>
      <c r="BB782" s="28">
        <f t="shared" si="28"/>
        <v>19.18813645372115</v>
      </c>
      <c r="BC782" s="28"/>
      <c r="BD782" s="29">
        <f t="shared" si="29"/>
        <v>-225.11453155623474</v>
      </c>
      <c r="BE782" s="30"/>
      <c r="BF782" s="29">
        <f t="shared" si="30"/>
        <v>23.57085123401205</v>
      </c>
      <c r="BG782" s="30"/>
      <c r="BH782" s="29">
        <f t="shared" si="31"/>
        <v>-160.05205491901506</v>
      </c>
      <c r="BI782" s="30"/>
      <c r="BJ782" s="3"/>
    </row>
    <row r="783" spans="2:62" ht="11.25" customHeight="1">
      <c r="B783" s="2"/>
      <c r="C783" s="1" t="s">
        <v>94</v>
      </c>
      <c r="E783" s="24">
        <f>+C762</f>
        <v>10</v>
      </c>
      <c r="F783" s="24"/>
      <c r="G783" s="7" t="s">
        <v>10</v>
      </c>
      <c r="H783" s="24">
        <f>+AL761</f>
        <v>8</v>
      </c>
      <c r="I783" s="24"/>
      <c r="J783" s="7" t="s">
        <v>12</v>
      </c>
      <c r="K783" s="1">
        <v>0</v>
      </c>
      <c r="O783" s="1" t="s">
        <v>5</v>
      </c>
      <c r="Q783" s="24">
        <f>E783*H783</f>
        <v>80</v>
      </c>
      <c r="R783" s="24"/>
      <c r="S783" s="1" t="s">
        <v>0</v>
      </c>
      <c r="V783" s="7"/>
      <c r="Y783" s="7"/>
      <c r="AB783" s="7"/>
      <c r="AE783" s="7"/>
      <c r="AH783" s="7"/>
      <c r="AV783" s="25">
        <v>30</v>
      </c>
      <c r="AW783" s="26"/>
      <c r="AX783" s="27">
        <f t="shared" si="34"/>
        <v>15.777777777777766</v>
      </c>
      <c r="AY783" s="28"/>
      <c r="AZ783" s="29">
        <f t="shared" si="27"/>
        <v>1.8724777273725723</v>
      </c>
      <c r="BA783" s="30"/>
      <c r="BB783" s="28">
        <f t="shared" si="28"/>
        <v>13.536202737381508</v>
      </c>
      <c r="BC783" s="28"/>
      <c r="BD783" s="29">
        <f t="shared" si="29"/>
        <v>-226.01976000312973</v>
      </c>
      <c r="BE783" s="30"/>
      <c r="BF783" s="29">
        <f t="shared" si="30"/>
        <v>44.586390014748751</v>
      </c>
      <c r="BG783" s="30"/>
      <c r="BH783" s="29">
        <f t="shared" si="31"/>
        <v>-133.21980842010146</v>
      </c>
      <c r="BI783" s="30"/>
      <c r="BJ783" s="3"/>
    </row>
    <row r="784" spans="2:62" ht="11.25" customHeight="1">
      <c r="B784" s="2"/>
      <c r="AV784" s="25">
        <v>31</v>
      </c>
      <c r="AW784" s="26"/>
      <c r="AX784" s="27">
        <f t="shared" si="34"/>
        <v>15.999999999999988</v>
      </c>
      <c r="AY784" s="28"/>
      <c r="AZ784" s="29">
        <f t="shared" si="27"/>
        <v>0</v>
      </c>
      <c r="BA784" s="30"/>
      <c r="BB784" s="28">
        <f>IF(V776=AX784,0,IF(AX784&lt;=$V$776/2,ACOS(($Y$762-AX784)/$Y$762)*180/PI(),ACOS((AX784-$Y$762)/$Y$762)*180/PI()))</f>
        <v>0</v>
      </c>
      <c r="BC784" s="28"/>
      <c r="BD784" s="29">
        <f t="shared" si="29"/>
        <v>-213.74999999999974</v>
      </c>
      <c r="BE784" s="30"/>
      <c r="BF784" s="29">
        <f t="shared" si="30"/>
        <v>96.25</v>
      </c>
      <c r="BG784" s="30"/>
      <c r="BH784" s="29">
        <f t="shared" si="31"/>
        <v>2.6578739209526231E-12</v>
      </c>
      <c r="BI784" s="30"/>
      <c r="BJ784" s="3"/>
    </row>
    <row r="785" spans="2:74" ht="11.25" customHeight="1">
      <c r="B785" s="2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3"/>
    </row>
    <row r="786" spans="2:74" ht="11.25" customHeight="1">
      <c r="B786" s="2"/>
      <c r="BJ786" s="3"/>
    </row>
    <row r="787" spans="2:74" ht="11.25" customHeight="1">
      <c r="B787" s="2"/>
      <c r="D787" s="12" t="s">
        <v>38</v>
      </c>
      <c r="AV787" s="39" t="s">
        <v>59</v>
      </c>
      <c r="AW787" s="40"/>
      <c r="AX787" s="43" t="s">
        <v>48</v>
      </c>
      <c r="AY787" s="33"/>
      <c r="AZ787" s="32" t="s">
        <v>58</v>
      </c>
      <c r="BA787" s="33"/>
      <c r="BB787" s="44" t="s">
        <v>66</v>
      </c>
      <c r="BC787" s="45"/>
      <c r="BD787" s="32" t="s">
        <v>62</v>
      </c>
      <c r="BE787" s="33"/>
      <c r="BF787" s="32" t="s">
        <v>65</v>
      </c>
      <c r="BG787" s="33"/>
      <c r="BH787" s="32" t="s">
        <v>63</v>
      </c>
      <c r="BI787" s="33"/>
      <c r="BJ787" s="3"/>
      <c r="BT787" s="24"/>
      <c r="BU787" s="24"/>
      <c r="BV787" s="24"/>
    </row>
    <row r="788" spans="2:74" ht="11.25" customHeight="1" thickBot="1">
      <c r="B788" s="2"/>
      <c r="O788" s="34">
        <v>15</v>
      </c>
      <c r="P788" s="34"/>
      <c r="Q788" s="1" t="s">
        <v>3</v>
      </c>
      <c r="AA788" s="34">
        <v>20</v>
      </c>
      <c r="AB788" s="34"/>
      <c r="AC788" s="1" t="s">
        <v>3</v>
      </c>
      <c r="AV788" s="41"/>
      <c r="AW788" s="42"/>
      <c r="AX788" s="46" t="s">
        <v>60</v>
      </c>
      <c r="AY788" s="47"/>
      <c r="AZ788" s="48" t="s">
        <v>60</v>
      </c>
      <c r="BA788" s="47"/>
      <c r="BB788" s="48" t="s">
        <v>67</v>
      </c>
      <c r="BC788" s="47"/>
      <c r="BD788" s="48" t="s">
        <v>61</v>
      </c>
      <c r="BE788" s="47"/>
      <c r="BF788" s="48" t="s">
        <v>61</v>
      </c>
      <c r="BG788" s="47"/>
      <c r="BH788" s="48" t="s">
        <v>64</v>
      </c>
      <c r="BI788" s="47"/>
      <c r="BJ788" s="3"/>
    </row>
    <row r="789" spans="2:74" ht="11.25" customHeight="1" thickTop="1">
      <c r="B789" s="2"/>
      <c r="AV789" s="49">
        <v>0</v>
      </c>
      <c r="AW789" s="50"/>
      <c r="AX789" s="51">
        <v>0</v>
      </c>
      <c r="AY789" s="52"/>
      <c r="AZ789" s="53">
        <f>$Y$798*SIN(BB789*PI()/180)</f>
        <v>0</v>
      </c>
      <c r="BA789" s="52"/>
      <c r="BB789" s="53">
        <f t="shared" ref="BB789:BB794" si="35">IF(AX789&lt;=$V$812/2,ACOS(($Y$798-AX789)/$Y$798)*180/PI(),ACOS((AX789-$Y$798)/$Y$798)*180/PI())</f>
        <v>0</v>
      </c>
      <c r="BC789" s="52"/>
      <c r="BD789" s="53">
        <f>IF(AX789&lt;=$V$812/2,-$J$809*COS(BB789*PI()/180)-$H$804*SIN(BB789*PI()/180)+$O$788*AX789*COS(BB789*PI()/180)-$C$798*AZ789*SIN(BB789*PI()/180),IF(AND($V$812/2&lt;AX789,AX789&lt;=($V$812-$AE$810)),-$AG$809*COS(BB789*PI()/180)-$AK$804*SIN(BB789*PI()/180)+$AA$788*($V$812-AX789)*COS(BB789*PI()/180)+$AD$792*COS(BB789*PI()/180),-$AG$809*COS(BB789*PI()/180)-$AK$804*SIN(BB789*PI()/180)+$AA$788*($V$812-AX789)*COS(BB789*PI()/180)))</f>
        <v>-116.25</v>
      </c>
      <c r="BE789" s="52"/>
      <c r="BF789" s="53">
        <f>IF(AX789&lt;=$V$812/2,$J$809*SIN(BB789*PI()/180)-$H$804*COS(BB789*PI()/180)-$O$788*AX789*SIN(BB789*PI()/180)-$C$798*AZ789*COS(BB789*PI()/180),IF(AND($V$812/2&lt;AX789,AX789&lt;=($V$812-$AE$810)),-$AG$809*SIN(BB789*PI()/180)+$AK$804*COS(BB789*PI()/180)+$AA$788*($V$812-AX789)*SIN(BB789*PI()/180)+$AD$792*SIN(BB789*PI()/180),-$AG$809*SIN(BB789*PI()/180)+$AK$804*COS(BB789*PI()/180)+$AA$788*($V$812-AX789)*SIN(BB789*PI()/180)))</f>
        <v>-16.25</v>
      </c>
      <c r="BG789" s="52"/>
      <c r="BH789" s="53">
        <f>IF(AX789&lt;=$V$812/2,$J$809*AX789-$H$804*AZ789-$O$788*AX789*AX789/2-$C$798*AZ789*AZ789/2,IF(AND($V$812/2&lt;AX789,AX789&lt;=($V$812-$AE$810)),$AG$809*($V$812-AX789)-$AK$804*AZ789-$AA$788*($V$812-AX789)*($V$812-AX789)/2-$AD$792*($V$812/2+$Y$810-AX789),$AG$809*($V$812-AX789)-$AK$804*AZ789-$AA$788*($V$812-AX789)*($V$812-AX789)/2))</f>
        <v>0</v>
      </c>
      <c r="BI789" s="52"/>
      <c r="BJ789" s="3"/>
    </row>
    <row r="790" spans="2:74" ht="11.25" customHeight="1">
      <c r="B790" s="2"/>
      <c r="AV790" s="25">
        <v>1</v>
      </c>
      <c r="AW790" s="26"/>
      <c r="AX790" s="30">
        <f>($V$812/2)/12+AX789</f>
        <v>0.66666666666666663</v>
      </c>
      <c r="AY790" s="28"/>
      <c r="AZ790" s="29">
        <f t="shared" ref="AZ790:AZ820" si="36">$Y$798*SIN(BB790*PI()/180)</f>
        <v>3.1972210155418139</v>
      </c>
      <c r="BA790" s="30"/>
      <c r="BB790" s="28">
        <f t="shared" si="35"/>
        <v>23.556464309101241</v>
      </c>
      <c r="BC790" s="28"/>
      <c r="BD790" s="29">
        <f t="shared" ref="BD790:BD820" si="37">IF(AX790&lt;=$V$812/2,-$J$809*COS(BB790*PI()/180)-$H$804*SIN(BB790*PI()/180)+$O$788*AX790*COS(BB790*PI()/180)-$C$798*AZ790*SIN(BB790*PI()/180),IF(AND($V$812/2&lt;AX790,AX790&lt;=($V$812-$AE$810)),-$AG$809*COS(BB790*PI()/180)-$AK$804*SIN(BB790*PI()/180)+$AA$788*($V$812-AX790)*COS(BB790*PI()/180)+$AD$792*COS(BB790*PI()/180),-$AG$809*COS(BB790*PI()/180)-$AK$804*SIN(BB790*PI()/180)+$AA$788*($V$812-AX790)*COS(BB790*PI()/180)))</f>
        <v>-116.66796629893042</v>
      </c>
      <c r="BE790" s="30"/>
      <c r="BF790" s="29">
        <f t="shared" ref="BF790:BF820" si="38">IF(AX790&lt;=$V$812/2,$J$809*SIN(BB790*PI()/180)-$H$804*COS(BB790*PI()/180)-$O$788*AX790*SIN(BB790*PI()/180)-$C$798*AZ790*COS(BB790*PI()/180),IF(AND($V$812/2&lt;AX790,AX790&lt;=($V$812-$AE$810)),-$AG$809*SIN(BB790*PI()/180)+$AK$804*COS(BB790*PI()/180)+$AA$788*($V$812-AX790)*SIN(BB790*PI()/180)+$AD$792*SIN(BB790*PI()/180),-$AG$809*SIN(BB790*PI()/180)+$AK$804*COS(BB790*PI()/180)+$AA$788*($V$812-AX790)*SIN(BB790*PI()/180)))</f>
        <v>-1.7406010298019083</v>
      </c>
      <c r="BG790" s="30"/>
      <c r="BH790" s="29">
        <f t="shared" ref="BH790:BH820" si="39">IF(AX790&lt;=$V$812/2,$J$809*AX790-$H$804*AZ790-$O$788*AX790*AX790/2-$C$798*AZ790*AZ790/2,IF(AND($V$812/2&lt;AX790,AX790&lt;=($V$812-$AE$810)),$AG$809*($V$812-AX790)-$AK$804*AZ790-$AA$788*($V$812-AX790)*($V$812-AX790)/2-$AD$792*($V$812/2+$Y$810-AX790),$AG$809*($V$812-AX790)-$AK$804*AZ790-$AA$788*($V$812-AX790)*($V$812-AX790)/2))</f>
        <v>-28.899285946998948</v>
      </c>
      <c r="BI790" s="30"/>
      <c r="BJ790" s="3"/>
    </row>
    <row r="791" spans="2:74" ht="11.25" customHeight="1">
      <c r="B791" s="2"/>
      <c r="F791" s="5"/>
      <c r="AM791" s="5" t="s">
        <v>1</v>
      </c>
      <c r="AV791" s="25">
        <v>2</v>
      </c>
      <c r="AW791" s="26"/>
      <c r="AX791" s="30">
        <f t="shared" ref="AX791:AX801" si="40">($V$812/2)/12+AX790</f>
        <v>1.3333333333333333</v>
      </c>
      <c r="AY791" s="28"/>
      <c r="AZ791" s="29">
        <f t="shared" si="36"/>
        <v>4.4221663871405328</v>
      </c>
      <c r="BA791" s="30"/>
      <c r="BB791" s="28">
        <f t="shared" si="35"/>
        <v>33.557309761920713</v>
      </c>
      <c r="BC791" s="28"/>
      <c r="BD791" s="29">
        <f t="shared" si="37"/>
        <v>-113.63530325165698</v>
      </c>
      <c r="BE791" s="30"/>
      <c r="BF791" s="29">
        <f t="shared" si="38"/>
        <v>2.8111361191134208</v>
      </c>
      <c r="BG791" s="30"/>
      <c r="BH791" s="29">
        <f t="shared" si="39"/>
        <v>-27.971314902144741</v>
      </c>
      <c r="BI791" s="30"/>
      <c r="BJ791" s="3"/>
    </row>
    <row r="792" spans="2:74" ht="11.25" customHeight="1">
      <c r="B792" s="2"/>
      <c r="G792" s="37" t="s">
        <v>68</v>
      </c>
      <c r="V792" s="1" t="s">
        <v>18</v>
      </c>
      <c r="AD792" s="34">
        <v>50</v>
      </c>
      <c r="AE792" s="34"/>
      <c r="AF792" s="1" t="s">
        <v>0</v>
      </c>
      <c r="AM792" s="37">
        <f>+Y798-AM799</f>
        <v>2.7084973778708195</v>
      </c>
      <c r="AV792" s="25">
        <v>3</v>
      </c>
      <c r="AW792" s="26"/>
      <c r="AX792" s="30">
        <f t="shared" si="40"/>
        <v>2</v>
      </c>
      <c r="AY792" s="28"/>
      <c r="AZ792" s="29">
        <f t="shared" si="36"/>
        <v>5.2915026221291805</v>
      </c>
      <c r="BA792" s="30"/>
      <c r="BB792" s="28">
        <f t="shared" si="35"/>
        <v>41.409622109270856</v>
      </c>
      <c r="BC792" s="28"/>
      <c r="BD792" s="29">
        <f t="shared" si="37"/>
        <v>-110.4358647011999</v>
      </c>
      <c r="BE792" s="30"/>
      <c r="BF792" s="29">
        <f t="shared" si="38"/>
        <v>5.1752429788613838</v>
      </c>
      <c r="BG792" s="30"/>
      <c r="BH792" s="29">
        <f t="shared" si="39"/>
        <v>-23.486917609599146</v>
      </c>
      <c r="BI792" s="30"/>
      <c r="BJ792" s="3"/>
    </row>
    <row r="793" spans="2:74" ht="11.25" customHeight="1">
      <c r="B793" s="2"/>
      <c r="G793" s="37"/>
      <c r="AM793" s="37"/>
      <c r="AV793" s="25">
        <v>4</v>
      </c>
      <c r="AW793" s="26"/>
      <c r="AX793" s="30">
        <f t="shared" si="40"/>
        <v>2.6666666666666665</v>
      </c>
      <c r="AY793" s="28"/>
      <c r="AZ793" s="29">
        <f t="shared" si="36"/>
        <v>5.9628479399994383</v>
      </c>
      <c r="BA793" s="30"/>
      <c r="BB793" s="28">
        <f t="shared" si="35"/>
        <v>48.189685104221397</v>
      </c>
      <c r="BC793" s="28"/>
      <c r="BD793" s="29">
        <f t="shared" si="37"/>
        <v>-107.38981265590164</v>
      </c>
      <c r="BE793" s="30"/>
      <c r="BF793" s="29">
        <f t="shared" si="38"/>
        <v>6.2477414947900556</v>
      </c>
      <c r="BG793" s="30"/>
      <c r="BH793" s="29">
        <f t="shared" si="39"/>
        <v>-18.00739013610189</v>
      </c>
      <c r="BI793" s="30"/>
      <c r="BJ793" s="3"/>
    </row>
    <row r="794" spans="2:74" ht="11.25" customHeight="1">
      <c r="B794" s="2"/>
      <c r="G794" s="37"/>
      <c r="N794" s="1" t="s">
        <v>17</v>
      </c>
      <c r="AM794" s="37"/>
      <c r="AV794" s="25">
        <v>5</v>
      </c>
      <c r="AW794" s="26"/>
      <c r="AX794" s="30">
        <f t="shared" si="40"/>
        <v>3.333333333333333</v>
      </c>
      <c r="AY794" s="28"/>
      <c r="AZ794" s="29">
        <f t="shared" si="36"/>
        <v>6.497862896539309</v>
      </c>
      <c r="BA794" s="30"/>
      <c r="BB794" s="28">
        <f t="shared" si="35"/>
        <v>54.314665287347943</v>
      </c>
      <c r="BC794" s="28"/>
      <c r="BD794" s="29">
        <f t="shared" si="37"/>
        <v>-104.62239511970657</v>
      </c>
      <c r="BE794" s="30"/>
      <c r="BF794" s="29">
        <f t="shared" si="38"/>
        <v>6.427060215486847</v>
      </c>
      <c r="BG794" s="30"/>
      <c r="BH794" s="29">
        <f t="shared" si="39"/>
        <v>-12.534716513208252</v>
      </c>
      <c r="BI794" s="30"/>
      <c r="BJ794" s="3"/>
    </row>
    <row r="795" spans="2:74" ht="11.25" customHeight="1">
      <c r="B795" s="2"/>
      <c r="C795" s="37" t="s">
        <v>3</v>
      </c>
      <c r="AE795" s="6" t="s">
        <v>30</v>
      </c>
      <c r="AV795" s="25">
        <v>6</v>
      </c>
      <c r="AW795" s="26"/>
      <c r="AX795" s="30">
        <f t="shared" si="40"/>
        <v>3.9999999999999996</v>
      </c>
      <c r="AY795" s="28"/>
      <c r="AZ795" s="29">
        <f t="shared" si="36"/>
        <v>6.9282032302755088</v>
      </c>
      <c r="BA795" s="30"/>
      <c r="BB795" s="28">
        <f t="shared" ref="BB795:BB819" si="41">IF(AX795&lt;=$V$812/2,ACOS(($Y$798-AX795)/$Y$798)*180/PI(),ACOS((AX795-$Y$798)/$Y$798)*180/PI())</f>
        <v>59.999999999999993</v>
      </c>
      <c r="BC795" s="28"/>
      <c r="BD795" s="29">
        <f t="shared" si="37"/>
        <v>-102.19791281149713</v>
      </c>
      <c r="BE795" s="30"/>
      <c r="BF795" s="29">
        <f t="shared" si="38"/>
        <v>5.9479128114971189</v>
      </c>
      <c r="BG795" s="30"/>
      <c r="BH795" s="29">
        <f t="shared" si="39"/>
        <v>-7.5833024919770082</v>
      </c>
      <c r="BI795" s="30"/>
      <c r="BJ795" s="3"/>
    </row>
    <row r="796" spans="2:74" ht="11.25" customHeight="1">
      <c r="B796" s="2"/>
      <c r="C796" s="37"/>
      <c r="AO796" s="5" t="s">
        <v>1</v>
      </c>
      <c r="AV796" s="25">
        <v>7</v>
      </c>
      <c r="AW796" s="26"/>
      <c r="AX796" s="30">
        <f t="shared" si="40"/>
        <v>4.6666666666666661</v>
      </c>
      <c r="AY796" s="28"/>
      <c r="AZ796" s="29">
        <f t="shared" si="36"/>
        <v>7.2724747430904761</v>
      </c>
      <c r="BA796" s="30"/>
      <c r="BB796" s="28">
        <f t="shared" si="41"/>
        <v>65.375681647835918</v>
      </c>
      <c r="BC796" s="28"/>
      <c r="BD796" s="29">
        <f t="shared" si="37"/>
        <v>-100.15415876634697</v>
      </c>
      <c r="BE796" s="30"/>
      <c r="BF796" s="29">
        <f t="shared" si="38"/>
        <v>4.9711831789481842</v>
      </c>
      <c r="BG796" s="30"/>
      <c r="BH796" s="29">
        <f t="shared" si="39"/>
        <v>-3.4554923529980783</v>
      </c>
      <c r="BI796" s="30"/>
      <c r="BJ796" s="3"/>
    </row>
    <row r="797" spans="2:74" ht="11.25" customHeight="1">
      <c r="B797" s="2"/>
      <c r="C797" s="37"/>
      <c r="AO797" s="37">
        <f>+V812/2</f>
        <v>8</v>
      </c>
      <c r="AV797" s="25">
        <v>8</v>
      </c>
      <c r="AW797" s="26"/>
      <c r="AX797" s="30">
        <f t="shared" si="40"/>
        <v>5.333333333333333</v>
      </c>
      <c r="AY797" s="28"/>
      <c r="AZ797" s="29">
        <f t="shared" si="36"/>
        <v>7.5424723326565069</v>
      </c>
      <c r="BA797" s="30"/>
      <c r="BB797" s="28">
        <f t="shared" si="41"/>
        <v>70.528779365509308</v>
      </c>
      <c r="BC797" s="28"/>
      <c r="BD797" s="29">
        <f t="shared" si="37"/>
        <v>-98.515091370152987</v>
      </c>
      <c r="BE797" s="30"/>
      <c r="BF797" s="29">
        <f t="shared" si="38"/>
        <v>3.6185866484947589</v>
      </c>
      <c r="BG797" s="30"/>
      <c r="BH797" s="29">
        <f t="shared" si="39"/>
        <v>-0.34295318344601355</v>
      </c>
      <c r="BI797" s="30"/>
      <c r="BJ797" s="3"/>
    </row>
    <row r="798" spans="2:74" ht="11.25" customHeight="1">
      <c r="B798" s="2"/>
      <c r="C798" s="38">
        <v>10</v>
      </c>
      <c r="G798" s="5"/>
      <c r="X798" s="1" t="s">
        <v>2</v>
      </c>
      <c r="Y798" s="24">
        <f>+V812/2</f>
        <v>8</v>
      </c>
      <c r="Z798" s="24"/>
      <c r="AA798" s="1" t="s">
        <v>1</v>
      </c>
      <c r="AM798" s="5" t="s">
        <v>1</v>
      </c>
      <c r="AO798" s="37"/>
      <c r="AV798" s="25">
        <v>9</v>
      </c>
      <c r="AW798" s="26"/>
      <c r="AX798" s="30">
        <f t="shared" si="40"/>
        <v>6</v>
      </c>
      <c r="AY798" s="28"/>
      <c r="AZ798" s="29">
        <f t="shared" si="36"/>
        <v>7.745966692414834</v>
      </c>
      <c r="BA798" s="30"/>
      <c r="BB798" s="28">
        <f t="shared" si="41"/>
        <v>75.522487814070075</v>
      </c>
      <c r="BC798" s="28"/>
      <c r="BD798" s="29">
        <f t="shared" si="37"/>
        <v>-97.296494843967622</v>
      </c>
      <c r="BE798" s="30"/>
      <c r="BF798" s="29">
        <f t="shared" si="38"/>
        <v>1.9890364784490941</v>
      </c>
      <c r="BG798" s="30"/>
      <c r="BH798" s="29">
        <f t="shared" si="39"/>
        <v>1.6280412482589099</v>
      </c>
      <c r="BI798" s="30"/>
      <c r="BJ798" s="3"/>
    </row>
    <row r="799" spans="2:74" ht="11.25" customHeight="1">
      <c r="B799" s="2"/>
      <c r="C799" s="38"/>
      <c r="G799" s="37" t="s">
        <v>58</v>
      </c>
      <c r="K799" s="1" t="s">
        <v>58</v>
      </c>
      <c r="AM799" s="37">
        <f>Y810*TAN(Y804*PI()/180)</f>
        <v>5.2915026221291805</v>
      </c>
      <c r="AO799" s="37"/>
      <c r="AV799" s="25">
        <v>10</v>
      </c>
      <c r="AW799" s="26"/>
      <c r="AX799" s="30">
        <f t="shared" si="40"/>
        <v>6.666666666666667</v>
      </c>
      <c r="AY799" s="28"/>
      <c r="AZ799" s="29">
        <f t="shared" si="36"/>
        <v>7.8881063774661548</v>
      </c>
      <c r="BA799" s="30"/>
      <c r="BB799" s="28">
        <f t="shared" si="41"/>
        <v>80.405931773139542</v>
      </c>
      <c r="BC799" s="28"/>
      <c r="BD799" s="29">
        <f t="shared" si="37"/>
        <v>-96.508827190339247</v>
      </c>
      <c r="BE799" s="30"/>
      <c r="BF799" s="29">
        <f t="shared" si="38"/>
        <v>0.16753878345119588</v>
      </c>
      <c r="BG799" s="30"/>
      <c r="BH799" s="29">
        <f t="shared" si="39"/>
        <v>2.3738269217304264</v>
      </c>
      <c r="BI799" s="30"/>
      <c r="BJ799" s="3"/>
    </row>
    <row r="800" spans="2:74" ht="11.25" customHeight="1">
      <c r="B800" s="2"/>
      <c r="C800" s="38"/>
      <c r="G800" s="37"/>
      <c r="AM800" s="37"/>
      <c r="AV800" s="25">
        <v>11</v>
      </c>
      <c r="AW800" s="26"/>
      <c r="AX800" s="30">
        <f t="shared" si="40"/>
        <v>7.3333333333333339</v>
      </c>
      <c r="AY800" s="28"/>
      <c r="AZ800" s="29">
        <f t="shared" si="36"/>
        <v>7.9721738287342658</v>
      </c>
      <c r="BA800" s="30"/>
      <c r="BB800" s="28">
        <f t="shared" si="41"/>
        <v>85.219808152800852</v>
      </c>
      <c r="BC800" s="28"/>
      <c r="BD800" s="29">
        <f t="shared" si="37"/>
        <v>-96.158755867394262</v>
      </c>
      <c r="BE800" s="30"/>
      <c r="BF800" s="29">
        <f t="shared" si="38"/>
        <v>-1.7693840535799019</v>
      </c>
      <c r="BG800" s="30"/>
      <c r="BH800" s="29">
        <f t="shared" si="39"/>
        <v>1.8410641719570435</v>
      </c>
      <c r="BI800" s="30"/>
      <c r="BJ800" s="3"/>
    </row>
    <row r="801" spans="2:62" ht="11.25" customHeight="1">
      <c r="B801" s="2"/>
      <c r="G801" s="37"/>
      <c r="AM801" s="37"/>
      <c r="AV801" s="25">
        <v>12</v>
      </c>
      <c r="AW801" s="26"/>
      <c r="AX801" s="30">
        <f t="shared" si="40"/>
        <v>8</v>
      </c>
      <c r="AY801" s="28"/>
      <c r="AZ801" s="29">
        <f t="shared" si="36"/>
        <v>8</v>
      </c>
      <c r="BA801" s="30"/>
      <c r="BB801" s="28">
        <f t="shared" si="41"/>
        <v>90</v>
      </c>
      <c r="BC801" s="28"/>
      <c r="BD801" s="29">
        <f t="shared" si="37"/>
        <v>-96.25</v>
      </c>
      <c r="BE801" s="30"/>
      <c r="BF801" s="29">
        <f t="shared" si="38"/>
        <v>-3.7500000000000049</v>
      </c>
      <c r="BG801" s="30"/>
      <c r="BH801" s="29">
        <f t="shared" si="39"/>
        <v>0</v>
      </c>
      <c r="BI801" s="30"/>
      <c r="BJ801" s="3"/>
    </row>
    <row r="802" spans="2:62" ht="11.25" customHeight="1">
      <c r="B802" s="2"/>
      <c r="AV802" s="25">
        <v>13</v>
      </c>
      <c r="AW802" s="26"/>
      <c r="AX802" s="30">
        <f>($V$812/2-$AE$810)/9+AX801</f>
        <v>8.6666666666666661</v>
      </c>
      <c r="AY802" s="28"/>
      <c r="AZ802" s="29">
        <f t="shared" si="36"/>
        <v>7.9721738287342658</v>
      </c>
      <c r="BA802" s="30"/>
      <c r="BB802" s="28">
        <f t="shared" si="41"/>
        <v>85.219808152800852</v>
      </c>
      <c r="BC802" s="28"/>
      <c r="BD802" s="29">
        <f t="shared" si="37"/>
        <v>-97.338827488070251</v>
      </c>
      <c r="BE802" s="30"/>
      <c r="BF802" s="29">
        <f t="shared" si="38"/>
        <v>-9.0030795301096376</v>
      </c>
      <c r="BG802" s="30"/>
      <c r="BH802" s="29">
        <f t="shared" si="39"/>
        <v>-4.2661754601174948</v>
      </c>
      <c r="BI802" s="30"/>
      <c r="BJ802" s="3"/>
    </row>
    <row r="803" spans="2:62" ht="11.25" customHeight="1">
      <c r="B803" s="2"/>
      <c r="AV803" s="25">
        <v>14</v>
      </c>
      <c r="AW803" s="26"/>
      <c r="AX803" s="30">
        <f t="shared" ref="AX803:AX810" si="42">($V$812/2-$AE$810)/9+AX802</f>
        <v>9.3333333333333321</v>
      </c>
      <c r="AY803" s="28"/>
      <c r="AZ803" s="29">
        <f t="shared" si="36"/>
        <v>7.8881063774661548</v>
      </c>
      <c r="BA803" s="30"/>
      <c r="BB803" s="28">
        <f t="shared" si="41"/>
        <v>80.405931773139542</v>
      </c>
      <c r="BC803" s="28"/>
      <c r="BD803" s="29">
        <f t="shared" si="37"/>
        <v>-99.973224298334131</v>
      </c>
      <c r="BE803" s="30"/>
      <c r="BF803" s="29">
        <f t="shared" si="38"/>
        <v>-13.949571122657751</v>
      </c>
      <c r="BG803" s="30"/>
      <c r="BH803" s="29">
        <f t="shared" si="39"/>
        <v>-12.00801660889519</v>
      </c>
      <c r="BI803" s="30"/>
      <c r="BJ803" s="3"/>
    </row>
    <row r="804" spans="2:62" ht="11.25" customHeight="1">
      <c r="B804" s="2"/>
      <c r="F804" s="1" t="s">
        <v>5</v>
      </c>
      <c r="H804" s="24">
        <f>+AL818</f>
        <v>16.25</v>
      </c>
      <c r="I804" s="24"/>
      <c r="J804" s="1" t="s">
        <v>0</v>
      </c>
      <c r="N804" s="1" t="s">
        <v>48</v>
      </c>
      <c r="S804" s="35" t="s">
        <v>70</v>
      </c>
      <c r="T804" s="36"/>
      <c r="U804" s="8"/>
      <c r="Y804" s="24">
        <f>ACOS(Y810/Y798)*180/PI()</f>
        <v>41.409622109270856</v>
      </c>
      <c r="Z804" s="24"/>
      <c r="AA804" s="8" t="s">
        <v>8</v>
      </c>
      <c r="AG804" s="1" t="s">
        <v>33</v>
      </c>
      <c r="AI804" s="1" t="s">
        <v>6</v>
      </c>
      <c r="AK804" s="24">
        <f>+AI819</f>
        <v>96.25</v>
      </c>
      <c r="AL804" s="24"/>
      <c r="AM804" s="1" t="s">
        <v>0</v>
      </c>
      <c r="AV804" s="25">
        <v>15</v>
      </c>
      <c r="AW804" s="26"/>
      <c r="AX804" s="30">
        <f t="shared" si="42"/>
        <v>9.9999999999999982</v>
      </c>
      <c r="AY804" s="28"/>
      <c r="AZ804" s="29">
        <f t="shared" si="36"/>
        <v>7.745966692414834</v>
      </c>
      <c r="BA804" s="30"/>
      <c r="BB804" s="28">
        <f t="shared" si="41"/>
        <v>75.522487814070089</v>
      </c>
      <c r="BC804" s="28"/>
      <c r="BD804" s="29">
        <f t="shared" si="37"/>
        <v>-104.13116176811597</v>
      </c>
      <c r="BE804" s="30"/>
      <c r="BF804" s="29">
        <f t="shared" si="38"/>
        <v>-18.298255349143645</v>
      </c>
      <c r="BG804" s="30"/>
      <c r="BH804" s="29">
        <f t="shared" si="39"/>
        <v>-23.049294144927586</v>
      </c>
      <c r="BI804" s="30"/>
      <c r="BJ804" s="3"/>
    </row>
    <row r="805" spans="2:62" ht="11.25" customHeight="1">
      <c r="B805" s="2"/>
      <c r="AV805" s="25">
        <v>16</v>
      </c>
      <c r="AW805" s="26"/>
      <c r="AX805" s="30">
        <f t="shared" si="42"/>
        <v>10.666666666666664</v>
      </c>
      <c r="AY805" s="28"/>
      <c r="AZ805" s="29">
        <f t="shared" si="36"/>
        <v>7.5424723326565086</v>
      </c>
      <c r="BA805" s="30"/>
      <c r="BB805" s="76">
        <f t="shared" si="41"/>
        <v>70.528779365509337</v>
      </c>
      <c r="BC805" s="76"/>
      <c r="BD805" s="29">
        <f t="shared" si="37"/>
        <v>-109.77314803005136</v>
      </c>
      <c r="BE805" s="30"/>
      <c r="BF805" s="29">
        <f t="shared" si="38"/>
        <v>-21.735349456976131</v>
      </c>
      <c r="BG805" s="30"/>
      <c r="BH805" s="29">
        <f t="shared" si="39"/>
        <v>-37.074073129299961</v>
      </c>
      <c r="BI805" s="30"/>
      <c r="BJ805" s="3"/>
    </row>
    <row r="806" spans="2:62" ht="11.25" customHeight="1">
      <c r="B806" s="2"/>
      <c r="AV806" s="25">
        <v>17</v>
      </c>
      <c r="AW806" s="26"/>
      <c r="AX806" s="30">
        <f t="shared" si="42"/>
        <v>11.33333333333333</v>
      </c>
      <c r="AY806" s="28"/>
      <c r="AZ806" s="29">
        <f t="shared" si="36"/>
        <v>7.2724747430904779</v>
      </c>
      <c r="BA806" s="30"/>
      <c r="BB806" s="28">
        <f t="shared" si="41"/>
        <v>65.375681647835947</v>
      </c>
      <c r="BC806" s="28"/>
      <c r="BD806" s="29">
        <f t="shared" si="37"/>
        <v>-116.83723953058504</v>
      </c>
      <c r="BE806" s="30"/>
      <c r="BF806" s="29">
        <f t="shared" si="38"/>
        <v>-23.908762061577612</v>
      </c>
      <c r="BG806" s="30"/>
      <c r="BH806" s="29">
        <f t="shared" si="39"/>
        <v>-53.586805133569356</v>
      </c>
      <c r="BI806" s="30"/>
      <c r="BJ806" s="3"/>
    </row>
    <row r="807" spans="2:62" ht="11.25" customHeight="1">
      <c r="B807" s="2"/>
      <c r="AV807" s="25">
        <v>18</v>
      </c>
      <c r="AW807" s="26"/>
      <c r="AX807" s="30">
        <f t="shared" si="42"/>
        <v>11.999999999999996</v>
      </c>
      <c r="AY807" s="28"/>
      <c r="AZ807" s="29">
        <f t="shared" si="36"/>
        <v>6.9282032302755114</v>
      </c>
      <c r="BA807" s="30"/>
      <c r="BB807" s="28">
        <f t="shared" si="41"/>
        <v>60.000000000000028</v>
      </c>
      <c r="BC807" s="28"/>
      <c r="BD807" s="29">
        <f t="shared" si="37"/>
        <v>-125.22994511425216</v>
      </c>
      <c r="BE807" s="30"/>
      <c r="BF807" s="29">
        <f t="shared" si="38"/>
        <v>-24.404627566946751</v>
      </c>
      <c r="BG807" s="30"/>
      <c r="BH807" s="29">
        <f t="shared" si="39"/>
        <v>-71.839560914017625</v>
      </c>
      <c r="BI807" s="30"/>
      <c r="BJ807" s="3"/>
    </row>
    <row r="808" spans="2:62" ht="11.25" customHeight="1">
      <c r="B808" s="2"/>
      <c r="AV808" s="25">
        <v>19</v>
      </c>
      <c r="AW808" s="26"/>
      <c r="AX808" s="30">
        <f t="shared" si="42"/>
        <v>12.666666666666663</v>
      </c>
      <c r="AY808" s="28"/>
      <c r="AZ808" s="29">
        <f t="shared" si="36"/>
        <v>6.4978628965393117</v>
      </c>
      <c r="BA808" s="30"/>
      <c r="BB808" s="28">
        <f t="shared" si="41"/>
        <v>54.314665287347978</v>
      </c>
      <c r="BC808" s="28"/>
      <c r="BD808" s="29">
        <f t="shared" si="37"/>
        <v>-134.80935741843294</v>
      </c>
      <c r="BE808" s="30"/>
      <c r="BF808" s="29">
        <f t="shared" si="38"/>
        <v>-22.708440359044758</v>
      </c>
      <c r="BG808" s="30"/>
      <c r="BH808" s="29">
        <f t="shared" si="39"/>
        <v>-90.697081569686091</v>
      </c>
      <c r="BI808" s="30"/>
      <c r="BJ808" s="3"/>
    </row>
    <row r="809" spans="2:62" ht="11.25" customHeight="1">
      <c r="B809" s="2"/>
      <c r="H809" s="1" t="s">
        <v>4</v>
      </c>
      <c r="J809" s="24">
        <f>+E816</f>
        <v>116.25</v>
      </c>
      <c r="K809" s="24"/>
      <c r="L809" s="1" t="s">
        <v>0</v>
      </c>
      <c r="AE809" s="1" t="s">
        <v>7</v>
      </c>
      <c r="AG809" s="24">
        <f>+AC817</f>
        <v>213.75</v>
      </c>
      <c r="AH809" s="24"/>
      <c r="AI809" s="1" t="s">
        <v>0</v>
      </c>
      <c r="AV809" s="25">
        <v>20</v>
      </c>
      <c r="AW809" s="26"/>
      <c r="AX809" s="30">
        <f t="shared" si="42"/>
        <v>13.333333333333329</v>
      </c>
      <c r="AY809" s="28"/>
      <c r="AZ809" s="29">
        <f t="shared" si="36"/>
        <v>5.9628479399994436</v>
      </c>
      <c r="BA809" s="30"/>
      <c r="BB809" s="28">
        <f t="shared" si="41"/>
        <v>48.189685104221454</v>
      </c>
      <c r="BC809" s="28"/>
      <c r="BD809" s="29">
        <f t="shared" si="37"/>
        <v>-145.3516253892293</v>
      </c>
      <c r="BE809" s="30"/>
      <c r="BF809" s="29">
        <f t="shared" si="38"/>
        <v>-18.13305750520064</v>
      </c>
      <c r="BG809" s="30"/>
      <c r="BH809" s="29">
        <f t="shared" si="39"/>
        <v>-108.36855866939041</v>
      </c>
      <c r="BI809" s="30"/>
      <c r="BJ809" s="3"/>
    </row>
    <row r="810" spans="2:62" ht="11.25" customHeight="1">
      <c r="B810" s="2"/>
      <c r="L810" s="24" t="s">
        <v>48</v>
      </c>
      <c r="M810" s="24"/>
      <c r="R810" s="24" t="s">
        <v>69</v>
      </c>
      <c r="S810" s="24"/>
      <c r="Y810" s="24">
        <f>+V812/2-AE810</f>
        <v>6</v>
      </c>
      <c r="Z810" s="24"/>
      <c r="AA810" s="1" t="s">
        <v>1</v>
      </c>
      <c r="AE810" s="34">
        <v>2</v>
      </c>
      <c r="AF810" s="34"/>
      <c r="AG810" s="1" t="s">
        <v>1</v>
      </c>
      <c r="AV810" s="25">
        <v>21</v>
      </c>
      <c r="AW810" s="26"/>
      <c r="AX810" s="33">
        <f t="shared" si="42"/>
        <v>13.999999999999995</v>
      </c>
      <c r="AY810" s="25"/>
      <c r="AZ810" s="32">
        <f t="shared" si="36"/>
        <v>5.2915026221291876</v>
      </c>
      <c r="BA810" s="33"/>
      <c r="BB810" s="25">
        <f t="shared" si="41"/>
        <v>41.40962210927092</v>
      </c>
      <c r="BC810" s="25"/>
      <c r="BD810" s="32">
        <f t="shared" si="37"/>
        <v>-156.47589092249163</v>
      </c>
      <c r="BE810" s="33"/>
      <c r="BF810" s="32">
        <f t="shared" si="38"/>
        <v>-9.6654311860608715</v>
      </c>
      <c r="BG810" s="33"/>
      <c r="BH810" s="32">
        <f t="shared" si="39"/>
        <v>-121.80712737993363</v>
      </c>
      <c r="BI810" s="33"/>
      <c r="BJ810" s="3"/>
    </row>
    <row r="811" spans="2:62" ht="11.25" customHeight="1">
      <c r="B811" s="2"/>
      <c r="AV811" s="25">
        <v>22</v>
      </c>
      <c r="AW811" s="26"/>
      <c r="AX811" s="33">
        <f>($V$812/2-$AE$810)/9+AX809+0.000001</f>
        <v>14.000000999999994</v>
      </c>
      <c r="AY811" s="25"/>
      <c r="AZ811" s="32">
        <f t="shared" si="36"/>
        <v>5.2915014882355527</v>
      </c>
      <c r="BA811" s="33"/>
      <c r="BB811" s="25">
        <f t="shared" si="41"/>
        <v>41.40961128138521</v>
      </c>
      <c r="BC811" s="25"/>
      <c r="BD811" s="32">
        <f t="shared" si="37"/>
        <v>-193.97591399908626</v>
      </c>
      <c r="BE811" s="33"/>
      <c r="BF811" s="32">
        <f t="shared" si="38"/>
        <v>-42.737299145119621</v>
      </c>
      <c r="BG811" s="33"/>
      <c r="BH811" s="32">
        <f t="shared" si="39"/>
        <v>-121.80719199268086</v>
      </c>
      <c r="BI811" s="33"/>
      <c r="BJ811" s="3"/>
    </row>
    <row r="812" spans="2:62" ht="11.25" customHeight="1">
      <c r="B812" s="2"/>
      <c r="V812" s="34">
        <v>16</v>
      </c>
      <c r="W812" s="34"/>
      <c r="X812" s="1" t="s">
        <v>1</v>
      </c>
      <c r="AV812" s="25">
        <v>23</v>
      </c>
      <c r="AW812" s="26"/>
      <c r="AX812" s="30">
        <f>$AE$810/9+AX810</f>
        <v>14.222222222222216</v>
      </c>
      <c r="AY812" s="28"/>
      <c r="AZ812" s="29">
        <f t="shared" si="36"/>
        <v>5.0283148884376789</v>
      </c>
      <c r="BA812" s="30"/>
      <c r="BB812" s="28">
        <f t="shared" si="41"/>
        <v>38.942441268981455</v>
      </c>
      <c r="BC812" s="28"/>
      <c r="BD812" s="29">
        <f t="shared" si="37"/>
        <v>-199.09259251386126</v>
      </c>
      <c r="BE812" s="30"/>
      <c r="BF812" s="29">
        <f t="shared" si="38"/>
        <v>-37.141111143498989</v>
      </c>
      <c r="BG812" s="30"/>
      <c r="BH812" s="29">
        <f t="shared" si="39"/>
        <v>-135.58024628373047</v>
      </c>
      <c r="BI812" s="30"/>
      <c r="BJ812" s="3"/>
    </row>
    <row r="813" spans="2:62" ht="11.25" customHeight="1">
      <c r="B813" s="2"/>
      <c r="AV813" s="25">
        <v>24</v>
      </c>
      <c r="AW813" s="26"/>
      <c r="AX813" s="30">
        <f t="shared" ref="AX813:AX820" si="43">$AE$810/9+AX812</f>
        <v>14.444444444444438</v>
      </c>
      <c r="AY813" s="28"/>
      <c r="AZ813" s="29">
        <f t="shared" si="36"/>
        <v>4.7401620017114627</v>
      </c>
      <c r="BA813" s="30"/>
      <c r="BB813" s="28">
        <f t="shared" si="41"/>
        <v>36.336057514614019</v>
      </c>
      <c r="BC813" s="28"/>
      <c r="BD813" s="29">
        <f t="shared" si="37"/>
        <v>-204.15584568802907</v>
      </c>
      <c r="BE813" s="30"/>
      <c r="BF813" s="29">
        <f t="shared" si="38"/>
        <v>-30.682517921016899</v>
      </c>
      <c r="BG813" s="30"/>
      <c r="BH813" s="29">
        <f t="shared" si="39"/>
        <v>-147.93812352892456</v>
      </c>
      <c r="BI813" s="30"/>
      <c r="BJ813" s="3"/>
    </row>
    <row r="814" spans="2:62" ht="11.25" customHeight="1">
      <c r="B814" s="2"/>
      <c r="C814" s="4" t="s">
        <v>28</v>
      </c>
      <c r="AV814" s="25">
        <v>25</v>
      </c>
      <c r="AW814" s="26"/>
      <c r="AX814" s="30">
        <f t="shared" si="43"/>
        <v>14.666666666666659</v>
      </c>
      <c r="AY814" s="28"/>
      <c r="AZ814" s="29">
        <f t="shared" si="36"/>
        <v>4.4221663871405443</v>
      </c>
      <c r="BA814" s="30"/>
      <c r="BB814" s="28">
        <f t="shared" si="41"/>
        <v>33.557309761920813</v>
      </c>
      <c r="BC814" s="28"/>
      <c r="BD814" s="29">
        <f t="shared" si="37"/>
        <v>-209.10696712306216</v>
      </c>
      <c r="BE814" s="30"/>
      <c r="BF814" s="29">
        <f t="shared" si="38"/>
        <v>-23.205870199276276</v>
      </c>
      <c r="BG814" s="30"/>
      <c r="BH814" s="29">
        <f t="shared" si="39"/>
        <v>-158.41129254005375</v>
      </c>
      <c r="BI814" s="30"/>
      <c r="BJ814" s="3"/>
    </row>
    <row r="815" spans="2:62" ht="11.25" customHeight="1">
      <c r="B815" s="2"/>
      <c r="C815" s="1" t="s">
        <v>11</v>
      </c>
      <c r="E815" s="24">
        <f>+V812</f>
        <v>16</v>
      </c>
      <c r="F815" s="24"/>
      <c r="G815" s="7" t="s">
        <v>9</v>
      </c>
      <c r="H815" s="24">
        <f>+O788</f>
        <v>15</v>
      </c>
      <c r="I815" s="24"/>
      <c r="J815" s="7" t="s">
        <v>10</v>
      </c>
      <c r="K815" s="24">
        <f>+V812/2</f>
        <v>8</v>
      </c>
      <c r="L815" s="24"/>
      <c r="M815" s="7" t="s">
        <v>10</v>
      </c>
      <c r="N815" s="24">
        <f>+V812/2+V812/2/2</f>
        <v>12</v>
      </c>
      <c r="O815" s="24"/>
      <c r="P815" s="7" t="s">
        <v>9</v>
      </c>
      <c r="Q815" s="24">
        <f>+AA788</f>
        <v>20</v>
      </c>
      <c r="R815" s="24"/>
      <c r="S815" s="7" t="s">
        <v>10</v>
      </c>
      <c r="T815" s="24">
        <f>+V812/2</f>
        <v>8</v>
      </c>
      <c r="U815" s="24"/>
      <c r="V815" s="7" t="s">
        <v>10</v>
      </c>
      <c r="W815" s="24">
        <f>+T815/2</f>
        <v>4</v>
      </c>
      <c r="X815" s="24"/>
      <c r="Y815" s="7" t="s">
        <v>9</v>
      </c>
      <c r="Z815" s="24">
        <f>+AD792</f>
        <v>50</v>
      </c>
      <c r="AA815" s="24"/>
      <c r="AB815" s="7" t="s">
        <v>10</v>
      </c>
      <c r="AC815" s="24">
        <f>+AE810</f>
        <v>2</v>
      </c>
      <c r="AD815" s="24"/>
      <c r="AE815" s="7" t="s">
        <v>15</v>
      </c>
      <c r="AF815" s="24">
        <f>+C798</f>
        <v>10</v>
      </c>
      <c r="AG815" s="24"/>
      <c r="AH815" s="7" t="s">
        <v>10</v>
      </c>
      <c r="AI815" s="24">
        <f>+AO797</f>
        <v>8</v>
      </c>
      <c r="AJ815" s="24"/>
      <c r="AK815" s="7" t="s">
        <v>10</v>
      </c>
      <c r="AL815" s="24">
        <f>+AI815/2</f>
        <v>4</v>
      </c>
      <c r="AM815" s="24"/>
      <c r="AN815" s="7" t="s">
        <v>12</v>
      </c>
      <c r="AO815" s="1">
        <v>0</v>
      </c>
      <c r="AV815" s="25">
        <v>26</v>
      </c>
      <c r="AW815" s="26"/>
      <c r="AX815" s="30">
        <f t="shared" si="43"/>
        <v>14.88888888888888</v>
      </c>
      <c r="AY815" s="28"/>
      <c r="AZ815" s="29">
        <f t="shared" si="36"/>
        <v>4.0673344928273751</v>
      </c>
      <c r="BA815" s="30"/>
      <c r="BB815" s="28">
        <f t="shared" si="41"/>
        <v>30.558431785934985</v>
      </c>
      <c r="BC815" s="28"/>
      <c r="BD815" s="29">
        <f t="shared" si="37"/>
        <v>-213.86181564769322</v>
      </c>
      <c r="BE815" s="30"/>
      <c r="BF815" s="29">
        <f t="shared" si="38"/>
        <v>-14.493997666822073</v>
      </c>
      <c r="BG815" s="30"/>
      <c r="BH815" s="29">
        <f t="shared" si="39"/>
        <v>-166.32662394697891</v>
      </c>
      <c r="BI815" s="30"/>
      <c r="BJ815" s="3"/>
    </row>
    <row r="816" spans="2:62" ht="11.25" customHeight="1">
      <c r="B816" s="2"/>
      <c r="C816" s="1" t="s">
        <v>4</v>
      </c>
      <c r="E816" s="24">
        <f>(H815*K815*N815+Q815*T815*W815+Z815*AC815-AF815*AI815*AL815)/E815</f>
        <v>116.25</v>
      </c>
      <c r="F816" s="24"/>
      <c r="G816" s="1" t="s">
        <v>0</v>
      </c>
      <c r="AV816" s="25">
        <v>27</v>
      </c>
      <c r="AW816" s="26"/>
      <c r="AX816" s="30">
        <f t="shared" si="43"/>
        <v>15.111111111111102</v>
      </c>
      <c r="AY816" s="28"/>
      <c r="AZ816" s="29">
        <f t="shared" si="36"/>
        <v>3.6649827783268281</v>
      </c>
      <c r="BA816" s="30"/>
      <c r="BB816" s="28">
        <f t="shared" si="41"/>
        <v>27.26604445073297</v>
      </c>
      <c r="BC816" s="28"/>
      <c r="BD816" s="29">
        <f t="shared" si="37"/>
        <v>-218.29185491594177</v>
      </c>
      <c r="BE816" s="30"/>
      <c r="BF816" s="29">
        <f t="shared" si="38"/>
        <v>-4.2237968788047837</v>
      </c>
      <c r="BG816" s="30"/>
      <c r="BH816" s="29">
        <f t="shared" si="39"/>
        <v>-170.65582698185662</v>
      </c>
      <c r="BI816" s="30"/>
      <c r="BJ816" s="3"/>
    </row>
    <row r="817" spans="2:62" ht="11.25" customHeight="1">
      <c r="B817" s="2"/>
      <c r="C817" s="1" t="s">
        <v>13</v>
      </c>
      <c r="E817" s="24">
        <f>+J809</f>
        <v>116.25</v>
      </c>
      <c r="F817" s="24"/>
      <c r="G817" s="7" t="s">
        <v>9</v>
      </c>
      <c r="H817" s="24">
        <f>+O788</f>
        <v>15</v>
      </c>
      <c r="I817" s="24"/>
      <c r="J817" s="7" t="s">
        <v>10</v>
      </c>
      <c r="K817" s="24">
        <f>+V812/2</f>
        <v>8</v>
      </c>
      <c r="L817" s="24"/>
      <c r="M817" s="7" t="s">
        <v>9</v>
      </c>
      <c r="N817" s="24">
        <f>+AA788</f>
        <v>20</v>
      </c>
      <c r="O817" s="24"/>
      <c r="P817" s="7" t="s">
        <v>10</v>
      </c>
      <c r="Q817" s="24">
        <f>+V812/2</f>
        <v>8</v>
      </c>
      <c r="R817" s="24"/>
      <c r="S817" s="7" t="s">
        <v>9</v>
      </c>
      <c r="T817" s="24">
        <f>+AD792</f>
        <v>50</v>
      </c>
      <c r="U817" s="24"/>
      <c r="V817" s="7" t="s">
        <v>12</v>
      </c>
      <c r="W817" s="1">
        <v>0</v>
      </c>
      <c r="AA817" s="1" t="s">
        <v>7</v>
      </c>
      <c r="AC817" s="24">
        <f>+H817*K817+N817*Q817+T817-E817</f>
        <v>213.75</v>
      </c>
      <c r="AD817" s="24"/>
      <c r="AE817" s="1" t="s">
        <v>0</v>
      </c>
      <c r="AV817" s="25">
        <v>28</v>
      </c>
      <c r="AW817" s="26"/>
      <c r="AX817" s="30">
        <f t="shared" si="43"/>
        <v>15.333333333333323</v>
      </c>
      <c r="AY817" s="28"/>
      <c r="AZ817" s="29">
        <f t="shared" si="36"/>
        <v>3.1972210155418352</v>
      </c>
      <c r="BA817" s="30"/>
      <c r="BB817" s="28">
        <f t="shared" si="41"/>
        <v>23.556464309101401</v>
      </c>
      <c r="BC817" s="28"/>
      <c r="BD817" s="29">
        <f t="shared" si="37"/>
        <v>-222.18184312101505</v>
      </c>
      <c r="BE817" s="30"/>
      <c r="BF817" s="29">
        <f t="shared" si="38"/>
        <v>8.132119350227935</v>
      </c>
      <c r="BG817" s="30"/>
      <c r="BH817" s="29">
        <f t="shared" si="39"/>
        <v>-169.67696719034404</v>
      </c>
      <c r="BI817" s="30"/>
      <c r="BJ817" s="3"/>
    </row>
    <row r="818" spans="2:62" ht="11.25" customHeight="1">
      <c r="B818" s="2"/>
      <c r="C818" s="1" t="s">
        <v>14</v>
      </c>
      <c r="E818" s="24">
        <f>+AO797</f>
        <v>8</v>
      </c>
      <c r="F818" s="24"/>
      <c r="G818" s="7" t="s">
        <v>9</v>
      </c>
      <c r="H818" s="24">
        <f>+J809</f>
        <v>116.25</v>
      </c>
      <c r="I818" s="24"/>
      <c r="J818" s="7" t="s">
        <v>10</v>
      </c>
      <c r="K818" s="24">
        <f>+V812/2</f>
        <v>8</v>
      </c>
      <c r="L818" s="24"/>
      <c r="M818" s="7" t="s">
        <v>15</v>
      </c>
      <c r="N818" s="24">
        <f>+O788</f>
        <v>15</v>
      </c>
      <c r="O818" s="24"/>
      <c r="P818" s="7" t="s">
        <v>10</v>
      </c>
      <c r="Q818" s="24">
        <f>+V812/2</f>
        <v>8</v>
      </c>
      <c r="R818" s="24"/>
      <c r="S818" s="7" t="s">
        <v>10</v>
      </c>
      <c r="T818" s="24">
        <f>+Q818/2</f>
        <v>4</v>
      </c>
      <c r="U818" s="24"/>
      <c r="V818" s="7" t="s">
        <v>15</v>
      </c>
      <c r="W818" s="24">
        <f>+C798</f>
        <v>10</v>
      </c>
      <c r="X818" s="24"/>
      <c r="Y818" s="7" t="s">
        <v>10</v>
      </c>
      <c r="Z818" s="24">
        <f>+AO797</f>
        <v>8</v>
      </c>
      <c r="AA818" s="24"/>
      <c r="AB818" s="7" t="s">
        <v>10</v>
      </c>
      <c r="AC818" s="24">
        <f>+Z818/2</f>
        <v>4</v>
      </c>
      <c r="AD818" s="24"/>
      <c r="AE818" s="7" t="s">
        <v>12</v>
      </c>
      <c r="AF818" s="1">
        <v>0</v>
      </c>
      <c r="AJ818" s="1" t="s">
        <v>5</v>
      </c>
      <c r="AL818" s="24">
        <f>(H818*K818-N818*Q818*T818-W818*Z818*AC818)/E818</f>
        <v>16.25</v>
      </c>
      <c r="AM818" s="24"/>
      <c r="AN818" s="1" t="s">
        <v>0</v>
      </c>
      <c r="AV818" s="25">
        <v>29</v>
      </c>
      <c r="AW818" s="26"/>
      <c r="AX818" s="30">
        <f t="shared" si="43"/>
        <v>15.555555555555545</v>
      </c>
      <c r="AY818" s="28"/>
      <c r="AZ818" s="29">
        <f t="shared" si="36"/>
        <v>2.6293687924887479</v>
      </c>
      <c r="BA818" s="30"/>
      <c r="BB818" s="28">
        <f t="shared" si="41"/>
        <v>19.18813645372115</v>
      </c>
      <c r="BC818" s="28"/>
      <c r="BD818" s="29">
        <f t="shared" si="37"/>
        <v>-225.11453155623474</v>
      </c>
      <c r="BE818" s="30"/>
      <c r="BF818" s="29">
        <f t="shared" si="38"/>
        <v>23.57085123401205</v>
      </c>
      <c r="BG818" s="30"/>
      <c r="BH818" s="29">
        <f t="shared" si="39"/>
        <v>-160.05205491901506</v>
      </c>
      <c r="BI818" s="30"/>
      <c r="BJ818" s="3"/>
    </row>
    <row r="819" spans="2:62" ht="11.25" customHeight="1">
      <c r="B819" s="2"/>
      <c r="C819" s="1" t="s">
        <v>16</v>
      </c>
      <c r="E819" s="24">
        <f>+AO797</f>
        <v>8</v>
      </c>
      <c r="F819" s="24"/>
      <c r="G819" s="7" t="s">
        <v>9</v>
      </c>
      <c r="H819" s="24">
        <f>+AG809</f>
        <v>213.75</v>
      </c>
      <c r="I819" s="24"/>
      <c r="J819" s="7" t="s">
        <v>10</v>
      </c>
      <c r="K819" s="24">
        <f>+V812/2</f>
        <v>8</v>
      </c>
      <c r="L819" s="24"/>
      <c r="M819" s="7" t="s">
        <v>15</v>
      </c>
      <c r="N819" s="24">
        <f>+AA788</f>
        <v>20</v>
      </c>
      <c r="O819" s="24"/>
      <c r="P819" s="7" t="s">
        <v>10</v>
      </c>
      <c r="Q819" s="24">
        <f>+V812/2</f>
        <v>8</v>
      </c>
      <c r="R819" s="24"/>
      <c r="S819" s="7" t="s">
        <v>10</v>
      </c>
      <c r="T819" s="24">
        <f>+Q819/2</f>
        <v>4</v>
      </c>
      <c r="U819" s="24"/>
      <c r="V819" s="7" t="s">
        <v>15</v>
      </c>
      <c r="W819" s="24">
        <f>+AD792</f>
        <v>50</v>
      </c>
      <c r="X819" s="24"/>
      <c r="Y819" s="7" t="s">
        <v>10</v>
      </c>
      <c r="Z819" s="24">
        <f>+Y810</f>
        <v>6</v>
      </c>
      <c r="AA819" s="24"/>
      <c r="AB819" s="7" t="s">
        <v>12</v>
      </c>
      <c r="AC819" s="1">
        <v>0</v>
      </c>
      <c r="AG819" s="1" t="s">
        <v>6</v>
      </c>
      <c r="AI819" s="24">
        <f>(H819*K819-N819*Q819*T819-W819*Z819)/E819</f>
        <v>96.25</v>
      </c>
      <c r="AJ819" s="24"/>
      <c r="AK819" s="1" t="s">
        <v>0</v>
      </c>
      <c r="AV819" s="25">
        <v>30</v>
      </c>
      <c r="AW819" s="26"/>
      <c r="AX819" s="30">
        <f t="shared" si="43"/>
        <v>15.777777777777766</v>
      </c>
      <c r="AY819" s="28"/>
      <c r="AZ819" s="29">
        <f t="shared" si="36"/>
        <v>1.8724777273725723</v>
      </c>
      <c r="BA819" s="30"/>
      <c r="BB819" s="28">
        <f t="shared" si="41"/>
        <v>13.536202737381508</v>
      </c>
      <c r="BC819" s="28"/>
      <c r="BD819" s="29">
        <f t="shared" si="37"/>
        <v>-226.01976000312973</v>
      </c>
      <c r="BE819" s="30"/>
      <c r="BF819" s="29">
        <f t="shared" si="38"/>
        <v>44.586390014748751</v>
      </c>
      <c r="BG819" s="30"/>
      <c r="BH819" s="29">
        <f t="shared" si="39"/>
        <v>-133.21980842010146</v>
      </c>
      <c r="BI819" s="30"/>
      <c r="BJ819" s="3"/>
    </row>
    <row r="820" spans="2:62" ht="11.25" customHeight="1">
      <c r="B820" s="2"/>
      <c r="AV820" s="25">
        <v>31</v>
      </c>
      <c r="AW820" s="26"/>
      <c r="AX820" s="30">
        <f t="shared" si="43"/>
        <v>15.999999999999988</v>
      </c>
      <c r="AY820" s="28"/>
      <c r="AZ820" s="29">
        <f t="shared" si="36"/>
        <v>0</v>
      </c>
      <c r="BA820" s="30"/>
      <c r="BB820" s="28">
        <f>IF(V812=AX820,0,IF(AX820=V812,0,IF(AX820&lt;=$V$812/2,ACOS(($Y$798-AX820)/$Y$798)*180/PI(),ACOS((AX820-$Y$798)/$Y$798)*180/PI())))</f>
        <v>0</v>
      </c>
      <c r="BC820" s="28"/>
      <c r="BD820" s="29">
        <f t="shared" si="37"/>
        <v>-213.74999999999974</v>
      </c>
      <c r="BE820" s="30"/>
      <c r="BF820" s="29">
        <f t="shared" si="38"/>
        <v>96.25</v>
      </c>
      <c r="BG820" s="30"/>
      <c r="BH820" s="29">
        <f t="shared" si="39"/>
        <v>2.6578739209526231E-12</v>
      </c>
      <c r="BI820" s="30"/>
      <c r="BJ820" s="3"/>
    </row>
    <row r="821" spans="2:62" ht="11.25" customHeight="1">
      <c r="B821" s="2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3"/>
    </row>
    <row r="822" spans="2:62" ht="11.25" customHeight="1">
      <c r="B822" s="2"/>
      <c r="BJ822" s="3"/>
    </row>
    <row r="823" spans="2:62" ht="11.25" customHeight="1">
      <c r="B823" s="2"/>
      <c r="D823" s="12" t="s">
        <v>38</v>
      </c>
      <c r="AV823" s="25" t="s">
        <v>59</v>
      </c>
      <c r="AW823" s="26"/>
      <c r="AX823" s="33" t="s">
        <v>48</v>
      </c>
      <c r="AY823" s="25"/>
      <c r="AZ823" s="25" t="s">
        <v>58</v>
      </c>
      <c r="BA823" s="25"/>
      <c r="BB823" s="56" t="s">
        <v>66</v>
      </c>
      <c r="BC823" s="25"/>
      <c r="BD823" s="25" t="s">
        <v>62</v>
      </c>
      <c r="BE823" s="25"/>
      <c r="BF823" s="25" t="s">
        <v>65</v>
      </c>
      <c r="BG823" s="25"/>
      <c r="BH823" s="25" t="s">
        <v>63</v>
      </c>
      <c r="BI823" s="25"/>
      <c r="BJ823" s="3"/>
    </row>
    <row r="824" spans="2:62" ht="11.25" customHeight="1" thickBot="1">
      <c r="B824" s="2"/>
      <c r="M824" s="34">
        <v>15</v>
      </c>
      <c r="N824" s="34"/>
      <c r="O824" s="1" t="s">
        <v>3</v>
      </c>
      <c r="Y824" s="34">
        <v>20</v>
      </c>
      <c r="Z824" s="34"/>
      <c r="AA824" s="1" t="s">
        <v>3</v>
      </c>
      <c r="AV824" s="57"/>
      <c r="AW824" s="61"/>
      <c r="AX824" s="47" t="s">
        <v>60</v>
      </c>
      <c r="AY824" s="57"/>
      <c r="AZ824" s="57" t="s">
        <v>60</v>
      </c>
      <c r="BA824" s="57"/>
      <c r="BB824" s="57" t="s">
        <v>67</v>
      </c>
      <c r="BC824" s="57"/>
      <c r="BD824" s="57" t="s">
        <v>61</v>
      </c>
      <c r="BE824" s="57"/>
      <c r="BF824" s="57" t="s">
        <v>61</v>
      </c>
      <c r="BG824" s="57"/>
      <c r="BH824" s="57" t="s">
        <v>64</v>
      </c>
      <c r="BI824" s="57"/>
      <c r="BJ824" s="3"/>
    </row>
    <row r="825" spans="2:62" ht="11.25" customHeight="1" thickTop="1">
      <c r="B825" s="2"/>
      <c r="AV825" s="58">
        <v>0</v>
      </c>
      <c r="AW825" s="59"/>
      <c r="AX825" s="60">
        <v>0</v>
      </c>
      <c r="AY825" s="54"/>
      <c r="AZ825" s="54">
        <f>$W$834*SIN(BB825*PI()/180)</f>
        <v>0</v>
      </c>
      <c r="BA825" s="54"/>
      <c r="BB825" s="28">
        <f t="shared" ref="BB825:BB855" si="44">IF(AX825&lt;=$T$848/2,ACOS(($W$834-AX825)/$W$834)*180/PI(),ACOS((AX825-$W$834)/$W$834)*180/PI())</f>
        <v>0</v>
      </c>
      <c r="BC825" s="28"/>
      <c r="BD825" s="54">
        <f>IF(AX825&lt;=$T$848/2,-$H$845*COS(BB825*PI()/180)-$F$840*SIN(BB825*PI()/180)+$M$824*AX825*COS(BB825*PI()/180),IF(AND($T$848/2&lt;AX825,AX825&lt;=($T$848-$AC$846)),-$AE$845*COS(BB825*PI()/180)-$AI$840*SIN(BB825*PI()/180)+$Y$824*($T$848-AX825)*COS(BB825*PI()/180)+$AB$828*COS(BB825*PI()/180),-$AE$845*COS(BB825*PI()/180)-$AI$840*SIN(BB825*PI()/180)+$Y$824*($T$848-AX825)*COS(BB825*PI()/180)))</f>
        <v>-136.25</v>
      </c>
      <c r="BE825" s="54"/>
      <c r="BF825" s="54">
        <f>IF(AX825&lt;=$T$848/2,$H$845*SIN(BB825*PI()/180)-$F$840*COS(BB825*PI()/180)-$M$824*AX825*SIN(BB825*PI()/180),IF(AND($T$848/2&lt;AX825,AX825&lt;=($T$848-$AC$846)),-$AE$845*SIN(BB825*PI()/180)+$AI$840*COS(BB825*PI()/180)+$Y$824*($T$848-AX825)*SIN(BB825*PI()/180)+$AB$828*SIN(BB825*PI()/180),-$AE$845*SIN(BB825*PI()/180)+$AI$840*COS(BB825*PI()/180)+$Y$824*($T$848-AX825)*SIN(BB825*PI()/180)))</f>
        <v>-76.25</v>
      </c>
      <c r="BG825" s="54"/>
      <c r="BH825" s="54">
        <f>IF(AX825&lt;=$T$848/2,$H$845*AX825-$F$840*AZ825-$M$824*AX825*AX825/2,IF(AND($T$848/2&lt;AX825,AX825&lt;=($T$848-$AC$846)),$AE$845*($T$848-AX825)-$AI$840*AZ825-$Y$824*($T$848-AX825)*($T$848-AX825)/2-$AB$828*($T$848/2+$W$846-AX825),$AE$845*($T$848-AX825)-$AI$840*AZ825-$Y$824*($T$848-AX825)*($T$848-AX825)/2))</f>
        <v>0</v>
      </c>
      <c r="BI825" s="54"/>
      <c r="BJ825" s="3"/>
    </row>
    <row r="826" spans="2:62" ht="11.25" customHeight="1">
      <c r="B826" s="2"/>
      <c r="AV826" s="25">
        <v>1</v>
      </c>
      <c r="AW826" s="26"/>
      <c r="AX826" s="30">
        <f>($T$848/2)/12+AX825</f>
        <v>0.66666666666666663</v>
      </c>
      <c r="AY826" s="28"/>
      <c r="AZ826" s="54">
        <f t="shared" ref="AZ826:AZ856" si="45">$W$834*SIN(BB826*PI()/180)</f>
        <v>3.1972210155418139</v>
      </c>
      <c r="BA826" s="54"/>
      <c r="BB826" s="28">
        <f t="shared" si="44"/>
        <v>23.556464309101241</v>
      </c>
      <c r="BC826" s="28"/>
      <c r="BD826" s="54">
        <f t="shared" ref="BD826:BD856" si="46">IF(AX826&lt;=$T$848/2,-$H$845*COS(BB826*PI()/180)-$F$840*SIN(BB826*PI()/180)+$M$824*AX826*COS(BB826*PI()/180),IF(AND($T$848/2&lt;AX826,AX826&lt;=($T$848-$AC$846)),-$AE$845*COS(BB826*PI()/180)-$AI$840*SIN(BB826*PI()/180)+$Y$824*($T$848-AX826)*COS(BB826*PI()/180)+$AB$828*COS(BB826*PI()/180),-$AE$845*COS(BB826*PI()/180)-$AI$840*SIN(BB826*PI()/180)+$Y$824*($T$848-AX826)*COS(BB826*PI()/180)))</f>
        <v>-146.20267947104958</v>
      </c>
      <c r="BE826" s="54"/>
      <c r="BF826" s="54">
        <f t="shared" ref="BF826:BF856" si="47">IF(AX826&lt;=$T$848/2,$H$845*SIN(BB826*PI()/180)-$F$840*COS(BB826*PI()/180)-$M$824*AX826*SIN(BB826*PI()/180),IF(AND($T$848/2&lt;AX826,AX826&lt;=($T$848-$AC$846)),-$AE$845*SIN(BB826*PI()/180)+$AI$840*COS(BB826*PI()/180)+$Y$824*($T$848-AX826)*SIN(BB826*PI()/180)+$AB$828*SIN(BB826*PI()/180),-$AE$845*SIN(BB826*PI()/180)+$AI$840*COS(BB826*PI()/180)+$Y$824*($T$848-AX826)*SIN(BB826*PI()/180)))</f>
        <v>-19.439689181814078</v>
      </c>
      <c r="BG826" s="54"/>
      <c r="BH826" s="54">
        <f t="shared" ref="BH826:BH856" si="48">IF(AX826&lt;=$T$848/2,$H$845*AX826-$F$840*AZ826-$M$824*AX826*AX826/2,IF(AND($T$848/2&lt;AX826,AX826&lt;=($T$848-$AC$846)),$AE$845*($T$848-AX826)-$AI$840*AZ826-$Y$824*($T$848-AX826)*($T$848-AX826)/2-$AB$828*($T$848/2+$W$846-AX826),$AE$845*($T$848-AX826)-$AI$840*AZ826-$Y$824*($T$848-AX826)*($T$848-AX826)/2))</f>
        <v>-156.28810243506334</v>
      </c>
      <c r="BI826" s="54"/>
      <c r="BJ826" s="3"/>
    </row>
    <row r="827" spans="2:62" ht="11.25" customHeight="1">
      <c r="B827" s="2"/>
      <c r="D827" s="5"/>
      <c r="AK827" s="5" t="s">
        <v>1</v>
      </c>
      <c r="AV827" s="25">
        <v>2</v>
      </c>
      <c r="AW827" s="26"/>
      <c r="AX827" s="30">
        <f t="shared" ref="AX827:AX837" si="49">($T$848/2)/12+AX826</f>
        <v>1.3333333333333333</v>
      </c>
      <c r="AY827" s="28"/>
      <c r="AZ827" s="54">
        <f t="shared" si="45"/>
        <v>4.4221663871405328</v>
      </c>
      <c r="BA827" s="54"/>
      <c r="BB827" s="28">
        <f t="shared" si="44"/>
        <v>33.557309761920713</v>
      </c>
      <c r="BC827" s="28"/>
      <c r="BD827" s="54">
        <f t="shared" si="46"/>
        <v>-139.02377337743323</v>
      </c>
      <c r="BE827" s="54"/>
      <c r="BF827" s="54">
        <f t="shared" si="47"/>
        <v>0.71793864646919303</v>
      </c>
      <c r="BG827" s="54"/>
      <c r="BH827" s="54">
        <f t="shared" si="48"/>
        <v>-168.8568536861323</v>
      </c>
      <c r="BI827" s="54"/>
      <c r="BJ827" s="3"/>
    </row>
    <row r="828" spans="2:62" ht="11.25" customHeight="1">
      <c r="B828" s="2"/>
      <c r="D828" s="37" t="s">
        <v>68</v>
      </c>
      <c r="T828" s="1" t="s">
        <v>18</v>
      </c>
      <c r="AB828" s="34">
        <v>50</v>
      </c>
      <c r="AC828" s="34"/>
      <c r="AD828" s="1" t="s">
        <v>0</v>
      </c>
      <c r="AK828" s="37">
        <f>+W834-AK835</f>
        <v>2.7084973778708195</v>
      </c>
      <c r="AV828" s="25">
        <v>3</v>
      </c>
      <c r="AW828" s="26"/>
      <c r="AX828" s="30">
        <f t="shared" si="49"/>
        <v>2</v>
      </c>
      <c r="AY828" s="28"/>
      <c r="AZ828" s="54">
        <f t="shared" si="45"/>
        <v>5.2915026221291805</v>
      </c>
      <c r="BA828" s="54"/>
      <c r="BB828" s="28">
        <f t="shared" si="44"/>
        <v>41.409622109270856</v>
      </c>
      <c r="BC828" s="28"/>
      <c r="BD828" s="54">
        <f t="shared" si="46"/>
        <v>-130.12213436716877</v>
      </c>
      <c r="BE828" s="54"/>
      <c r="BF828" s="54">
        <f t="shared" si="47"/>
        <v>13.09026920015318</v>
      </c>
      <c r="BG828" s="54"/>
      <c r="BH828" s="54">
        <f t="shared" si="48"/>
        <v>-160.97707493735004</v>
      </c>
      <c r="BI828" s="54"/>
      <c r="BJ828" s="3"/>
    </row>
    <row r="829" spans="2:62" ht="11.25" customHeight="1">
      <c r="B829" s="2"/>
      <c r="D829" s="37"/>
      <c r="AK829" s="37"/>
      <c r="AV829" s="25">
        <v>4</v>
      </c>
      <c r="AW829" s="26"/>
      <c r="AX829" s="30">
        <f t="shared" si="49"/>
        <v>2.6666666666666665</v>
      </c>
      <c r="AY829" s="28"/>
      <c r="AZ829" s="54">
        <f t="shared" si="45"/>
        <v>5.9628479399994383</v>
      </c>
      <c r="BA829" s="54"/>
      <c r="BB829" s="28">
        <f t="shared" si="44"/>
        <v>48.189685104221397</v>
      </c>
      <c r="BC829" s="28"/>
      <c r="BD829" s="54">
        <f t="shared" si="46"/>
        <v>-121.00006109478632</v>
      </c>
      <c r="BE829" s="54"/>
      <c r="BF829" s="54">
        <f t="shared" si="47"/>
        <v>20.907180944784901</v>
      </c>
      <c r="BG829" s="54"/>
      <c r="BH829" s="54">
        <f t="shared" si="48"/>
        <v>-144.66715542495717</v>
      </c>
      <c r="BI829" s="54"/>
      <c r="BJ829" s="3"/>
    </row>
    <row r="830" spans="2:62" ht="11.25" customHeight="1">
      <c r="B830" s="2"/>
      <c r="D830" s="37"/>
      <c r="L830" s="1" t="s">
        <v>17</v>
      </c>
      <c r="AK830" s="37"/>
      <c r="AV830" s="25">
        <v>5</v>
      </c>
      <c r="AW830" s="26"/>
      <c r="AX830" s="30">
        <f t="shared" si="49"/>
        <v>3.333333333333333</v>
      </c>
      <c r="AY830" s="28"/>
      <c r="AZ830" s="54">
        <f t="shared" si="45"/>
        <v>6.497862896539309</v>
      </c>
      <c r="BA830" s="54"/>
      <c r="BB830" s="28">
        <f t="shared" si="44"/>
        <v>54.314665287347943</v>
      </c>
      <c r="BC830" s="28"/>
      <c r="BD830" s="54">
        <f t="shared" si="46"/>
        <v>-112.24525573264029</v>
      </c>
      <c r="BE830" s="54"/>
      <c r="BF830" s="54">
        <f t="shared" si="47"/>
        <v>25.575917686647763</v>
      </c>
      <c r="BG830" s="54"/>
      <c r="BH830" s="54">
        <f t="shared" si="48"/>
        <v>-124.62871252778899</v>
      </c>
      <c r="BI830" s="54"/>
      <c r="BJ830" s="3"/>
    </row>
    <row r="831" spans="2:62" ht="11.25" customHeight="1">
      <c r="B831" s="2"/>
      <c r="AC831" s="6" t="s">
        <v>30</v>
      </c>
      <c r="AV831" s="25">
        <v>6</v>
      </c>
      <c r="AW831" s="26"/>
      <c r="AX831" s="30">
        <f t="shared" si="49"/>
        <v>3.9999999999999996</v>
      </c>
      <c r="AY831" s="28"/>
      <c r="AZ831" s="54">
        <f t="shared" si="45"/>
        <v>6.9282032302755088</v>
      </c>
      <c r="BA831" s="54"/>
      <c r="BB831" s="28">
        <f t="shared" si="44"/>
        <v>59.999999999999993</v>
      </c>
      <c r="BC831" s="28"/>
      <c r="BD831" s="54">
        <f t="shared" si="46"/>
        <v>-104.15943703856345</v>
      </c>
      <c r="BE831" s="54"/>
      <c r="BF831" s="54">
        <f t="shared" si="47"/>
        <v>27.909437038563432</v>
      </c>
      <c r="BG831" s="54"/>
      <c r="BH831" s="54">
        <f t="shared" si="48"/>
        <v>-103.2754963085076</v>
      </c>
      <c r="BI831" s="54"/>
      <c r="BJ831" s="3"/>
    </row>
    <row r="832" spans="2:62" ht="11.25" customHeight="1">
      <c r="B832" s="2"/>
      <c r="AM832" s="5" t="s">
        <v>1</v>
      </c>
      <c r="AV832" s="25">
        <v>7</v>
      </c>
      <c r="AW832" s="26"/>
      <c r="AX832" s="30">
        <f t="shared" si="49"/>
        <v>4.6666666666666661</v>
      </c>
      <c r="AY832" s="28"/>
      <c r="AZ832" s="54">
        <f t="shared" si="45"/>
        <v>7.2724747430904761</v>
      </c>
      <c r="BA832" s="54"/>
      <c r="BB832" s="28">
        <f t="shared" si="44"/>
        <v>65.375681647835918</v>
      </c>
      <c r="BC832" s="28"/>
      <c r="BD832" s="54">
        <f t="shared" si="46"/>
        <v>-96.919941561747777</v>
      </c>
      <c r="BE832" s="54"/>
      <c r="BF832" s="54">
        <f t="shared" si="47"/>
        <v>28.454348132884675</v>
      </c>
      <c r="BG832" s="54"/>
      <c r="BH832" s="54">
        <f t="shared" si="48"/>
        <v>-82.026199160648872</v>
      </c>
      <c r="BI832" s="54"/>
      <c r="BJ832" s="3"/>
    </row>
    <row r="833" spans="2:62" ht="11.25" customHeight="1">
      <c r="B833" s="2"/>
      <c r="AM833" s="37">
        <f>+T848/2</f>
        <v>8</v>
      </c>
      <c r="AV833" s="25">
        <v>8</v>
      </c>
      <c r="AW833" s="26"/>
      <c r="AX833" s="30">
        <f t="shared" si="49"/>
        <v>5.333333333333333</v>
      </c>
      <c r="AY833" s="28"/>
      <c r="AZ833" s="54">
        <f t="shared" si="45"/>
        <v>7.5424723326565069</v>
      </c>
      <c r="BA833" s="54"/>
      <c r="BB833" s="28">
        <f t="shared" si="44"/>
        <v>70.528779365509308</v>
      </c>
      <c r="BC833" s="28"/>
      <c r="BD833" s="54">
        <f t="shared" si="46"/>
        <v>-90.639189420632334</v>
      </c>
      <c r="BE833" s="54"/>
      <c r="BF833" s="54">
        <f t="shared" si="47"/>
        <v>27.616341922324381</v>
      </c>
      <c r="BG833" s="54"/>
      <c r="BH833" s="54">
        <f t="shared" si="48"/>
        <v>-61.78018203172536</v>
      </c>
      <c r="BI833" s="54"/>
      <c r="BJ833" s="3"/>
    </row>
    <row r="834" spans="2:62" ht="11.25" customHeight="1">
      <c r="B834" s="2"/>
      <c r="D834" s="5"/>
      <c r="V834" s="1" t="s">
        <v>2</v>
      </c>
      <c r="W834" s="24">
        <f>+T848/2</f>
        <v>8</v>
      </c>
      <c r="X834" s="24"/>
      <c r="Y834" s="1" t="s">
        <v>1</v>
      </c>
      <c r="AK834" s="5" t="s">
        <v>1</v>
      </c>
      <c r="AM834" s="37"/>
      <c r="AV834" s="25">
        <v>9</v>
      </c>
      <c r="AW834" s="26"/>
      <c r="AX834" s="30">
        <f t="shared" si="49"/>
        <v>6</v>
      </c>
      <c r="AY834" s="28"/>
      <c r="AZ834" s="54">
        <f t="shared" si="45"/>
        <v>7.745966692414834</v>
      </c>
      <c r="BA834" s="54"/>
      <c r="BB834" s="28">
        <f t="shared" si="44"/>
        <v>75.522487814070075</v>
      </c>
      <c r="BC834" s="28"/>
      <c r="BD834" s="54">
        <f t="shared" si="46"/>
        <v>-85.391245037078889</v>
      </c>
      <c r="BE834" s="54"/>
      <c r="BF834" s="54">
        <f t="shared" si="47"/>
        <v>25.718869940523277</v>
      </c>
      <c r="BG834" s="54"/>
      <c r="BH834" s="54">
        <f t="shared" si="48"/>
        <v>-43.129960296631111</v>
      </c>
      <c r="BI834" s="54"/>
      <c r="BJ834" s="3"/>
    </row>
    <row r="835" spans="2:62" ht="11.25" customHeight="1">
      <c r="B835" s="2"/>
      <c r="D835" s="37" t="s">
        <v>58</v>
      </c>
      <c r="I835" s="1" t="s">
        <v>58</v>
      </c>
      <c r="AK835" s="37">
        <f>W846*TAN(W840*PI()/180)</f>
        <v>5.2915026221291805</v>
      </c>
      <c r="AM835" s="37"/>
      <c r="AV835" s="25">
        <v>10</v>
      </c>
      <c r="AW835" s="26"/>
      <c r="AX835" s="30">
        <f t="shared" si="49"/>
        <v>6.666666666666667</v>
      </c>
      <c r="AY835" s="28"/>
      <c r="AZ835" s="54">
        <f t="shared" si="45"/>
        <v>7.8881063774661548</v>
      </c>
      <c r="BA835" s="54"/>
      <c r="BB835" s="28">
        <f t="shared" si="44"/>
        <v>80.405931773139542</v>
      </c>
      <c r="BC835" s="28"/>
      <c r="BD835" s="54">
        <f t="shared" si="46"/>
        <v>-81.225180576890963</v>
      </c>
      <c r="BE835" s="54"/>
      <c r="BF835" s="54">
        <f t="shared" si="47"/>
        <v>23.034648689560186</v>
      </c>
      <c r="BG835" s="54"/>
      <c r="BH835" s="54">
        <f t="shared" si="48"/>
        <v>-26.468111281794336</v>
      </c>
      <c r="BI835" s="54"/>
      <c r="BJ835" s="3"/>
    </row>
    <row r="836" spans="2:62" ht="11.25" customHeight="1">
      <c r="B836" s="2"/>
      <c r="D836" s="37"/>
      <c r="AK836" s="37"/>
      <c r="AV836" s="25">
        <v>11</v>
      </c>
      <c r="AW836" s="26"/>
      <c r="AX836" s="30">
        <f t="shared" si="49"/>
        <v>7.3333333333333339</v>
      </c>
      <c r="AY836" s="28"/>
      <c r="AZ836" s="54">
        <f t="shared" si="45"/>
        <v>7.9721738287342658</v>
      </c>
      <c r="BA836" s="54"/>
      <c r="BB836" s="28">
        <f t="shared" si="44"/>
        <v>85.219808152800852</v>
      </c>
      <c r="BC836" s="28"/>
      <c r="BD836" s="54">
        <f t="shared" si="46"/>
        <v>-78.172281805123461</v>
      </c>
      <c r="BE836" s="54"/>
      <c r="BF836" s="54">
        <f t="shared" si="47"/>
        <v>19.804528708867636</v>
      </c>
      <c r="BG836" s="54"/>
      <c r="BH836" s="54">
        <f t="shared" si="48"/>
        <v>-12.044921107654488</v>
      </c>
      <c r="BI836" s="54"/>
      <c r="BJ836" s="3"/>
    </row>
    <row r="837" spans="2:62" ht="11.25" customHeight="1">
      <c r="B837" s="2"/>
      <c r="D837" s="37"/>
      <c r="AK837" s="37"/>
      <c r="AV837" s="25">
        <v>12</v>
      </c>
      <c r="AW837" s="26"/>
      <c r="AX837" s="30">
        <f t="shared" si="49"/>
        <v>8</v>
      </c>
      <c r="AY837" s="28"/>
      <c r="AZ837" s="54">
        <f t="shared" si="45"/>
        <v>8</v>
      </c>
      <c r="BA837" s="54"/>
      <c r="BB837" s="28">
        <f t="shared" si="44"/>
        <v>90</v>
      </c>
      <c r="BC837" s="28"/>
      <c r="BD837" s="54">
        <f t="shared" si="46"/>
        <v>-76.25</v>
      </c>
      <c r="BE837" s="54"/>
      <c r="BF837" s="54">
        <f t="shared" si="47"/>
        <v>16.25</v>
      </c>
      <c r="BG837" s="54"/>
      <c r="BH837" s="54">
        <f t="shared" si="48"/>
        <v>0</v>
      </c>
      <c r="BI837" s="54"/>
      <c r="BJ837" s="3"/>
    </row>
    <row r="838" spans="2:62" ht="11.25" customHeight="1">
      <c r="B838" s="2"/>
      <c r="AV838" s="25">
        <v>13</v>
      </c>
      <c r="AW838" s="26"/>
      <c r="AX838" s="30">
        <f>($T$848/2-$AC$846)/9+AX837</f>
        <v>8.6666666666666661</v>
      </c>
      <c r="AY838" s="28"/>
      <c r="AZ838" s="54">
        <f t="shared" si="45"/>
        <v>7.9721738287342658</v>
      </c>
      <c r="BA838" s="54"/>
      <c r="BB838" s="28">
        <f t="shared" si="44"/>
        <v>85.219808152800852</v>
      </c>
      <c r="BC838" s="28"/>
      <c r="BD838" s="54">
        <f t="shared" si="46"/>
        <v>-75.741726249567932</v>
      </c>
      <c r="BE838" s="54"/>
      <c r="BF838" s="54">
        <f t="shared" si="47"/>
        <v>9.2606883750593667</v>
      </c>
      <c r="BG838" s="54"/>
      <c r="BH838" s="54">
        <f t="shared" si="48"/>
        <v>8.5106344479010545</v>
      </c>
      <c r="BI838" s="54"/>
      <c r="BJ838" s="3"/>
    </row>
    <row r="839" spans="2:62" ht="11.25" customHeight="1">
      <c r="B839" s="2"/>
      <c r="AV839" s="25">
        <v>14</v>
      </c>
      <c r="AW839" s="26"/>
      <c r="AX839" s="30">
        <f t="shared" ref="AX839:AX846" si="50">($T$848/2-$AC$846)/9+AX838</f>
        <v>9.3333333333333321</v>
      </c>
      <c r="AY839" s="28"/>
      <c r="AZ839" s="54">
        <f t="shared" si="45"/>
        <v>7.8881063774661548</v>
      </c>
      <c r="BA839" s="54"/>
      <c r="BB839" s="28">
        <f t="shared" si="44"/>
        <v>80.405931773139542</v>
      </c>
      <c r="BC839" s="28"/>
      <c r="BD839" s="54">
        <f t="shared" si="46"/>
        <v>-76.919625021335406</v>
      </c>
      <c r="BE839" s="54"/>
      <c r="BF839" s="54">
        <f t="shared" si="47"/>
        <v>2.4373614876743304</v>
      </c>
      <c r="BG839" s="54"/>
      <c r="BH839" s="54">
        <f t="shared" si="48"/>
        <v>12.420777607094607</v>
      </c>
      <c r="BI839" s="54"/>
      <c r="BJ839" s="3"/>
    </row>
    <row r="840" spans="2:62" ht="11.25" customHeight="1">
      <c r="B840" s="2"/>
      <c r="D840" s="1" t="s">
        <v>5</v>
      </c>
      <c r="F840" s="24">
        <f>+AC853</f>
        <v>76.25</v>
      </c>
      <c r="G840" s="24"/>
      <c r="H840" s="1" t="s">
        <v>0</v>
      </c>
      <c r="L840" s="1" t="s">
        <v>48</v>
      </c>
      <c r="Q840" s="35" t="s">
        <v>70</v>
      </c>
      <c r="R840" s="36"/>
      <c r="S840" s="8"/>
      <c r="W840" s="24">
        <f>ACOS(W846/W834)*180/PI()</f>
        <v>41.409622109270856</v>
      </c>
      <c r="X840" s="24"/>
      <c r="Y840" s="8" t="s">
        <v>8</v>
      </c>
      <c r="AE840" s="1" t="s">
        <v>33</v>
      </c>
      <c r="AG840" s="1" t="s">
        <v>6</v>
      </c>
      <c r="AI840" s="24">
        <f>+AI854</f>
        <v>76.25</v>
      </c>
      <c r="AJ840" s="24"/>
      <c r="AK840" s="1" t="s">
        <v>0</v>
      </c>
      <c r="AV840" s="25">
        <v>15</v>
      </c>
      <c r="AW840" s="26"/>
      <c r="AX840" s="30">
        <f t="shared" si="50"/>
        <v>9.9999999999999982</v>
      </c>
      <c r="AY840" s="28"/>
      <c r="AZ840" s="54">
        <f t="shared" si="45"/>
        <v>7.745966692414834</v>
      </c>
      <c r="BA840" s="54"/>
      <c r="BB840" s="28">
        <f t="shared" si="44"/>
        <v>75.522487814070089</v>
      </c>
      <c r="BC840" s="28"/>
      <c r="BD840" s="54">
        <f t="shared" si="46"/>
        <v>-79.766245037078889</v>
      </c>
      <c r="BE840" s="54"/>
      <c r="BF840" s="54">
        <f t="shared" si="47"/>
        <v>-3.9333386181065322</v>
      </c>
      <c r="BG840" s="54"/>
      <c r="BH840" s="54">
        <f t="shared" si="48"/>
        <v>11.870039703369088</v>
      </c>
      <c r="BI840" s="54"/>
      <c r="BJ840" s="3"/>
    </row>
    <row r="841" spans="2:62" ht="11.25" customHeight="1">
      <c r="B841" s="2"/>
      <c r="AV841" s="25">
        <v>16</v>
      </c>
      <c r="AW841" s="26"/>
      <c r="AX841" s="30">
        <f t="shared" si="50"/>
        <v>10.666666666666664</v>
      </c>
      <c r="AY841" s="28"/>
      <c r="AZ841" s="54">
        <f t="shared" si="45"/>
        <v>7.5424723326565086</v>
      </c>
      <c r="BA841" s="54"/>
      <c r="BB841" s="28">
        <f t="shared" si="44"/>
        <v>70.528779365509337</v>
      </c>
      <c r="BC841" s="28"/>
      <c r="BD841" s="54">
        <f t="shared" si="46"/>
        <v>-84.250300531743434</v>
      </c>
      <c r="BE841" s="54"/>
      <c r="BF841" s="54">
        <f t="shared" si="47"/>
        <v>-9.5458352920015201</v>
      </c>
      <c r="BG841" s="54"/>
      <c r="BH841" s="54">
        <f t="shared" si="48"/>
        <v>7.1087068571634404</v>
      </c>
      <c r="BI841" s="54"/>
      <c r="BJ841" s="3"/>
    </row>
    <row r="842" spans="2:62" ht="11.25" customHeight="1">
      <c r="B842" s="2"/>
      <c r="AV842" s="25">
        <v>17</v>
      </c>
      <c r="AW842" s="26"/>
      <c r="AX842" s="30">
        <f t="shared" si="50"/>
        <v>11.33333333333333</v>
      </c>
      <c r="AY842" s="28"/>
      <c r="AZ842" s="54">
        <f t="shared" si="45"/>
        <v>7.2724747430904779</v>
      </c>
      <c r="BA842" s="54"/>
      <c r="BB842" s="28">
        <f t="shared" si="44"/>
        <v>65.375681647835947</v>
      </c>
      <c r="BC842" s="28"/>
      <c r="BD842" s="54">
        <f t="shared" si="46"/>
        <v>-90.32271933952552</v>
      </c>
      <c r="BE842" s="54"/>
      <c r="BF842" s="54">
        <f t="shared" si="47"/>
        <v>-14.060908537184751</v>
      </c>
      <c r="BG842" s="54"/>
      <c r="BH842" s="54">
        <f t="shared" si="48"/>
        <v>-1.4706436050933291</v>
      </c>
      <c r="BI842" s="54"/>
      <c r="BJ842" s="3"/>
    </row>
    <row r="843" spans="2:62" ht="11.25" customHeight="1">
      <c r="B843" s="2"/>
      <c r="AV843" s="25">
        <v>18</v>
      </c>
      <c r="AW843" s="26"/>
      <c r="AX843" s="30">
        <f t="shared" si="50"/>
        <v>11.999999999999996</v>
      </c>
      <c r="AY843" s="28"/>
      <c r="AZ843" s="54">
        <f t="shared" si="45"/>
        <v>6.9282032302755114</v>
      </c>
      <c r="BA843" s="54"/>
      <c r="BB843" s="28">
        <f t="shared" si="44"/>
        <v>60.000000000000028</v>
      </c>
      <c r="BC843" s="28"/>
      <c r="BD843" s="54">
        <f t="shared" si="46"/>
        <v>-97.909437038563397</v>
      </c>
      <c r="BE843" s="54"/>
      <c r="BF843" s="54">
        <f t="shared" si="47"/>
        <v>-17.084119491257958</v>
      </c>
      <c r="BG843" s="54"/>
      <c r="BH843" s="54">
        <f t="shared" si="48"/>
        <v>-13.275496308507513</v>
      </c>
      <c r="BI843" s="54"/>
      <c r="BJ843" s="3"/>
    </row>
    <row r="844" spans="2:62" ht="11.25" customHeight="1">
      <c r="B844" s="2"/>
      <c r="AV844" s="25">
        <v>19</v>
      </c>
      <c r="AW844" s="26"/>
      <c r="AX844" s="30">
        <f t="shared" si="50"/>
        <v>12.666666666666663</v>
      </c>
      <c r="AY844" s="28"/>
      <c r="AZ844" s="54">
        <f t="shared" si="45"/>
        <v>6.4978628965393117</v>
      </c>
      <c r="BA844" s="54"/>
      <c r="BB844" s="28">
        <f t="shared" si="44"/>
        <v>54.314665287347978</v>
      </c>
      <c r="BC844" s="28"/>
      <c r="BD844" s="54">
        <f t="shared" si="46"/>
        <v>-106.89803351041802</v>
      </c>
      <c r="BE844" s="54"/>
      <c r="BF844" s="54">
        <f t="shared" si="47"/>
        <v>-18.130449784363137</v>
      </c>
      <c r="BG844" s="54"/>
      <c r="BH844" s="54">
        <f t="shared" si="48"/>
        <v>-27.406490305566606</v>
      </c>
      <c r="BI844" s="54"/>
      <c r="BJ844" s="3"/>
    </row>
    <row r="845" spans="2:62" ht="11.25" customHeight="1">
      <c r="B845" s="2"/>
      <c r="F845" s="1" t="s">
        <v>4</v>
      </c>
      <c r="H845" s="24">
        <f>+AL851</f>
        <v>136.25</v>
      </c>
      <c r="I845" s="24"/>
      <c r="J845" s="1" t="s">
        <v>0</v>
      </c>
      <c r="AC845" s="1" t="s">
        <v>7</v>
      </c>
      <c r="AE845" s="24">
        <f>+AC852</f>
        <v>193.75</v>
      </c>
      <c r="AF845" s="24"/>
      <c r="AG845" s="1" t="s">
        <v>0</v>
      </c>
      <c r="AV845" s="25">
        <v>20</v>
      </c>
      <c r="AW845" s="26"/>
      <c r="AX845" s="30">
        <f t="shared" si="50"/>
        <v>13.333333333333329</v>
      </c>
      <c r="AY845" s="28"/>
      <c r="AZ845" s="54">
        <f t="shared" si="45"/>
        <v>5.9628479399994436</v>
      </c>
      <c r="BA845" s="54"/>
      <c r="BB845" s="28">
        <f t="shared" si="44"/>
        <v>48.189685104221454</v>
      </c>
      <c r="BC845" s="28"/>
      <c r="BD845" s="54">
        <f t="shared" si="46"/>
        <v>-117.11117220589735</v>
      </c>
      <c r="BE845" s="54"/>
      <c r="BF845" s="54">
        <f t="shared" si="47"/>
        <v>-16.559270988535346</v>
      </c>
      <c r="BG845" s="54"/>
      <c r="BH845" s="54">
        <f t="shared" si="48"/>
        <v>-42.444933202734973</v>
      </c>
      <c r="BI845" s="54"/>
      <c r="BJ845" s="3"/>
    </row>
    <row r="846" spans="2:62" ht="11.25" customHeight="1">
      <c r="B846" s="2"/>
      <c r="J846" s="24" t="s">
        <v>48</v>
      </c>
      <c r="K846" s="24"/>
      <c r="P846" s="24" t="s">
        <v>69</v>
      </c>
      <c r="Q846" s="24"/>
      <c r="W846" s="24">
        <f>+T848/2-AC846</f>
        <v>6</v>
      </c>
      <c r="X846" s="24"/>
      <c r="Y846" s="1" t="s">
        <v>1</v>
      </c>
      <c r="AC846" s="34">
        <v>2</v>
      </c>
      <c r="AD846" s="34"/>
      <c r="AE846" s="1" t="s">
        <v>1</v>
      </c>
      <c r="AV846" s="25">
        <v>21</v>
      </c>
      <c r="AW846" s="26"/>
      <c r="AX846" s="33">
        <f t="shared" si="50"/>
        <v>13.999999999999995</v>
      </c>
      <c r="AY846" s="25"/>
      <c r="AZ846" s="55">
        <f t="shared" si="45"/>
        <v>5.2915026221291876</v>
      </c>
      <c r="BA846" s="55"/>
      <c r="BB846" s="25">
        <f t="shared" si="44"/>
        <v>41.40962210927092</v>
      </c>
      <c r="BC846" s="25"/>
      <c r="BD846" s="55">
        <f t="shared" si="46"/>
        <v>-128.24713436716866</v>
      </c>
      <c r="BE846" s="55"/>
      <c r="BF846" s="55">
        <f t="shared" si="47"/>
        <v>-11.436674630737883</v>
      </c>
      <c r="BG846" s="55"/>
      <c r="BH846" s="55">
        <f t="shared" si="48"/>
        <v>-55.977074937350011</v>
      </c>
      <c r="BI846" s="55"/>
      <c r="BJ846" s="3"/>
    </row>
    <row r="847" spans="2:62" ht="11.25" customHeight="1">
      <c r="B847" s="2"/>
      <c r="AV847" s="25">
        <v>22</v>
      </c>
      <c r="AW847" s="26"/>
      <c r="AX847" s="33">
        <f>($T$848/2-$AC$846)/9+AX845+0.000001</f>
        <v>14.000000999999994</v>
      </c>
      <c r="AY847" s="25"/>
      <c r="AZ847" s="55">
        <f t="shared" si="45"/>
        <v>5.2915014882355527</v>
      </c>
      <c r="BA847" s="55"/>
      <c r="BB847" s="25">
        <f t="shared" si="44"/>
        <v>41.40961128138521</v>
      </c>
      <c r="BC847" s="25"/>
      <c r="BD847" s="55">
        <f t="shared" si="46"/>
        <v>-165.74715777849741</v>
      </c>
      <c r="BE847" s="55"/>
      <c r="BF847" s="55">
        <f t="shared" si="47"/>
        <v>-44.508547924530717</v>
      </c>
      <c r="BG847" s="55"/>
      <c r="BH847" s="55">
        <f t="shared" si="48"/>
        <v>-55.977142227969942</v>
      </c>
      <c r="BI847" s="55"/>
      <c r="BJ847" s="3"/>
    </row>
    <row r="848" spans="2:62" ht="11.25" customHeight="1">
      <c r="B848" s="2"/>
      <c r="T848" s="34">
        <v>16</v>
      </c>
      <c r="U848" s="34"/>
      <c r="V848" s="1" t="s">
        <v>1</v>
      </c>
      <c r="AV848" s="25">
        <v>23</v>
      </c>
      <c r="AW848" s="26"/>
      <c r="AX848" s="30">
        <f>$AC$846/9+AX846</f>
        <v>14.222222222222216</v>
      </c>
      <c r="AY848" s="28"/>
      <c r="AZ848" s="54">
        <f t="shared" si="45"/>
        <v>5.0283148884376789</v>
      </c>
      <c r="BA848" s="54"/>
      <c r="BB848" s="28">
        <f t="shared" si="44"/>
        <v>38.942441268981455</v>
      </c>
      <c r="BC848" s="28"/>
      <c r="BD848" s="54">
        <f t="shared" si="46"/>
        <v>-170.96624973721151</v>
      </c>
      <c r="BE848" s="54"/>
      <c r="BF848" s="54">
        <f t="shared" si="47"/>
        <v>-40.125879477960339</v>
      </c>
      <c r="BG848" s="54"/>
      <c r="BH848" s="54">
        <f t="shared" si="48"/>
        <v>-70.569504070532531</v>
      </c>
      <c r="BI848" s="54"/>
      <c r="BJ848" s="3"/>
    </row>
    <row r="849" spans="2:70" ht="11.25" customHeight="1">
      <c r="B849" s="2"/>
      <c r="AV849" s="25">
        <v>24</v>
      </c>
      <c r="AW849" s="26"/>
      <c r="AX849" s="30">
        <f>$AC$846/9+AX848</f>
        <v>14.444444444444438</v>
      </c>
      <c r="AY849" s="28"/>
      <c r="AZ849" s="54">
        <f t="shared" si="45"/>
        <v>4.7401620017114627</v>
      </c>
      <c r="BA849" s="54"/>
      <c r="BB849" s="28">
        <f t="shared" si="44"/>
        <v>36.336057514614019</v>
      </c>
      <c r="BC849" s="28"/>
      <c r="BD849" s="54">
        <f t="shared" si="46"/>
        <v>-176.1943295726393</v>
      </c>
      <c r="BE849" s="54"/>
      <c r="BF849" s="54">
        <f t="shared" si="47"/>
        <v>-34.94322402784934</v>
      </c>
      <c r="BG849" s="54"/>
      <c r="BH849" s="54">
        <f t="shared" si="48"/>
        <v>-84.245994605806573</v>
      </c>
      <c r="BI849" s="54"/>
      <c r="BJ849" s="3"/>
    </row>
    <row r="850" spans="2:70" ht="11.25" customHeight="1">
      <c r="B850" s="2"/>
      <c r="C850" s="4" t="s">
        <v>28</v>
      </c>
      <c r="AV850" s="25">
        <v>25</v>
      </c>
      <c r="AW850" s="26"/>
      <c r="AX850" s="30">
        <f t="shared" ref="AX850:AX856" si="51">$AC$846/9+AX849</f>
        <v>14.666666666666659</v>
      </c>
      <c r="AY850" s="28"/>
      <c r="AZ850" s="54">
        <f t="shared" si="45"/>
        <v>4.4221663871405443</v>
      </c>
      <c r="BA850" s="54"/>
      <c r="BB850" s="28">
        <f t="shared" si="44"/>
        <v>33.557309761920813</v>
      </c>
      <c r="BC850" s="28"/>
      <c r="BD850" s="54">
        <f t="shared" si="46"/>
        <v>-181.38488448854415</v>
      </c>
      <c r="BE850" s="54"/>
      <c r="BF850" s="54">
        <f t="shared" si="47"/>
        <v>-28.817120898091567</v>
      </c>
      <c r="BG850" s="54"/>
      <c r="BH850" s="54">
        <f t="shared" si="48"/>
        <v>-96.634631463909656</v>
      </c>
      <c r="BI850" s="54"/>
      <c r="BJ850" s="3"/>
    </row>
    <row r="851" spans="2:70" ht="11.25" customHeight="1">
      <c r="B851" s="2"/>
      <c r="C851" s="1" t="s">
        <v>11</v>
      </c>
      <c r="E851" s="24">
        <f>+T848</f>
        <v>16</v>
      </c>
      <c r="F851" s="24"/>
      <c r="G851" s="7" t="s">
        <v>9</v>
      </c>
      <c r="H851" s="24">
        <f>+M824</f>
        <v>15</v>
      </c>
      <c r="I851" s="24"/>
      <c r="J851" s="7" t="s">
        <v>10</v>
      </c>
      <c r="K851" s="24">
        <f>+T848/2</f>
        <v>8</v>
      </c>
      <c r="L851" s="24"/>
      <c r="M851" s="7" t="s">
        <v>10</v>
      </c>
      <c r="N851" s="24">
        <f>+T848/2+T848/2/2</f>
        <v>12</v>
      </c>
      <c r="O851" s="24"/>
      <c r="P851" s="7" t="s">
        <v>9</v>
      </c>
      <c r="Q851" s="24">
        <f>+Y824</f>
        <v>20</v>
      </c>
      <c r="R851" s="24"/>
      <c r="S851" s="7" t="s">
        <v>10</v>
      </c>
      <c r="T851" s="24">
        <f>+T848/2</f>
        <v>8</v>
      </c>
      <c r="U851" s="24"/>
      <c r="V851" s="7" t="s">
        <v>10</v>
      </c>
      <c r="W851" s="24">
        <f>+T851/2</f>
        <v>4</v>
      </c>
      <c r="X851" s="24"/>
      <c r="Y851" s="7" t="s">
        <v>9</v>
      </c>
      <c r="Z851" s="24">
        <f>+AB828</f>
        <v>50</v>
      </c>
      <c r="AA851" s="24"/>
      <c r="AB851" s="7" t="s">
        <v>10</v>
      </c>
      <c r="AC851" s="24">
        <f>+AC846</f>
        <v>2</v>
      </c>
      <c r="AD851" s="24"/>
      <c r="AE851" s="7" t="s">
        <v>12</v>
      </c>
      <c r="AF851" s="1">
        <v>0</v>
      </c>
      <c r="AJ851" s="1" t="s">
        <v>4</v>
      </c>
      <c r="AL851" s="24">
        <f>(H851*K851*N851+Q851*T851*W851+Z851*AC851)/E851</f>
        <v>136.25</v>
      </c>
      <c r="AM851" s="24"/>
      <c r="AN851" s="1" t="s">
        <v>0</v>
      </c>
      <c r="AV851" s="25">
        <v>26</v>
      </c>
      <c r="AW851" s="26"/>
      <c r="AX851" s="30">
        <f t="shared" si="51"/>
        <v>14.88888888888888</v>
      </c>
      <c r="AY851" s="28"/>
      <c r="AZ851" s="54">
        <f t="shared" si="45"/>
        <v>4.0673344928273751</v>
      </c>
      <c r="BA851" s="54"/>
      <c r="BB851" s="28">
        <f t="shared" si="44"/>
        <v>30.558431785934985</v>
      </c>
      <c r="BC851" s="28"/>
      <c r="BD851" s="54">
        <f t="shared" si="46"/>
        <v>-186.47125719340255</v>
      </c>
      <c r="BE851" s="54"/>
      <c r="BF851" s="54">
        <f t="shared" si="47"/>
        <v>-21.547883656975834</v>
      </c>
      <c r="BG851" s="54"/>
      <c r="BH851" s="54">
        <f t="shared" si="48"/>
        <v>-107.20215631265378</v>
      </c>
      <c r="BI851" s="54"/>
      <c r="BJ851" s="3"/>
    </row>
    <row r="852" spans="2:70" ht="11.25" customHeight="1">
      <c r="B852" s="2"/>
      <c r="C852" s="1" t="s">
        <v>13</v>
      </c>
      <c r="E852" s="24">
        <f>+H845</f>
        <v>136.25</v>
      </c>
      <c r="F852" s="24"/>
      <c r="G852" s="7" t="s">
        <v>9</v>
      </c>
      <c r="H852" s="24">
        <f>+M824</f>
        <v>15</v>
      </c>
      <c r="I852" s="24"/>
      <c r="J852" s="7" t="s">
        <v>10</v>
      </c>
      <c r="K852" s="24">
        <f>+T848/2</f>
        <v>8</v>
      </c>
      <c r="L852" s="24"/>
      <c r="M852" s="7" t="s">
        <v>9</v>
      </c>
      <c r="N852" s="24">
        <f>+Y824</f>
        <v>20</v>
      </c>
      <c r="O852" s="24"/>
      <c r="P852" s="7" t="s">
        <v>10</v>
      </c>
      <c r="Q852" s="24">
        <f>+T848/2</f>
        <v>8</v>
      </c>
      <c r="R852" s="24"/>
      <c r="S852" s="7" t="s">
        <v>9</v>
      </c>
      <c r="T852" s="24">
        <f>+AB828</f>
        <v>50</v>
      </c>
      <c r="U852" s="24"/>
      <c r="V852" s="7" t="s">
        <v>12</v>
      </c>
      <c r="W852" s="1">
        <v>0</v>
      </c>
      <c r="AA852" s="1" t="s">
        <v>7</v>
      </c>
      <c r="AC852" s="24">
        <f>+H852*K852+N852*Q852+T852-E852</f>
        <v>193.75</v>
      </c>
      <c r="AD852" s="24"/>
      <c r="AE852" s="1" t="s">
        <v>0</v>
      </c>
      <c r="AV852" s="25">
        <v>27</v>
      </c>
      <c r="AW852" s="26"/>
      <c r="AX852" s="30">
        <f t="shared" si="51"/>
        <v>15.111111111111102</v>
      </c>
      <c r="AY852" s="28"/>
      <c r="AZ852" s="54">
        <f t="shared" si="45"/>
        <v>3.6649827783268281</v>
      </c>
      <c r="BA852" s="54"/>
      <c r="BB852" s="28">
        <f t="shared" si="44"/>
        <v>27.26604445073297</v>
      </c>
      <c r="BC852" s="28"/>
      <c r="BD852" s="54">
        <f t="shared" si="46"/>
        <v>-191.35162019234696</v>
      </c>
      <c r="BE852" s="54"/>
      <c r="BF852" s="54">
        <f t="shared" si="47"/>
        <v>-12.839117710765471</v>
      </c>
      <c r="BG852" s="54"/>
      <c r="BH852" s="54">
        <f t="shared" si="48"/>
        <v>-115.13394919309802</v>
      </c>
      <c r="BI852" s="54"/>
      <c r="BJ852" s="3"/>
    </row>
    <row r="853" spans="2:70" ht="11.25" customHeight="1">
      <c r="B853" s="2"/>
      <c r="C853" s="1" t="s">
        <v>14</v>
      </c>
      <c r="E853" s="24">
        <f>+AM833</f>
        <v>8</v>
      </c>
      <c r="F853" s="24"/>
      <c r="G853" s="7" t="s">
        <v>9</v>
      </c>
      <c r="H853" s="24">
        <f>+H845</f>
        <v>136.25</v>
      </c>
      <c r="I853" s="24"/>
      <c r="J853" s="7" t="s">
        <v>10</v>
      </c>
      <c r="K853" s="24">
        <f>+T848/2</f>
        <v>8</v>
      </c>
      <c r="L853" s="24"/>
      <c r="M853" s="7" t="s">
        <v>15</v>
      </c>
      <c r="N853" s="24">
        <f>+M824</f>
        <v>15</v>
      </c>
      <c r="O853" s="24"/>
      <c r="P853" s="7" t="s">
        <v>10</v>
      </c>
      <c r="Q853" s="24">
        <f>+T848/2</f>
        <v>8</v>
      </c>
      <c r="R853" s="24"/>
      <c r="S853" s="7" t="s">
        <v>10</v>
      </c>
      <c r="T853" s="24">
        <f>+Q853/2</f>
        <v>4</v>
      </c>
      <c r="U853" s="24"/>
      <c r="V853" s="7" t="s">
        <v>12</v>
      </c>
      <c r="W853" s="1">
        <v>0</v>
      </c>
      <c r="AA853" s="1" t="s">
        <v>5</v>
      </c>
      <c r="AC853" s="24">
        <f>(H853*K853-N853*Q853*T853)/E853</f>
        <v>76.25</v>
      </c>
      <c r="AD853" s="24"/>
      <c r="AE853" s="1" t="s">
        <v>0</v>
      </c>
      <c r="AV853" s="25">
        <v>28</v>
      </c>
      <c r="AW853" s="26"/>
      <c r="AX853" s="30">
        <f t="shared" si="51"/>
        <v>15.333333333333323</v>
      </c>
      <c r="AY853" s="28"/>
      <c r="AZ853" s="54">
        <f t="shared" si="45"/>
        <v>3.1972210155418352</v>
      </c>
      <c r="BA853" s="54"/>
      <c r="BB853" s="28">
        <f t="shared" si="44"/>
        <v>23.556464309101401</v>
      </c>
      <c r="BC853" s="28"/>
      <c r="BD853" s="54">
        <f t="shared" si="46"/>
        <v>-195.85545724882715</v>
      </c>
      <c r="BE853" s="54"/>
      <c r="BF853" s="54">
        <f t="shared" si="47"/>
        <v>-2.2081614442507798</v>
      </c>
      <c r="BG853" s="54"/>
      <c r="BH853" s="54">
        <f t="shared" si="48"/>
        <v>-119.0658802128409</v>
      </c>
      <c r="BI853" s="54"/>
      <c r="BJ853" s="3"/>
    </row>
    <row r="854" spans="2:70" ht="11.25" customHeight="1">
      <c r="B854" s="2"/>
      <c r="C854" s="1" t="s">
        <v>16</v>
      </c>
      <c r="E854" s="24">
        <f>+AM833</f>
        <v>8</v>
      </c>
      <c r="F854" s="24"/>
      <c r="G854" s="7" t="s">
        <v>9</v>
      </c>
      <c r="H854" s="24">
        <f>+AE845</f>
        <v>193.75</v>
      </c>
      <c r="I854" s="24"/>
      <c r="J854" s="7" t="s">
        <v>10</v>
      </c>
      <c r="K854" s="24">
        <f>+T848/2</f>
        <v>8</v>
      </c>
      <c r="L854" s="24"/>
      <c r="M854" s="7" t="s">
        <v>15</v>
      </c>
      <c r="N854" s="24">
        <f>+Y824</f>
        <v>20</v>
      </c>
      <c r="O854" s="24"/>
      <c r="P854" s="7" t="s">
        <v>10</v>
      </c>
      <c r="Q854" s="24">
        <f>+T848/2</f>
        <v>8</v>
      </c>
      <c r="R854" s="24"/>
      <c r="S854" s="7" t="s">
        <v>10</v>
      </c>
      <c r="T854" s="24">
        <f>+Q854/2</f>
        <v>4</v>
      </c>
      <c r="U854" s="24"/>
      <c r="V854" s="7" t="s">
        <v>15</v>
      </c>
      <c r="W854" s="24">
        <f>+AB828</f>
        <v>50</v>
      </c>
      <c r="X854" s="24"/>
      <c r="Y854" s="7" t="s">
        <v>10</v>
      </c>
      <c r="Z854" s="24">
        <f>+W846</f>
        <v>6</v>
      </c>
      <c r="AA854" s="24"/>
      <c r="AB854" s="7" t="s">
        <v>12</v>
      </c>
      <c r="AC854" s="1">
        <v>0</v>
      </c>
      <c r="AG854" s="1" t="s">
        <v>6</v>
      </c>
      <c r="AI854" s="24">
        <f>(H854*K854-N854*Q854*T854-W854*Z854)/E854</f>
        <v>76.25</v>
      </c>
      <c r="AJ854" s="24"/>
      <c r="AK854" s="1" t="s">
        <v>0</v>
      </c>
      <c r="AV854" s="25">
        <v>29</v>
      </c>
      <c r="AW854" s="26"/>
      <c r="AX854" s="30">
        <f t="shared" si="51"/>
        <v>15.555555555555545</v>
      </c>
      <c r="AY854" s="28"/>
      <c r="AZ854" s="54">
        <f t="shared" si="45"/>
        <v>2.6293687924887479</v>
      </c>
      <c r="BA854" s="54"/>
      <c r="BB854" s="28">
        <f t="shared" si="44"/>
        <v>19.18813645372115</v>
      </c>
      <c r="BC854" s="28"/>
      <c r="BD854" s="54">
        <f t="shared" si="46"/>
        <v>-199.65222068612397</v>
      </c>
      <c r="BE854" s="54"/>
      <c r="BF854" s="54">
        <f t="shared" si="47"/>
        <v>11.255384326345062</v>
      </c>
      <c r="BG854" s="54"/>
      <c r="BH854" s="54">
        <f t="shared" si="48"/>
        <v>-116.35356795812922</v>
      </c>
      <c r="BI854" s="54"/>
      <c r="BJ854" s="3"/>
    </row>
    <row r="855" spans="2:70" ht="11.25" customHeight="1">
      <c r="B855" s="2"/>
      <c r="AV855" s="25">
        <v>30</v>
      </c>
      <c r="AW855" s="26"/>
      <c r="AX855" s="30">
        <f t="shared" si="51"/>
        <v>15.777777777777766</v>
      </c>
      <c r="AY855" s="28"/>
      <c r="AZ855" s="54">
        <f t="shared" si="45"/>
        <v>1.8724777273725723</v>
      </c>
      <c r="BA855" s="54"/>
      <c r="BB855" s="28">
        <f t="shared" si="44"/>
        <v>13.536202737381508</v>
      </c>
      <c r="BC855" s="28"/>
      <c r="BD855" s="54">
        <f t="shared" si="46"/>
        <v>-201.8941212402539</v>
      </c>
      <c r="BE855" s="54"/>
      <c r="BF855" s="54">
        <f t="shared" si="47"/>
        <v>29.823139888735767</v>
      </c>
      <c r="BG855" s="54"/>
      <c r="BH855" s="54">
        <f t="shared" si="48"/>
        <v>-100.2146983170947</v>
      </c>
      <c r="BI855" s="54"/>
      <c r="BJ855" s="3"/>
    </row>
    <row r="856" spans="2:70" ht="11.25" customHeight="1">
      <c r="B856" s="2"/>
      <c r="AV856" s="25">
        <v>31</v>
      </c>
      <c r="AW856" s="26"/>
      <c r="AX856" s="30">
        <f t="shared" si="51"/>
        <v>15.999999999999988</v>
      </c>
      <c r="AY856" s="28"/>
      <c r="AZ856" s="54">
        <f t="shared" si="45"/>
        <v>0</v>
      </c>
      <c r="BA856" s="54"/>
      <c r="BB856" s="28">
        <f>IF(T848=AX856,0,IF(AX856&lt;=$T$848/2,ACOS(($W$834-AX856)/$W$834)*180/PI(),ACOS((AX856-$W$834)/$W$834)*180/PI()))</f>
        <v>0</v>
      </c>
      <c r="BC856" s="28"/>
      <c r="BD856" s="54">
        <f t="shared" si="46"/>
        <v>-193.74999999999974</v>
      </c>
      <c r="BE856" s="54"/>
      <c r="BF856" s="54">
        <f t="shared" si="47"/>
        <v>76.25</v>
      </c>
      <c r="BG856" s="54"/>
      <c r="BH856" s="54">
        <f t="shared" si="48"/>
        <v>2.4091839634365881E-12</v>
      </c>
      <c r="BI856" s="54"/>
      <c r="BJ856" s="3"/>
    </row>
    <row r="857" spans="2:70" ht="11.25" customHeight="1">
      <c r="B857" s="2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3"/>
    </row>
    <row r="858" spans="2:70" ht="11.25" customHeight="1">
      <c r="B858" s="2"/>
      <c r="D858" s="12" t="s">
        <v>38</v>
      </c>
      <c r="BJ858" s="3"/>
    </row>
    <row r="859" spans="2:70" ht="11.25" customHeight="1">
      <c r="B859" s="2"/>
      <c r="M859" s="34">
        <v>40</v>
      </c>
      <c r="N859" s="34"/>
      <c r="O859" s="1" t="s">
        <v>3</v>
      </c>
      <c r="AV859" s="25" t="s">
        <v>59</v>
      </c>
      <c r="AW859" s="26"/>
      <c r="AX859" s="33" t="s">
        <v>48</v>
      </c>
      <c r="AY859" s="25"/>
      <c r="AZ859" s="25" t="s">
        <v>58</v>
      </c>
      <c r="BA859" s="25"/>
      <c r="BB859" s="56" t="s">
        <v>66</v>
      </c>
      <c r="BC859" s="25"/>
      <c r="BD859" s="25" t="s">
        <v>62</v>
      </c>
      <c r="BE859" s="25"/>
      <c r="BF859" s="25" t="s">
        <v>65</v>
      </c>
      <c r="BG859" s="25"/>
      <c r="BH859" s="25" t="s">
        <v>63</v>
      </c>
      <c r="BI859" s="25"/>
      <c r="BJ859" s="3"/>
    </row>
    <row r="860" spans="2:70" ht="11.25" customHeight="1" thickBot="1">
      <c r="B860" s="2"/>
      <c r="AV860" s="57"/>
      <c r="AW860" s="61"/>
      <c r="AX860" s="47" t="s">
        <v>60</v>
      </c>
      <c r="AY860" s="57"/>
      <c r="AZ860" s="57" t="s">
        <v>60</v>
      </c>
      <c r="BA860" s="57"/>
      <c r="BB860" s="57" t="s">
        <v>67</v>
      </c>
      <c r="BC860" s="57"/>
      <c r="BD860" s="57" t="s">
        <v>61</v>
      </c>
      <c r="BE860" s="57"/>
      <c r="BF860" s="57" t="s">
        <v>61</v>
      </c>
      <c r="BG860" s="57"/>
      <c r="BH860" s="57" t="s">
        <v>64</v>
      </c>
      <c r="BI860" s="57"/>
      <c r="BJ860" s="3"/>
      <c r="BP860" s="24"/>
      <c r="BQ860" s="24"/>
      <c r="BR860" s="24"/>
    </row>
    <row r="861" spans="2:70" ht="11.25" customHeight="1" thickTop="1">
      <c r="B861" s="2"/>
      <c r="AV861" s="58">
        <v>0</v>
      </c>
      <c r="AW861" s="59"/>
      <c r="AX861" s="60">
        <v>0</v>
      </c>
      <c r="AY861" s="54"/>
      <c r="AZ861" s="54">
        <f>$W$869*SIN(BB861*PI()/180)</f>
        <v>0</v>
      </c>
      <c r="BA861" s="54"/>
      <c r="BB861" s="28">
        <f t="shared" ref="BB861:BB891" si="52">IF(AX861&lt;=$T$883/2,ACOS(($W$869-AX861)/$W$869)*180/PI(),ACOS((AX861-$W$869)/$W$869)*180/PI())</f>
        <v>0</v>
      </c>
      <c r="BC861" s="28"/>
      <c r="BD861" s="54">
        <f>IF(AX861&lt;=$T$883/2,-$H$880*COS(BB861*PI()/180)-$F$875*SIN(BB861*PI()/180)+$M$859*AX861*COS(BB861*PI()/180),IF(AND($T$883/2&lt;AX861,AX861&lt;=($T$883-$AC$881)),-$AE$880*COS(BB861*PI()/180)-$AI$875*SIN(BB861*PI()/180)+$AB$863*COS(BB861*PI()/180),-$AE$880*COS(BB861*PI()/180)-$AI$875*SIN(BB861*PI()/180)))</f>
        <v>-258.75</v>
      </c>
      <c r="BE861" s="54"/>
      <c r="BF861" s="54">
        <f>IF(AX861&lt;=$T$883/2,$H$880*SIN(BB861*PI()/180)-$F$875*COS(BB861*PI()/180)-$M$859*AX861*SIN(BB861*PI()/180),IF(AND($T$883/2&lt;AX861,AX861&lt;=($T$883-$AC$881)),-$AE$880*SIN(BB861*PI()/180)+$AI$875*COS(BB861*PI()/180)+$AB$863*SIN(BB861*PI()/180),-$AE$880*SIN(BB861*PI()/180)+$AI$875*COS(BB861*PI()/180)))</f>
        <v>-98.75</v>
      </c>
      <c r="BG861" s="54"/>
      <c r="BH861" s="54">
        <f>IF(AX861&lt;=$T$883/2,$H$880*AX861-$F$875*AZ861-$M$859*AX861*AX861/2,IF(AND($T$883/2&lt;AX861,AX861&lt;=($T$883-$AC$881)),$AE$880*($T$883-AX861)-$AI$875*AZ861-$AB$863*($T$883/2+$W$881-AX861),$AE$880*($T$883-AX861)-$AI$875*AZ861))</f>
        <v>0</v>
      </c>
      <c r="BI861" s="54"/>
      <c r="BJ861" s="3"/>
    </row>
    <row r="862" spans="2:70" ht="11.25" customHeight="1">
      <c r="B862" s="2"/>
      <c r="D862" s="5"/>
      <c r="AK862" s="5" t="s">
        <v>1</v>
      </c>
      <c r="AV862" s="25">
        <v>1</v>
      </c>
      <c r="AW862" s="26"/>
      <c r="AX862" s="30">
        <f>($T$883/2)/12+AX861</f>
        <v>0.66666666666666663</v>
      </c>
      <c r="AY862" s="28"/>
      <c r="AZ862" s="54">
        <f t="shared" ref="AZ862:AZ892" si="53">$W$869*SIN(BB862*PI()/180)</f>
        <v>3.1972210155418139</v>
      </c>
      <c r="BA862" s="54"/>
      <c r="BB862" s="28">
        <f t="shared" si="52"/>
        <v>23.556464309101241</v>
      </c>
      <c r="BC862" s="28"/>
      <c r="BD862" s="54">
        <f t="shared" ref="BD862:BD892" si="54">IF(AX862&lt;=$T$883/2,-$H$880*COS(BB862*PI()/180)-$F$875*SIN(BB862*PI()/180)+$M$859*AX862*COS(BB862*PI()/180),IF(AND($T$883/2&lt;AX862,AX862&lt;=($T$883-$AC$881)),-$AE$880*COS(BB862*PI()/180)-$AI$875*SIN(BB862*PI()/180)+$AB$863*COS(BB862*PI()/180),-$AE$880*COS(BB862*PI()/180)-$AI$875*SIN(BB862*PI()/180)))</f>
        <v>-252.2087524661498</v>
      </c>
      <c r="BE862" s="54"/>
      <c r="BF862" s="54">
        <f t="shared" ref="BF862:BF892" si="55">IF(AX862&lt;=$T$883/2,$H$880*SIN(BB862*PI()/180)-$F$875*COS(BB862*PI()/180)-$M$859*AX862*SIN(BB862*PI()/180),IF(AND($T$883/2&lt;AX862,AX862&lt;=($T$883-$AC$881)),-$AE$880*SIN(BB862*PI()/180)+$AI$875*COS(BB862*PI()/180)+$AB$863*SIN(BB862*PI()/180),-$AE$880*SIN(BB862*PI()/180)+$AI$875*COS(BB862*PI()/180)))</f>
        <v>2.2318805029578321</v>
      </c>
      <c r="BG862" s="54"/>
      <c r="BH862" s="54">
        <f t="shared" ref="BH862:BH892" si="56">IF(AX862&lt;=$T$883/2,$H$880*AX862-$F$875*AZ862-$M$859*AX862*AX862/2,IF(AND($T$883/2&lt;AX862,AX862&lt;=($T$883-$AC$881)),$AE$880*($T$883-AX862)-$AI$875*AZ862-$AB$863*($T$883/2+$W$881-AX862),$AE$880*($T$883-AX862)-$AI$875*AZ862))</f>
        <v>-152.11446417364303</v>
      </c>
      <c r="BI862" s="54"/>
      <c r="BJ862" s="3"/>
    </row>
    <row r="863" spans="2:70" ht="11.25" customHeight="1">
      <c r="B863" s="2"/>
      <c r="D863" s="37" t="s">
        <v>68</v>
      </c>
      <c r="T863" s="1" t="s">
        <v>18</v>
      </c>
      <c r="AB863" s="34">
        <v>150</v>
      </c>
      <c r="AC863" s="34"/>
      <c r="AD863" s="1" t="s">
        <v>0</v>
      </c>
      <c r="AK863" s="37">
        <f>+W869-AK870</f>
        <v>2.7084973778708195</v>
      </c>
      <c r="AV863" s="25">
        <v>2</v>
      </c>
      <c r="AW863" s="26"/>
      <c r="AX863" s="30">
        <f t="shared" ref="AX863:AX873" si="57">($T$883/2)/12+AX862</f>
        <v>1.3333333333333333</v>
      </c>
      <c r="AY863" s="28"/>
      <c r="AZ863" s="54">
        <f t="shared" si="53"/>
        <v>4.4221663871405328</v>
      </c>
      <c r="BA863" s="54"/>
      <c r="BB863" s="28">
        <f t="shared" si="52"/>
        <v>33.557309761920713</v>
      </c>
      <c r="BC863" s="28"/>
      <c r="BD863" s="54">
        <f t="shared" si="54"/>
        <v>-225.76667189682149</v>
      </c>
      <c r="BE863" s="54"/>
      <c r="BF863" s="54">
        <f t="shared" si="55"/>
        <v>31.256668169806382</v>
      </c>
      <c r="BG863" s="54"/>
      <c r="BH863" s="54">
        <f t="shared" si="56"/>
        <v>-127.24448628568314</v>
      </c>
      <c r="BI863" s="54"/>
      <c r="BJ863" s="3"/>
    </row>
    <row r="864" spans="2:70" ht="11.25" customHeight="1">
      <c r="B864" s="2"/>
      <c r="D864" s="37"/>
      <c r="AK864" s="37"/>
      <c r="AV864" s="25">
        <v>3</v>
      </c>
      <c r="AW864" s="26"/>
      <c r="AX864" s="30">
        <f t="shared" si="57"/>
        <v>2</v>
      </c>
      <c r="AY864" s="28"/>
      <c r="AZ864" s="54">
        <f t="shared" si="53"/>
        <v>5.2915026221291805</v>
      </c>
      <c r="BA864" s="54"/>
      <c r="BB864" s="28">
        <f t="shared" si="52"/>
        <v>41.409622109270856</v>
      </c>
      <c r="BC864" s="28"/>
      <c r="BD864" s="54">
        <f t="shared" si="54"/>
        <v>-199.37948549190708</v>
      </c>
      <c r="BE864" s="54"/>
      <c r="BF864" s="54">
        <f t="shared" si="55"/>
        <v>44.169511713198894</v>
      </c>
      <c r="BG864" s="54"/>
      <c r="BH864" s="54">
        <f t="shared" si="56"/>
        <v>-85.035883935256606</v>
      </c>
      <c r="BI864" s="54"/>
      <c r="BJ864" s="3"/>
    </row>
    <row r="865" spans="2:62" ht="11.25" customHeight="1">
      <c r="B865" s="2"/>
      <c r="D865" s="37"/>
      <c r="L865" s="1" t="s">
        <v>17</v>
      </c>
      <c r="AK865" s="37"/>
      <c r="AV865" s="25">
        <v>4</v>
      </c>
      <c r="AW865" s="26"/>
      <c r="AX865" s="30">
        <f t="shared" si="57"/>
        <v>2.6666666666666665</v>
      </c>
      <c r="AY865" s="28"/>
      <c r="AZ865" s="54">
        <f t="shared" si="53"/>
        <v>5.9628479399994383</v>
      </c>
      <c r="BA865" s="54"/>
      <c r="BB865" s="28">
        <f t="shared" si="52"/>
        <v>48.189685104221397</v>
      </c>
      <c r="BC865" s="28"/>
      <c r="BD865" s="54">
        <f t="shared" si="54"/>
        <v>-174.99279314825699</v>
      </c>
      <c r="BE865" s="54"/>
      <c r="BF865" s="54">
        <f t="shared" si="55"/>
        <v>47.522890526030977</v>
      </c>
      <c r="BG865" s="54"/>
      <c r="BH865" s="54">
        <f t="shared" si="56"/>
        <v>-41.053456297166719</v>
      </c>
      <c r="BI865" s="54"/>
      <c r="BJ865" s="3"/>
    </row>
    <row r="866" spans="2:62" ht="11.25" customHeight="1">
      <c r="B866" s="2"/>
      <c r="AC866" s="6" t="s">
        <v>30</v>
      </c>
      <c r="AV866" s="25">
        <v>5</v>
      </c>
      <c r="AW866" s="26"/>
      <c r="AX866" s="30">
        <f t="shared" si="57"/>
        <v>3.333333333333333</v>
      </c>
      <c r="AY866" s="28"/>
      <c r="AZ866" s="54">
        <f t="shared" si="53"/>
        <v>6.497862896539309</v>
      </c>
      <c r="BA866" s="54"/>
      <c r="BB866" s="28">
        <f t="shared" si="52"/>
        <v>54.314665287347943</v>
      </c>
      <c r="BC866" s="28"/>
      <c r="BD866" s="54">
        <f t="shared" si="54"/>
        <v>-153.36771735137933</v>
      </c>
      <c r="BE866" s="54"/>
      <c r="BF866" s="54">
        <f t="shared" si="55"/>
        <v>44.263371450954779</v>
      </c>
      <c r="BG866" s="54"/>
      <c r="BH866" s="54">
        <f t="shared" si="56"/>
        <v>-1.3861832554790681</v>
      </c>
      <c r="BI866" s="54"/>
      <c r="BJ866" s="3"/>
    </row>
    <row r="867" spans="2:62" ht="11.25" customHeight="1">
      <c r="B867" s="2"/>
      <c r="AM867" s="5" t="s">
        <v>1</v>
      </c>
      <c r="AV867" s="25">
        <v>6</v>
      </c>
      <c r="AW867" s="26"/>
      <c r="AX867" s="30">
        <f t="shared" si="57"/>
        <v>3.9999999999999996</v>
      </c>
      <c r="AY867" s="28"/>
      <c r="AZ867" s="54">
        <f t="shared" si="53"/>
        <v>6.9282032302755088</v>
      </c>
      <c r="BA867" s="54"/>
      <c r="BB867" s="28">
        <f t="shared" si="52"/>
        <v>59.999999999999993</v>
      </c>
      <c r="BC867" s="28"/>
      <c r="BD867" s="54">
        <f t="shared" si="54"/>
        <v>-134.89500862371335</v>
      </c>
      <c r="BE867" s="54"/>
      <c r="BF867" s="54">
        <f t="shared" si="55"/>
        <v>36.145008623713323</v>
      </c>
      <c r="BG867" s="54"/>
      <c r="BH867" s="54">
        <f t="shared" si="56"/>
        <v>30.839931010293412</v>
      </c>
      <c r="BI867" s="54"/>
      <c r="BJ867" s="3"/>
    </row>
    <row r="868" spans="2:62" ht="11.25" customHeight="1">
      <c r="B868" s="2"/>
      <c r="AM868" s="37">
        <f>+T883/2</f>
        <v>8</v>
      </c>
      <c r="AV868" s="25">
        <v>7</v>
      </c>
      <c r="AW868" s="26"/>
      <c r="AX868" s="30">
        <f t="shared" si="57"/>
        <v>4.6666666666666661</v>
      </c>
      <c r="AY868" s="28"/>
      <c r="AZ868" s="54">
        <f t="shared" si="53"/>
        <v>7.2724747430904761</v>
      </c>
      <c r="BA868" s="54"/>
      <c r="BB868" s="28">
        <f t="shared" si="52"/>
        <v>65.375681647835918</v>
      </c>
      <c r="BC868" s="28"/>
      <c r="BD868" s="54">
        <f t="shared" si="54"/>
        <v>-119.80433233224528</v>
      </c>
      <c r="BE868" s="54"/>
      <c r="BF868" s="54">
        <f t="shared" si="55"/>
        <v>24.382194299721505</v>
      </c>
      <c r="BG868" s="54"/>
      <c r="BH868" s="54">
        <f t="shared" si="56"/>
        <v>53.787563564259813</v>
      </c>
      <c r="BI868" s="54"/>
      <c r="BJ868" s="3"/>
    </row>
    <row r="869" spans="2:62" ht="11.25" customHeight="1">
      <c r="B869" s="2"/>
      <c r="D869" s="5"/>
      <c r="V869" s="1" t="s">
        <v>2</v>
      </c>
      <c r="W869" s="24">
        <f>+T883/2</f>
        <v>8</v>
      </c>
      <c r="X869" s="24"/>
      <c r="Y869" s="1" t="s">
        <v>1</v>
      </c>
      <c r="AK869" s="5" t="s">
        <v>1</v>
      </c>
      <c r="AM869" s="37"/>
      <c r="AV869" s="25">
        <v>8</v>
      </c>
      <c r="AW869" s="26"/>
      <c r="AX869" s="30">
        <f t="shared" si="57"/>
        <v>5.333333333333333</v>
      </c>
      <c r="AY869" s="28"/>
      <c r="AZ869" s="54">
        <f t="shared" si="53"/>
        <v>7.5424723326565069</v>
      </c>
      <c r="BA869" s="54"/>
      <c r="BB869" s="28">
        <f t="shared" si="52"/>
        <v>70.528779365509308</v>
      </c>
      <c r="BC869" s="28"/>
      <c r="BD869" s="54">
        <f t="shared" si="54"/>
        <v>-108.24128174511765</v>
      </c>
      <c r="BE869" s="54"/>
      <c r="BF869" s="54">
        <f t="shared" si="55"/>
        <v>9.9025773051853889</v>
      </c>
      <c r="BG869" s="54"/>
      <c r="BH869" s="54">
        <f t="shared" si="56"/>
        <v>66.291968261281113</v>
      </c>
      <c r="BI869" s="54"/>
      <c r="BJ869" s="3"/>
    </row>
    <row r="870" spans="2:62" ht="11.25" customHeight="1">
      <c r="B870" s="2"/>
      <c r="D870" s="37" t="s">
        <v>58</v>
      </c>
      <c r="I870" s="1" t="s">
        <v>58</v>
      </c>
      <c r="AK870" s="37">
        <f>W881*TAN(W875*PI()/180)</f>
        <v>5.2915026221291805</v>
      </c>
      <c r="AM870" s="37"/>
      <c r="AV870" s="25">
        <v>9</v>
      </c>
      <c r="AW870" s="26"/>
      <c r="AX870" s="30">
        <f t="shared" si="57"/>
        <v>6</v>
      </c>
      <c r="AY870" s="28"/>
      <c r="AZ870" s="54">
        <f t="shared" si="53"/>
        <v>7.745966692414834</v>
      </c>
      <c r="BA870" s="54"/>
      <c r="BB870" s="28">
        <f t="shared" si="52"/>
        <v>75.522487814070075</v>
      </c>
      <c r="BC870" s="28"/>
      <c r="BD870" s="54">
        <f t="shared" si="54"/>
        <v>-100.30177635949559</v>
      </c>
      <c r="BE870" s="54"/>
      <c r="BF870" s="54">
        <f t="shared" si="55"/>
        <v>-6.5328905646527176</v>
      </c>
      <c r="BG870" s="54"/>
      <c r="BH870" s="54">
        <f t="shared" si="56"/>
        <v>67.585789124035159</v>
      </c>
      <c r="BI870" s="54"/>
      <c r="BJ870" s="3"/>
    </row>
    <row r="871" spans="2:62" ht="11.25" customHeight="1">
      <c r="B871" s="2"/>
      <c r="D871" s="37"/>
      <c r="AK871" s="37"/>
      <c r="AV871" s="25">
        <v>10</v>
      </c>
      <c r="AW871" s="26"/>
      <c r="AX871" s="30">
        <f t="shared" si="57"/>
        <v>6.666666666666667</v>
      </c>
      <c r="AY871" s="28"/>
      <c r="AZ871" s="54">
        <f t="shared" si="53"/>
        <v>7.8881063774661548</v>
      </c>
      <c r="BA871" s="54"/>
      <c r="BB871" s="28">
        <f t="shared" si="52"/>
        <v>80.405931773139542</v>
      </c>
      <c r="BC871" s="28"/>
      <c r="BD871" s="54">
        <f t="shared" si="54"/>
        <v>-96.049368652403388</v>
      </c>
      <c r="BE871" s="54"/>
      <c r="BF871" s="54">
        <f t="shared" si="55"/>
        <v>-24.26427193603422</v>
      </c>
      <c r="BG871" s="54"/>
      <c r="BH871" s="54">
        <f t="shared" si="56"/>
        <v>57.160606336328215</v>
      </c>
      <c r="BI871" s="54"/>
      <c r="BJ871" s="3"/>
    </row>
    <row r="872" spans="2:62" ht="11.25" customHeight="1">
      <c r="B872" s="2"/>
      <c r="D872" s="37"/>
      <c r="AK872" s="37"/>
      <c r="AV872" s="25">
        <v>11</v>
      </c>
      <c r="AW872" s="26"/>
      <c r="AX872" s="30">
        <f t="shared" si="57"/>
        <v>7.3333333333333339</v>
      </c>
      <c r="AY872" s="28"/>
      <c r="AZ872" s="54">
        <f t="shared" si="53"/>
        <v>7.9721738287342658</v>
      </c>
      <c r="BA872" s="54"/>
      <c r="BB872" s="28">
        <f t="shared" si="52"/>
        <v>85.219808152800852</v>
      </c>
      <c r="BC872" s="28"/>
      <c r="BD872" s="54">
        <f t="shared" si="54"/>
        <v>-95.524576253994155</v>
      </c>
      <c r="BE872" s="54"/>
      <c r="BF872" s="54">
        <f t="shared" si="55"/>
        <v>-42.692209780465845</v>
      </c>
      <c r="BG872" s="54"/>
      <c r="BH872" s="54">
        <f t="shared" si="56"/>
        <v>34.692278856935673</v>
      </c>
      <c r="BI872" s="54"/>
      <c r="BJ872" s="3"/>
    </row>
    <row r="873" spans="2:62" ht="11.25" customHeight="1">
      <c r="B873" s="2"/>
      <c r="AV873" s="25">
        <v>12</v>
      </c>
      <c r="AW873" s="26"/>
      <c r="AX873" s="30">
        <f t="shared" si="57"/>
        <v>8</v>
      </c>
      <c r="AY873" s="28"/>
      <c r="AZ873" s="54">
        <f t="shared" si="53"/>
        <v>8</v>
      </c>
      <c r="BA873" s="54"/>
      <c r="BB873" s="28">
        <f t="shared" si="52"/>
        <v>90</v>
      </c>
      <c r="BC873" s="28"/>
      <c r="BD873" s="54">
        <f t="shared" si="54"/>
        <v>-98.75</v>
      </c>
      <c r="BE873" s="54"/>
      <c r="BF873" s="54">
        <f t="shared" si="55"/>
        <v>-61.25</v>
      </c>
      <c r="BG873" s="54"/>
      <c r="BH873" s="54">
        <f t="shared" si="56"/>
        <v>0</v>
      </c>
      <c r="BI873" s="54"/>
      <c r="BJ873" s="3"/>
    </row>
    <row r="874" spans="2:62" ht="11.25" customHeight="1">
      <c r="B874" s="2"/>
      <c r="AV874" s="25">
        <v>13</v>
      </c>
      <c r="AW874" s="26"/>
      <c r="AX874" s="30">
        <f>($T$883/2-$AC$881)/9+AX873</f>
        <v>8.6666666666666661</v>
      </c>
      <c r="AY874" s="28"/>
      <c r="AZ874" s="54">
        <f t="shared" si="53"/>
        <v>7.9721738287342658</v>
      </c>
      <c r="BA874" s="54"/>
      <c r="BB874" s="28">
        <f t="shared" si="52"/>
        <v>85.219808152800852</v>
      </c>
      <c r="BC874" s="28"/>
      <c r="BD874" s="54">
        <f t="shared" si="54"/>
        <v>-103.51068736510527</v>
      </c>
      <c r="BE874" s="54"/>
      <c r="BF874" s="54">
        <f t="shared" si="55"/>
        <v>-52.807789209580079</v>
      </c>
      <c r="BG874" s="54"/>
      <c r="BH874" s="54">
        <f t="shared" si="56"/>
        <v>-38.085498920842156</v>
      </c>
      <c r="BI874" s="54"/>
      <c r="BJ874" s="3"/>
    </row>
    <row r="875" spans="2:62" ht="11.25" customHeight="1">
      <c r="B875" s="2"/>
      <c r="D875" s="1" t="s">
        <v>5</v>
      </c>
      <c r="F875" s="24">
        <f>+AF888</f>
        <v>98.75</v>
      </c>
      <c r="G875" s="24"/>
      <c r="H875" s="1" t="s">
        <v>0</v>
      </c>
      <c r="L875" s="1" t="s">
        <v>48</v>
      </c>
      <c r="Q875" s="35" t="s">
        <v>70</v>
      </c>
      <c r="R875" s="36"/>
      <c r="S875" s="8"/>
      <c r="W875" s="24">
        <f>ACOS(W881/W869)*180/PI()</f>
        <v>41.409622109270856</v>
      </c>
      <c r="X875" s="24"/>
      <c r="Y875" s="8" t="s">
        <v>8</v>
      </c>
      <c r="AE875" s="1" t="s">
        <v>33</v>
      </c>
      <c r="AG875" s="1" t="s">
        <v>6</v>
      </c>
      <c r="AI875" s="24">
        <f>+AC889</f>
        <v>98.75</v>
      </c>
      <c r="AJ875" s="24"/>
      <c r="AK875" s="1" t="s">
        <v>0</v>
      </c>
      <c r="AV875" s="25">
        <v>14</v>
      </c>
      <c r="AW875" s="26"/>
      <c r="AX875" s="30">
        <f t="shared" ref="AX875:AX882" si="58">($T$883/2-$AC$881)/9+AX874</f>
        <v>9.3333333333333321</v>
      </c>
      <c r="AY875" s="28"/>
      <c r="AZ875" s="54">
        <f t="shared" si="53"/>
        <v>7.8881063774661548</v>
      </c>
      <c r="BA875" s="54"/>
      <c r="BB875" s="28">
        <f t="shared" si="52"/>
        <v>80.405931773139542</v>
      </c>
      <c r="BC875" s="28"/>
      <c r="BD875" s="54">
        <f t="shared" si="54"/>
        <v>-107.57714643018119</v>
      </c>
      <c r="BE875" s="54"/>
      <c r="BF875" s="54">
        <f t="shared" si="55"/>
        <v>-43.934981119141924</v>
      </c>
      <c r="BG875" s="54"/>
      <c r="BH875" s="54">
        <f t="shared" si="56"/>
        <v>-70.6171714414495</v>
      </c>
      <c r="BI875" s="54"/>
      <c r="BJ875" s="3"/>
    </row>
    <row r="876" spans="2:62" ht="11.25" customHeight="1">
      <c r="B876" s="2"/>
      <c r="AV876" s="25">
        <v>15</v>
      </c>
      <c r="AW876" s="26"/>
      <c r="AX876" s="30">
        <f t="shared" si="58"/>
        <v>9.9999999999999982</v>
      </c>
      <c r="AY876" s="28"/>
      <c r="AZ876" s="54">
        <f t="shared" si="53"/>
        <v>7.745966692414834</v>
      </c>
      <c r="BA876" s="54"/>
      <c r="BB876" s="28">
        <f t="shared" si="52"/>
        <v>75.522487814070089</v>
      </c>
      <c r="BC876" s="28"/>
      <c r="BD876" s="54">
        <f t="shared" si="54"/>
        <v>-110.92677635949559</v>
      </c>
      <c r="BE876" s="54"/>
      <c r="BF876" s="54">
        <f t="shared" si="55"/>
        <v>-34.617557488801083</v>
      </c>
      <c r="BG876" s="54"/>
      <c r="BH876" s="54">
        <f t="shared" si="56"/>
        <v>-97.414210875964613</v>
      </c>
      <c r="BI876" s="54"/>
      <c r="BJ876" s="3"/>
    </row>
    <row r="877" spans="2:62" ht="11.25" customHeight="1">
      <c r="B877" s="2"/>
      <c r="AV877" s="25">
        <v>16</v>
      </c>
      <c r="AW877" s="26"/>
      <c r="AX877" s="30">
        <f t="shared" si="58"/>
        <v>10.666666666666664</v>
      </c>
      <c r="AY877" s="28"/>
      <c r="AZ877" s="54">
        <f t="shared" si="53"/>
        <v>7.5424723326565086</v>
      </c>
      <c r="BA877" s="54"/>
      <c r="BB877" s="28">
        <f t="shared" si="52"/>
        <v>70.528779365509337</v>
      </c>
      <c r="BC877" s="28"/>
      <c r="BD877" s="54">
        <f t="shared" si="54"/>
        <v>-113.51905952289543</v>
      </c>
      <c r="BE877" s="54"/>
      <c r="BF877" s="54">
        <f t="shared" si="55"/>
        <v>-24.830387130234755</v>
      </c>
      <c r="BG877" s="54"/>
      <c r="BH877" s="54">
        <f t="shared" si="56"/>
        <v>-118.15247618316334</v>
      </c>
      <c r="BI877" s="54"/>
      <c r="BJ877" s="3"/>
    </row>
    <row r="878" spans="2:62" ht="11.25" customHeight="1">
      <c r="B878" s="2"/>
      <c r="AV878" s="25">
        <v>17</v>
      </c>
      <c r="AW878" s="26"/>
      <c r="AX878" s="30">
        <f t="shared" si="58"/>
        <v>11.33333333333333</v>
      </c>
      <c r="AY878" s="28"/>
      <c r="AZ878" s="54">
        <f t="shared" si="53"/>
        <v>7.2724747430904779</v>
      </c>
      <c r="BA878" s="54"/>
      <c r="BB878" s="28">
        <f t="shared" si="52"/>
        <v>65.375681647835947</v>
      </c>
      <c r="BC878" s="28"/>
      <c r="BD878" s="54">
        <f t="shared" si="54"/>
        <v>-115.29044344335639</v>
      </c>
      <c r="BE878" s="54"/>
      <c r="BF878" s="54">
        <f t="shared" si="55"/>
        <v>-14.534051418453174</v>
      </c>
      <c r="BG878" s="54"/>
      <c r="BH878" s="54">
        <f t="shared" si="56"/>
        <v>-132.32354754685116</v>
      </c>
      <c r="BI878" s="54"/>
      <c r="BJ878" s="3"/>
    </row>
    <row r="879" spans="2:62" ht="11.25" customHeight="1">
      <c r="B879" s="2"/>
      <c r="AV879" s="25">
        <v>18</v>
      </c>
      <c r="AW879" s="26"/>
      <c r="AX879" s="30">
        <f t="shared" si="58"/>
        <v>11.999999999999996</v>
      </c>
      <c r="AY879" s="28"/>
      <c r="AZ879" s="54">
        <f t="shared" si="53"/>
        <v>6.9282032302755114</v>
      </c>
      <c r="BA879" s="54"/>
      <c r="BB879" s="28">
        <f t="shared" si="52"/>
        <v>60.000000000000028</v>
      </c>
      <c r="BC879" s="28"/>
      <c r="BD879" s="54">
        <f t="shared" si="54"/>
        <v>-116.14500862371331</v>
      </c>
      <c r="BE879" s="54"/>
      <c r="BF879" s="54">
        <f t="shared" si="55"/>
        <v>-3.6690559817969586</v>
      </c>
      <c r="BG879" s="54"/>
      <c r="BH879" s="54">
        <f t="shared" si="56"/>
        <v>-139.16006898970642</v>
      </c>
      <c r="BI879" s="54"/>
      <c r="BJ879" s="3"/>
    </row>
    <row r="880" spans="2:62" ht="11.25" customHeight="1">
      <c r="B880" s="2"/>
      <c r="F880" s="1" t="s">
        <v>4</v>
      </c>
      <c r="H880" s="24">
        <f>+AF886</f>
        <v>258.75</v>
      </c>
      <c r="I880" s="24"/>
      <c r="J880" s="1" t="s">
        <v>0</v>
      </c>
      <c r="AC880" s="1" t="s">
        <v>7</v>
      </c>
      <c r="AE880" s="24">
        <f>+Z887</f>
        <v>211.25</v>
      </c>
      <c r="AF880" s="24"/>
      <c r="AG880" s="1" t="s">
        <v>0</v>
      </c>
      <c r="AV880" s="25">
        <v>19</v>
      </c>
      <c r="AW880" s="26"/>
      <c r="AX880" s="30">
        <f t="shared" si="58"/>
        <v>12.666666666666663</v>
      </c>
      <c r="AY880" s="28"/>
      <c r="AZ880" s="54">
        <f t="shared" si="53"/>
        <v>6.4978628965393117</v>
      </c>
      <c r="BA880" s="54"/>
      <c r="BB880" s="28">
        <f t="shared" si="52"/>
        <v>54.314665287347978</v>
      </c>
      <c r="BC880" s="28"/>
      <c r="BD880" s="54">
        <f t="shared" si="54"/>
        <v>-115.93716179582378</v>
      </c>
      <c r="BE880" s="54"/>
      <c r="BF880" s="54">
        <f t="shared" si="55"/>
        <v>7.8549038650375138</v>
      </c>
      <c r="BG880" s="54"/>
      <c r="BH880" s="54">
        <f t="shared" si="56"/>
        <v>-137.4972943665901</v>
      </c>
      <c r="BI880" s="54"/>
      <c r="BJ880" s="3"/>
    </row>
    <row r="881" spans="2:62" ht="11.25" customHeight="1">
      <c r="B881" s="2"/>
      <c r="J881" s="24" t="s">
        <v>48</v>
      </c>
      <c r="K881" s="24"/>
      <c r="P881" s="24" t="s">
        <v>69</v>
      </c>
      <c r="Q881" s="24"/>
      <c r="W881" s="24">
        <f>+T883/2-AC881</f>
        <v>6</v>
      </c>
      <c r="X881" s="24"/>
      <c r="Y881" s="1" t="s">
        <v>1</v>
      </c>
      <c r="AC881" s="34">
        <v>2</v>
      </c>
      <c r="AD881" s="34"/>
      <c r="AE881" s="1" t="s">
        <v>1</v>
      </c>
      <c r="AV881" s="25">
        <v>20</v>
      </c>
      <c r="AW881" s="26"/>
      <c r="AX881" s="30">
        <f t="shared" si="58"/>
        <v>13.333333333333329</v>
      </c>
      <c r="AY881" s="28"/>
      <c r="AZ881" s="54">
        <f t="shared" si="53"/>
        <v>5.9628479399994436</v>
      </c>
      <c r="BA881" s="54"/>
      <c r="BB881" s="28">
        <f t="shared" si="52"/>
        <v>48.189685104221454</v>
      </c>
      <c r="BC881" s="28"/>
      <c r="BD881" s="54">
        <f t="shared" si="54"/>
        <v>-114.43723759270142</v>
      </c>
      <c r="BE881" s="54"/>
      <c r="BF881" s="54">
        <f t="shared" si="55"/>
        <v>20.180278792712542</v>
      </c>
      <c r="BG881" s="54"/>
      <c r="BH881" s="54">
        <f t="shared" si="56"/>
        <v>-125.49790074161152</v>
      </c>
      <c r="BI881" s="54"/>
      <c r="BJ881" s="3"/>
    </row>
    <row r="882" spans="2:62" ht="11.25" customHeight="1">
      <c r="B882" s="2"/>
      <c r="AV882" s="25">
        <v>21</v>
      </c>
      <c r="AW882" s="26"/>
      <c r="AX882" s="33">
        <f t="shared" si="58"/>
        <v>13.999999999999995</v>
      </c>
      <c r="AY882" s="25"/>
      <c r="AZ882" s="55">
        <f t="shared" si="53"/>
        <v>5.2915026221291876</v>
      </c>
      <c r="BA882" s="55"/>
      <c r="BB882" s="25">
        <f t="shared" si="52"/>
        <v>41.40962210927092</v>
      </c>
      <c r="BC882" s="25"/>
      <c r="BD882" s="55">
        <f t="shared" si="54"/>
        <v>-111.25448549190712</v>
      </c>
      <c r="BE882" s="55"/>
      <c r="BF882" s="55">
        <f t="shared" si="55"/>
        <v>33.549433049323326</v>
      </c>
      <c r="BG882" s="55"/>
      <c r="BH882" s="55">
        <f t="shared" si="56"/>
        <v>-100.03588393525695</v>
      </c>
      <c r="BI882" s="55"/>
      <c r="BJ882" s="3"/>
    </row>
    <row r="883" spans="2:62" ht="11.25" customHeight="1">
      <c r="B883" s="2"/>
      <c r="T883" s="34">
        <v>16</v>
      </c>
      <c r="U883" s="34"/>
      <c r="V883" s="1" t="s">
        <v>1</v>
      </c>
      <c r="AV883" s="25">
        <v>22</v>
      </c>
      <c r="AW883" s="26"/>
      <c r="AX883" s="33">
        <f>($T$883/2-$AC$881)/9+AX881+0.000001</f>
        <v>14.000000999999994</v>
      </c>
      <c r="AY883" s="25"/>
      <c r="AZ883" s="55">
        <f t="shared" si="53"/>
        <v>5.2915014882355527</v>
      </c>
      <c r="BA883" s="55"/>
      <c r="BB883" s="25">
        <f t="shared" si="52"/>
        <v>41.40961128138521</v>
      </c>
      <c r="BC883" s="25"/>
      <c r="BD883" s="55">
        <f t="shared" si="54"/>
        <v>-223.75449790165743</v>
      </c>
      <c r="BE883" s="55"/>
      <c r="BF883" s="55">
        <f t="shared" si="55"/>
        <v>-65.666198829970128</v>
      </c>
      <c r="BG883" s="55"/>
      <c r="BH883" s="55">
        <f t="shared" si="56"/>
        <v>-100.0359832132595</v>
      </c>
      <c r="BI883" s="55"/>
      <c r="BJ883" s="3"/>
    </row>
    <row r="884" spans="2:62" ht="11.25" customHeight="1">
      <c r="B884" s="2"/>
      <c r="AV884" s="25">
        <v>23</v>
      </c>
      <c r="AW884" s="26"/>
      <c r="AX884" s="30">
        <f>$AC$881/9+AX882</f>
        <v>14.222222222222216</v>
      </c>
      <c r="AY884" s="28"/>
      <c r="AZ884" s="54">
        <f t="shared" si="53"/>
        <v>5.0283148884376789</v>
      </c>
      <c r="BA884" s="54"/>
      <c r="BB884" s="28">
        <f t="shared" si="52"/>
        <v>38.942441268981455</v>
      </c>
      <c r="BC884" s="28"/>
      <c r="BD884" s="54">
        <f t="shared" si="54"/>
        <v>-226.37381745970799</v>
      </c>
      <c r="BE884" s="54"/>
      <c r="BF884" s="54">
        <f t="shared" si="55"/>
        <v>-55.973384467251975</v>
      </c>
      <c r="BG884" s="54"/>
      <c r="BH884" s="54">
        <f t="shared" si="56"/>
        <v>-120.99053967766395</v>
      </c>
      <c r="BI884" s="54"/>
      <c r="BJ884" s="3"/>
    </row>
    <row r="885" spans="2:62" ht="11.25" customHeight="1">
      <c r="B885" s="2"/>
      <c r="F885" s="4" t="s">
        <v>28</v>
      </c>
      <c r="AV885" s="25">
        <v>24</v>
      </c>
      <c r="AW885" s="26"/>
      <c r="AX885" s="30">
        <f>$AC$881/9+AX884</f>
        <v>14.444444444444438</v>
      </c>
      <c r="AY885" s="28"/>
      <c r="AZ885" s="54">
        <f t="shared" si="53"/>
        <v>4.7401620017114627</v>
      </c>
      <c r="BA885" s="54"/>
      <c r="BB885" s="28">
        <f t="shared" si="52"/>
        <v>36.336057514614019</v>
      </c>
      <c r="BC885" s="28"/>
      <c r="BD885" s="54">
        <f t="shared" si="54"/>
        <v>-228.68498581973677</v>
      </c>
      <c r="BE885" s="54"/>
      <c r="BF885" s="54">
        <f t="shared" si="55"/>
        <v>-45.621291746582287</v>
      </c>
      <c r="BG885" s="54"/>
      <c r="BH885" s="54">
        <f t="shared" si="56"/>
        <v>-139.47988655789436</v>
      </c>
      <c r="BI885" s="54"/>
      <c r="BJ885" s="3"/>
    </row>
    <row r="886" spans="2:62" ht="11.25" customHeight="1">
      <c r="B886" s="2"/>
      <c r="F886" s="1" t="s">
        <v>11</v>
      </c>
      <c r="H886" s="24">
        <f>+T883</f>
        <v>16</v>
      </c>
      <c r="I886" s="24"/>
      <c r="J886" s="7" t="s">
        <v>9</v>
      </c>
      <c r="K886" s="24">
        <f>+M859</f>
        <v>40</v>
      </c>
      <c r="L886" s="24"/>
      <c r="M886" s="7" t="s">
        <v>10</v>
      </c>
      <c r="N886" s="24">
        <f>+T883/2</f>
        <v>8</v>
      </c>
      <c r="O886" s="24"/>
      <c r="P886" s="7" t="s">
        <v>10</v>
      </c>
      <c r="Q886" s="24">
        <f>+T883/2+T883/4</f>
        <v>12</v>
      </c>
      <c r="R886" s="24"/>
      <c r="S886" s="7" t="s">
        <v>9</v>
      </c>
      <c r="T886" s="24">
        <f>+AB863</f>
        <v>150</v>
      </c>
      <c r="U886" s="24"/>
      <c r="V886" s="7" t="s">
        <v>10</v>
      </c>
      <c r="W886" s="24">
        <f>+AC881</f>
        <v>2</v>
      </c>
      <c r="X886" s="24"/>
      <c r="Y886" s="7" t="s">
        <v>12</v>
      </c>
      <c r="Z886" s="1">
        <v>0</v>
      </c>
      <c r="AD886" s="1" t="s">
        <v>4</v>
      </c>
      <c r="AF886" s="24">
        <f>(K886*N886*Q886+T886*W886)/H886</f>
        <v>258.75</v>
      </c>
      <c r="AG886" s="24"/>
      <c r="AH886" s="1" t="s">
        <v>0</v>
      </c>
      <c r="AV886" s="25">
        <v>25</v>
      </c>
      <c r="AW886" s="26"/>
      <c r="AX886" s="30">
        <f t="shared" ref="AX886:AX892" si="59">$AC$881/9+AX885</f>
        <v>14.666666666666659</v>
      </c>
      <c r="AY886" s="28"/>
      <c r="AZ886" s="54">
        <f t="shared" si="53"/>
        <v>4.4221663871405443</v>
      </c>
      <c r="BA886" s="54"/>
      <c r="BB886" s="28">
        <f t="shared" si="52"/>
        <v>33.557309761920813</v>
      </c>
      <c r="BC886" s="28"/>
      <c r="BD886" s="54">
        <f t="shared" si="54"/>
        <v>-230.62778300793255</v>
      </c>
      <c r="BE886" s="54"/>
      <c r="BF886" s="54">
        <f t="shared" si="55"/>
        <v>-34.48116449376343</v>
      </c>
      <c r="BG886" s="54"/>
      <c r="BH886" s="54">
        <f t="shared" si="56"/>
        <v>-155.02226406346045</v>
      </c>
      <c r="BI886" s="54"/>
      <c r="BJ886" s="3"/>
    </row>
    <row r="887" spans="2:62" ht="11.25" customHeight="1">
      <c r="B887" s="2"/>
      <c r="F887" s="1" t="s">
        <v>13</v>
      </c>
      <c r="H887" s="24">
        <f>+H880</f>
        <v>258.75</v>
      </c>
      <c r="I887" s="24"/>
      <c r="J887" s="7" t="s">
        <v>9</v>
      </c>
      <c r="K887" s="24">
        <f>+M859</f>
        <v>40</v>
      </c>
      <c r="L887" s="24"/>
      <c r="M887" s="7" t="s">
        <v>10</v>
      </c>
      <c r="N887" s="24">
        <f>+T883/2</f>
        <v>8</v>
      </c>
      <c r="O887" s="24"/>
      <c r="P887" s="7" t="s">
        <v>9</v>
      </c>
      <c r="Q887" s="24">
        <f>+AB863</f>
        <v>150</v>
      </c>
      <c r="R887" s="24"/>
      <c r="S887" s="7" t="s">
        <v>12</v>
      </c>
      <c r="T887" s="1">
        <v>0</v>
      </c>
      <c r="X887" s="1" t="s">
        <v>7</v>
      </c>
      <c r="Z887" s="24">
        <f>+K887*N887+Q887-H887</f>
        <v>211.25</v>
      </c>
      <c r="AA887" s="24"/>
      <c r="AB887" s="1" t="s">
        <v>0</v>
      </c>
      <c r="AV887" s="25">
        <v>26</v>
      </c>
      <c r="AW887" s="26"/>
      <c r="AX887" s="30">
        <f t="shared" si="59"/>
        <v>14.88888888888888</v>
      </c>
      <c r="AY887" s="28"/>
      <c r="AZ887" s="54">
        <f t="shared" si="53"/>
        <v>4.0673344928273751</v>
      </c>
      <c r="BA887" s="54"/>
      <c r="BB887" s="28">
        <f t="shared" si="52"/>
        <v>30.558431785934985</v>
      </c>
      <c r="BC887" s="28"/>
      <c r="BD887" s="54">
        <f t="shared" si="54"/>
        <v>-232.11588236805991</v>
      </c>
      <c r="BE887" s="54"/>
      <c r="BF887" s="54">
        <f t="shared" si="55"/>
        <v>-22.368329229000764</v>
      </c>
      <c r="BG887" s="54"/>
      <c r="BH887" s="54">
        <f t="shared" si="56"/>
        <v>-166.92705894447928</v>
      </c>
      <c r="BI887" s="54"/>
      <c r="BJ887" s="3"/>
    </row>
    <row r="888" spans="2:62" ht="11.25" customHeight="1">
      <c r="B888" s="2"/>
      <c r="F888" s="1" t="s">
        <v>14</v>
      </c>
      <c r="H888" s="24">
        <f>+AM868</f>
        <v>8</v>
      </c>
      <c r="I888" s="24"/>
      <c r="J888" s="7" t="s">
        <v>9</v>
      </c>
      <c r="K888" s="24">
        <f>+H880</f>
        <v>258.75</v>
      </c>
      <c r="L888" s="24"/>
      <c r="M888" s="7" t="s">
        <v>10</v>
      </c>
      <c r="N888" s="24">
        <f>+T883/2</f>
        <v>8</v>
      </c>
      <c r="O888" s="24"/>
      <c r="P888" s="7" t="s">
        <v>15</v>
      </c>
      <c r="Q888" s="24">
        <f>+M859</f>
        <v>40</v>
      </c>
      <c r="R888" s="24"/>
      <c r="S888" s="7" t="s">
        <v>10</v>
      </c>
      <c r="T888" s="24">
        <f>+T883/2</f>
        <v>8</v>
      </c>
      <c r="U888" s="24"/>
      <c r="V888" s="7" t="s">
        <v>10</v>
      </c>
      <c r="W888" s="24">
        <f>+T888/2</f>
        <v>4</v>
      </c>
      <c r="X888" s="24"/>
      <c r="Y888" s="7" t="s">
        <v>12</v>
      </c>
      <c r="Z888" s="1">
        <v>0</v>
      </c>
      <c r="AD888" s="1" t="s">
        <v>5</v>
      </c>
      <c r="AF888" s="24">
        <f>(K888*N888-Q888*T888*W888)/H888</f>
        <v>98.75</v>
      </c>
      <c r="AG888" s="24"/>
      <c r="AH888" s="1" t="s">
        <v>0</v>
      </c>
      <c r="AV888" s="25">
        <v>27</v>
      </c>
      <c r="AW888" s="26"/>
      <c r="AX888" s="30">
        <f t="shared" si="59"/>
        <v>15.111111111111102</v>
      </c>
      <c r="AY888" s="28"/>
      <c r="AZ888" s="54">
        <f t="shared" si="53"/>
        <v>3.6649827783268281</v>
      </c>
      <c r="BA888" s="54"/>
      <c r="BB888" s="28">
        <f t="shared" si="52"/>
        <v>27.26604445073297</v>
      </c>
      <c r="BC888" s="28"/>
      <c r="BD888" s="54">
        <f t="shared" si="54"/>
        <v>-233.01740894774935</v>
      </c>
      <c r="BE888" s="54"/>
      <c r="BF888" s="54">
        <f t="shared" si="55"/>
        <v>-9.0006737124151499</v>
      </c>
      <c r="BG888" s="54"/>
      <c r="BH888" s="54">
        <f t="shared" si="56"/>
        <v>-174.13927158199456</v>
      </c>
      <c r="BI888" s="54"/>
      <c r="BJ888" s="3"/>
    </row>
    <row r="889" spans="2:62" ht="11.25" customHeight="1">
      <c r="B889" s="2"/>
      <c r="F889" s="1" t="s">
        <v>16</v>
      </c>
      <c r="H889" s="24">
        <f>+AM868</f>
        <v>8</v>
      </c>
      <c r="I889" s="24"/>
      <c r="J889" s="7" t="s">
        <v>9</v>
      </c>
      <c r="K889" s="24">
        <f>+AE880</f>
        <v>211.25</v>
      </c>
      <c r="L889" s="24"/>
      <c r="M889" s="7" t="s">
        <v>10</v>
      </c>
      <c r="N889" s="24">
        <f>+T883/2</f>
        <v>8</v>
      </c>
      <c r="O889" s="24"/>
      <c r="P889" s="7" t="s">
        <v>15</v>
      </c>
      <c r="Q889" s="24">
        <f>+AB863</f>
        <v>150</v>
      </c>
      <c r="R889" s="24"/>
      <c r="S889" s="7" t="s">
        <v>10</v>
      </c>
      <c r="T889" s="24">
        <f>+W881</f>
        <v>6</v>
      </c>
      <c r="U889" s="24"/>
      <c r="V889" s="7" t="s">
        <v>12</v>
      </c>
      <c r="W889" s="1">
        <v>0</v>
      </c>
      <c r="AA889" s="1" t="s">
        <v>6</v>
      </c>
      <c r="AC889" s="24">
        <f>(K889*N889-Q889*T889)/H889</f>
        <v>98.75</v>
      </c>
      <c r="AD889" s="24"/>
      <c r="AE889" s="1" t="s">
        <v>0</v>
      </c>
      <c r="AV889" s="25">
        <v>28</v>
      </c>
      <c r="AW889" s="26"/>
      <c r="AX889" s="30">
        <f t="shared" si="59"/>
        <v>15.333333333333323</v>
      </c>
      <c r="AY889" s="28"/>
      <c r="AZ889" s="54">
        <f t="shared" si="53"/>
        <v>3.1972210155418352</v>
      </c>
      <c r="BA889" s="54"/>
      <c r="BB889" s="28">
        <f t="shared" si="52"/>
        <v>23.556464309101401</v>
      </c>
      <c r="BC889" s="28"/>
      <c r="BD889" s="54">
        <f t="shared" si="54"/>
        <v>-233.11153024392758</v>
      </c>
      <c r="BE889" s="54"/>
      <c r="BF889" s="54">
        <f t="shared" si="55"/>
        <v>6.0942158916816282</v>
      </c>
      <c r="BG889" s="54"/>
      <c r="BH889" s="54">
        <f t="shared" si="56"/>
        <v>-174.8922419514208</v>
      </c>
      <c r="BI889" s="54"/>
      <c r="BJ889" s="3"/>
    </row>
    <row r="890" spans="2:62" ht="11.25" customHeight="1">
      <c r="B890" s="2"/>
      <c r="F890" s="4"/>
      <c r="H890" s="7"/>
      <c r="I890" s="7"/>
      <c r="J890" s="7"/>
      <c r="K890" s="7"/>
      <c r="L890" s="7"/>
      <c r="M890" s="7"/>
      <c r="V890" s="7"/>
      <c r="AC890" s="7"/>
      <c r="AD890" s="7"/>
      <c r="AE890" s="7"/>
      <c r="AL890" s="7"/>
      <c r="AM890" s="7"/>
      <c r="AV890" s="25">
        <v>29</v>
      </c>
      <c r="AW890" s="26"/>
      <c r="AX890" s="30">
        <f t="shared" si="59"/>
        <v>15.555555555555545</v>
      </c>
      <c r="AY890" s="28"/>
      <c r="AZ890" s="54">
        <f t="shared" si="53"/>
        <v>2.6293687924887479</v>
      </c>
      <c r="BA890" s="54"/>
      <c r="BB890" s="28">
        <f t="shared" si="52"/>
        <v>19.18813645372115</v>
      </c>
      <c r="BC890" s="28"/>
      <c r="BD890" s="54">
        <f t="shared" si="54"/>
        <v>-231.97015992117161</v>
      </c>
      <c r="BE890" s="54"/>
      <c r="BF890" s="54">
        <f t="shared" si="55"/>
        <v>23.832119212232769</v>
      </c>
      <c r="BG890" s="54"/>
      <c r="BH890" s="54">
        <f t="shared" si="56"/>
        <v>-165.76127936937269</v>
      </c>
      <c r="BI890" s="54"/>
      <c r="BJ890" s="3"/>
    </row>
    <row r="891" spans="2:62" ht="11.25" customHeight="1">
      <c r="B891" s="2"/>
      <c r="J891" s="7"/>
      <c r="R891" s="7"/>
      <c r="AC891" s="7"/>
      <c r="AV891" s="25">
        <v>30</v>
      </c>
      <c r="AW891" s="26"/>
      <c r="AX891" s="30">
        <f t="shared" si="59"/>
        <v>15.777777777777766</v>
      </c>
      <c r="AY891" s="28"/>
      <c r="AZ891" s="54">
        <f t="shared" si="53"/>
        <v>1.8724777273725723</v>
      </c>
      <c r="BA891" s="54"/>
      <c r="BB891" s="28">
        <f t="shared" si="52"/>
        <v>13.536202737381508</v>
      </c>
      <c r="BC891" s="28"/>
      <c r="BD891" s="54">
        <f t="shared" si="54"/>
        <v>-228.49534139169933</v>
      </c>
      <c r="BE891" s="54"/>
      <c r="BF891" s="54">
        <f t="shared" si="55"/>
        <v>46.561829456012312</v>
      </c>
      <c r="BG891" s="54"/>
      <c r="BH891" s="54">
        <f t="shared" si="56"/>
        <v>-137.96273113359462</v>
      </c>
      <c r="BI891" s="54"/>
      <c r="BJ891" s="3"/>
    </row>
    <row r="892" spans="2:62" ht="11.25" customHeight="1">
      <c r="B892" s="2"/>
      <c r="J892" s="7"/>
      <c r="R892" s="7"/>
      <c r="AC892" s="7"/>
      <c r="AV892" s="25">
        <v>31</v>
      </c>
      <c r="AW892" s="26"/>
      <c r="AX892" s="30">
        <f t="shared" si="59"/>
        <v>15.999999999999988</v>
      </c>
      <c r="AY892" s="28"/>
      <c r="AZ892" s="54">
        <f t="shared" si="53"/>
        <v>0</v>
      </c>
      <c r="BA892" s="54"/>
      <c r="BB892" s="28">
        <f>IF(T883=AX892,0,IF(AX892&lt;=$T$883/2,ACOS(($W$869-AX892)/$W$869)*180/PI(),ACOS((AX892-$W$869)/$W$869)*180/PI()))</f>
        <v>0</v>
      </c>
      <c r="BC892" s="28"/>
      <c r="BD892" s="54">
        <f t="shared" si="54"/>
        <v>-211.25</v>
      </c>
      <c r="BE892" s="54"/>
      <c r="BF892" s="54">
        <f t="shared" si="55"/>
        <v>98.75</v>
      </c>
      <c r="BG892" s="54"/>
      <c r="BH892" s="54">
        <f t="shared" si="56"/>
        <v>2.6267876762631204E-12</v>
      </c>
      <c r="BI892" s="54"/>
      <c r="BJ892" s="3"/>
    </row>
    <row r="893" spans="2:62" ht="11.25" customHeight="1">
      <c r="B893" s="2"/>
      <c r="J893" s="7"/>
      <c r="M893" s="7"/>
      <c r="P893" s="7"/>
      <c r="S893" s="7"/>
      <c r="V893" s="7"/>
      <c r="BJ893" s="3"/>
    </row>
    <row r="894" spans="2:62" ht="11.25" customHeight="1">
      <c r="B894" s="2"/>
      <c r="D894" s="12" t="s">
        <v>39</v>
      </c>
      <c r="J894" s="7"/>
      <c r="K894" s="7"/>
      <c r="BJ894" s="3"/>
    </row>
    <row r="895" spans="2:62" ht="11.25" customHeight="1">
      <c r="B895" s="2"/>
      <c r="N895" s="34">
        <v>15</v>
      </c>
      <c r="O895" s="34"/>
      <c r="P895" s="1" t="s">
        <v>3</v>
      </c>
      <c r="Y895" s="34">
        <v>25</v>
      </c>
      <c r="Z895" s="34"/>
      <c r="AA895" s="1" t="s">
        <v>3</v>
      </c>
      <c r="AV895" s="25" t="s">
        <v>59</v>
      </c>
      <c r="AW895" s="26"/>
      <c r="AX895" s="33" t="s">
        <v>48</v>
      </c>
      <c r="AY895" s="25"/>
      <c r="AZ895" s="25" t="s">
        <v>58</v>
      </c>
      <c r="BA895" s="25"/>
      <c r="BB895" s="56" t="s">
        <v>66</v>
      </c>
      <c r="BC895" s="25"/>
      <c r="BD895" s="25" t="s">
        <v>62</v>
      </c>
      <c r="BE895" s="25"/>
      <c r="BF895" s="25" t="s">
        <v>65</v>
      </c>
      <c r="BG895" s="25"/>
      <c r="BH895" s="25" t="s">
        <v>63</v>
      </c>
      <c r="BI895" s="25"/>
      <c r="BJ895" s="3"/>
    </row>
    <row r="896" spans="2:62" ht="11.25" customHeight="1" thickBot="1">
      <c r="B896" s="2"/>
      <c r="AV896" s="57"/>
      <c r="AW896" s="61"/>
      <c r="AX896" s="47" t="s">
        <v>60</v>
      </c>
      <c r="AY896" s="57"/>
      <c r="AZ896" s="57" t="s">
        <v>60</v>
      </c>
      <c r="BA896" s="57"/>
      <c r="BB896" s="57" t="s">
        <v>67</v>
      </c>
      <c r="BC896" s="57"/>
      <c r="BD896" s="57" t="s">
        <v>61</v>
      </c>
      <c r="BE896" s="57"/>
      <c r="BF896" s="57" t="s">
        <v>61</v>
      </c>
      <c r="BG896" s="57"/>
      <c r="BH896" s="57" t="s">
        <v>64</v>
      </c>
      <c r="BI896" s="57"/>
      <c r="BJ896" s="3"/>
    </row>
    <row r="897" spans="2:62" ht="11.25" customHeight="1" thickTop="1">
      <c r="B897" s="2"/>
      <c r="AV897" s="58">
        <v>0</v>
      </c>
      <c r="AW897" s="59"/>
      <c r="AX897" s="60">
        <v>0</v>
      </c>
      <c r="AY897" s="54"/>
      <c r="AZ897" s="54">
        <f>$AN$901-$U$905+SQRT($U$905^2-($T$918/2-AX897)^2)</f>
        <v>0</v>
      </c>
      <c r="BA897" s="54"/>
      <c r="BB897" s="54">
        <f>ASIN(($U$905-$AN$901+AZ897)/$U$905)*180/PI()</f>
        <v>56.601511532012758</v>
      </c>
      <c r="BC897" s="54"/>
      <c r="BD897" s="54">
        <f>IF(AX897&lt;=$T$918/2,-$H$910*COS(BB897*PI()/180)-$F$905*SIN(BB897*PI()/180)+$N$895*AX897*COS(BB897*PI()/180),IF(AND($T$918/2&lt;AX897,AX897&lt;=($T$918-$AC$916)),-$AE$910*COS(BB897*PI()/180)-$AI$905*SIN(BB897*PI()/180)+$Y$895*($T$918-AX897)*COS(BB897*PI()/180)+$AA$898*COS(BB897*PI()/180),-$AE$910*COS(BB897*PI()/180)-$AI$905*SIN(BB897*PI()/180)+$Y$895*($T$918-AX897)*COS(BB897*PI()/180)))</f>
        <v>-1623.4709480122324</v>
      </c>
      <c r="BE897" s="54"/>
      <c r="BF897" s="54">
        <f>IF(AX897&lt;=$T$918/2,$H$910*SIN(BB897*PI()/180)-$F$905*COS(BB897*PI()/180)-$N$895*AX897*SIN(BB897*PI()/180),IF(AND($T$918/2&lt;AX897,AX897&lt;=($T$918-$AC$916)),-$AE$910*SIN(BB897*PI()/180)+$AI$905*COS(BB897*PI()/180)+$Y$895*($T$918-AX897)*SIN(BB897*PI()/180)+$AA$898*SIN(BB897*PI()/180),-$AE$910*SIN(BB897*PI()/180)+$AI$905*COS(BB897*PI()/180)+$Y$895*($T$918-AX897)*SIN(BB897*PI()/180)))</f>
        <v>-187.04128440366958</v>
      </c>
      <c r="BG897" s="54"/>
      <c r="BH897" s="54">
        <f>IF(AX897&lt;=$T$918/2,$H$910*AX897-$F$905*AZ897-$N$895*AX897*AX897/2,IF(AND($T$918/2&lt;AX897,AX897&lt;=($T$918-$AC$916)),$AE$910*($T$918-AX897)-$AI$905*AZ897-$Y$895*($T$918-AX897)*($T$918-AX897)/2-$AA$898*($T$918/2+$W$916-AX897),$AE$910*($T$918-AX897)-$AI$905*AZ897-$Y$895*($T$918-AX897)*($T$918-AX897)/2))</f>
        <v>0</v>
      </c>
      <c r="BI897" s="54"/>
      <c r="BJ897" s="3"/>
    </row>
    <row r="898" spans="2:62" ht="11.25" customHeight="1">
      <c r="B898" s="2"/>
      <c r="T898" s="1" t="s">
        <v>18</v>
      </c>
      <c r="AA898" s="34">
        <v>150</v>
      </c>
      <c r="AB898" s="34"/>
      <c r="AC898" s="1" t="s">
        <v>0</v>
      </c>
      <c r="AV898" s="25">
        <v>1</v>
      </c>
      <c r="AW898" s="26"/>
      <c r="AX898" s="30">
        <f>($T$918/2)/12+AX897</f>
        <v>3.3333333333333335</v>
      </c>
      <c r="AY898" s="28"/>
      <c r="AZ898" s="54">
        <f t="shared" ref="AZ898:AZ928" si="60">$AN$901-$U$905+SQRT($U$905^2-($T$918/2-AX898)^2)</f>
        <v>2.0708818987658262</v>
      </c>
      <c r="BA898" s="54"/>
      <c r="BB898" s="54">
        <f t="shared" ref="BB898:BB928" si="61">ASIN(($U$905-$AN$901+AZ898)/$U$905)*180/PI()</f>
        <v>59.696049308382968</v>
      </c>
      <c r="BC898" s="54"/>
      <c r="BD898" s="54">
        <f t="shared" ref="BD898:BD928" si="62">IF(AX898&lt;=$T$918/2,-$H$910*COS(BB898*PI()/180)-$F$905*SIN(BB898*PI()/180)+$N$895*AX898*COS(BB898*PI()/180),IF(AND($T$918/2&lt;AX898,AX898&lt;=($T$918-$AC$916)),-$AE$910*COS(BB898*PI()/180)-$AI$905*SIN(BB898*PI()/180)+$Y$895*($T$918-AX898)*COS(BB898*PI()/180)+$AA$898*COS(BB898*PI()/180),-$AE$910*COS(BB898*PI()/180)-$AI$905*SIN(BB898*PI()/180)+$Y$895*($T$918-AX898)*COS(BB898*PI()/180)))</f>
        <v>-1605.9714448337941</v>
      </c>
      <c r="BE898" s="54"/>
      <c r="BF898" s="54">
        <f t="shared" ref="BF898:BF928" si="63">IF(AX898&lt;=$T$918/2,$H$910*SIN(BB898*PI()/180)-$F$905*COS(BB898*PI()/180)-$N$895*AX898*SIN(BB898*PI()/180),IF(AND($T$918/2&lt;AX898,AX898&lt;=($T$918-$AC$916)),-$AE$910*SIN(BB898*PI()/180)+$AI$905*COS(BB898*PI()/180)+$Y$895*($T$918-AX898)*SIN(BB898*PI()/180)+$AA$898*SIN(BB898*PI()/180),-$AE$910*SIN(BB898*PI()/180)+$AI$905*COS(BB898*PI()/180)+$Y$895*($T$918-AX898)*SIN(BB898*PI()/180)))</f>
        <v>-142.29574656175274</v>
      </c>
      <c r="BG898" s="54"/>
      <c r="BH898" s="54">
        <f t="shared" ref="BH898:BH928" si="64">IF(AX898&lt;=$T$918/2,$H$910*AX898-$F$905*AZ898-$N$895*AX898*AX898/2,IF(AND($T$918/2&lt;AX898,AX898&lt;=($T$918-$AC$916)),$AE$910*($T$918-AX898)-$AI$905*AZ898-$Y$895*($T$918-AX898)*($T$918-AX898)/2-$AA$898*($T$918/2+$W$916-AX898),$AE$910*($T$918-AX898)-$AI$905*AZ898-$Y$895*($T$918-AX898)*($T$918-AX898)/2))</f>
        <v>-645.0361023668296</v>
      </c>
      <c r="BI898" s="54"/>
      <c r="BJ898" s="3"/>
    </row>
    <row r="899" spans="2:62" ht="11.25" customHeight="1">
      <c r="B899" s="2"/>
      <c r="C899" s="24" t="s">
        <v>71</v>
      </c>
      <c r="D899" s="24"/>
      <c r="E899" s="75"/>
      <c r="AK899" s="24">
        <f>U905-SQRT(U905^2-W916^2)</f>
        <v>2.8064888509436088</v>
      </c>
      <c r="AL899" s="24"/>
      <c r="AM899" s="75" t="s">
        <v>1</v>
      </c>
      <c r="AV899" s="25">
        <v>2</v>
      </c>
      <c r="AW899" s="26"/>
      <c r="AX899" s="30">
        <f t="shared" ref="AX899:AX909" si="65">($T$918/2)/12+AX898</f>
        <v>6.666666666666667</v>
      </c>
      <c r="AY899" s="28"/>
      <c r="AZ899" s="54">
        <f t="shared" si="60"/>
        <v>3.903708377414759</v>
      </c>
      <c r="BA899" s="54"/>
      <c r="BB899" s="54">
        <f t="shared" si="61"/>
        <v>62.695741708031029</v>
      </c>
      <c r="BC899" s="54"/>
      <c r="BD899" s="54">
        <f t="shared" si="62"/>
        <v>-1588.2816092562211</v>
      </c>
      <c r="BE899" s="54"/>
      <c r="BF899" s="54">
        <f t="shared" si="63"/>
        <v>-102.48849110792492</v>
      </c>
      <c r="BG899" s="54"/>
      <c r="BH899" s="54">
        <f t="shared" si="64"/>
        <v>-1109.5747170631898</v>
      </c>
      <c r="BI899" s="54"/>
      <c r="BJ899" s="3"/>
    </row>
    <row r="900" spans="2:62" ht="11.25" customHeight="1">
      <c r="B900" s="2"/>
      <c r="C900" s="24"/>
      <c r="D900" s="24"/>
      <c r="E900" s="75"/>
      <c r="M900" s="1" t="s">
        <v>17</v>
      </c>
      <c r="AB900" s="6" t="s">
        <v>30</v>
      </c>
      <c r="AK900" s="24"/>
      <c r="AL900" s="24"/>
      <c r="AM900" s="75"/>
      <c r="AN900" s="5" t="s">
        <v>1</v>
      </c>
      <c r="AV900" s="25">
        <v>3</v>
      </c>
      <c r="AW900" s="26"/>
      <c r="AX900" s="30">
        <f t="shared" si="65"/>
        <v>10</v>
      </c>
      <c r="AY900" s="28"/>
      <c r="AZ900" s="54">
        <f t="shared" si="60"/>
        <v>5.5182594452845706</v>
      </c>
      <c r="BA900" s="54"/>
      <c r="BB900" s="54">
        <f t="shared" si="61"/>
        <v>65.616381604965824</v>
      </c>
      <c r="BC900" s="54"/>
      <c r="BD900" s="54">
        <f t="shared" si="62"/>
        <v>-1570.7984024760856</v>
      </c>
      <c r="BE900" s="54"/>
      <c r="BF900" s="54">
        <f t="shared" si="63"/>
        <v>-66.96820058571501</v>
      </c>
      <c r="BG900" s="54"/>
      <c r="BH900" s="54">
        <f t="shared" si="64"/>
        <v>-1422.4616910399982</v>
      </c>
      <c r="BI900" s="54"/>
      <c r="BJ900" s="3"/>
    </row>
    <row r="901" spans="2:62" ht="11.25" customHeight="1">
      <c r="B901" s="2"/>
      <c r="AN901" s="38">
        <v>12</v>
      </c>
      <c r="AV901" s="25">
        <v>4</v>
      </c>
      <c r="AW901" s="26"/>
      <c r="AX901" s="30">
        <f t="shared" si="65"/>
        <v>13.333333333333334</v>
      </c>
      <c r="AY901" s="28"/>
      <c r="AZ901" s="54">
        <f t="shared" si="60"/>
        <v>6.9301774411268013</v>
      </c>
      <c r="BA901" s="54"/>
      <c r="BB901" s="54">
        <f t="shared" si="61"/>
        <v>68.470977170159955</v>
      </c>
      <c r="BC901" s="54"/>
      <c r="BD901" s="54">
        <f t="shared" si="62"/>
        <v>-1553.8357475761306</v>
      </c>
      <c r="BE901" s="54"/>
      <c r="BF901" s="54">
        <f t="shared" si="63"/>
        <v>-35.16860340756773</v>
      </c>
      <c r="BG901" s="54"/>
      <c r="BH901" s="54">
        <f t="shared" si="64"/>
        <v>-1606.5087683099168</v>
      </c>
      <c r="BI901" s="54"/>
      <c r="BJ901" s="3"/>
    </row>
    <row r="902" spans="2:62" ht="11.25" customHeight="1">
      <c r="B902" s="2"/>
      <c r="I902" s="1" t="s">
        <v>58</v>
      </c>
      <c r="AN902" s="38"/>
      <c r="AV902" s="25">
        <v>5</v>
      </c>
      <c r="AW902" s="26"/>
      <c r="AX902" s="30">
        <f t="shared" si="65"/>
        <v>16.666666666666668</v>
      </c>
      <c r="AY902" s="28"/>
      <c r="AZ902" s="54">
        <f t="shared" si="60"/>
        <v>8.1519354696743562</v>
      </c>
      <c r="BA902" s="54"/>
      <c r="BB902" s="54">
        <f t="shared" si="61"/>
        <v>71.270483230098449</v>
      </c>
      <c r="BC902" s="54"/>
      <c r="BD902" s="54">
        <f t="shared" si="62"/>
        <v>-1537.6439648921648</v>
      </c>
      <c r="BE902" s="54"/>
      <c r="BF902" s="54">
        <f t="shared" si="63"/>
        <v>-6.5877417841030308</v>
      </c>
      <c r="BG902" s="54"/>
      <c r="BH902" s="54">
        <f t="shared" si="64"/>
        <v>-1679.9058932751013</v>
      </c>
      <c r="BI902" s="54"/>
      <c r="BJ902" s="3"/>
    </row>
    <row r="903" spans="2:62" ht="11.25" customHeight="1">
      <c r="B903" s="2"/>
      <c r="C903" s="24" t="s">
        <v>58</v>
      </c>
      <c r="D903" s="24"/>
      <c r="AK903" s="24">
        <f>+AN901-AK899</f>
        <v>9.1935111490563912</v>
      </c>
      <c r="AL903" s="24"/>
      <c r="AM903" s="1" t="s">
        <v>1</v>
      </c>
      <c r="AN903" s="38"/>
      <c r="AV903" s="25">
        <v>6</v>
      </c>
      <c r="AW903" s="26"/>
      <c r="AX903" s="30">
        <f t="shared" si="65"/>
        <v>20</v>
      </c>
      <c r="AY903" s="28"/>
      <c r="AZ903" s="54">
        <f t="shared" si="60"/>
        <v>9.1935111490563912</v>
      </c>
      <c r="BA903" s="54"/>
      <c r="BB903" s="54">
        <f t="shared" si="61"/>
        <v>74.024317147937467</v>
      </c>
      <c r="BC903" s="54"/>
      <c r="BD903" s="54">
        <f t="shared" si="62"/>
        <v>-1522.4232933201301</v>
      </c>
      <c r="BE903" s="54"/>
      <c r="BF903" s="54">
        <f t="shared" si="63"/>
        <v>19.226987996038702</v>
      </c>
      <c r="BG903" s="54"/>
      <c r="BH903" s="54">
        <f t="shared" si="64"/>
        <v>-1657.2037590405707</v>
      </c>
      <c r="BI903" s="54"/>
      <c r="BJ903" s="3"/>
    </row>
    <row r="904" spans="2:62" ht="11.25" customHeight="1">
      <c r="B904" s="2"/>
      <c r="AN904" s="37" t="s">
        <v>42</v>
      </c>
      <c r="AV904" s="25">
        <v>7</v>
      </c>
      <c r="AW904" s="26"/>
      <c r="AX904" s="30">
        <f t="shared" si="65"/>
        <v>23.333333333333332</v>
      </c>
      <c r="AY904" s="28"/>
      <c r="AZ904" s="54">
        <f t="shared" si="60"/>
        <v>10.0628651193325</v>
      </c>
      <c r="BA904" s="54"/>
      <c r="BB904" s="54">
        <f t="shared" si="61"/>
        <v>76.74073440044117</v>
      </c>
      <c r="BC904" s="54"/>
      <c r="BD904" s="54">
        <f t="shared" si="62"/>
        <v>-1508.3334934116806</v>
      </c>
      <c r="BE904" s="54"/>
      <c r="BF904" s="54">
        <f t="shared" si="63"/>
        <v>42.68997263558424</v>
      </c>
      <c r="BG904" s="54"/>
      <c r="BH904" s="54">
        <f t="shared" si="64"/>
        <v>-1550.011632359895</v>
      </c>
      <c r="BI904" s="54"/>
      <c r="BJ904" s="3"/>
    </row>
    <row r="905" spans="2:62" ht="11.25" customHeight="1">
      <c r="B905" s="2"/>
      <c r="D905" s="1" t="s">
        <v>5</v>
      </c>
      <c r="F905" s="24">
        <f>+AF923</f>
        <v>1458.3333333333333</v>
      </c>
      <c r="G905" s="24"/>
      <c r="H905" s="1" t="s">
        <v>0</v>
      </c>
      <c r="L905" s="1" t="s">
        <v>48</v>
      </c>
      <c r="T905" s="1" t="s">
        <v>2</v>
      </c>
      <c r="U905" s="24">
        <f>(T918^2+4*AN901^2)/(8*AN901)</f>
        <v>72.666666666666671</v>
      </c>
      <c r="V905" s="24"/>
      <c r="W905" s="1" t="s">
        <v>1</v>
      </c>
      <c r="AE905" s="1" t="s">
        <v>33</v>
      </c>
      <c r="AG905" s="1" t="s">
        <v>6</v>
      </c>
      <c r="AI905" s="24">
        <f>+AL924</f>
        <v>1458.3333333333333</v>
      </c>
      <c r="AJ905" s="24"/>
      <c r="AK905" s="1" t="s">
        <v>0</v>
      </c>
      <c r="AN905" s="37"/>
      <c r="AV905" s="25">
        <v>8</v>
      </c>
      <c r="AW905" s="26"/>
      <c r="AX905" s="30">
        <f t="shared" si="65"/>
        <v>26.666666666666664</v>
      </c>
      <c r="AY905" s="28"/>
      <c r="AZ905" s="54">
        <f t="shared" si="60"/>
        <v>10.76628557994475</v>
      </c>
      <c r="BA905" s="54"/>
      <c r="BB905" s="54">
        <f t="shared" si="61"/>
        <v>79.427110410057537</v>
      </c>
      <c r="BC905" s="54"/>
      <c r="BD905" s="54">
        <f t="shared" si="62"/>
        <v>-1495.5007618299308</v>
      </c>
      <c r="BE905" s="54"/>
      <c r="BF905" s="54">
        <f t="shared" si="63"/>
        <v>64.185921175967053</v>
      </c>
      <c r="BG905" s="54"/>
      <c r="BH905" s="54">
        <f t="shared" si="64"/>
        <v>-1367.4998040860937</v>
      </c>
      <c r="BI905" s="54"/>
      <c r="BJ905" s="3"/>
    </row>
    <row r="906" spans="2:62" ht="11.25" customHeight="1">
      <c r="B906" s="2"/>
      <c r="AV906" s="25">
        <v>9</v>
      </c>
      <c r="AW906" s="26"/>
      <c r="AX906" s="30">
        <f t="shared" si="65"/>
        <v>29.999999999999996</v>
      </c>
      <c r="AY906" s="28"/>
      <c r="AZ906" s="54">
        <f t="shared" si="60"/>
        <v>11.308637740084151</v>
      </c>
      <c r="BA906" s="54"/>
      <c r="BB906" s="54">
        <f t="shared" si="61"/>
        <v>82.09015858856074</v>
      </c>
      <c r="BC906" s="54"/>
      <c r="BD906" s="54">
        <f t="shared" si="62"/>
        <v>-1484.0227375208021</v>
      </c>
      <c r="BE906" s="54"/>
      <c r="BF906" s="54">
        <f t="shared" si="63"/>
        <v>84.0766057377175</v>
      </c>
      <c r="BG906" s="54"/>
      <c r="BH906" s="54">
        <f t="shared" si="64"/>
        <v>-1116.763370956056</v>
      </c>
      <c r="BI906" s="54"/>
      <c r="BJ906" s="3"/>
    </row>
    <row r="907" spans="2:62" ht="11.25" customHeight="1">
      <c r="B907" s="2"/>
      <c r="AV907" s="25">
        <v>10</v>
      </c>
      <c r="AW907" s="26"/>
      <c r="AX907" s="30">
        <f t="shared" si="65"/>
        <v>33.333333333333329</v>
      </c>
      <c r="AY907" s="28"/>
      <c r="AZ907" s="54">
        <f t="shared" si="60"/>
        <v>11.693543393835512</v>
      </c>
      <c r="BA907" s="54"/>
      <c r="BB907" s="54">
        <f t="shared" si="61"/>
        <v>84.736104588146659</v>
      </c>
      <c r="BC907" s="54"/>
      <c r="BD907" s="54">
        <f t="shared" si="62"/>
        <v>-1473.9721055720042</v>
      </c>
      <c r="BE907" s="54"/>
      <c r="BF907" s="54">
        <f t="shared" si="63"/>
        <v>102.7063440433094</v>
      </c>
      <c r="BG907" s="54"/>
      <c r="BH907" s="54">
        <f t="shared" si="64"/>
        <v>-803.08411601012085</v>
      </c>
      <c r="BI907" s="54"/>
      <c r="BJ907" s="3"/>
    </row>
    <row r="908" spans="2:62" ht="11.25" customHeight="1">
      <c r="B908" s="2"/>
      <c r="AV908" s="25">
        <v>11</v>
      </c>
      <c r="AW908" s="26"/>
      <c r="AX908" s="30">
        <f t="shared" si="65"/>
        <v>36.666666666666664</v>
      </c>
      <c r="AY908" s="28"/>
      <c r="AZ908" s="54">
        <f t="shared" si="60"/>
        <v>11.923507140353067</v>
      </c>
      <c r="BA908" s="54"/>
      <c r="BB908" s="54">
        <f t="shared" si="61"/>
        <v>87.37083063334326</v>
      </c>
      <c r="BC908" s="54"/>
      <c r="BD908" s="54">
        <f t="shared" si="62"/>
        <v>-1465.3991303014279</v>
      </c>
      <c r="BE908" s="54"/>
      <c r="BF908" s="54">
        <f t="shared" si="63"/>
        <v>120.4066029042001</v>
      </c>
      <c r="BG908" s="54"/>
      <c r="BH908" s="54">
        <f t="shared" si="64"/>
        <v>-430.11457968155446</v>
      </c>
      <c r="BI908" s="54"/>
      <c r="BJ908" s="3"/>
    </row>
    <row r="909" spans="2:62" ht="11.25" customHeight="1">
      <c r="B909" s="2"/>
      <c r="AV909" s="25">
        <v>12</v>
      </c>
      <c r="AW909" s="26"/>
      <c r="AX909" s="30">
        <f t="shared" si="65"/>
        <v>40</v>
      </c>
      <c r="AY909" s="28"/>
      <c r="AZ909" s="54">
        <f t="shared" si="60"/>
        <v>12</v>
      </c>
      <c r="BA909" s="54"/>
      <c r="BB909" s="54">
        <f t="shared" si="61"/>
        <v>90</v>
      </c>
      <c r="BC909" s="54"/>
      <c r="BD909" s="54">
        <f t="shared" si="62"/>
        <v>-1458.3333333333333</v>
      </c>
      <c r="BE909" s="54"/>
      <c r="BF909" s="54">
        <f t="shared" si="63"/>
        <v>137.49999999999989</v>
      </c>
      <c r="BG909" s="54"/>
      <c r="BH909" s="54">
        <f t="shared" si="64"/>
        <v>0</v>
      </c>
      <c r="BI909" s="54"/>
      <c r="BJ909" s="3"/>
    </row>
    <row r="910" spans="2:62" ht="11.25" customHeight="1">
      <c r="B910" s="2"/>
      <c r="F910" s="1" t="s">
        <v>4</v>
      </c>
      <c r="H910" s="24">
        <f>+AO921</f>
        <v>737.5</v>
      </c>
      <c r="I910" s="24"/>
      <c r="J910" s="1" t="s">
        <v>0</v>
      </c>
      <c r="AC910" s="1" t="s">
        <v>7</v>
      </c>
      <c r="AE910" s="24">
        <f>+AF922</f>
        <v>1012.5</v>
      </c>
      <c r="AF910" s="24"/>
      <c r="AG910" s="1" t="s">
        <v>0</v>
      </c>
      <c r="AV910" s="25">
        <v>13</v>
      </c>
      <c r="AW910" s="26"/>
      <c r="AX910" s="30">
        <f>($T$918/2-$AC$916)/9+AX909</f>
        <v>42.222222222222221</v>
      </c>
      <c r="AY910" s="28"/>
      <c r="AZ910" s="54">
        <f t="shared" si="60"/>
        <v>11.966013118947089</v>
      </c>
      <c r="BA910" s="54"/>
      <c r="BB910" s="54">
        <f t="shared" si="61"/>
        <v>88.247562269859586</v>
      </c>
      <c r="BC910" s="54"/>
      <c r="BD910" s="54">
        <f t="shared" si="62"/>
        <v>-1455.1453108521275</v>
      </c>
      <c r="BE910" s="54"/>
      <c r="BF910" s="54">
        <f t="shared" si="63"/>
        <v>126.50346790299815</v>
      </c>
      <c r="BG910" s="54"/>
      <c r="BH910" s="54">
        <f t="shared" si="64"/>
        <v>293.3913620293215</v>
      </c>
      <c r="BI910" s="54"/>
      <c r="BJ910" s="3"/>
    </row>
    <row r="911" spans="2:62" ht="11.25" customHeight="1">
      <c r="B911" s="2"/>
      <c r="AV911" s="25">
        <v>14</v>
      </c>
      <c r="AW911" s="26"/>
      <c r="AX911" s="30">
        <f t="shared" ref="AX911:AX918" si="66">($T$918/2-$AC$916)/9+AX910</f>
        <v>44.444444444444443</v>
      </c>
      <c r="AY911" s="28"/>
      <c r="AZ911" s="54">
        <f t="shared" si="60"/>
        <v>11.863956921061373</v>
      </c>
      <c r="BA911" s="54"/>
      <c r="BB911" s="54">
        <f t="shared" si="61"/>
        <v>86.493482459406607</v>
      </c>
      <c r="BC911" s="54"/>
      <c r="BD911" s="54">
        <f t="shared" si="62"/>
        <v>-1453.9891116718268</v>
      </c>
      <c r="BE911" s="54"/>
      <c r="BF911" s="54">
        <f t="shared" si="63"/>
        <v>115.53418415201762</v>
      </c>
      <c r="BG911" s="54"/>
      <c r="BH911" s="54">
        <f t="shared" si="64"/>
        <v>562.59368764969668</v>
      </c>
      <c r="BI911" s="54"/>
      <c r="BJ911" s="3"/>
    </row>
    <row r="912" spans="2:62" ht="11.25" customHeight="1">
      <c r="B912" s="2"/>
      <c r="AV912" s="25">
        <v>15</v>
      </c>
      <c r="AW912" s="26"/>
      <c r="AX912" s="30">
        <f t="shared" si="66"/>
        <v>46.666666666666664</v>
      </c>
      <c r="AY912" s="28"/>
      <c r="AZ912" s="54">
        <f t="shared" si="60"/>
        <v>11.693543393835512</v>
      </c>
      <c r="BA912" s="54"/>
      <c r="BB912" s="54">
        <f t="shared" si="61"/>
        <v>84.736104588146659</v>
      </c>
      <c r="BC912" s="54"/>
      <c r="BD912" s="54">
        <f t="shared" si="62"/>
        <v>-1454.8589557249097</v>
      </c>
      <c r="BE912" s="54"/>
      <c r="BF912" s="54">
        <f t="shared" si="63"/>
        <v>104.74838663473605</v>
      </c>
      <c r="BG912" s="54"/>
      <c r="BH912" s="54">
        <f t="shared" si="64"/>
        <v>808.02699510099001</v>
      </c>
      <c r="BI912" s="54"/>
      <c r="BJ912" s="3"/>
    </row>
    <row r="913" spans="2:62" ht="11.25" customHeight="1">
      <c r="B913" s="2"/>
      <c r="Q913" s="65" t="s">
        <v>70</v>
      </c>
      <c r="R913" s="24"/>
      <c r="S913" s="8"/>
      <c r="W913" s="24">
        <f>ACOS(W916/U905)*180/PI()</f>
        <v>74.024317147937481</v>
      </c>
      <c r="X913" s="24"/>
      <c r="Y913" s="8" t="s">
        <v>8</v>
      </c>
      <c r="AV913" s="25">
        <v>16</v>
      </c>
      <c r="AW913" s="26"/>
      <c r="AX913" s="30">
        <f t="shared" si="66"/>
        <v>48.888888888888886</v>
      </c>
      <c r="AY913" s="28"/>
      <c r="AZ913" s="54">
        <f t="shared" si="60"/>
        <v>11.454287977357779</v>
      </c>
      <c r="BA913" s="54"/>
      <c r="BB913" s="54">
        <f t="shared" si="61"/>
        <v>82.97374454652099</v>
      </c>
      <c r="BC913" s="54"/>
      <c r="BD913" s="54">
        <f t="shared" si="62"/>
        <v>-1457.7451184718632</v>
      </c>
      <c r="BE913" s="54"/>
      <c r="BF913" s="54">
        <f t="shared" si="63"/>
        <v>94.303423166053108</v>
      </c>
      <c r="BG913" s="54"/>
      <c r="BH913" s="54">
        <f t="shared" si="64"/>
        <v>1030.3979342544742</v>
      </c>
      <c r="BI913" s="54"/>
      <c r="BJ913" s="3"/>
    </row>
    <row r="914" spans="2:62" ht="11.25" customHeight="1">
      <c r="B914" s="2"/>
      <c r="AV914" s="25">
        <v>17</v>
      </c>
      <c r="AW914" s="26"/>
      <c r="AX914" s="30">
        <f t="shared" si="66"/>
        <v>51.111111111111107</v>
      </c>
      <c r="AY914" s="28"/>
      <c r="AZ914" s="54">
        <f t="shared" si="60"/>
        <v>11.145502596773554</v>
      </c>
      <c r="BA914" s="54"/>
      <c r="BB914" s="54">
        <f t="shared" si="61"/>
        <v>81.204675194265448</v>
      </c>
      <c r="BC914" s="54"/>
      <c r="BD914" s="54">
        <f t="shared" si="62"/>
        <v>-1462.6337910709947</v>
      </c>
      <c r="BE914" s="54"/>
      <c r="BF914" s="54">
        <f t="shared" si="63"/>
        <v>84.35851626642156</v>
      </c>
      <c r="BG914" s="54"/>
      <c r="BH914" s="54">
        <f t="shared" si="64"/>
        <v>1230.7099476064705</v>
      </c>
      <c r="BI914" s="54"/>
      <c r="BJ914" s="3"/>
    </row>
    <row r="915" spans="2:62" ht="11.25" customHeight="1">
      <c r="B915" s="2"/>
      <c r="AV915" s="25">
        <v>18</v>
      </c>
      <c r="AW915" s="26"/>
      <c r="AX915" s="30">
        <f t="shared" si="66"/>
        <v>53.333333333333329</v>
      </c>
      <c r="AY915" s="28"/>
      <c r="AZ915" s="54">
        <f t="shared" si="60"/>
        <v>10.76628557994475</v>
      </c>
      <c r="BA915" s="54"/>
      <c r="BB915" s="54">
        <f t="shared" si="61"/>
        <v>79.427110410057537</v>
      </c>
      <c r="BC915" s="54"/>
      <c r="BD915" s="54">
        <f t="shared" si="62"/>
        <v>-1469.506878037882</v>
      </c>
      <c r="BE915" s="54"/>
      <c r="BF915" s="54">
        <f t="shared" si="63"/>
        <v>75.075568295637737</v>
      </c>
      <c r="BG915" s="54"/>
      <c r="BH915" s="54">
        <f t="shared" si="64"/>
        <v>1410.2779736916848</v>
      </c>
      <c r="BI915" s="54"/>
      <c r="BJ915" s="3"/>
    </row>
    <row r="916" spans="2:62" ht="11.25" customHeight="1">
      <c r="B916" s="2"/>
      <c r="J916" s="24" t="s">
        <v>48</v>
      </c>
      <c r="K916" s="24"/>
      <c r="P916" s="24" t="s">
        <v>72</v>
      </c>
      <c r="Q916" s="24"/>
      <c r="R916" s="24"/>
      <c r="W916" s="24">
        <f>+T918/2-AC916</f>
        <v>20</v>
      </c>
      <c r="X916" s="24"/>
      <c r="Y916" s="1" t="s">
        <v>1</v>
      </c>
      <c r="AC916" s="34">
        <v>20</v>
      </c>
      <c r="AD916" s="34"/>
      <c r="AE916" s="1" t="s">
        <v>1</v>
      </c>
      <c r="AV916" s="25">
        <v>19</v>
      </c>
      <c r="AW916" s="26"/>
      <c r="AX916" s="30">
        <f t="shared" si="66"/>
        <v>55.55555555555555</v>
      </c>
      <c r="AY916" s="28"/>
      <c r="AZ916" s="54">
        <f t="shared" si="60"/>
        <v>10.315508108430706</v>
      </c>
      <c r="BA916" s="54"/>
      <c r="BB916" s="54">
        <f t="shared" si="61"/>
        <v>77.639187665520325</v>
      </c>
      <c r="BC916" s="54"/>
      <c r="BD916" s="54">
        <f t="shared" si="62"/>
        <v>-1478.3417253327177</v>
      </c>
      <c r="BE916" s="54"/>
      <c r="BF916" s="54">
        <f t="shared" si="63"/>
        <v>66.620024828759171</v>
      </c>
      <c r="BG916" s="54"/>
      <c r="BH916" s="54">
        <f t="shared" si="64"/>
        <v>1570.7482060694233</v>
      </c>
      <c r="BI916" s="54"/>
      <c r="BJ916" s="3"/>
    </row>
    <row r="917" spans="2:62" ht="11.25" customHeight="1">
      <c r="B917" s="2"/>
      <c r="AV917" s="25">
        <v>20</v>
      </c>
      <c r="AW917" s="26"/>
      <c r="AX917" s="30">
        <f t="shared" si="66"/>
        <v>57.777777777777771</v>
      </c>
      <c r="AY917" s="28"/>
      <c r="AZ917" s="54">
        <f t="shared" si="60"/>
        <v>9.7917967123227641</v>
      </c>
      <c r="BA917" s="54"/>
      <c r="BB917" s="54">
        <f t="shared" si="61"/>
        <v>75.838948622404857</v>
      </c>
      <c r="BC917" s="54"/>
      <c r="BD917" s="54">
        <f t="shared" si="62"/>
        <v>-1489.1107690525187</v>
      </c>
      <c r="BE917" s="54"/>
      <c r="BF917" s="54">
        <f t="shared" si="63"/>
        <v>59.16181689430519</v>
      </c>
      <c r="BG917" s="54"/>
      <c r="BH917" s="54">
        <f t="shared" si="64"/>
        <v>1714.123621689801</v>
      </c>
      <c r="BI917" s="54"/>
      <c r="BJ917" s="3"/>
    </row>
    <row r="918" spans="2:62" ht="11.25" customHeight="1">
      <c r="B918" s="2"/>
      <c r="S918" s="1" t="s">
        <v>43</v>
      </c>
      <c r="T918" s="34">
        <v>80</v>
      </c>
      <c r="U918" s="34"/>
      <c r="V918" s="1" t="s">
        <v>1</v>
      </c>
      <c r="AV918" s="25">
        <v>21</v>
      </c>
      <c r="AW918" s="26"/>
      <c r="AX918" s="33">
        <f t="shared" si="66"/>
        <v>59.999999999999993</v>
      </c>
      <c r="AY918" s="25"/>
      <c r="AZ918" s="55">
        <f t="shared" si="60"/>
        <v>9.1935111490563912</v>
      </c>
      <c r="BA918" s="55"/>
      <c r="BB918" s="55">
        <f t="shared" si="61"/>
        <v>74.024317147937467</v>
      </c>
      <c r="BC918" s="55"/>
      <c r="BD918" s="55">
        <f t="shared" si="62"/>
        <v>-1501.7810914852678</v>
      </c>
      <c r="BE918" s="55"/>
      <c r="BF918" s="55">
        <f t="shared" si="63"/>
        <v>52.876406538538049</v>
      </c>
      <c r="BG918" s="55"/>
      <c r="BH918" s="55">
        <f t="shared" si="64"/>
        <v>1842.7962409594318</v>
      </c>
      <c r="BI918" s="55"/>
      <c r="BJ918" s="3"/>
    </row>
    <row r="919" spans="2:62" ht="11.25" customHeight="1">
      <c r="B919" s="2"/>
      <c r="AV919" s="25">
        <v>22</v>
      </c>
      <c r="AW919" s="26"/>
      <c r="AX919" s="33">
        <f>($T$918/2-$AC$916)/9+AX917+0.000001</f>
        <v>60.00000099999999</v>
      </c>
      <c r="AY919" s="25"/>
      <c r="AZ919" s="55">
        <f t="shared" si="60"/>
        <v>9.1935108627702533</v>
      </c>
      <c r="BA919" s="55"/>
      <c r="BB919" s="55">
        <f t="shared" si="61"/>
        <v>74.024316327788128</v>
      </c>
      <c r="BC919" s="55"/>
      <c r="BD919" s="55">
        <f t="shared" si="62"/>
        <v>-1543.0655033430578</v>
      </c>
      <c r="BE919" s="55"/>
      <c r="BF919" s="55">
        <f t="shared" si="63"/>
        <v>-91.330384477167399</v>
      </c>
      <c r="BG919" s="55"/>
      <c r="BH919" s="55">
        <f t="shared" si="64"/>
        <v>1842.7961459600401</v>
      </c>
      <c r="BI919" s="55"/>
      <c r="BJ919" s="3"/>
    </row>
    <row r="920" spans="2:62" ht="11.25" customHeight="1">
      <c r="B920" s="2"/>
      <c r="F920" s="4" t="s">
        <v>28</v>
      </c>
      <c r="AV920" s="25">
        <v>23</v>
      </c>
      <c r="AW920" s="26"/>
      <c r="AX920" s="30">
        <f>$AC$916/9+AX918</f>
        <v>62.222222222222214</v>
      </c>
      <c r="AY920" s="28"/>
      <c r="AZ920" s="54">
        <f t="shared" si="60"/>
        <v>8.5187167893106306</v>
      </c>
      <c r="BA920" s="54"/>
      <c r="BB920" s="54">
        <f t="shared" si="61"/>
        <v>72.193074000531851</v>
      </c>
      <c r="BC920" s="54"/>
      <c r="BD920" s="54">
        <f t="shared" si="62"/>
        <v>-1562.1854265608763</v>
      </c>
      <c r="BE920" s="54"/>
      <c r="BF920" s="54">
        <f t="shared" si="63"/>
        <v>-94.867899467916459</v>
      </c>
      <c r="BG920" s="54"/>
      <c r="BH920" s="54">
        <f t="shared" si="64"/>
        <v>1626.2540649713837</v>
      </c>
      <c r="BI920" s="54"/>
      <c r="BJ920" s="3"/>
    </row>
    <row r="921" spans="2:62" ht="11.25" customHeight="1">
      <c r="B921" s="2"/>
      <c r="F921" s="1" t="s">
        <v>11</v>
      </c>
      <c r="H921" s="24">
        <f>+T918</f>
        <v>80</v>
      </c>
      <c r="I921" s="24"/>
      <c r="J921" s="7" t="s">
        <v>9</v>
      </c>
      <c r="K921" s="24">
        <f>+N895</f>
        <v>15</v>
      </c>
      <c r="L921" s="24"/>
      <c r="M921" s="7" t="s">
        <v>10</v>
      </c>
      <c r="N921" s="24">
        <f>+T918/2</f>
        <v>40</v>
      </c>
      <c r="O921" s="24"/>
      <c r="P921" s="7" t="s">
        <v>10</v>
      </c>
      <c r="Q921" s="24">
        <f>+T918/2+T918/2/2</f>
        <v>60</v>
      </c>
      <c r="R921" s="24"/>
      <c r="S921" s="7" t="s">
        <v>9</v>
      </c>
      <c r="T921" s="24">
        <f>+Y895</f>
        <v>25</v>
      </c>
      <c r="U921" s="24"/>
      <c r="V921" s="7" t="s">
        <v>10</v>
      </c>
      <c r="W921" s="24">
        <f>+T918/2</f>
        <v>40</v>
      </c>
      <c r="X921" s="24"/>
      <c r="Y921" s="7" t="s">
        <v>10</v>
      </c>
      <c r="Z921" s="24">
        <f>+W921/2</f>
        <v>20</v>
      </c>
      <c r="AA921" s="24"/>
      <c r="AB921" s="7" t="s">
        <v>9</v>
      </c>
      <c r="AC921" s="24">
        <f>+AA898</f>
        <v>150</v>
      </c>
      <c r="AD921" s="24"/>
      <c r="AE921" s="7" t="s">
        <v>10</v>
      </c>
      <c r="AF921" s="24">
        <f>+AC916</f>
        <v>20</v>
      </c>
      <c r="AG921" s="24"/>
      <c r="AH921" s="7" t="s">
        <v>12</v>
      </c>
      <c r="AI921" s="1">
        <v>0</v>
      </c>
      <c r="AM921" s="1" t="s">
        <v>4</v>
      </c>
      <c r="AO921" s="24">
        <f>(K921*N921*Q921+T921*W921*Z921+AC921*AF921)/H921</f>
        <v>737.5</v>
      </c>
      <c r="AP921" s="24"/>
      <c r="AQ921" s="1" t="s">
        <v>0</v>
      </c>
      <c r="AV921" s="25">
        <v>24</v>
      </c>
      <c r="AW921" s="26"/>
      <c r="AX921" s="30">
        <f>$AC$916/9+AX920</f>
        <v>64.444444444444443</v>
      </c>
      <c r="AY921" s="28"/>
      <c r="AZ921" s="54">
        <f t="shared" si="60"/>
        <v>7.7651503503241486</v>
      </c>
      <c r="BA921" s="54"/>
      <c r="BB921" s="54">
        <f t="shared" si="61"/>
        <v>70.342827242708253</v>
      </c>
      <c r="BC921" s="54"/>
      <c r="BD921" s="54">
        <f t="shared" si="62"/>
        <v>-1583.1223895909004</v>
      </c>
      <c r="BE921" s="54"/>
      <c r="BF921" s="54">
        <f t="shared" si="63"/>
        <v>-96.697614181234542</v>
      </c>
      <c r="BG921" s="54"/>
      <c r="BH921" s="54">
        <f t="shared" si="64"/>
        <v>1401.131047752594</v>
      </c>
      <c r="BI921" s="54"/>
      <c r="BJ921" s="3"/>
    </row>
    <row r="922" spans="2:62" ht="11.25" customHeight="1">
      <c r="B922" s="2"/>
      <c r="F922" s="1" t="s">
        <v>13</v>
      </c>
      <c r="H922" s="24">
        <f>+H910</f>
        <v>737.5</v>
      </c>
      <c r="I922" s="24"/>
      <c r="J922" s="7" t="s">
        <v>9</v>
      </c>
      <c r="K922" s="24">
        <f>+N895</f>
        <v>15</v>
      </c>
      <c r="L922" s="24"/>
      <c r="M922" s="7" t="s">
        <v>10</v>
      </c>
      <c r="N922" s="24">
        <f>+T918/2</f>
        <v>40</v>
      </c>
      <c r="O922" s="24"/>
      <c r="P922" s="7" t="s">
        <v>9</v>
      </c>
      <c r="Q922" s="24">
        <f>+Y895</f>
        <v>25</v>
      </c>
      <c r="R922" s="24"/>
      <c r="S922" s="7" t="s">
        <v>10</v>
      </c>
      <c r="T922" s="24">
        <f>+T918/2</f>
        <v>40</v>
      </c>
      <c r="U922" s="24"/>
      <c r="V922" s="7" t="s">
        <v>9</v>
      </c>
      <c r="W922" s="24">
        <f>+AA898</f>
        <v>150</v>
      </c>
      <c r="X922" s="24"/>
      <c r="Y922" s="7" t="s">
        <v>12</v>
      </c>
      <c r="Z922" s="1">
        <v>0</v>
      </c>
      <c r="AD922" s="1" t="s">
        <v>7</v>
      </c>
      <c r="AF922" s="24">
        <f>+K922*N922+Q922*T922+W922-H922</f>
        <v>1012.5</v>
      </c>
      <c r="AG922" s="24"/>
      <c r="AH922" s="1" t="s">
        <v>0</v>
      </c>
      <c r="AV922" s="25">
        <v>25</v>
      </c>
      <c r="AW922" s="26"/>
      <c r="AX922" s="30">
        <f t="shared" ref="AX922:AX928" si="67">$AC$916/9+AX921</f>
        <v>66.666666666666671</v>
      </c>
      <c r="AY922" s="28"/>
      <c r="AZ922" s="54">
        <f t="shared" si="60"/>
        <v>6.9301774411268013</v>
      </c>
      <c r="BA922" s="54"/>
      <c r="BB922" s="54">
        <f t="shared" si="61"/>
        <v>68.470977170159955</v>
      </c>
      <c r="BC922" s="54"/>
      <c r="BD922" s="54">
        <f t="shared" si="62"/>
        <v>-1605.8235151602285</v>
      </c>
      <c r="BE922" s="54"/>
      <c r="BF922" s="54">
        <f t="shared" si="63"/>
        <v>-96.614234875974773</v>
      </c>
      <c r="BG922" s="54"/>
      <c r="BH922" s="54">
        <f t="shared" si="64"/>
        <v>1171.2690094678569</v>
      </c>
      <c r="BI922" s="54"/>
      <c r="BJ922" s="3"/>
    </row>
    <row r="923" spans="2:62" ht="11.25" customHeight="1">
      <c r="B923" s="2"/>
      <c r="F923" s="1" t="s">
        <v>14</v>
      </c>
      <c r="H923" s="24">
        <f>+AN901</f>
        <v>12</v>
      </c>
      <c r="I923" s="24"/>
      <c r="J923" s="7" t="s">
        <v>9</v>
      </c>
      <c r="K923" s="24">
        <f>+H910</f>
        <v>737.5</v>
      </c>
      <c r="L923" s="24"/>
      <c r="M923" s="7" t="s">
        <v>10</v>
      </c>
      <c r="N923" s="24">
        <f>+T918/2</f>
        <v>40</v>
      </c>
      <c r="O923" s="24"/>
      <c r="P923" s="7" t="s">
        <v>15</v>
      </c>
      <c r="Q923" s="24">
        <f>+N895</f>
        <v>15</v>
      </c>
      <c r="R923" s="24"/>
      <c r="S923" s="7" t="s">
        <v>10</v>
      </c>
      <c r="T923" s="24">
        <f>+T918/2</f>
        <v>40</v>
      </c>
      <c r="U923" s="24"/>
      <c r="V923" s="7" t="s">
        <v>10</v>
      </c>
      <c r="W923" s="24">
        <f>+T923/2</f>
        <v>20</v>
      </c>
      <c r="X923" s="24"/>
      <c r="Y923" s="7" t="s">
        <v>12</v>
      </c>
      <c r="Z923" s="1">
        <v>0</v>
      </c>
      <c r="AD923" s="1" t="s">
        <v>5</v>
      </c>
      <c r="AF923" s="24">
        <f>(K923*N923-Q923*T923*W923)/H923</f>
        <v>1458.3333333333333</v>
      </c>
      <c r="AG923" s="24"/>
      <c r="AH923" s="1" t="s">
        <v>0</v>
      </c>
      <c r="AV923" s="25">
        <v>26</v>
      </c>
      <c r="AW923" s="26"/>
      <c r="AX923" s="30">
        <f t="shared" si="67"/>
        <v>68.8888888888889</v>
      </c>
      <c r="AY923" s="28"/>
      <c r="AZ923" s="54">
        <f t="shared" si="60"/>
        <v>6.0107398756537691</v>
      </c>
      <c r="BA923" s="54"/>
      <c r="BB923" s="54">
        <f t="shared" si="61"/>
        <v>66.574674175983318</v>
      </c>
      <c r="BC923" s="54"/>
      <c r="BD923" s="54">
        <f t="shared" si="62"/>
        <v>-1630.2274291219169</v>
      </c>
      <c r="BE923" s="54"/>
      <c r="BF923" s="54">
        <f t="shared" si="63"/>
        <v>-94.400128584751315</v>
      </c>
      <c r="BG923" s="54"/>
      <c r="BH923" s="54">
        <f t="shared" si="64"/>
        <v>941.12780479503704</v>
      </c>
      <c r="BI923" s="54"/>
      <c r="BJ923" s="3"/>
    </row>
    <row r="924" spans="2:62" ht="11.25" customHeight="1">
      <c r="B924" s="2"/>
      <c r="F924" s="1" t="s">
        <v>16</v>
      </c>
      <c r="H924" s="24">
        <f>+AN901</f>
        <v>12</v>
      </c>
      <c r="I924" s="24"/>
      <c r="J924" s="7" t="s">
        <v>9</v>
      </c>
      <c r="K924" s="24">
        <f>+AE910</f>
        <v>1012.5</v>
      </c>
      <c r="L924" s="24"/>
      <c r="M924" s="7" t="s">
        <v>10</v>
      </c>
      <c r="N924" s="24">
        <f>+T918/2</f>
        <v>40</v>
      </c>
      <c r="O924" s="24"/>
      <c r="P924" s="7" t="s">
        <v>15</v>
      </c>
      <c r="Q924" s="24">
        <f>+Y895</f>
        <v>25</v>
      </c>
      <c r="R924" s="24"/>
      <c r="S924" s="7" t="s">
        <v>10</v>
      </c>
      <c r="T924" s="24">
        <f>+T918/2</f>
        <v>40</v>
      </c>
      <c r="U924" s="24"/>
      <c r="V924" s="7" t="s">
        <v>10</v>
      </c>
      <c r="W924" s="24">
        <f>+T924/2</f>
        <v>20</v>
      </c>
      <c r="X924" s="24"/>
      <c r="Y924" s="7" t="s">
        <v>15</v>
      </c>
      <c r="Z924" s="24">
        <f>+AA898</f>
        <v>150</v>
      </c>
      <c r="AA924" s="24"/>
      <c r="AB924" s="7" t="s">
        <v>10</v>
      </c>
      <c r="AC924" s="24">
        <f>+W916</f>
        <v>20</v>
      </c>
      <c r="AD924" s="24"/>
      <c r="AE924" s="7" t="s">
        <v>12</v>
      </c>
      <c r="AF924" s="1">
        <v>0</v>
      </c>
      <c r="AJ924" s="1" t="s">
        <v>6</v>
      </c>
      <c r="AL924" s="24">
        <f>(K924*N924-Q924*T924*W924-Z924*AC924)/H924</f>
        <v>1458.3333333333333</v>
      </c>
      <c r="AM924" s="24"/>
      <c r="AN924" s="1" t="s">
        <v>0</v>
      </c>
      <c r="AV924" s="25">
        <v>27</v>
      </c>
      <c r="AW924" s="26"/>
      <c r="AX924" s="30">
        <f t="shared" si="67"/>
        <v>71.111111111111128</v>
      </c>
      <c r="AY924" s="28"/>
      <c r="AZ924" s="54">
        <f t="shared" si="60"/>
        <v>5.0032900097050828</v>
      </c>
      <c r="BA924" s="54"/>
      <c r="BB924" s="54">
        <f t="shared" si="61"/>
        <v>64.650767453025352</v>
      </c>
      <c r="BC924" s="54"/>
      <c r="BD924" s="54">
        <f t="shared" si="62"/>
        <v>-1656.2629344880079</v>
      </c>
      <c r="BE924" s="54"/>
      <c r="BF924" s="54">
        <f t="shared" si="63"/>
        <v>-89.822987044894461</v>
      </c>
      <c r="BG924" s="54"/>
      <c r="BH924" s="54">
        <f t="shared" si="64"/>
        <v>715.88108152575251</v>
      </c>
      <c r="BI924" s="54"/>
      <c r="BJ924" s="3"/>
    </row>
    <row r="925" spans="2:62" ht="11.25" customHeight="1">
      <c r="B925" s="2"/>
      <c r="F925" s="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L925" s="7"/>
      <c r="AM925" s="7"/>
      <c r="AV925" s="25">
        <v>28</v>
      </c>
      <c r="AW925" s="26"/>
      <c r="AX925" s="30">
        <f t="shared" si="67"/>
        <v>73.333333333333357</v>
      </c>
      <c r="AY925" s="28"/>
      <c r="AZ925" s="54">
        <f t="shared" si="60"/>
        <v>3.9037083774147447</v>
      </c>
      <c r="BA925" s="54"/>
      <c r="BB925" s="54">
        <f t="shared" si="61"/>
        <v>62.695741708031022</v>
      </c>
      <c r="BC925" s="54"/>
      <c r="BD925" s="54">
        <f t="shared" si="62"/>
        <v>-1683.8473584916956</v>
      </c>
      <c r="BE925" s="54"/>
      <c r="BF925" s="54">
        <f t="shared" si="63"/>
        <v>-82.632996977171132</v>
      </c>
      <c r="BG925" s="54"/>
      <c r="BH925" s="54">
        <f t="shared" si="64"/>
        <v>501.53639404792239</v>
      </c>
      <c r="BI925" s="54"/>
      <c r="BJ925" s="3"/>
    </row>
    <row r="926" spans="2:62" ht="11.25" customHeight="1">
      <c r="B926" s="2"/>
      <c r="J926" s="7"/>
      <c r="R926" s="7"/>
      <c r="Z926" s="7"/>
      <c r="AC926" s="7"/>
      <c r="AV926" s="25">
        <v>29</v>
      </c>
      <c r="AW926" s="26"/>
      <c r="AX926" s="30">
        <f t="shared" si="67"/>
        <v>75.555555555555586</v>
      </c>
      <c r="AY926" s="28"/>
      <c r="AZ926" s="54">
        <f t="shared" si="60"/>
        <v>2.7071995052834623</v>
      </c>
      <c r="BA926" s="54"/>
      <c r="BB926" s="54">
        <f t="shared" si="61"/>
        <v>60.70563801492532</v>
      </c>
      <c r="BC926" s="54"/>
      <c r="BD926" s="54">
        <f t="shared" si="62"/>
        <v>-1712.8844616992205</v>
      </c>
      <c r="BE926" s="54"/>
      <c r="BF926" s="54">
        <f t="shared" si="63"/>
        <v>-72.559361855166358</v>
      </c>
      <c r="BG926" s="54"/>
      <c r="BH926" s="54">
        <f t="shared" si="64"/>
        <v>305.08714121467733</v>
      </c>
      <c r="BI926" s="54"/>
      <c r="BJ926" s="3"/>
    </row>
    <row r="927" spans="2:62" ht="11.25" customHeight="1">
      <c r="B927" s="2"/>
      <c r="J927" s="7"/>
      <c r="R927" s="7"/>
      <c r="Z927" s="7"/>
      <c r="AC927" s="7"/>
      <c r="AV927" s="25">
        <v>30</v>
      </c>
      <c r="AW927" s="26"/>
      <c r="AX927" s="30">
        <f t="shared" si="67"/>
        <v>77.777777777777814</v>
      </c>
      <c r="AY927" s="28"/>
      <c r="AZ927" s="54">
        <f t="shared" si="60"/>
        <v>1.4081587508669813</v>
      </c>
      <c r="BA927" s="54"/>
      <c r="BB927" s="54">
        <f t="shared" si="61"/>
        <v>58.675953406889398</v>
      </c>
      <c r="BC927" s="54"/>
      <c r="BD927" s="54">
        <f t="shared" si="62"/>
        <v>-1743.2617656211635</v>
      </c>
      <c r="BE927" s="54"/>
      <c r="BF927" s="54">
        <f t="shared" si="63"/>
        <v>-59.305964182225296</v>
      </c>
      <c r="BG927" s="54"/>
      <c r="BH927" s="54">
        <f t="shared" si="64"/>
        <v>134.70675992388919</v>
      </c>
      <c r="BI927" s="54"/>
      <c r="BJ927" s="3"/>
    </row>
    <row r="928" spans="2:62" ht="11.25" customHeight="1">
      <c r="B928" s="2"/>
      <c r="J928" s="7"/>
      <c r="M928" s="7"/>
      <c r="P928" s="7"/>
      <c r="S928" s="7"/>
      <c r="V928" s="7"/>
      <c r="Y928" s="7"/>
      <c r="AB928" s="7"/>
      <c r="AV928" s="25">
        <v>31</v>
      </c>
      <c r="AW928" s="26"/>
      <c r="AX928" s="30">
        <f t="shared" si="67"/>
        <v>80.000000000000043</v>
      </c>
      <c r="AY928" s="28"/>
      <c r="AZ928" s="54">
        <f t="shared" si="60"/>
        <v>0</v>
      </c>
      <c r="BA928" s="54"/>
      <c r="BB928" s="54">
        <f t="shared" si="61"/>
        <v>56.601511532012758</v>
      </c>
      <c r="BC928" s="54"/>
      <c r="BD928" s="54">
        <f t="shared" si="62"/>
        <v>-1774.8470948012239</v>
      </c>
      <c r="BE928" s="54"/>
      <c r="BF928" s="54">
        <f t="shared" si="63"/>
        <v>-42.545871559634044</v>
      </c>
      <c r="BG928" s="54"/>
      <c r="BH928" s="54">
        <f t="shared" si="64"/>
        <v>-4.3165471197426112E-11</v>
      </c>
      <c r="BI928" s="54"/>
      <c r="BJ928" s="3"/>
    </row>
    <row r="929" spans="2:62" ht="11.25" customHeight="1">
      <c r="B929" s="2"/>
      <c r="J929" s="7"/>
      <c r="R929" s="7"/>
      <c r="Z929" s="7"/>
      <c r="AC929" s="7"/>
      <c r="BJ929" s="3"/>
    </row>
    <row r="930" spans="2:62" ht="11.25" customHeight="1">
      <c r="B930" s="2"/>
      <c r="D930" s="12" t="s">
        <v>39</v>
      </c>
      <c r="J930" s="7"/>
      <c r="K930" s="7"/>
      <c r="BJ930" s="3"/>
    </row>
    <row r="931" spans="2:62" ht="11.25" customHeight="1">
      <c r="B931" s="2"/>
      <c r="N931" s="34">
        <v>14</v>
      </c>
      <c r="O931" s="34"/>
      <c r="P931" s="1" t="s">
        <v>3</v>
      </c>
      <c r="AV931" s="25" t="s">
        <v>59</v>
      </c>
      <c r="AW931" s="26"/>
      <c r="AX931" s="33" t="s">
        <v>48</v>
      </c>
      <c r="AY931" s="25"/>
      <c r="AZ931" s="25" t="s">
        <v>58</v>
      </c>
      <c r="BA931" s="25"/>
      <c r="BB931" s="56" t="s">
        <v>66</v>
      </c>
      <c r="BC931" s="25"/>
      <c r="BD931" s="25" t="s">
        <v>62</v>
      </c>
      <c r="BE931" s="25"/>
      <c r="BF931" s="25" t="s">
        <v>65</v>
      </c>
      <c r="BG931" s="25"/>
      <c r="BH931" s="25" t="s">
        <v>63</v>
      </c>
      <c r="BI931" s="25"/>
      <c r="BJ931" s="3"/>
    </row>
    <row r="932" spans="2:62" ht="11.25" customHeight="1" thickBot="1">
      <c r="B932" s="2"/>
      <c r="AV932" s="57"/>
      <c r="AW932" s="61"/>
      <c r="AX932" s="47" t="s">
        <v>60</v>
      </c>
      <c r="AY932" s="57"/>
      <c r="AZ932" s="57" t="s">
        <v>60</v>
      </c>
      <c r="BA932" s="57"/>
      <c r="BB932" s="57" t="s">
        <v>67</v>
      </c>
      <c r="BC932" s="57"/>
      <c r="BD932" s="57" t="s">
        <v>61</v>
      </c>
      <c r="BE932" s="57"/>
      <c r="BF932" s="57" t="s">
        <v>61</v>
      </c>
      <c r="BG932" s="57"/>
      <c r="BH932" s="57" t="s">
        <v>64</v>
      </c>
      <c r="BI932" s="57"/>
      <c r="BJ932" s="3"/>
    </row>
    <row r="933" spans="2:62" ht="11.25" customHeight="1" thickTop="1">
      <c r="B933" s="2"/>
      <c r="AV933" s="58">
        <v>0</v>
      </c>
      <c r="AW933" s="59"/>
      <c r="AX933" s="60">
        <v>0</v>
      </c>
      <c r="AY933" s="54"/>
      <c r="AZ933" s="54">
        <f>$AN$937-$U$941+SQRT($U$941^2-($T$954/2-AX933)^2)</f>
        <v>0</v>
      </c>
      <c r="BA933" s="54"/>
      <c r="BB933" s="54">
        <f>ASIN(($U$941-$AN$937+AZ933)/$U$941)*180/PI()</f>
        <v>56.601511532012758</v>
      </c>
      <c r="BC933" s="54"/>
      <c r="BD933" s="54">
        <f>IF(AX933&lt;=$T$954/2,-$H$946*COS(BB933*PI()/180)-$F$941*SIN(BB933*PI()/180)+$N$931*AX933*COS(BB933*PI()/180),IF(AND($T$954/2&lt;AX933,AX933&lt;=($T$954-$AC$952)),-$AE$946*COS(BB933*PI()/180)-$AI$941*SIN(BB933*PI()/180)+$AA$934*COS(BB933*PI()/180),-$AE$946*COS(BB933*PI()/180)-$AI$941*SIN(BB933*PI()/180)))</f>
        <v>-745.79510703363906</v>
      </c>
      <c r="BE933" s="54"/>
      <c r="BF933" s="54">
        <f>IF(AX933&lt;=$T$954/2,$H$946*SIN(BB933*PI()/180)-$F$941*COS(BB933*PI()/180)-$N$931*AX933*SIN(BB933*PI()/180),IF(AND($T$954/2&lt;AX933,AX933&lt;=($T$954-$AC$952)),-$AE$946*SIN(BB933*PI()/180)+$AI$941*COS(BB933*PI()/180)+$AA$934*SIN(BB933*PI()/180),-$AE$946*SIN(BB933*PI()/180)+$AI$941*COS(BB933*PI()/180)))</f>
        <v>56.261467889908317</v>
      </c>
      <c r="BG933" s="54"/>
      <c r="BH933" s="54">
        <f>IF(AX933&lt;=$T$954/2,$H$946*AX933-$F$941*AZ933-$N$931*AX933*AX933/2,IF(AND($T$954/2&lt;AX933,AX933&lt;=($T$954-$AC$952)),$AE$946*($T$954-AX933)-$AI$941*AZ933-$AA$934*($T$954/2+$W$952-AX933),$AE$946*($T$954-AX933)-$AI$941*AZ933))</f>
        <v>0</v>
      </c>
      <c r="BI933" s="54"/>
      <c r="BJ933" s="3"/>
    </row>
    <row r="934" spans="2:62" ht="11.25" customHeight="1">
      <c r="B934" s="2"/>
      <c r="T934" s="1" t="s">
        <v>18</v>
      </c>
      <c r="AA934" s="34">
        <v>150</v>
      </c>
      <c r="AB934" s="34"/>
      <c r="AC934" s="1" t="s">
        <v>0</v>
      </c>
      <c r="AV934" s="25">
        <v>1</v>
      </c>
      <c r="AW934" s="26"/>
      <c r="AX934" s="30">
        <f>($T$954/2)/12+AX933</f>
        <v>3.3333333333333335</v>
      </c>
      <c r="AY934" s="28"/>
      <c r="AZ934" s="54">
        <f>$AN$937-$U$941+SQRT($U$941^2-($T$954/2-AX934)^2)</f>
        <v>2.0708818987658262</v>
      </c>
      <c r="BA934" s="54"/>
      <c r="BB934" s="54">
        <f>ASIN(($U$941-$AN$937+AZ934)/$U$941)*180/PI()</f>
        <v>59.696049308382968</v>
      </c>
      <c r="BC934" s="54"/>
      <c r="BD934" s="54">
        <f t="shared" ref="BD934:BD964" si="68">IF(AX934&lt;=$T$954/2,-$H$946*COS(BB934*PI()/180)-$F$941*SIN(BB934*PI()/180)+$N$931*AX934*COS(BB934*PI()/180),IF(AND($T$954/2&lt;AX934,AX934&lt;=($T$954-$AC$952)),-$AE$946*COS(BB934*PI()/180)-$AI$941*SIN(BB934*PI()/180)+$AA$934*COS(BB934*PI()/180),-$AE$946*COS(BB934*PI()/180)-$AI$941*SIN(BB934*PI()/180)))</f>
        <v>-718.12300628582261</v>
      </c>
      <c r="BE934" s="54"/>
      <c r="BF934" s="54">
        <f t="shared" ref="BF934:BF964" si="69">IF(AX934&lt;=$T$954/2,$H$946*SIN(BB934*PI()/180)-$F$941*COS(BB934*PI()/180)-$N$931*AX934*SIN(BB934*PI()/180),IF(AND($T$954/2&lt;AX934,AX934&lt;=($T$954-$AC$952)),-$AE$946*SIN(BB934*PI()/180)+$AI$941*COS(BB934*PI()/180)+$AA$934*SIN(BB934*PI()/180),-$AE$946*SIN(BB934*PI()/180)+$AI$941*COS(BB934*PI()/180)))</f>
        <v>56.149978319092845</v>
      </c>
      <c r="BG934" s="54"/>
      <c r="BH934" s="54">
        <f t="shared" ref="BH934:BH964" si="70">IF(AX934&lt;=$T$954/2,$H$946*AX934-$F$941*AZ934-$N$931*AX934*AX934/2,IF(AND($T$954/2&lt;AX934,AX934&lt;=($T$954-$AC$952)),$AE$946*($T$954-AX934)-$AI$941*AZ934-$AA$934*($T$954/2+$W$952-AX934),$AE$946*($T$954-AX934)-$AI$941*AZ934))</f>
        <v>221.95043211910848</v>
      </c>
      <c r="BI934" s="54"/>
      <c r="BJ934" s="3"/>
    </row>
    <row r="935" spans="2:62" ht="11.25" customHeight="1">
      <c r="B935" s="2"/>
      <c r="C935" s="24" t="s">
        <v>71</v>
      </c>
      <c r="D935" s="24"/>
      <c r="E935" s="75"/>
      <c r="AK935" s="24">
        <f>U941-SQRT(U941^2-W952^2)</f>
        <v>2.8064888509436088</v>
      </c>
      <c r="AL935" s="24"/>
      <c r="AM935" s="75" t="s">
        <v>1</v>
      </c>
      <c r="AV935" s="25">
        <v>2</v>
      </c>
      <c r="AW935" s="26"/>
      <c r="AX935" s="30">
        <f t="shared" ref="AX935:AX945" si="71">($T$954/2)/12+AX934</f>
        <v>6.666666666666667</v>
      </c>
      <c r="AY935" s="28"/>
      <c r="AZ935" s="54">
        <f t="shared" ref="AZ935:AZ964" si="72">$AN$937-$U$941+SQRT($U$941^2-($T$954/2-AX935)^2)</f>
        <v>3.903708377414759</v>
      </c>
      <c r="BA935" s="54"/>
      <c r="BB935" s="54">
        <f t="shared" ref="BB935:BB964" si="73">ASIN(($U$941-$AN$937+AZ935)/$U$941)*180/PI()</f>
        <v>62.695741708031029</v>
      </c>
      <c r="BC935" s="54"/>
      <c r="BD935" s="54">
        <f t="shared" si="68"/>
        <v>-692.7939558252807</v>
      </c>
      <c r="BE935" s="54"/>
      <c r="BF935" s="54">
        <f t="shared" si="69"/>
        <v>52.185633344001289</v>
      </c>
      <c r="BG935" s="54"/>
      <c r="BH935" s="54">
        <f t="shared" si="70"/>
        <v>429.19476558515652</v>
      </c>
      <c r="BI935" s="54"/>
      <c r="BJ935" s="3"/>
    </row>
    <row r="936" spans="2:62" ht="11.25" customHeight="1">
      <c r="B936" s="2"/>
      <c r="C936" s="24"/>
      <c r="D936" s="24"/>
      <c r="E936" s="75"/>
      <c r="M936" s="1" t="s">
        <v>17</v>
      </c>
      <c r="AB936" s="6" t="s">
        <v>30</v>
      </c>
      <c r="AK936" s="24"/>
      <c r="AL936" s="24"/>
      <c r="AM936" s="75"/>
      <c r="AN936" s="5" t="s">
        <v>1</v>
      </c>
      <c r="AV936" s="25">
        <v>3</v>
      </c>
      <c r="AW936" s="26"/>
      <c r="AX936" s="30">
        <f t="shared" si="71"/>
        <v>10</v>
      </c>
      <c r="AY936" s="28"/>
      <c r="AZ936" s="54">
        <f t="shared" si="72"/>
        <v>5.5182594452845706</v>
      </c>
      <c r="BA936" s="54"/>
      <c r="BB936" s="54">
        <f t="shared" si="73"/>
        <v>65.616381604965824</v>
      </c>
      <c r="BC936" s="54"/>
      <c r="BD936" s="54">
        <f t="shared" si="68"/>
        <v>-669.96900848033692</v>
      </c>
      <c r="BE936" s="54"/>
      <c r="BF936" s="54">
        <f t="shared" si="69"/>
        <v>44.913495970796191</v>
      </c>
      <c r="BG936" s="54"/>
      <c r="BH936" s="54">
        <f t="shared" si="70"/>
        <v>610.02982820662919</v>
      </c>
      <c r="BI936" s="54"/>
      <c r="BJ936" s="3"/>
    </row>
    <row r="937" spans="2:62" ht="11.25" customHeight="1">
      <c r="B937" s="2"/>
      <c r="AN937" s="38">
        <v>12</v>
      </c>
      <c r="AV937" s="25">
        <v>4</v>
      </c>
      <c r="AW937" s="26"/>
      <c r="AX937" s="30">
        <f t="shared" si="71"/>
        <v>13.333333333333334</v>
      </c>
      <c r="AY937" s="28"/>
      <c r="AZ937" s="54">
        <f t="shared" si="72"/>
        <v>6.9301774411268013</v>
      </c>
      <c r="BA937" s="54"/>
      <c r="BB937" s="54">
        <f t="shared" si="73"/>
        <v>68.470977170159955</v>
      </c>
      <c r="BC937" s="54"/>
      <c r="BD937" s="54">
        <f t="shared" si="68"/>
        <v>-649.77552733027551</v>
      </c>
      <c r="BE937" s="54"/>
      <c r="BF937" s="54">
        <f t="shared" si="69"/>
        <v>34.812396808480855</v>
      </c>
      <c r="BG937" s="54"/>
      <c r="BH937" s="54">
        <f t="shared" si="70"/>
        <v>755.2005695555315</v>
      </c>
      <c r="BI937" s="54"/>
      <c r="BJ937" s="3"/>
    </row>
    <row r="938" spans="2:62" ht="11.25" customHeight="1">
      <c r="B938" s="2"/>
      <c r="I938" s="1" t="s">
        <v>58</v>
      </c>
      <c r="AN938" s="38"/>
      <c r="AV938" s="25">
        <v>5</v>
      </c>
      <c r="AW938" s="26"/>
      <c r="AX938" s="30">
        <f t="shared" si="71"/>
        <v>16.666666666666668</v>
      </c>
      <c r="AY938" s="28"/>
      <c r="AZ938" s="54">
        <f t="shared" si="72"/>
        <v>8.1519354696743562</v>
      </c>
      <c r="BA938" s="54"/>
      <c r="BB938" s="54">
        <f t="shared" si="73"/>
        <v>71.270483230098449</v>
      </c>
      <c r="BC938" s="54"/>
      <c r="BD938" s="54">
        <f t="shared" si="68"/>
        <v>-632.31507091133926</v>
      </c>
      <c r="BE938" s="54"/>
      <c r="BF938" s="54">
        <f t="shared" si="69"/>
        <v>22.311207660654674</v>
      </c>
      <c r="BG938" s="54"/>
      <c r="BH938" s="54">
        <f t="shared" si="70"/>
        <v>857.32706933156237</v>
      </c>
      <c r="BI938" s="54"/>
      <c r="BJ938" s="3"/>
    </row>
    <row r="939" spans="2:62" ht="11.25" customHeight="1">
      <c r="B939" s="2"/>
      <c r="C939" s="24" t="s">
        <v>58</v>
      </c>
      <c r="D939" s="24"/>
      <c r="AK939" s="24">
        <f>+AN937-AK935</f>
        <v>9.1935111490563912</v>
      </c>
      <c r="AL939" s="24"/>
      <c r="AM939" s="1" t="s">
        <v>1</v>
      </c>
      <c r="AN939" s="38"/>
      <c r="AV939" s="25">
        <v>6</v>
      </c>
      <c r="AW939" s="26"/>
      <c r="AX939" s="30">
        <f t="shared" si="71"/>
        <v>20</v>
      </c>
      <c r="AY939" s="28"/>
      <c r="AZ939" s="54">
        <f t="shared" si="72"/>
        <v>9.1935111490563912</v>
      </c>
      <c r="BA939" s="54"/>
      <c r="BB939" s="54">
        <f t="shared" si="73"/>
        <v>74.024317147937467</v>
      </c>
      <c r="BC939" s="54"/>
      <c r="BD939" s="54">
        <f t="shared" si="68"/>
        <v>-617.66887900416702</v>
      </c>
      <c r="BE939" s="54"/>
      <c r="BF939" s="54">
        <f t="shared" si="69"/>
        <v>7.8006637012499596</v>
      </c>
      <c r="BG939" s="54"/>
      <c r="BH939" s="54">
        <f t="shared" si="70"/>
        <v>910.50590347496927</v>
      </c>
      <c r="BI939" s="54"/>
      <c r="BJ939" s="3"/>
    </row>
    <row r="940" spans="2:62" ht="11.25" customHeight="1">
      <c r="B940" s="2"/>
      <c r="AN940" s="37" t="s">
        <v>42</v>
      </c>
      <c r="AV940" s="25">
        <v>7</v>
      </c>
      <c r="AW940" s="26"/>
      <c r="AX940" s="30">
        <f t="shared" si="71"/>
        <v>23.333333333333332</v>
      </c>
      <c r="AY940" s="28"/>
      <c r="AZ940" s="54">
        <f t="shared" si="72"/>
        <v>10.0628651193325</v>
      </c>
      <c r="BA940" s="54"/>
      <c r="BB940" s="54">
        <f t="shared" si="73"/>
        <v>76.74073440044117</v>
      </c>
      <c r="BC940" s="54"/>
      <c r="BD940" s="54">
        <f t="shared" si="68"/>
        <v>-605.90176874685869</v>
      </c>
      <c r="BE940" s="54"/>
      <c r="BF940" s="54">
        <f t="shared" si="69"/>
        <v>-8.3577619602231721</v>
      </c>
      <c r="BG940" s="54"/>
      <c r="BH940" s="54">
        <f t="shared" si="70"/>
        <v>910.02702661716103</v>
      </c>
      <c r="BI940" s="54"/>
      <c r="BJ940" s="3"/>
    </row>
    <row r="941" spans="2:62" ht="11.25" customHeight="1">
      <c r="B941" s="2"/>
      <c r="D941" s="1" t="s">
        <v>5</v>
      </c>
      <c r="F941" s="24">
        <f>+AF959</f>
        <v>591.66666666666663</v>
      </c>
      <c r="G941" s="24"/>
      <c r="H941" s="1" t="s">
        <v>0</v>
      </c>
      <c r="L941" s="1" t="s">
        <v>48</v>
      </c>
      <c r="T941" s="1" t="s">
        <v>2</v>
      </c>
      <c r="U941" s="24">
        <f>(T954^2+4*AN937^2)/(8*AN937)</f>
        <v>72.666666666666671</v>
      </c>
      <c r="V941" s="24"/>
      <c r="W941" s="1" t="s">
        <v>1</v>
      </c>
      <c r="AE941" s="1" t="s">
        <v>33</v>
      </c>
      <c r="AG941" s="1" t="s">
        <v>6</v>
      </c>
      <c r="AI941" s="24">
        <f>+AC960</f>
        <v>591.66666666666663</v>
      </c>
      <c r="AJ941" s="24"/>
      <c r="AK941" s="1" t="s">
        <v>0</v>
      </c>
      <c r="AN941" s="37"/>
      <c r="AV941" s="25">
        <v>8</v>
      </c>
      <c r="AW941" s="26"/>
      <c r="AX941" s="30">
        <f t="shared" si="71"/>
        <v>26.666666666666664</v>
      </c>
      <c r="AY941" s="28"/>
      <c r="AZ941" s="54">
        <f t="shared" si="72"/>
        <v>10.76628557994475</v>
      </c>
      <c r="BA941" s="54"/>
      <c r="BB941" s="54">
        <f t="shared" si="73"/>
        <v>79.427110410057537</v>
      </c>
      <c r="BC941" s="54"/>
      <c r="BD941" s="54">
        <f t="shared" si="68"/>
        <v>-597.06493992844923</v>
      </c>
      <c r="BE941" s="54"/>
      <c r="BF941" s="54">
        <f t="shared" si="69"/>
        <v>-25.824982680721348</v>
      </c>
      <c r="BG941" s="54"/>
      <c r="BH941" s="54">
        <f t="shared" si="70"/>
        <v>852.16992075491089</v>
      </c>
      <c r="BI941" s="54"/>
      <c r="BJ941" s="3"/>
    </row>
    <row r="942" spans="2:62" ht="11.25" customHeight="1">
      <c r="B942" s="2"/>
      <c r="AV942" s="25">
        <v>9</v>
      </c>
      <c r="AW942" s="26"/>
      <c r="AX942" s="30">
        <f t="shared" si="71"/>
        <v>29.999999999999996</v>
      </c>
      <c r="AY942" s="28"/>
      <c r="AZ942" s="54">
        <f t="shared" si="72"/>
        <v>11.308637740084151</v>
      </c>
      <c r="BA942" s="54"/>
      <c r="BB942" s="54">
        <f t="shared" si="73"/>
        <v>82.09015858856074</v>
      </c>
      <c r="BC942" s="54"/>
      <c r="BD942" s="54">
        <f t="shared" si="68"/>
        <v>-591.19800606414083</v>
      </c>
      <c r="BE942" s="54"/>
      <c r="BF942" s="54">
        <f t="shared" si="69"/>
        <v>-44.278799331378821</v>
      </c>
      <c r="BG942" s="54"/>
      <c r="BH942" s="54">
        <f t="shared" si="70"/>
        <v>734.05600378354393</v>
      </c>
      <c r="BI942" s="54"/>
      <c r="BJ942" s="3"/>
    </row>
    <row r="943" spans="2:62" ht="11.25" customHeight="1">
      <c r="B943" s="2"/>
      <c r="AV943" s="25">
        <v>10</v>
      </c>
      <c r="AW943" s="26"/>
      <c r="AX943" s="30">
        <f t="shared" si="71"/>
        <v>33.333333333333329</v>
      </c>
      <c r="AY943" s="28"/>
      <c r="AZ943" s="54">
        <f t="shared" si="72"/>
        <v>11.693543393835512</v>
      </c>
      <c r="BA943" s="54"/>
      <c r="BB943" s="54">
        <f t="shared" si="73"/>
        <v>84.736104588146659</v>
      </c>
      <c r="BC943" s="54"/>
      <c r="BD943" s="54">
        <f t="shared" si="68"/>
        <v>-588.33045653237627</v>
      </c>
      <c r="BE943" s="54"/>
      <c r="BF943" s="54">
        <f t="shared" si="69"/>
        <v>-63.409353715582711</v>
      </c>
      <c r="BG943" s="54"/>
      <c r="BH943" s="54">
        <f t="shared" si="70"/>
        <v>553.5423808695441</v>
      </c>
      <c r="BI943" s="54"/>
      <c r="BJ943" s="3"/>
    </row>
    <row r="944" spans="2:62" ht="11.25" customHeight="1">
      <c r="B944" s="2"/>
      <c r="AV944" s="25">
        <v>11</v>
      </c>
      <c r="AW944" s="26"/>
      <c r="AX944" s="30">
        <f t="shared" si="71"/>
        <v>36.666666666666664</v>
      </c>
      <c r="AY944" s="28"/>
      <c r="AZ944" s="54">
        <f t="shared" si="72"/>
        <v>11.923507140353067</v>
      </c>
      <c r="BA944" s="54"/>
      <c r="BB944" s="54">
        <f t="shared" si="73"/>
        <v>87.37083063334326</v>
      </c>
      <c r="BC944" s="54"/>
      <c r="BD944" s="54">
        <f t="shared" si="68"/>
        <v>-588.48268428498488</v>
      </c>
      <c r="BE944" s="54"/>
      <c r="BF944" s="54">
        <f t="shared" si="69"/>
        <v>-82.915232932762876</v>
      </c>
      <c r="BG944" s="54"/>
      <c r="BH944" s="54">
        <f t="shared" si="70"/>
        <v>309.14716417999443</v>
      </c>
      <c r="BI944" s="54"/>
      <c r="BJ944" s="3"/>
    </row>
    <row r="945" spans="2:62" ht="11.25" customHeight="1">
      <c r="B945" s="2"/>
      <c r="AV945" s="25">
        <v>12</v>
      </c>
      <c r="AW945" s="26"/>
      <c r="AX945" s="30">
        <f t="shared" si="71"/>
        <v>40</v>
      </c>
      <c r="AY945" s="28"/>
      <c r="AZ945" s="54">
        <f t="shared" si="72"/>
        <v>12</v>
      </c>
      <c r="BA945" s="54"/>
      <c r="BB945" s="54">
        <f t="shared" si="73"/>
        <v>90</v>
      </c>
      <c r="BC945" s="54"/>
      <c r="BD945" s="54">
        <f t="shared" si="68"/>
        <v>-591.66666666666663</v>
      </c>
      <c r="BE945" s="54"/>
      <c r="BF945" s="54">
        <f t="shared" si="69"/>
        <v>-102.50000000000006</v>
      </c>
      <c r="BG945" s="54"/>
      <c r="BH945" s="54">
        <f t="shared" si="70"/>
        <v>0</v>
      </c>
      <c r="BI945" s="54"/>
      <c r="BJ945" s="3"/>
    </row>
    <row r="946" spans="2:62" ht="11.25" customHeight="1">
      <c r="B946" s="2"/>
      <c r="F946" s="1" t="s">
        <v>4</v>
      </c>
      <c r="H946" s="24">
        <f>+AF957</f>
        <v>457.5</v>
      </c>
      <c r="I946" s="24"/>
      <c r="J946" s="1" t="s">
        <v>0</v>
      </c>
      <c r="AC946" s="1" t="s">
        <v>7</v>
      </c>
      <c r="AE946" s="24">
        <f>+Z958</f>
        <v>252.5</v>
      </c>
      <c r="AF946" s="24"/>
      <c r="AG946" s="1" t="s">
        <v>0</v>
      </c>
      <c r="AV946" s="25">
        <v>13</v>
      </c>
      <c r="AW946" s="26"/>
      <c r="AX946" s="30">
        <f>($T$954/2-$AC$952)/9+AX945</f>
        <v>42.222222222222221</v>
      </c>
      <c r="AY946" s="28"/>
      <c r="AZ946" s="54">
        <f t="shared" si="72"/>
        <v>11.966013118947089</v>
      </c>
      <c r="BA946" s="54"/>
      <c r="BB946" s="54">
        <f t="shared" si="73"/>
        <v>88.247562269859586</v>
      </c>
      <c r="BC946" s="54"/>
      <c r="BD946" s="54">
        <f t="shared" si="68"/>
        <v>-594.52449519632034</v>
      </c>
      <c r="BE946" s="54"/>
      <c r="BF946" s="54">
        <f t="shared" si="69"/>
        <v>-84.358277934088278</v>
      </c>
      <c r="BG946" s="54"/>
      <c r="BH946" s="54">
        <f t="shared" si="70"/>
        <v>-207.66887315480562</v>
      </c>
      <c r="BI946" s="54"/>
      <c r="BJ946" s="3"/>
    </row>
    <row r="947" spans="2:62" ht="11.25" customHeight="1">
      <c r="B947" s="2"/>
      <c r="AV947" s="25">
        <v>14</v>
      </c>
      <c r="AW947" s="26"/>
      <c r="AX947" s="30">
        <f t="shared" ref="AX947:AX954" si="74">($T$954/2-$AC$952)/9+AX946</f>
        <v>44.444444444444443</v>
      </c>
      <c r="AY947" s="28"/>
      <c r="AZ947" s="54">
        <f t="shared" si="72"/>
        <v>11.863956921061373</v>
      </c>
      <c r="BA947" s="54"/>
      <c r="BB947" s="54">
        <f t="shared" si="73"/>
        <v>86.493482459406607</v>
      </c>
      <c r="BC947" s="54"/>
      <c r="BD947" s="54">
        <f t="shared" si="68"/>
        <v>-596.82808960955947</v>
      </c>
      <c r="BE947" s="54"/>
      <c r="BF947" s="54">
        <f t="shared" si="69"/>
        <v>-66.120540662098051</v>
      </c>
      <c r="BG947" s="54"/>
      <c r="BH947" s="54">
        <f t="shared" si="70"/>
        <v>-375.06340051686811</v>
      </c>
      <c r="BI947" s="54"/>
      <c r="BJ947" s="3"/>
    </row>
    <row r="948" spans="2:62" ht="11.25" customHeight="1">
      <c r="B948" s="2"/>
      <c r="AV948" s="25">
        <v>15</v>
      </c>
      <c r="AW948" s="26"/>
      <c r="AX948" s="30">
        <f t="shared" si="74"/>
        <v>46.666666666666664</v>
      </c>
      <c r="AY948" s="28"/>
      <c r="AZ948" s="54">
        <f t="shared" si="72"/>
        <v>11.693543393835512</v>
      </c>
      <c r="BA948" s="54"/>
      <c r="BB948" s="54">
        <f t="shared" si="73"/>
        <v>84.736104588146659</v>
      </c>
      <c r="BC948" s="54"/>
      <c r="BD948" s="54">
        <f t="shared" si="68"/>
        <v>-598.57510485041905</v>
      </c>
      <c r="BE948" s="54"/>
      <c r="BF948" s="54">
        <f t="shared" si="69"/>
        <v>-47.786381927849533</v>
      </c>
      <c r="BG948" s="54"/>
      <c r="BH948" s="54">
        <f t="shared" si="70"/>
        <v>-502.01317468601019</v>
      </c>
      <c r="BI948" s="54"/>
      <c r="BJ948" s="3"/>
    </row>
    <row r="949" spans="2:62" ht="11.25" customHeight="1">
      <c r="B949" s="2"/>
      <c r="Q949" s="65" t="s">
        <v>70</v>
      </c>
      <c r="R949" s="24"/>
      <c r="S949" s="8"/>
      <c r="W949" s="24">
        <f>ACOS(W952/U941)*180/PI()</f>
        <v>74.024317147937481</v>
      </c>
      <c r="X949" s="24"/>
      <c r="Y949" s="8" t="s">
        <v>8</v>
      </c>
      <c r="AV949" s="25">
        <v>16</v>
      </c>
      <c r="AW949" s="26"/>
      <c r="AX949" s="30">
        <f t="shared" si="74"/>
        <v>48.888888888888886</v>
      </c>
      <c r="AY949" s="28"/>
      <c r="AZ949" s="54">
        <f t="shared" si="72"/>
        <v>11.454287977357779</v>
      </c>
      <c r="BA949" s="54"/>
      <c r="BB949" s="54">
        <f t="shared" si="73"/>
        <v>82.97374454652099</v>
      </c>
      <c r="BC949" s="54"/>
      <c r="BD949" s="54">
        <f t="shared" si="68"/>
        <v>-599.76159553429693</v>
      </c>
      <c r="BE949" s="54"/>
      <c r="BF949" s="54">
        <f t="shared" si="69"/>
        <v>-29.355118235136047</v>
      </c>
      <c r="BG949" s="54"/>
      <c r="BH949" s="54">
        <f t="shared" si="70"/>
        <v>-588.23149771446265</v>
      </c>
      <c r="BI949" s="54"/>
      <c r="BJ949" s="3"/>
    </row>
    <row r="950" spans="2:62" ht="11.25" customHeight="1">
      <c r="B950" s="2"/>
      <c r="AV950" s="25">
        <v>17</v>
      </c>
      <c r="AW950" s="26"/>
      <c r="AX950" s="30">
        <f t="shared" si="74"/>
        <v>51.111111111111107</v>
      </c>
      <c r="AY950" s="28"/>
      <c r="AZ950" s="54">
        <f t="shared" si="72"/>
        <v>11.145502596773554</v>
      </c>
      <c r="BA950" s="54"/>
      <c r="BB950" s="54">
        <f t="shared" si="73"/>
        <v>81.204675194265448</v>
      </c>
      <c r="BC950" s="54"/>
      <c r="BD950" s="54">
        <f t="shared" si="68"/>
        <v>-600.38195921684883</v>
      </c>
      <c r="BE950" s="54"/>
      <c r="BF950" s="54">
        <f t="shared" si="69"/>
        <v>-10.825779019659166</v>
      </c>
      <c r="BG950" s="54"/>
      <c r="BH950" s="54">
        <f t="shared" si="70"/>
        <v>-633.31125864657406</v>
      </c>
      <c r="BI950" s="54"/>
      <c r="BJ950" s="3"/>
    </row>
    <row r="951" spans="2:62" ht="11.25" customHeight="1">
      <c r="B951" s="2"/>
      <c r="AV951" s="25">
        <v>18</v>
      </c>
      <c r="AW951" s="26"/>
      <c r="AX951" s="30">
        <f t="shared" si="74"/>
        <v>53.333333333333329</v>
      </c>
      <c r="AY951" s="28"/>
      <c r="AZ951" s="54">
        <f t="shared" si="72"/>
        <v>10.76628557994475</v>
      </c>
      <c r="BA951" s="54"/>
      <c r="BB951" s="54">
        <f t="shared" si="73"/>
        <v>79.427110410057537</v>
      </c>
      <c r="BC951" s="54"/>
      <c r="BD951" s="54">
        <f t="shared" si="68"/>
        <v>-600.42885430153785</v>
      </c>
      <c r="BE951" s="54"/>
      <c r="BF951" s="54">
        <f t="shared" si="69"/>
        <v>7.802907572631284</v>
      </c>
      <c r="BG951" s="54"/>
      <c r="BH951" s="54">
        <f t="shared" si="70"/>
        <v>-636.71896813397575</v>
      </c>
      <c r="BI951" s="54"/>
      <c r="BJ951" s="3"/>
    </row>
    <row r="952" spans="2:62" ht="11.25" customHeight="1">
      <c r="B952" s="2"/>
      <c r="J952" s="24" t="s">
        <v>48</v>
      </c>
      <c r="K952" s="24"/>
      <c r="P952" s="24" t="s">
        <v>72</v>
      </c>
      <c r="Q952" s="24"/>
      <c r="R952" s="24"/>
      <c r="W952" s="24">
        <f>+T954/2-AC952</f>
        <v>20</v>
      </c>
      <c r="X952" s="24"/>
      <c r="Y952" s="1" t="s">
        <v>1</v>
      </c>
      <c r="AC952" s="34">
        <v>20</v>
      </c>
      <c r="AD952" s="34"/>
      <c r="AE952" s="1" t="s">
        <v>1</v>
      </c>
      <c r="AV952" s="25">
        <v>19</v>
      </c>
      <c r="AW952" s="26"/>
      <c r="AX952" s="30">
        <f t="shared" si="74"/>
        <v>55.55555555555555</v>
      </c>
      <c r="AY952" s="28"/>
      <c r="AZ952" s="54">
        <f t="shared" si="72"/>
        <v>10.315508108430706</v>
      </c>
      <c r="BA952" s="54"/>
      <c r="BB952" s="54">
        <f t="shared" si="73"/>
        <v>77.639187665520325</v>
      </c>
      <c r="BC952" s="54"/>
      <c r="BD952" s="54">
        <f t="shared" si="68"/>
        <v>-599.89308972078516</v>
      </c>
      <c r="BE952" s="54"/>
      <c r="BF952" s="54">
        <f t="shared" si="69"/>
        <v>26.53253379710371</v>
      </c>
      <c r="BG952" s="54"/>
      <c r="BH952" s="54">
        <f t="shared" si="70"/>
        <v>-597.78674193261088</v>
      </c>
      <c r="BI952" s="54"/>
      <c r="BJ952" s="3"/>
    </row>
    <row r="953" spans="2:62" ht="11.25" customHeight="1">
      <c r="B953" s="2"/>
      <c r="AV953" s="25">
        <v>20</v>
      </c>
      <c r="AW953" s="26"/>
      <c r="AX953" s="30">
        <f t="shared" si="74"/>
        <v>57.777777777777771</v>
      </c>
      <c r="AY953" s="28"/>
      <c r="AZ953" s="54">
        <f t="shared" si="72"/>
        <v>9.7917967123227641</v>
      </c>
      <c r="BA953" s="54"/>
      <c r="BB953" s="54">
        <f t="shared" si="73"/>
        <v>75.838948622404857</v>
      </c>
      <c r="BC953" s="54"/>
      <c r="BD953" s="54">
        <f t="shared" si="68"/>
        <v>-598.76348240538027</v>
      </c>
      <c r="BE953" s="54"/>
      <c r="BF953" s="54">
        <f t="shared" si="69"/>
        <v>45.365037002368666</v>
      </c>
      <c r="BG953" s="54"/>
      <c r="BH953" s="54">
        <f t="shared" si="70"/>
        <v>-515.70194367985584</v>
      </c>
      <c r="BI953" s="54"/>
      <c r="BJ953" s="3"/>
    </row>
    <row r="954" spans="2:62" ht="11.25" customHeight="1">
      <c r="B954" s="2"/>
      <c r="T954" s="34">
        <v>80</v>
      </c>
      <c r="U954" s="34"/>
      <c r="V954" s="1" t="s">
        <v>1</v>
      </c>
      <c r="AV954" s="25">
        <v>21</v>
      </c>
      <c r="AW954" s="26"/>
      <c r="AX954" s="33">
        <f t="shared" si="74"/>
        <v>59.999999999999993</v>
      </c>
      <c r="AY954" s="25"/>
      <c r="AZ954" s="55">
        <f t="shared" si="72"/>
        <v>9.1935111490563912</v>
      </c>
      <c r="BA954" s="55"/>
      <c r="BB954" s="55">
        <f t="shared" si="73"/>
        <v>74.024317147937467</v>
      </c>
      <c r="BC954" s="55"/>
      <c r="BD954" s="55">
        <f t="shared" si="68"/>
        <v>-597.02667716930466</v>
      </c>
      <c r="BE954" s="55"/>
      <c r="BF954" s="55">
        <f t="shared" si="69"/>
        <v>64.302730833326564</v>
      </c>
      <c r="BG954" s="55"/>
      <c r="BH954" s="55">
        <f t="shared" si="70"/>
        <v>-389.49409652502999</v>
      </c>
      <c r="BI954" s="55"/>
      <c r="BJ954" s="3"/>
    </row>
    <row r="955" spans="2:62" ht="11.25" customHeight="1">
      <c r="B955" s="2"/>
      <c r="AV955" s="25">
        <v>22</v>
      </c>
      <c r="AW955" s="26"/>
      <c r="AX955" s="33">
        <f>($T$954/2-$AC$952)/9+AX953+0.000001</f>
        <v>60.00000099999999</v>
      </c>
      <c r="AY955" s="25"/>
      <c r="AZ955" s="55">
        <f t="shared" si="72"/>
        <v>9.1935108627702533</v>
      </c>
      <c r="BA955" s="55"/>
      <c r="BB955" s="55">
        <f t="shared" si="73"/>
        <v>74.024316327788128</v>
      </c>
      <c r="BC955" s="55"/>
      <c r="BD955" s="55">
        <f t="shared" si="68"/>
        <v>-638.3110819828006</v>
      </c>
      <c r="BE955" s="55"/>
      <c r="BF955" s="55">
        <f t="shared" si="69"/>
        <v>-79.904049098846144</v>
      </c>
      <c r="BG955" s="55"/>
      <c r="BH955" s="55">
        <f t="shared" si="70"/>
        <v>-389.49417963906308</v>
      </c>
      <c r="BI955" s="55"/>
      <c r="BJ955" s="3"/>
    </row>
    <row r="956" spans="2:62" ht="11.25" customHeight="1">
      <c r="B956" s="2"/>
      <c r="F956" s="4" t="s">
        <v>28</v>
      </c>
      <c r="AV956" s="25">
        <v>23</v>
      </c>
      <c r="AW956" s="26"/>
      <c r="AX956" s="30">
        <f>$AC$952/9+AX954</f>
        <v>62.222222222222214</v>
      </c>
      <c r="AY956" s="28"/>
      <c r="AZ956" s="54">
        <f t="shared" si="72"/>
        <v>8.5187167893106306</v>
      </c>
      <c r="BA956" s="54"/>
      <c r="BB956" s="54">
        <f t="shared" si="73"/>
        <v>72.193074000531851</v>
      </c>
      <c r="BC956" s="54"/>
      <c r="BD956" s="54">
        <f t="shared" si="68"/>
        <v>-640.53848150317901</v>
      </c>
      <c r="BE956" s="54"/>
      <c r="BF956" s="54">
        <f t="shared" si="69"/>
        <v>-59.465520749809116</v>
      </c>
      <c r="BG956" s="54"/>
      <c r="BH956" s="54">
        <f t="shared" si="70"/>
        <v>-551.35187811989908</v>
      </c>
      <c r="BI956" s="54"/>
      <c r="BJ956" s="3"/>
    </row>
    <row r="957" spans="2:62" ht="11.25" customHeight="1">
      <c r="B957" s="2"/>
      <c r="F957" s="1" t="s">
        <v>11</v>
      </c>
      <c r="H957" s="24">
        <f>+T954</f>
        <v>80</v>
      </c>
      <c r="I957" s="24"/>
      <c r="J957" s="7" t="s">
        <v>9</v>
      </c>
      <c r="K957" s="24">
        <f>+N931</f>
        <v>14</v>
      </c>
      <c r="L957" s="24"/>
      <c r="M957" s="7" t="s">
        <v>10</v>
      </c>
      <c r="N957" s="24">
        <f>+T954/2</f>
        <v>40</v>
      </c>
      <c r="O957" s="24"/>
      <c r="P957" s="7" t="s">
        <v>10</v>
      </c>
      <c r="Q957" s="24">
        <f>+T954/2+T954/4</f>
        <v>60</v>
      </c>
      <c r="R957" s="24"/>
      <c r="S957" s="7" t="s">
        <v>9</v>
      </c>
      <c r="T957" s="24">
        <f>+AA934</f>
        <v>150</v>
      </c>
      <c r="U957" s="24"/>
      <c r="V957" s="7" t="s">
        <v>10</v>
      </c>
      <c r="W957" s="24">
        <f>+AC952</f>
        <v>20</v>
      </c>
      <c r="X957" s="24"/>
      <c r="Y957" s="7" t="s">
        <v>12</v>
      </c>
      <c r="Z957" s="1">
        <v>0</v>
      </c>
      <c r="AD957" s="1" t="s">
        <v>4</v>
      </c>
      <c r="AF957" s="24">
        <f>(K957*N957*Q957+T957*W957)/H957</f>
        <v>457.5</v>
      </c>
      <c r="AG957" s="24"/>
      <c r="AH957" s="1" t="s">
        <v>0</v>
      </c>
      <c r="AV957" s="25">
        <v>24</v>
      </c>
      <c r="AW957" s="26"/>
      <c r="AX957" s="30">
        <f>$AC$952/9+AX956</f>
        <v>64.444444444444443</v>
      </c>
      <c r="AY957" s="28"/>
      <c r="AZ957" s="54">
        <f t="shared" si="72"/>
        <v>7.7651503503241486</v>
      </c>
      <c r="BA957" s="54"/>
      <c r="BB957" s="54">
        <f t="shared" si="73"/>
        <v>70.342827242708253</v>
      </c>
      <c r="BC957" s="54"/>
      <c r="BD957" s="54">
        <f t="shared" si="68"/>
        <v>-642.12450399919896</v>
      </c>
      <c r="BE957" s="54"/>
      <c r="BF957" s="54">
        <f t="shared" si="69"/>
        <v>-38.753268355420317</v>
      </c>
      <c r="BG957" s="54"/>
      <c r="BH957" s="54">
        <f t="shared" si="70"/>
        <v>-666.60284616400895</v>
      </c>
      <c r="BI957" s="54"/>
      <c r="BJ957" s="3"/>
    </row>
    <row r="958" spans="2:62" ht="11.25" customHeight="1">
      <c r="B958" s="2"/>
      <c r="F958" s="1" t="s">
        <v>13</v>
      </c>
      <c r="H958" s="24">
        <f>+H946</f>
        <v>457.5</v>
      </c>
      <c r="I958" s="24"/>
      <c r="J958" s="7" t="s">
        <v>9</v>
      </c>
      <c r="K958" s="24">
        <f>+N931</f>
        <v>14</v>
      </c>
      <c r="L958" s="24"/>
      <c r="M958" s="7" t="s">
        <v>10</v>
      </c>
      <c r="N958" s="24">
        <f>+T954/2</f>
        <v>40</v>
      </c>
      <c r="O958" s="24"/>
      <c r="P958" s="7" t="s">
        <v>9</v>
      </c>
      <c r="Q958" s="24">
        <f>+AA934</f>
        <v>150</v>
      </c>
      <c r="R958" s="24"/>
      <c r="S958" s="7" t="s">
        <v>12</v>
      </c>
      <c r="T958" s="1">
        <v>0</v>
      </c>
      <c r="X958" s="1" t="s">
        <v>7</v>
      </c>
      <c r="Z958" s="24">
        <f>+K958*N958+Q958-H958</f>
        <v>252.5</v>
      </c>
      <c r="AA958" s="24"/>
      <c r="AB958" s="1" t="s">
        <v>0</v>
      </c>
      <c r="AV958" s="25">
        <v>25</v>
      </c>
      <c r="AW958" s="26"/>
      <c r="AX958" s="30">
        <f t="shared" ref="AX958:AX964" si="75">$AC$952/9+AX957</f>
        <v>66.666666666666671</v>
      </c>
      <c r="AY958" s="28"/>
      <c r="AZ958" s="54">
        <f t="shared" si="72"/>
        <v>6.9301774411268013</v>
      </c>
      <c r="BA958" s="54"/>
      <c r="BB958" s="54">
        <f t="shared" si="73"/>
        <v>68.470977170159955</v>
      </c>
      <c r="BC958" s="54"/>
      <c r="BD958" s="54">
        <f t="shared" si="68"/>
        <v>-643.04769858409816</v>
      </c>
      <c r="BE958" s="54"/>
      <c r="BF958" s="54">
        <f t="shared" si="69"/>
        <v>-17.758147148257763</v>
      </c>
      <c r="BG958" s="54"/>
      <c r="BH958" s="54">
        <f t="shared" si="70"/>
        <v>-733.68831933335832</v>
      </c>
      <c r="BI958" s="54"/>
      <c r="BJ958" s="3"/>
    </row>
    <row r="959" spans="2:62" ht="11.25" customHeight="1">
      <c r="B959" s="2"/>
      <c r="F959" s="1" t="s">
        <v>14</v>
      </c>
      <c r="H959" s="24">
        <f>+AN937</f>
        <v>12</v>
      </c>
      <c r="I959" s="24"/>
      <c r="J959" s="7" t="s">
        <v>9</v>
      </c>
      <c r="K959" s="24">
        <f>+H946</f>
        <v>457.5</v>
      </c>
      <c r="L959" s="24"/>
      <c r="M959" s="7" t="s">
        <v>10</v>
      </c>
      <c r="N959" s="24">
        <f>+T954/2</f>
        <v>40</v>
      </c>
      <c r="O959" s="24"/>
      <c r="P959" s="7" t="s">
        <v>15</v>
      </c>
      <c r="Q959" s="24">
        <f>+N931</f>
        <v>14</v>
      </c>
      <c r="R959" s="24"/>
      <c r="S959" s="7" t="s">
        <v>10</v>
      </c>
      <c r="T959" s="24">
        <f>+T954/2</f>
        <v>40</v>
      </c>
      <c r="U959" s="24"/>
      <c r="V959" s="7" t="s">
        <v>10</v>
      </c>
      <c r="W959" s="24">
        <f>+T959/2</f>
        <v>20</v>
      </c>
      <c r="X959" s="24"/>
      <c r="Y959" s="7" t="s">
        <v>12</v>
      </c>
      <c r="Z959" s="1">
        <v>0</v>
      </c>
      <c r="AD959" s="1" t="s">
        <v>5</v>
      </c>
      <c r="AF959" s="24">
        <f>(K959*N959-Q959*T959*W959)/H959</f>
        <v>591.66666666666663</v>
      </c>
      <c r="AG959" s="24"/>
      <c r="AH959" s="1" t="s">
        <v>0</v>
      </c>
      <c r="AV959" s="25">
        <v>26</v>
      </c>
      <c r="AW959" s="26"/>
      <c r="AX959" s="30">
        <f t="shared" si="75"/>
        <v>68.8888888888889</v>
      </c>
      <c r="AY959" s="28"/>
      <c r="AZ959" s="54">
        <f t="shared" si="72"/>
        <v>6.0107398756537691</v>
      </c>
      <c r="BA959" s="54"/>
      <c r="BB959" s="54">
        <f t="shared" si="73"/>
        <v>66.574674175983318</v>
      </c>
      <c r="BC959" s="54"/>
      <c r="BD959" s="54">
        <f t="shared" si="68"/>
        <v>-643.28316488968858</v>
      </c>
      <c r="BE959" s="54"/>
      <c r="BF959" s="54">
        <f t="shared" si="69"/>
        <v>3.5304693668351206</v>
      </c>
      <c r="BG959" s="54"/>
      <c r="BH959" s="54">
        <f t="shared" si="70"/>
        <v>-750.79887087292673</v>
      </c>
      <c r="BI959" s="54"/>
      <c r="BJ959" s="3"/>
    </row>
    <row r="960" spans="2:62" ht="11.25" customHeight="1">
      <c r="B960" s="2"/>
      <c r="F960" s="1" t="s">
        <v>16</v>
      </c>
      <c r="H960" s="24">
        <f>+AN937</f>
        <v>12</v>
      </c>
      <c r="I960" s="24"/>
      <c r="J960" s="7" t="s">
        <v>9</v>
      </c>
      <c r="K960" s="24">
        <f>+AE946</f>
        <v>252.5</v>
      </c>
      <c r="L960" s="24"/>
      <c r="M960" s="7" t="s">
        <v>10</v>
      </c>
      <c r="N960" s="24">
        <f>+T954/2</f>
        <v>40</v>
      </c>
      <c r="O960" s="24"/>
      <c r="P960" s="7" t="s">
        <v>15</v>
      </c>
      <c r="Q960" s="24">
        <f>+AA934</f>
        <v>150</v>
      </c>
      <c r="R960" s="24"/>
      <c r="S960" s="7" t="s">
        <v>10</v>
      </c>
      <c r="T960" s="24">
        <f>+W952</f>
        <v>20</v>
      </c>
      <c r="U960" s="24"/>
      <c r="V960" s="7" t="s">
        <v>12</v>
      </c>
      <c r="W960" s="1">
        <v>0</v>
      </c>
      <c r="AA960" s="1" t="s">
        <v>6</v>
      </c>
      <c r="AC960" s="24">
        <f>(K960*N960-Q960*T960)/H960</f>
        <v>591.66666666666663</v>
      </c>
      <c r="AD960" s="24"/>
      <c r="AE960" s="1" t="s">
        <v>0</v>
      </c>
      <c r="AV960" s="25">
        <v>27</v>
      </c>
      <c r="AW960" s="26"/>
      <c r="AX960" s="30">
        <f t="shared" si="75"/>
        <v>71.111111111111128</v>
      </c>
      <c r="AY960" s="28"/>
      <c r="AZ960" s="54">
        <f t="shared" si="72"/>
        <v>5.0032900097050828</v>
      </c>
      <c r="BA960" s="54"/>
      <c r="BB960" s="54">
        <f t="shared" si="73"/>
        <v>64.650767453025352</v>
      </c>
      <c r="BC960" s="54"/>
      <c r="BD960" s="54">
        <f t="shared" si="68"/>
        <v>-642.80201728085558</v>
      </c>
      <c r="BE960" s="54"/>
      <c r="BF960" s="54">
        <f t="shared" si="69"/>
        <v>25.12490843977352</v>
      </c>
      <c r="BG960" s="54"/>
      <c r="BH960" s="54">
        <f t="shared" si="70"/>
        <v>-715.83547796440007</v>
      </c>
      <c r="BI960" s="54"/>
      <c r="BJ960" s="3"/>
    </row>
    <row r="961" spans="2:62" ht="11.25" customHeight="1">
      <c r="B961" s="2"/>
      <c r="F961" s="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L961" s="7"/>
      <c r="AM961" s="7"/>
      <c r="AV961" s="25">
        <v>28</v>
      </c>
      <c r="AW961" s="26"/>
      <c r="AX961" s="30">
        <f t="shared" si="75"/>
        <v>73.333333333333357</v>
      </c>
      <c r="AY961" s="28"/>
      <c r="AZ961" s="54">
        <f t="shared" si="72"/>
        <v>3.9037083774147447</v>
      </c>
      <c r="BA961" s="54"/>
      <c r="BB961" s="54">
        <f t="shared" si="73"/>
        <v>62.695741708031022</v>
      </c>
      <c r="BC961" s="54"/>
      <c r="BD961" s="54">
        <f t="shared" si="68"/>
        <v>-641.57071423506659</v>
      </c>
      <c r="BE961" s="54"/>
      <c r="BF961" s="54">
        <f t="shared" si="69"/>
        <v>47.039484269610227</v>
      </c>
      <c r="BG961" s="54"/>
      <c r="BH961" s="54">
        <f t="shared" si="70"/>
        <v>-626.36078997039635</v>
      </c>
      <c r="BI961" s="54"/>
      <c r="BJ961" s="3"/>
    </row>
    <row r="962" spans="2:62" ht="11.25" customHeight="1">
      <c r="B962" s="2"/>
      <c r="J962" s="7"/>
      <c r="R962" s="7"/>
      <c r="Z962" s="7"/>
      <c r="AC962" s="7"/>
      <c r="AV962" s="25">
        <v>29</v>
      </c>
      <c r="AW962" s="26"/>
      <c r="AX962" s="30">
        <f t="shared" si="75"/>
        <v>75.555555555555586</v>
      </c>
      <c r="AY962" s="28"/>
      <c r="AZ962" s="54">
        <f t="shared" si="72"/>
        <v>2.7071995052834623</v>
      </c>
      <c r="BA962" s="54"/>
      <c r="BB962" s="54">
        <f t="shared" si="73"/>
        <v>60.70563801492532</v>
      </c>
      <c r="BC962" s="54"/>
      <c r="BD962" s="54">
        <f t="shared" si="68"/>
        <v>-639.55021003919649</v>
      </c>
      <c r="BE962" s="54"/>
      <c r="BF962" s="54">
        <f t="shared" si="69"/>
        <v>69.290860026875862</v>
      </c>
      <c r="BG962" s="54"/>
      <c r="BH962" s="54">
        <f t="shared" si="70"/>
        <v>-479.53748507050045</v>
      </c>
      <c r="BI962" s="54"/>
      <c r="BJ962" s="3"/>
    </row>
    <row r="963" spans="2:62" ht="11.25" customHeight="1">
      <c r="B963" s="2"/>
      <c r="J963" s="7"/>
      <c r="R963" s="7"/>
      <c r="Z963" s="7"/>
      <c r="AC963" s="7"/>
      <c r="AV963" s="25">
        <v>30</v>
      </c>
      <c r="AW963" s="26"/>
      <c r="AX963" s="30">
        <f t="shared" si="75"/>
        <v>77.777777777777814</v>
      </c>
      <c r="AY963" s="28"/>
      <c r="AZ963" s="54">
        <f t="shared" si="72"/>
        <v>1.4081587508669813</v>
      </c>
      <c r="BA963" s="54"/>
      <c r="BB963" s="54">
        <f t="shared" si="73"/>
        <v>58.675953406889398</v>
      </c>
      <c r="BC963" s="54"/>
      <c r="BD963" s="54">
        <f t="shared" si="68"/>
        <v>-636.69487056325181</v>
      </c>
      <c r="BE963" s="54"/>
      <c r="BF963" s="54">
        <f t="shared" si="69"/>
        <v>91.898510558595717</v>
      </c>
      <c r="BG963" s="54"/>
      <c r="BH963" s="54">
        <f t="shared" si="70"/>
        <v>-272.04948315186186</v>
      </c>
      <c r="BI963" s="54"/>
      <c r="BJ963" s="3"/>
    </row>
    <row r="964" spans="2:62" ht="11.25" customHeight="1">
      <c r="B964" s="2"/>
      <c r="J964" s="7"/>
      <c r="M964" s="7"/>
      <c r="P964" s="7"/>
      <c r="S964" s="7"/>
      <c r="V964" s="7"/>
      <c r="Y964" s="7"/>
      <c r="AB964" s="7"/>
      <c r="AV964" s="25">
        <v>31</v>
      </c>
      <c r="AW964" s="26"/>
      <c r="AX964" s="30">
        <f t="shared" si="75"/>
        <v>80.000000000000043</v>
      </c>
      <c r="AY964" s="28"/>
      <c r="AZ964" s="54">
        <f t="shared" si="72"/>
        <v>0</v>
      </c>
      <c r="BA964" s="54"/>
      <c r="BB964" s="54">
        <f t="shared" si="73"/>
        <v>56.601511532012758</v>
      </c>
      <c r="BC964" s="54"/>
      <c r="BD964" s="54">
        <f t="shared" si="68"/>
        <v>-632.95107033639135</v>
      </c>
      <c r="BE964" s="54"/>
      <c r="BF964" s="54">
        <f t="shared" si="69"/>
        <v>114.88532110091737</v>
      </c>
      <c r="BG964" s="54"/>
      <c r="BH964" s="54">
        <f t="shared" si="70"/>
        <v>-1.0764722446765518E-11</v>
      </c>
      <c r="BI964" s="54"/>
      <c r="BJ964" s="3"/>
    </row>
    <row r="965" spans="2:62" ht="11.25" customHeight="1">
      <c r="B965" s="2"/>
      <c r="J965" s="7"/>
      <c r="M965" s="7"/>
      <c r="P965" s="7"/>
      <c r="S965" s="7"/>
      <c r="V965" s="7"/>
      <c r="Y965" s="7"/>
      <c r="AB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3"/>
    </row>
    <row r="966" spans="2:62" ht="11.25" customHeight="1">
      <c r="B966" s="2"/>
      <c r="D966" s="12" t="s">
        <v>97</v>
      </c>
      <c r="BJ966" s="3"/>
    </row>
    <row r="967" spans="2:62" ht="11.25" customHeight="1">
      <c r="B967" s="2"/>
      <c r="P967" s="34">
        <v>15</v>
      </c>
      <c r="Q967" s="34"/>
      <c r="R967" s="1" t="s">
        <v>3</v>
      </c>
      <c r="AB967" s="34">
        <v>20</v>
      </c>
      <c r="AC967" s="34"/>
      <c r="AD967" s="1" t="s">
        <v>3</v>
      </c>
      <c r="BJ967" s="3"/>
    </row>
    <row r="968" spans="2:62" ht="11.25" customHeight="1">
      <c r="B968" s="2"/>
      <c r="AV968" s="25" t="s">
        <v>59</v>
      </c>
      <c r="AW968" s="26"/>
      <c r="AX968" s="33" t="s">
        <v>48</v>
      </c>
      <c r="AY968" s="25"/>
      <c r="AZ968" s="25" t="s">
        <v>58</v>
      </c>
      <c r="BA968" s="25"/>
      <c r="BB968" s="56" t="s">
        <v>66</v>
      </c>
      <c r="BC968" s="25"/>
      <c r="BD968" s="25" t="s">
        <v>62</v>
      </c>
      <c r="BE968" s="25"/>
      <c r="BF968" s="25" t="s">
        <v>65</v>
      </c>
      <c r="BG968" s="25"/>
      <c r="BH968" s="25" t="s">
        <v>63</v>
      </c>
      <c r="BI968" s="25"/>
      <c r="BJ968" s="3"/>
    </row>
    <row r="969" spans="2:62" ht="11.25" customHeight="1" thickBot="1">
      <c r="B969" s="2"/>
      <c r="AV969" s="57"/>
      <c r="AW969" s="61"/>
      <c r="AX969" s="47" t="s">
        <v>60</v>
      </c>
      <c r="AY969" s="57"/>
      <c r="AZ969" s="57" t="s">
        <v>60</v>
      </c>
      <c r="BA969" s="57"/>
      <c r="BB969" s="57" t="s">
        <v>67</v>
      </c>
      <c r="BC969" s="57"/>
      <c r="BD969" s="57" t="s">
        <v>61</v>
      </c>
      <c r="BE969" s="57"/>
      <c r="BF969" s="57" t="s">
        <v>61</v>
      </c>
      <c r="BG969" s="57"/>
      <c r="BH969" s="57" t="s">
        <v>64</v>
      </c>
      <c r="BI969" s="57"/>
      <c r="BJ969" s="3"/>
    </row>
    <row r="970" spans="2:62" ht="11.25" customHeight="1" thickTop="1">
      <c r="B970" s="2"/>
      <c r="H970" s="5"/>
      <c r="AV970" s="58">
        <v>0</v>
      </c>
      <c r="AW970" s="59"/>
      <c r="AX970" s="60">
        <v>0</v>
      </c>
      <c r="AY970" s="54"/>
      <c r="AZ970" s="54">
        <f t="shared" ref="AZ970:AZ1001" si="76">4*$AM$975*AX970*($W$992-AX970)/$W$992^2</f>
        <v>0</v>
      </c>
      <c r="BA970" s="54"/>
      <c r="BB970" s="54">
        <f t="shared" ref="BB970:BB1001" si="77">IF(AX970&lt;=$W$992/2,ATAN($H$997*($K$997-$N$997*AX970))*180/PI(),-ATAN($H$997*($K$997-$N$997*AX970))*180/PI())</f>
        <v>50.370994695535714</v>
      </c>
      <c r="BC970" s="54"/>
      <c r="BD970" s="54">
        <f>IF(AX970&lt;=$M$988,-$K$987*SIN(BB970*PI()/180)+$I$982*COS(BB970*PI()/180)+$P$967*AX970*SIN(BB970*PI()/180)-$D$976*AZ970*COS(BB970*PI()/180),IF(AND($M$988&lt;AX970,AX970&lt;=($M$988+$R$988)),-$K$987*SIN(BB970*PI()/180)+$I$982*COS(BB970*PI()/180)+$P$967*AX970*SIN(BB970*PI()/180)-$D$976*AZ970*COS(BB970*PI()/180)-$AD$1002*COS(BB970*PI()/180),IF(AND(($M$988+$R$988)&lt;AX970,AX970&lt;=($M$988+$R$988+$AA$988)),-$AH$987*SIN(BB970*PI()/180)-$AD$1002*COS(BB970*PI()/180)+$AB$967*($W$992-AX970)*SIN(BB970*PI()/180),-$AH$987*SIN(BB970*PI()/180)+$AB$967*($W$992-AX970)*SIN(BB970*PI()/180))))</f>
        <v>-52.753050881273097</v>
      </c>
      <c r="BE970" s="54"/>
      <c r="BF970" s="54">
        <f t="shared" ref="BF970:BF1001" si="78">IF(AX970&lt;=$M$988,$K$987*COS(BB970*PI()/180)+$I$982*SIN(BB970*PI()/180)-$P$967*AX970*COS(BB970*PI()/180)-$D$976*AZ970*SIN(BB970*PI()/180),IF(AND($M$988&lt;AX970,AX970&lt;=($M$988+$R$988)),$K$987*COS(BB970*PI()/180)+$I$982*SIN(BB970*PI()/180)-$P$967*AX970*COS(BB970*PI()/180)-$D$976*AZ970*SIN(BB970*PI()/180)-$AD$1002*SIN(BB970*PI()/180),IF(AND(($M$988+$R$988)&lt;AX970,AX970&lt;=($M$988+$R$988+$AA$988)),-$AH$987*COS(BB970*PI()/180)+$AD$1002*SIN(BB970*PI()/180)+$AB$967*($W$992-AX970)*COS(BB970*PI()/180),-$AH$987*COS(BB970*PI()/180)+$AB$967*($W$992-AX970)*COS(BB970*PI()/180))))</f>
        <v>95.621326287409829</v>
      </c>
      <c r="BG970" s="54"/>
      <c r="BH970" s="54">
        <f t="shared" ref="BH970:BH1001" si="79">IF(AX970&lt;=$M$988,$K$987*AX970+$I$982*AZ970-$P$967*AX970*AX970/2-$D$976*AZ970*AZ970/2,IF(AND($M$988&lt;AX970,AX970&lt;=($M$988+$R$988)),$K$987*AX970+$I$982*AZ970-$P$967*AX970*AX970/2-$D$976*AZ970*AZ970/2-$AD$1002*(AZ970-$AK$979),IF(AND(($M$988+$R$988)&lt;AX970,AX970&lt;=($M$988+$R$988+$AA$988)),$AH$987*($W$992-AX970)-$AD$1002*(AZ970-$AK$979)-$AB$967*($W$992-AX970)*($W$992-AX970)/2,$AH$987*($W$992-AX970)-$AB$967*($W$992-AX970)*($W$992-AX970)/2)))</f>
        <v>0</v>
      </c>
      <c r="BI970" s="54"/>
      <c r="BJ970" s="3"/>
    </row>
    <row r="971" spans="2:62" ht="11.25" customHeight="1">
      <c r="B971" s="2"/>
      <c r="H971" s="37" t="s">
        <v>71</v>
      </c>
      <c r="AV971" s="25">
        <v>1</v>
      </c>
      <c r="AW971" s="26"/>
      <c r="AX971" s="30">
        <f>($W$992-$AG$988-$AA$988-$R$988)/10+AX970</f>
        <v>9.0000000000000038E-2</v>
      </c>
      <c r="AY971" s="28"/>
      <c r="AZ971" s="54">
        <f t="shared" si="76"/>
        <v>0.10794104663581351</v>
      </c>
      <c r="BA971" s="54"/>
      <c r="BB971" s="54">
        <f t="shared" si="77"/>
        <v>49.985535157279379</v>
      </c>
      <c r="BC971" s="54"/>
      <c r="BD971" s="54">
        <f t="shared" ref="BD971:BD1001" si="80">IF(AX971&lt;$M$988,-$K$987*SIN(BB971*PI()/180)+$I$982*COS(BB971*PI()/180)+$P$967*AX971*SIN(BB971*PI()/180)-$D$976*AZ971*COS(BB971*PI()/180),IF(AND($M$988&lt;AX971,AX971&lt;=($M$988+$R$988)),-$K$987*SIN(BB971*PI()/180)+$I$982*COS(BB971*PI()/180)+$P$967*AX971*SIN(BB971*PI()/180)-$D$976*AZ971*COS(BB971*PI()/180)-$AD$1002*COS(BB971*PI()/180),IF(AND(($M$988+$R$988)&lt;AX971,AX971&lt;=($M$988+$R$988+$AA$988)),-$AH$987*SIN(BB971*PI()/180)-$AD$1002*COS(BB971*PI()/180)+$AB$967*($W$992-AX971)*SIN(BB971*PI()/180),-$AH$987*SIN(BB971*PI()/180)+$AB$967*($W$992-AX971)*SIN(BB971*PI()/180))))</f>
        <v>-51.768665342872254</v>
      </c>
      <c r="BE971" s="54"/>
      <c r="BF971" s="54">
        <f t="shared" si="78"/>
        <v>94.279332349682363</v>
      </c>
      <c r="BG971" s="54"/>
      <c r="BH971" s="54">
        <f t="shared" si="79"/>
        <v>13.344301791273274</v>
      </c>
      <c r="BI971" s="54"/>
      <c r="BJ971" s="3"/>
    </row>
    <row r="972" spans="2:62" ht="11.25" customHeight="1">
      <c r="B972" s="2"/>
      <c r="H972" s="37"/>
      <c r="AK972" s="5" t="s">
        <v>1</v>
      </c>
      <c r="AV972" s="25">
        <v>2</v>
      </c>
      <c r="AW972" s="26"/>
      <c r="AX972" s="30">
        <f t="shared" ref="AX972:AX979" si="81">($W$992-$AG$988-$AA$988-$R$988)/10+AX971</f>
        <v>0.18000000000000008</v>
      </c>
      <c r="AY972" s="28"/>
      <c r="AZ972" s="54">
        <f t="shared" si="76"/>
        <v>0.2144056959772162</v>
      </c>
      <c r="BA972" s="54"/>
      <c r="BB972" s="54">
        <f t="shared" si="77"/>
        <v>49.593797366427367</v>
      </c>
      <c r="BC972" s="54"/>
      <c r="BD972" s="54">
        <f t="shared" si="80"/>
        <v>-50.784986168007094</v>
      </c>
      <c r="BE972" s="54"/>
      <c r="BF972" s="54">
        <f t="shared" si="78"/>
        <v>92.945306741172757</v>
      </c>
      <c r="BG972" s="54"/>
      <c r="BH972" s="54">
        <f t="shared" si="79"/>
        <v>26.394711373921098</v>
      </c>
      <c r="BI972" s="54"/>
      <c r="BJ972" s="3"/>
    </row>
    <row r="973" spans="2:62" ht="11.25" customHeight="1">
      <c r="B973" s="2"/>
      <c r="D973" s="37" t="s">
        <v>3</v>
      </c>
      <c r="H973" s="37"/>
      <c r="P973" s="1" t="s">
        <v>17</v>
      </c>
      <c r="AE973" s="6"/>
      <c r="AK973" s="37">
        <f>+AM975-AK979</f>
        <v>2.9870274118903524</v>
      </c>
      <c r="AV973" s="25">
        <v>3</v>
      </c>
      <c r="AW973" s="26"/>
      <c r="AX973" s="30">
        <f t="shared" si="81"/>
        <v>0.27000000000000013</v>
      </c>
      <c r="AY973" s="28"/>
      <c r="AZ973" s="54">
        <f t="shared" si="76"/>
        <v>0.31939394802420806</v>
      </c>
      <c r="BA973" s="54"/>
      <c r="BB973" s="54">
        <f t="shared" si="77"/>
        <v>49.195664208937245</v>
      </c>
      <c r="BC973" s="54"/>
      <c r="BD973" s="54">
        <f t="shared" si="80"/>
        <v>-49.802111482279258</v>
      </c>
      <c r="BE973" s="54"/>
      <c r="BF973" s="54">
        <f t="shared" si="78"/>
        <v>91.619052257232795</v>
      </c>
      <c r="BG973" s="54"/>
      <c r="BH973" s="54">
        <f t="shared" si="79"/>
        <v>39.155944271550602</v>
      </c>
      <c r="BI973" s="54"/>
      <c r="BJ973" s="3"/>
    </row>
    <row r="974" spans="2:62" ht="11.25" customHeight="1">
      <c r="B974" s="2"/>
      <c r="D974" s="37"/>
      <c r="AK974" s="37"/>
      <c r="AM974" s="5" t="s">
        <v>1</v>
      </c>
      <c r="AV974" s="25">
        <v>4</v>
      </c>
      <c r="AW974" s="26"/>
      <c r="AX974" s="30">
        <f t="shared" si="81"/>
        <v>0.36000000000000015</v>
      </c>
      <c r="AY974" s="28"/>
      <c r="AZ974" s="54">
        <f t="shared" si="76"/>
        <v>0.42290580277678907</v>
      </c>
      <c r="BA974" s="54"/>
      <c r="BB974" s="54">
        <f t="shared" si="77"/>
        <v>48.791017186762858</v>
      </c>
      <c r="BC974" s="54"/>
      <c r="BD974" s="54">
        <f t="shared" si="80"/>
        <v>-48.820145442026295</v>
      </c>
      <c r="BE974" s="54"/>
      <c r="BF974" s="54">
        <f t="shared" si="78"/>
        <v>90.300366300560995</v>
      </c>
      <c r="BG974" s="54"/>
      <c r="BH974" s="54">
        <f t="shared" si="79"/>
        <v>51.632650615299795</v>
      </c>
      <c r="BI974" s="54"/>
      <c r="BJ974" s="3"/>
    </row>
    <row r="975" spans="2:62" ht="11.25" customHeight="1">
      <c r="B975" s="2"/>
      <c r="D975" s="37"/>
      <c r="AK975" s="37"/>
      <c r="AM975" s="38">
        <v>4</v>
      </c>
      <c r="AV975" s="25">
        <v>5</v>
      </c>
      <c r="AW975" s="26"/>
      <c r="AX975" s="30">
        <f t="shared" si="81"/>
        <v>0.45000000000000018</v>
      </c>
      <c r="AY975" s="28"/>
      <c r="AZ975" s="54">
        <f t="shared" si="76"/>
        <v>0.52494126023495924</v>
      </c>
      <c r="BA975" s="54"/>
      <c r="BB975" s="54">
        <f t="shared" si="77"/>
        <v>48.379736492590226</v>
      </c>
      <c r="BC975" s="54"/>
      <c r="BD975" s="54">
        <f t="shared" si="80"/>
        <v>-47.839198542434026</v>
      </c>
      <c r="BE975" s="54"/>
      <c r="BF975" s="54">
        <f t="shared" si="78"/>
        <v>88.989040811254199</v>
      </c>
      <c r="BG975" s="54"/>
      <c r="BH975" s="54">
        <f t="shared" si="79"/>
        <v>63.829415143837579</v>
      </c>
      <c r="BI975" s="54"/>
      <c r="BJ975" s="3"/>
    </row>
    <row r="976" spans="2:62" ht="11.25" customHeight="1">
      <c r="B976" s="2"/>
      <c r="D976" s="38">
        <v>10</v>
      </c>
      <c r="H976" s="5"/>
      <c r="AM976" s="38"/>
      <c r="AV976" s="25">
        <v>6</v>
      </c>
      <c r="AW976" s="26"/>
      <c r="AX976" s="30">
        <f t="shared" si="81"/>
        <v>0.54000000000000026</v>
      </c>
      <c r="AY976" s="28"/>
      <c r="AZ976" s="54">
        <f t="shared" si="76"/>
        <v>0.62550032039871872</v>
      </c>
      <c r="BA976" s="54"/>
      <c r="BB976" s="54">
        <f t="shared" si="77"/>
        <v>47.961701094023326</v>
      </c>
      <c r="BC976" s="54"/>
      <c r="BD976" s="54">
        <f t="shared" si="80"/>
        <v>-46.859387937541769</v>
      </c>
      <c r="BE976" s="54"/>
      <c r="BF976" s="54">
        <f t="shared" si="78"/>
        <v>87.684862204841707</v>
      </c>
      <c r="BG976" s="54"/>
      <c r="BH976" s="54">
        <f t="shared" si="79"/>
        <v>75.750757203363705</v>
      </c>
      <c r="BI976" s="54"/>
      <c r="BJ976" s="3"/>
    </row>
    <row r="977" spans="2:62" ht="11.25" customHeight="1">
      <c r="B977" s="2"/>
      <c r="D977" s="38"/>
      <c r="H977" s="37" t="s">
        <v>58</v>
      </c>
      <c r="L977" s="1" t="s">
        <v>58</v>
      </c>
      <c r="U977" s="1" t="s">
        <v>76</v>
      </c>
      <c r="AM977" s="38"/>
      <c r="AV977" s="25">
        <v>7</v>
      </c>
      <c r="AW977" s="26"/>
      <c r="AX977" s="30">
        <f t="shared" si="81"/>
        <v>0.63000000000000034</v>
      </c>
      <c r="AY977" s="28"/>
      <c r="AZ977" s="54">
        <f t="shared" si="76"/>
        <v>0.72458298326806725</v>
      </c>
      <c r="BA977" s="54"/>
      <c r="BB977" s="54">
        <f t="shared" si="77"/>
        <v>47.536788827879846</v>
      </c>
      <c r="BC977" s="54"/>
      <c r="BD977" s="54">
        <f t="shared" si="80"/>
        <v>-45.880837772149626</v>
      </c>
      <c r="BE977" s="54"/>
      <c r="BF977" s="54">
        <f t="shared" si="78"/>
        <v>86.387611319378749</v>
      </c>
      <c r="BG977" s="54"/>
      <c r="BH977" s="54">
        <f t="shared" si="79"/>
        <v>87.401130747608789</v>
      </c>
      <c r="BI977" s="54"/>
      <c r="BJ977" s="3"/>
    </row>
    <row r="978" spans="2:62" ht="11.25" customHeight="1">
      <c r="B978" s="2"/>
      <c r="D978" s="38"/>
      <c r="H978" s="37"/>
      <c r="AK978" s="5" t="s">
        <v>1</v>
      </c>
      <c r="AM978" s="37" t="s">
        <v>42</v>
      </c>
      <c r="AV978" s="25">
        <v>8</v>
      </c>
      <c r="AW978" s="26"/>
      <c r="AX978" s="30">
        <f t="shared" si="81"/>
        <v>0.72000000000000042</v>
      </c>
      <c r="AY978" s="28"/>
      <c r="AZ978" s="54">
        <f t="shared" si="76"/>
        <v>0.82218924884300504</v>
      </c>
      <c r="BA978" s="54"/>
      <c r="BB978" s="54">
        <f t="shared" si="77"/>
        <v>47.104876505283876</v>
      </c>
      <c r="BC978" s="54"/>
      <c r="BD978" s="54">
        <f t="shared" si="80"/>
        <v>-44.903679525568215</v>
      </c>
      <c r="BE978" s="54"/>
      <c r="BF978" s="54">
        <f t="shared" si="78"/>
        <v>85.097063372757276</v>
      </c>
      <c r="BG978" s="54"/>
      <c r="BH978" s="54">
        <f t="shared" si="79"/>
        <v>98.784924337834369</v>
      </c>
      <c r="BI978" s="54"/>
      <c r="BJ978" s="3"/>
    </row>
    <row r="979" spans="2:62" ht="11.25" customHeight="1">
      <c r="B979" s="2"/>
      <c r="H979" s="37"/>
      <c r="AK979" s="37">
        <f>+W995</f>
        <v>1.0129725881096476</v>
      </c>
      <c r="AM979" s="37"/>
      <c r="AV979" s="25">
        <v>9</v>
      </c>
      <c r="AW979" s="26"/>
      <c r="AX979" s="30">
        <f t="shared" si="81"/>
        <v>0.8100000000000005</v>
      </c>
      <c r="AY979" s="28"/>
      <c r="AZ979" s="54">
        <f t="shared" si="76"/>
        <v>0.91831911712353198</v>
      </c>
      <c r="BA979" s="54"/>
      <c r="BB979" s="54">
        <f t="shared" si="77"/>
        <v>46.665840028268278</v>
      </c>
      <c r="BC979" s="54"/>
      <c r="BD979" s="54">
        <f t="shared" si="80"/>
        <v>-43.928052367073398</v>
      </c>
      <c r="BE979" s="54"/>
      <c r="BF979" s="54">
        <f t="shared" si="78"/>
        <v>83.812987931476613</v>
      </c>
      <c r="BG979" s="54"/>
      <c r="BH979" s="54">
        <f t="shared" si="79"/>
        <v>109.90646114283275</v>
      </c>
      <c r="BI979" s="54"/>
      <c r="BJ979" s="3"/>
    </row>
    <row r="980" spans="2:62" ht="11.25" customHeight="1">
      <c r="B980" s="2"/>
      <c r="AK980" s="37"/>
      <c r="AV980" s="25">
        <v>10</v>
      </c>
      <c r="AW980" s="26"/>
      <c r="AX980" s="33">
        <f>($W$992-$AG$988-$AA$988-$R$988)/10+AX979-0.000001</f>
        <v>0.89999900000000055</v>
      </c>
      <c r="AY980" s="25"/>
      <c r="AZ980" s="55">
        <f t="shared" si="76"/>
        <v>1.012971544606531</v>
      </c>
      <c r="BA980" s="55"/>
      <c r="BB980" s="55">
        <f t="shared" si="77"/>
        <v>46.219559518088438</v>
      </c>
      <c r="BC980" s="55"/>
      <c r="BD980" s="55">
        <f t="shared" si="80"/>
        <v>-42.954114334600781</v>
      </c>
      <c r="BE980" s="55"/>
      <c r="BF980" s="55">
        <f t="shared" si="78"/>
        <v>82.53516305665562</v>
      </c>
      <c r="BG980" s="55"/>
      <c r="BH980" s="55">
        <f t="shared" si="79"/>
        <v>120.76987965067599</v>
      </c>
      <c r="BI980" s="55"/>
      <c r="BJ980" s="3"/>
    </row>
    <row r="981" spans="2:62" ht="11.25" customHeight="1">
      <c r="B981" s="2"/>
      <c r="AK981" s="37"/>
      <c r="AV981" s="25">
        <v>11</v>
      </c>
      <c r="AW981" s="26"/>
      <c r="AX981" s="33">
        <f>($W$992-$AG$988-$AA$988-$R$988)/10+AX979</f>
        <v>0.90000000000000058</v>
      </c>
      <c r="AY981" s="25"/>
      <c r="AZ981" s="55">
        <f t="shared" si="76"/>
        <v>1.0129725881096483</v>
      </c>
      <c r="BA981" s="55"/>
      <c r="BB981" s="55">
        <f t="shared" si="77"/>
        <v>46.219554518624243</v>
      </c>
      <c r="BC981" s="55"/>
      <c r="BD981" s="55">
        <f t="shared" si="80"/>
        <v>-141.17682938449673</v>
      </c>
      <c r="BE981" s="55"/>
      <c r="BF981" s="55">
        <f t="shared" si="78"/>
        <v>-19.960562765218938</v>
      </c>
      <c r="BG981" s="55"/>
      <c r="BH981" s="55">
        <f t="shared" si="79"/>
        <v>120.76999893892715</v>
      </c>
      <c r="BI981" s="55"/>
      <c r="BJ981" s="3"/>
    </row>
    <row r="982" spans="2:62" ht="11.25" customHeight="1">
      <c r="B982" s="2"/>
      <c r="G982" s="1" t="s">
        <v>5</v>
      </c>
      <c r="I982" s="24">
        <f>+R1001</f>
        <v>40</v>
      </c>
      <c r="J982" s="24"/>
      <c r="K982" s="1" t="s">
        <v>0</v>
      </c>
      <c r="O982" s="1" t="s">
        <v>48</v>
      </c>
      <c r="AV982" s="25">
        <v>12</v>
      </c>
      <c r="AW982" s="26"/>
      <c r="AX982" s="30">
        <f>($W$992-2*$AG$988)/10+AX981</f>
        <v>2.0450000000000008</v>
      </c>
      <c r="AY982" s="28"/>
      <c r="AZ982" s="54">
        <f t="shared" si="76"/>
        <v>2.0883024563901751</v>
      </c>
      <c r="BA982" s="54"/>
      <c r="BB982" s="54">
        <f t="shared" si="77"/>
        <v>39.855210795324652</v>
      </c>
      <c r="BC982" s="54"/>
      <c r="BD982" s="54">
        <f t="shared" si="80"/>
        <v>-139.76775937457845</v>
      </c>
      <c r="BE982" s="54"/>
      <c r="BF982" s="54">
        <f t="shared" si="78"/>
        <v>-24.263948012937334</v>
      </c>
      <c r="BG982" s="54"/>
      <c r="BH982" s="54">
        <f t="shared" si="79"/>
        <v>85.516267697459909</v>
      </c>
      <c r="BI982" s="54"/>
      <c r="BJ982" s="3"/>
    </row>
    <row r="983" spans="2:62" ht="11.25" customHeight="1">
      <c r="B983" s="2"/>
      <c r="AV983" s="25">
        <v>13</v>
      </c>
      <c r="AW983" s="26"/>
      <c r="AX983" s="30">
        <f>($W$992-2*$AG$988)/10+AX982</f>
        <v>3.1900000000000008</v>
      </c>
      <c r="AY983" s="28"/>
      <c r="AZ983" s="54">
        <f t="shared" si="76"/>
        <v>2.9246701317194739</v>
      </c>
      <c r="BA983" s="54"/>
      <c r="BB983" s="54">
        <f t="shared" si="77"/>
        <v>32.050757139950434</v>
      </c>
      <c r="BC983" s="54"/>
      <c r="BD983" s="54">
        <f t="shared" si="80"/>
        <v>-139.74260335318681</v>
      </c>
      <c r="BE983" s="54"/>
      <c r="BF983" s="54">
        <f t="shared" si="78"/>
        <v>-24.055285562446024</v>
      </c>
      <c r="BG983" s="54"/>
      <c r="BH983" s="54">
        <f t="shared" si="79"/>
        <v>50.673138513428171</v>
      </c>
      <c r="BI983" s="54"/>
      <c r="BJ983" s="3"/>
    </row>
    <row r="984" spans="2:62" ht="11.25" customHeight="1">
      <c r="B984" s="2"/>
      <c r="AV984" s="25">
        <v>14</v>
      </c>
      <c r="AW984" s="26"/>
      <c r="AX984" s="30">
        <f>($W$992-2*$AG$988)/10+AX983</f>
        <v>4.3350000000000009</v>
      </c>
      <c r="AY984" s="28"/>
      <c r="AZ984" s="54">
        <f t="shared" si="76"/>
        <v>3.522075614097544</v>
      </c>
      <c r="BA984" s="54"/>
      <c r="BB984" s="54">
        <f t="shared" si="77"/>
        <v>22.655716072001734</v>
      </c>
      <c r="BC984" s="54"/>
      <c r="BD984" s="54">
        <f t="shared" si="80"/>
        <v>-140.69232107517175</v>
      </c>
      <c r="BE984" s="54"/>
      <c r="BF984" s="54">
        <f t="shared" si="78"/>
        <v>-19.071825400710921</v>
      </c>
      <c r="BG984" s="54"/>
      <c r="BH984" s="54">
        <f t="shared" si="79"/>
        <v>22.236419001138302</v>
      </c>
      <c r="BI984" s="54"/>
      <c r="BJ984" s="3"/>
    </row>
    <row r="985" spans="2:62" ht="11.25" customHeight="1">
      <c r="B985" s="2"/>
      <c r="AV985" s="25">
        <v>15</v>
      </c>
      <c r="AW985" s="26"/>
      <c r="AX985" s="30">
        <f t="shared" ref="AX985:AX990" si="82">($W$992-2*$AG$988)/10+AX984</f>
        <v>5.48</v>
      </c>
      <c r="AY985" s="28"/>
      <c r="AZ985" s="54">
        <f t="shared" si="76"/>
        <v>3.8805189035243859</v>
      </c>
      <c r="BA985" s="54"/>
      <c r="BB985" s="54">
        <f t="shared" si="77"/>
        <v>11.788455242011125</v>
      </c>
      <c r="BC985" s="54"/>
      <c r="BD985" s="54">
        <f t="shared" si="80"/>
        <v>-141.76492331891944</v>
      </c>
      <c r="BE985" s="54"/>
      <c r="BF985" s="54">
        <f t="shared" si="78"/>
        <v>-9.7495225682022166</v>
      </c>
      <c r="BG985" s="54"/>
      <c r="BH985" s="54">
        <f t="shared" si="79"/>
        <v>4.4888288850945628</v>
      </c>
      <c r="BI985" s="54"/>
      <c r="BJ985" s="3"/>
    </row>
    <row r="986" spans="2:62" ht="11.25" customHeight="1">
      <c r="B986" s="2"/>
      <c r="AV986" s="25">
        <v>16</v>
      </c>
      <c r="AW986" s="26"/>
      <c r="AX986" s="30">
        <f t="shared" si="82"/>
        <v>6.625</v>
      </c>
      <c r="AY986" s="28"/>
      <c r="AZ986" s="54">
        <f t="shared" si="76"/>
        <v>4</v>
      </c>
      <c r="BA986" s="54"/>
      <c r="BB986" s="54">
        <f t="shared" si="77"/>
        <v>0</v>
      </c>
      <c r="BC986" s="54"/>
      <c r="BD986" s="54">
        <f t="shared" si="80"/>
        <v>-141.96152571684732</v>
      </c>
      <c r="BE986" s="54"/>
      <c r="BF986" s="54">
        <f t="shared" si="78"/>
        <v>2.2435141509433976</v>
      </c>
      <c r="BG986" s="54"/>
      <c r="BH986" s="54">
        <f t="shared" si="79"/>
        <v>-1.7053025658242404E-13</v>
      </c>
      <c r="BI986" s="54"/>
      <c r="BJ986" s="3"/>
    </row>
    <row r="987" spans="2:62" ht="11.25" customHeight="1">
      <c r="B987" s="2"/>
      <c r="I987" s="1" t="s">
        <v>4</v>
      </c>
      <c r="K987" s="24">
        <f>+AP999</f>
        <v>101.6185141509434</v>
      </c>
      <c r="L987" s="24"/>
      <c r="M987" s="1" t="s">
        <v>0</v>
      </c>
      <c r="AF987" s="1" t="s">
        <v>7</v>
      </c>
      <c r="AH987" s="24">
        <f>+AA1000</f>
        <v>130.25648584905662</v>
      </c>
      <c r="AI987" s="24"/>
      <c r="AJ987" s="1" t="s">
        <v>0</v>
      </c>
      <c r="AV987" s="25">
        <v>17</v>
      </c>
      <c r="AW987" s="26"/>
      <c r="AX987" s="30">
        <f t="shared" si="82"/>
        <v>7.77</v>
      </c>
      <c r="AY987" s="28"/>
      <c r="AZ987" s="54">
        <f t="shared" si="76"/>
        <v>3.8805189035243859</v>
      </c>
      <c r="BA987" s="54"/>
      <c r="BB987" s="54">
        <f t="shared" si="77"/>
        <v>11.788455242011125</v>
      </c>
      <c r="BC987" s="54"/>
      <c r="BD987" s="54">
        <f t="shared" si="80"/>
        <v>-143.18745016308449</v>
      </c>
      <c r="BE987" s="54"/>
      <c r="BF987" s="54">
        <f t="shared" si="78"/>
        <v>8.7817599193772651</v>
      </c>
      <c r="BG987" s="54"/>
      <c r="BH987" s="54">
        <f t="shared" si="79"/>
        <v>6.4202924528301537</v>
      </c>
      <c r="BI987" s="54"/>
      <c r="BJ987" s="3"/>
    </row>
    <row r="988" spans="2:62" ht="11.25" customHeight="1">
      <c r="B988" s="2"/>
      <c r="M988" s="34">
        <v>0.9</v>
      </c>
      <c r="N988" s="34"/>
      <c r="O988" s="1" t="s">
        <v>1</v>
      </c>
      <c r="R988" s="24">
        <f>+W992/2-M988</f>
        <v>5.7249999999999996</v>
      </c>
      <c r="S988" s="24"/>
      <c r="T988" s="1" t="s">
        <v>1</v>
      </c>
      <c r="AA988" s="24">
        <f>+W992/2-AG988</f>
        <v>5.7249999999999996</v>
      </c>
      <c r="AB988" s="24"/>
      <c r="AC988" s="1" t="s">
        <v>1</v>
      </c>
      <c r="AG988" s="24">
        <f>+M988</f>
        <v>0.9</v>
      </c>
      <c r="AH988" s="24"/>
      <c r="AI988" s="1" t="s">
        <v>1</v>
      </c>
      <c r="AV988" s="25">
        <v>18</v>
      </c>
      <c r="AW988" s="26"/>
      <c r="AX988" s="30">
        <f t="shared" si="82"/>
        <v>8.9149999999999991</v>
      </c>
      <c r="AY988" s="28"/>
      <c r="AZ988" s="54">
        <f t="shared" si="76"/>
        <v>3.522075614097544</v>
      </c>
      <c r="BA988" s="54"/>
      <c r="BB988" s="54">
        <f t="shared" si="77"/>
        <v>22.655716072001734</v>
      </c>
      <c r="BC988" s="54"/>
      <c r="BD988" s="54">
        <f t="shared" si="80"/>
        <v>-147.78486698812787</v>
      </c>
      <c r="BE988" s="54"/>
      <c r="BF988" s="54">
        <f t="shared" si="78"/>
        <v>14.487074676259397</v>
      </c>
      <c r="BG988" s="54"/>
      <c r="BH988" s="54">
        <f t="shared" si="79"/>
        <v>20.543522405660269</v>
      </c>
      <c r="BI988" s="54"/>
      <c r="BJ988" s="3"/>
    </row>
    <row r="989" spans="2:62" ht="11.25" customHeight="1">
      <c r="B989" s="2"/>
      <c r="AV989" s="25">
        <v>19</v>
      </c>
      <c r="AW989" s="26"/>
      <c r="AX989" s="30">
        <f t="shared" si="82"/>
        <v>10.059999999999999</v>
      </c>
      <c r="AY989" s="28"/>
      <c r="AZ989" s="54">
        <f t="shared" si="76"/>
        <v>2.9246701317194739</v>
      </c>
      <c r="BA989" s="54"/>
      <c r="BB989" s="54">
        <f t="shared" si="77"/>
        <v>32.050757139950434</v>
      </c>
      <c r="BC989" s="54"/>
      <c r="BD989" s="54">
        <f t="shared" si="80"/>
        <v>-155.58999623110813</v>
      </c>
      <c r="BE989" s="54"/>
      <c r="BF989" s="54">
        <f t="shared" si="78"/>
        <v>19.007692339279934</v>
      </c>
      <c r="BG989" s="54"/>
      <c r="BH989" s="54">
        <f t="shared" si="79"/>
        <v>42.36968985849046</v>
      </c>
      <c r="BI989" s="54"/>
      <c r="BJ989" s="3"/>
    </row>
    <row r="990" spans="2:62" ht="11.25" customHeight="1">
      <c r="B990" s="2"/>
      <c r="M990" s="62" t="s">
        <v>48</v>
      </c>
      <c r="N990" s="62"/>
      <c r="O990" s="62"/>
      <c r="S990" s="24" t="s">
        <v>72</v>
      </c>
      <c r="T990" s="24"/>
      <c r="U990" s="24"/>
      <c r="AB990" s="24">
        <f>+W992/2</f>
        <v>6.625</v>
      </c>
      <c r="AC990" s="24"/>
      <c r="AD990" s="1" t="s">
        <v>1</v>
      </c>
      <c r="AV990" s="25">
        <v>20</v>
      </c>
      <c r="AW990" s="26"/>
      <c r="AX990" s="30">
        <f t="shared" si="82"/>
        <v>11.204999999999998</v>
      </c>
      <c r="AY990" s="28"/>
      <c r="AZ990" s="54">
        <f t="shared" si="76"/>
        <v>2.088302456390176</v>
      </c>
      <c r="BA990" s="54"/>
      <c r="BB990" s="54">
        <f t="shared" si="77"/>
        <v>39.855210795324645</v>
      </c>
      <c r="BC990" s="54"/>
      <c r="BD990" s="54">
        <f t="shared" si="80"/>
        <v>-166.24316604998492</v>
      </c>
      <c r="BE990" s="54"/>
      <c r="BF990" s="54">
        <f t="shared" si="78"/>
        <v>22.380037730640417</v>
      </c>
      <c r="BG990" s="54"/>
      <c r="BH990" s="54">
        <f t="shared" si="79"/>
        <v>71.89879481132067</v>
      </c>
      <c r="BI990" s="54"/>
      <c r="BJ990" s="3"/>
    </row>
    <row r="991" spans="2:62" ht="11.25" customHeight="1">
      <c r="B991" s="2"/>
      <c r="AV991" s="25">
        <v>21</v>
      </c>
      <c r="AW991" s="26"/>
      <c r="AX991" s="33">
        <f>($W$992-2*$AG$988)/10+AX990</f>
        <v>12.349999999999998</v>
      </c>
      <c r="AY991" s="25"/>
      <c r="AZ991" s="55">
        <f t="shared" si="76"/>
        <v>1.0129725881096499</v>
      </c>
      <c r="BA991" s="55"/>
      <c r="BB991" s="55">
        <f t="shared" si="77"/>
        <v>46.219554518624221</v>
      </c>
      <c r="BC991" s="55"/>
      <c r="BD991" s="55">
        <f t="shared" si="80"/>
        <v>-179.27150543175892</v>
      </c>
      <c r="BE991" s="55"/>
      <c r="BF991" s="55">
        <f t="shared" si="78"/>
        <v>24.825807927746876</v>
      </c>
      <c r="BG991" s="55"/>
      <c r="BH991" s="55">
        <f t="shared" si="79"/>
        <v>109.13083726415088</v>
      </c>
      <c r="BI991" s="55"/>
      <c r="BJ991" s="3"/>
    </row>
    <row r="992" spans="2:62" ht="11.25" customHeight="1">
      <c r="B992" s="2"/>
      <c r="V992" s="1" t="s">
        <v>43</v>
      </c>
      <c r="W992" s="34">
        <v>13.25</v>
      </c>
      <c r="X992" s="34"/>
      <c r="Y992" s="1" t="s">
        <v>1</v>
      </c>
      <c r="AV992" s="25">
        <v>22</v>
      </c>
      <c r="AW992" s="26"/>
      <c r="AX992" s="33">
        <f>($W$992-2*$AG$988)/10+AX990+0.000001</f>
        <v>12.350000999999997</v>
      </c>
      <c r="AY992" s="25"/>
      <c r="AZ992" s="55">
        <f t="shared" si="76"/>
        <v>1.0129715446065335</v>
      </c>
      <c r="BA992" s="55"/>
      <c r="BB992" s="55">
        <f t="shared" si="77"/>
        <v>46.219559518088424</v>
      </c>
      <c r="BC992" s="55"/>
      <c r="BD992" s="55">
        <f t="shared" si="80"/>
        <v>-81.04880078728192</v>
      </c>
      <c r="BE992" s="55"/>
      <c r="BF992" s="55">
        <f t="shared" si="78"/>
        <v>-77.66991049552432</v>
      </c>
      <c r="BG992" s="55"/>
      <c r="BH992" s="55">
        <f t="shared" si="79"/>
        <v>109.13072500765543</v>
      </c>
      <c r="BI992" s="55"/>
      <c r="BJ992" s="3"/>
    </row>
    <row r="993" spans="2:62" ht="11.25" customHeight="1">
      <c r="B993" s="2"/>
      <c r="AV993" s="25">
        <v>23</v>
      </c>
      <c r="AW993" s="26"/>
      <c r="AX993" s="30">
        <f>$AG$988/9+AX991</f>
        <v>12.449999999999998</v>
      </c>
      <c r="AY993" s="28"/>
      <c r="AZ993" s="54">
        <f t="shared" si="76"/>
        <v>0.90771092915628604</v>
      </c>
      <c r="BA993" s="54"/>
      <c r="BB993" s="54">
        <f t="shared" si="77"/>
        <v>46.714977545903828</v>
      </c>
      <c r="BC993" s="54"/>
      <c r="BD993" s="54">
        <f t="shared" si="80"/>
        <v>-83.173238625739685</v>
      </c>
      <c r="BE993" s="54"/>
      <c r="BF993" s="54">
        <f t="shared" si="78"/>
        <v>-78.337455505533427</v>
      </c>
      <c r="BG993" s="54"/>
      <c r="BH993" s="54">
        <f t="shared" si="79"/>
        <v>97.805188679245589</v>
      </c>
      <c r="BI993" s="54"/>
      <c r="BJ993" s="3"/>
    </row>
    <row r="994" spans="2:62" ht="11.25" customHeight="1">
      <c r="B994" s="2"/>
      <c r="D994" s="1" t="s">
        <v>40</v>
      </c>
      <c r="AV994" s="25">
        <v>24</v>
      </c>
      <c r="AW994" s="26"/>
      <c r="AX994" s="30">
        <f>$AG$988/9+AX993</f>
        <v>12.549999999999997</v>
      </c>
      <c r="AY994" s="28"/>
      <c r="AZ994" s="54">
        <f t="shared" si="76"/>
        <v>0.80062655749377309</v>
      </c>
      <c r="BA994" s="54"/>
      <c r="BB994" s="54">
        <f t="shared" si="77"/>
        <v>47.20146830668898</v>
      </c>
      <c r="BC994" s="54"/>
      <c r="BD994" s="54">
        <f t="shared" si="80"/>
        <v>-85.302879827556708</v>
      </c>
      <c r="BE994" s="54"/>
      <c r="BF994" s="54">
        <f t="shared" si="78"/>
        <v>-78.987272361421049</v>
      </c>
      <c r="BG994" s="54"/>
      <c r="BH994" s="54">
        <f t="shared" si="79"/>
        <v>86.279540094339964</v>
      </c>
      <c r="BI994" s="54"/>
      <c r="BJ994" s="3"/>
    </row>
    <row r="995" spans="2:62" ht="11.25" customHeight="1">
      <c r="B995" s="2"/>
      <c r="D995" s="1" t="s">
        <v>41</v>
      </c>
      <c r="F995" s="1">
        <v>4</v>
      </c>
      <c r="G995" s="7" t="s">
        <v>10</v>
      </c>
      <c r="H995" s="24">
        <f>+AM975</f>
        <v>4</v>
      </c>
      <c r="I995" s="24"/>
      <c r="J995" s="7" t="s">
        <v>10</v>
      </c>
      <c r="K995" s="24">
        <f>+M988</f>
        <v>0.9</v>
      </c>
      <c r="L995" s="24"/>
      <c r="M995" s="1" t="s">
        <v>44</v>
      </c>
      <c r="N995" s="24">
        <f>+W992</f>
        <v>13.25</v>
      </c>
      <c r="O995" s="24"/>
      <c r="P995" s="7" t="s">
        <v>9</v>
      </c>
      <c r="Q995" s="24">
        <f>+K995</f>
        <v>0.9</v>
      </c>
      <c r="R995" s="24"/>
      <c r="S995" s="1" t="s">
        <v>45</v>
      </c>
      <c r="T995" s="24">
        <f>+N995</f>
        <v>13.25</v>
      </c>
      <c r="U995" s="24"/>
      <c r="V995" s="1" t="s">
        <v>46</v>
      </c>
      <c r="W995" s="24">
        <f>F995*H995*K995*(N995-Q995)/T995^2</f>
        <v>1.0129725881096476</v>
      </c>
      <c r="X995" s="24"/>
      <c r="Y995" s="1" t="s">
        <v>1</v>
      </c>
      <c r="AV995" s="25">
        <v>25</v>
      </c>
      <c r="AW995" s="26"/>
      <c r="AX995" s="30">
        <f t="shared" ref="AX995:AX1001" si="83">$AG$988/9+AX994</f>
        <v>12.649999999999997</v>
      </c>
      <c r="AY995" s="28"/>
      <c r="AZ995" s="54">
        <f t="shared" si="76"/>
        <v>0.69171947312211102</v>
      </c>
      <c r="BA995" s="54"/>
      <c r="BB995" s="54">
        <f t="shared" si="77"/>
        <v>47.679197930700674</v>
      </c>
      <c r="BC995" s="54"/>
      <c r="BD995" s="54">
        <f t="shared" si="80"/>
        <v>-87.437272732942631</v>
      </c>
      <c r="BE995" s="54"/>
      <c r="BF995" s="54">
        <f t="shared" si="78"/>
        <v>-79.619845405483673</v>
      </c>
      <c r="BG995" s="54"/>
      <c r="BH995" s="54">
        <f t="shared" si="79"/>
        <v>74.553891509434351</v>
      </c>
      <c r="BI995" s="54"/>
      <c r="BJ995" s="3"/>
    </row>
    <row r="996" spans="2:62" ht="11.25" customHeight="1">
      <c r="B996" s="2"/>
      <c r="D996" s="1" t="s">
        <v>47</v>
      </c>
      <c r="L996" s="1">
        <v>4</v>
      </c>
      <c r="M996" s="7" t="s">
        <v>10</v>
      </c>
      <c r="N996" s="24">
        <f>+AM975</f>
        <v>4</v>
      </c>
      <c r="O996" s="24"/>
      <c r="P996" s="7" t="s">
        <v>10</v>
      </c>
      <c r="Q996" s="7" t="s">
        <v>48</v>
      </c>
      <c r="R996" s="1" t="s">
        <v>44</v>
      </c>
      <c r="S996" s="24">
        <f>+W992</f>
        <v>13.25</v>
      </c>
      <c r="T996" s="24"/>
      <c r="U996" s="7" t="s">
        <v>9</v>
      </c>
      <c r="V996" s="7" t="s">
        <v>48</v>
      </c>
      <c r="W996" s="1" t="s">
        <v>45</v>
      </c>
      <c r="X996" s="24">
        <f>+S996</f>
        <v>13.25</v>
      </c>
      <c r="Y996" s="24"/>
      <c r="Z996" s="1" t="s">
        <v>46</v>
      </c>
      <c r="AA996" s="24">
        <f>+L996*N996/X996^2</f>
        <v>9.1135635457458175E-2</v>
      </c>
      <c r="AB996" s="24"/>
      <c r="AC996" s="7" t="s">
        <v>10</v>
      </c>
      <c r="AD996" s="7" t="s">
        <v>48</v>
      </c>
      <c r="AE996" s="1" t="s">
        <v>44</v>
      </c>
      <c r="AF996" s="24">
        <f>+S996</f>
        <v>13.25</v>
      </c>
      <c r="AG996" s="24"/>
      <c r="AH996" s="7" t="s">
        <v>9</v>
      </c>
      <c r="AI996" s="7" t="s">
        <v>48</v>
      </c>
      <c r="AJ996" s="1" t="s">
        <v>49</v>
      </c>
      <c r="AV996" s="25">
        <v>26</v>
      </c>
      <c r="AW996" s="26"/>
      <c r="AX996" s="30">
        <f t="shared" si="83"/>
        <v>12.749999999999996</v>
      </c>
      <c r="AY996" s="28"/>
      <c r="AZ996" s="54">
        <f t="shared" si="76"/>
        <v>0.58098967604129981</v>
      </c>
      <c r="BA996" s="54"/>
      <c r="BB996" s="54">
        <f t="shared" si="77"/>
        <v>48.148336313899662</v>
      </c>
      <c r="BC996" s="54"/>
      <c r="BD996" s="54">
        <f t="shared" si="80"/>
        <v>-89.576011826609545</v>
      </c>
      <c r="BE996" s="54"/>
      <c r="BF996" s="54">
        <f t="shared" si="78"/>
        <v>-80.235656001577283</v>
      </c>
      <c r="BG996" s="54"/>
      <c r="BH996" s="54">
        <f t="shared" si="79"/>
        <v>62.628242924528742</v>
      </c>
      <c r="BI996" s="54"/>
      <c r="BJ996" s="3"/>
    </row>
    <row r="997" spans="2:62" ht="11.25" customHeight="1">
      <c r="B997" s="2"/>
      <c r="D997" s="1" t="s">
        <v>50</v>
      </c>
      <c r="H997" s="24">
        <f>+AA996</f>
        <v>9.1135635457458175E-2</v>
      </c>
      <c r="I997" s="24"/>
      <c r="J997" s="7" t="s">
        <v>44</v>
      </c>
      <c r="K997" s="24">
        <f>+AF996</f>
        <v>13.25</v>
      </c>
      <c r="L997" s="24"/>
      <c r="M997" s="7" t="s">
        <v>9</v>
      </c>
      <c r="N997" s="1">
        <v>2</v>
      </c>
      <c r="O997" s="7" t="s">
        <v>10</v>
      </c>
      <c r="P997" s="7" t="s">
        <v>48</v>
      </c>
      <c r="Q997" s="1" t="s">
        <v>49</v>
      </c>
      <c r="AV997" s="25">
        <v>27</v>
      </c>
      <c r="AW997" s="26"/>
      <c r="AX997" s="30">
        <f t="shared" si="83"/>
        <v>12.849999999999996</v>
      </c>
      <c r="AY997" s="28"/>
      <c r="AZ997" s="54">
        <f t="shared" si="76"/>
        <v>0.46843716625133941</v>
      </c>
      <c r="BA997" s="54"/>
      <c r="BB997" s="54">
        <f t="shared" si="77"/>
        <v>48.609051906104952</v>
      </c>
      <c r="BC997" s="54"/>
      <c r="BD997" s="54">
        <f t="shared" si="80"/>
        <v>-91.718715304946912</v>
      </c>
      <c r="BE997" s="54"/>
      <c r="BF997" s="54">
        <f t="shared" si="78"/>
        <v>-80.835175480545956</v>
      </c>
      <c r="BG997" s="54"/>
      <c r="BH997" s="54">
        <f t="shared" si="79"/>
        <v>50.502594339623123</v>
      </c>
      <c r="BI997" s="54"/>
      <c r="BJ997" s="3"/>
    </row>
    <row r="998" spans="2:62" ht="11.25" customHeight="1">
      <c r="B998" s="2"/>
      <c r="D998" s="4" t="s">
        <v>28</v>
      </c>
      <c r="AV998" s="25">
        <v>28</v>
      </c>
      <c r="AW998" s="26"/>
      <c r="AX998" s="30">
        <f t="shared" si="83"/>
        <v>12.949999999999996</v>
      </c>
      <c r="AY998" s="28"/>
      <c r="AZ998" s="54">
        <f t="shared" si="76"/>
        <v>0.35406194375222994</v>
      </c>
      <c r="BA998" s="54"/>
      <c r="BB998" s="54">
        <f t="shared" si="77"/>
        <v>49.061511521192742</v>
      </c>
      <c r="BC998" s="54"/>
      <c r="BD998" s="54">
        <f t="shared" si="80"/>
        <v>-93.865023900138553</v>
      </c>
      <c r="BE998" s="54"/>
      <c r="BF998" s="54">
        <f t="shared" si="78"/>
        <v>-81.418864913379892</v>
      </c>
      <c r="BG998" s="54"/>
      <c r="BH998" s="54">
        <f t="shared" si="79"/>
        <v>38.176945754717515</v>
      </c>
      <c r="BI998" s="54"/>
      <c r="BJ998" s="3"/>
    </row>
    <row r="999" spans="2:62" ht="11.25" customHeight="1">
      <c r="B999" s="2"/>
      <c r="D999" s="1" t="s">
        <v>11</v>
      </c>
      <c r="F999" s="24">
        <f>+W992</f>
        <v>13.25</v>
      </c>
      <c r="G999" s="24"/>
      <c r="H999" s="7" t="s">
        <v>9</v>
      </c>
      <c r="I999" s="24">
        <f>+P967</f>
        <v>15</v>
      </c>
      <c r="J999" s="24"/>
      <c r="K999" s="7" t="s">
        <v>10</v>
      </c>
      <c r="L999" s="24">
        <f>+W992/2</f>
        <v>6.625</v>
      </c>
      <c r="M999" s="24"/>
      <c r="N999" s="7" t="s">
        <v>10</v>
      </c>
      <c r="O999" s="24">
        <f>+W992/2+W992/2/2</f>
        <v>9.9375</v>
      </c>
      <c r="P999" s="24"/>
      <c r="Q999" s="7" t="s">
        <v>9</v>
      </c>
      <c r="R999" s="24">
        <f>+AB967</f>
        <v>20</v>
      </c>
      <c r="S999" s="24"/>
      <c r="T999" s="7" t="s">
        <v>10</v>
      </c>
      <c r="U999" s="24">
        <f>+W992/2</f>
        <v>6.625</v>
      </c>
      <c r="V999" s="24"/>
      <c r="W999" s="7" t="s">
        <v>10</v>
      </c>
      <c r="X999" s="24">
        <f>+U999/2</f>
        <v>3.3125</v>
      </c>
      <c r="Y999" s="24"/>
      <c r="Z999" s="7" t="s">
        <v>15</v>
      </c>
      <c r="AA999" s="24">
        <f>+D976</f>
        <v>10</v>
      </c>
      <c r="AB999" s="24"/>
      <c r="AC999" s="7" t="s">
        <v>10</v>
      </c>
      <c r="AD999" s="24">
        <f>+AM975</f>
        <v>4</v>
      </c>
      <c r="AE999" s="24"/>
      <c r="AF999" s="7" t="s">
        <v>10</v>
      </c>
      <c r="AG999" s="24">
        <f>+AD999/2</f>
        <v>2</v>
      </c>
      <c r="AH999" s="24"/>
      <c r="AI999" s="7" t="s">
        <v>12</v>
      </c>
      <c r="AJ999" s="1">
        <v>0</v>
      </c>
      <c r="AN999" s="1" t="s">
        <v>4</v>
      </c>
      <c r="AP999" s="24">
        <f>(I999*L999*O999+R999*U999*X999-AA999*AD999*AG999)/F999</f>
        <v>101.6185141509434</v>
      </c>
      <c r="AQ999" s="24"/>
      <c r="AR999" s="1" t="s">
        <v>0</v>
      </c>
      <c r="AV999" s="25">
        <v>29</v>
      </c>
      <c r="AW999" s="26"/>
      <c r="AX999" s="30">
        <f t="shared" si="83"/>
        <v>13.049999999999995</v>
      </c>
      <c r="AY999" s="28"/>
      <c r="AZ999" s="54">
        <f t="shared" si="76"/>
        <v>0.23786400854397124</v>
      </c>
      <c r="BA999" s="54"/>
      <c r="BB999" s="54">
        <f t="shared" si="77"/>
        <v>49.505880168353677</v>
      </c>
      <c r="BC999" s="54"/>
      <c r="BD999" s="54">
        <f t="shared" si="80"/>
        <v>-96.014599745193948</v>
      </c>
      <c r="BE999" s="54"/>
      <c r="BF999" s="54">
        <f t="shared" si="78"/>
        <v>-81.987174940494285</v>
      </c>
      <c r="BG999" s="54"/>
      <c r="BH999" s="54">
        <f t="shared" si="79"/>
        <v>25.651297169811905</v>
      </c>
      <c r="BI999" s="54"/>
      <c r="BJ999" s="3"/>
    </row>
    <row r="1000" spans="2:62" ht="11.25" customHeight="1">
      <c r="B1000" s="2"/>
      <c r="D1000" s="1" t="s">
        <v>13</v>
      </c>
      <c r="F1000" s="24">
        <f>+K987</f>
        <v>101.6185141509434</v>
      </c>
      <c r="G1000" s="24"/>
      <c r="H1000" s="7" t="s">
        <v>9</v>
      </c>
      <c r="I1000" s="24">
        <f>+P967</f>
        <v>15</v>
      </c>
      <c r="J1000" s="24"/>
      <c r="K1000" s="7" t="s">
        <v>10</v>
      </c>
      <c r="L1000" s="24">
        <f>+W992/2</f>
        <v>6.625</v>
      </c>
      <c r="M1000" s="24"/>
      <c r="N1000" s="7" t="s">
        <v>9</v>
      </c>
      <c r="O1000" s="24">
        <f>+AB967</f>
        <v>20</v>
      </c>
      <c r="P1000" s="24"/>
      <c r="Q1000" s="7" t="s">
        <v>10</v>
      </c>
      <c r="R1000" s="24">
        <f>+W992/2</f>
        <v>6.625</v>
      </c>
      <c r="S1000" s="24"/>
      <c r="T1000" s="7" t="s">
        <v>12</v>
      </c>
      <c r="U1000" s="1">
        <v>0</v>
      </c>
      <c r="Y1000" s="1" t="s">
        <v>7</v>
      </c>
      <c r="AA1000" s="24">
        <f>+I1000*L1000+O1000*R1000-F1000</f>
        <v>130.25648584905662</v>
      </c>
      <c r="AB1000" s="24"/>
      <c r="AC1000" s="1" t="s">
        <v>0</v>
      </c>
      <c r="AV1000" s="25">
        <v>30</v>
      </c>
      <c r="AW1000" s="26"/>
      <c r="AX1000" s="30">
        <f t="shared" si="83"/>
        <v>13.149999999999995</v>
      </c>
      <c r="AY1000" s="28"/>
      <c r="AZ1000" s="54">
        <f t="shared" si="76"/>
        <v>0.11984336062656342</v>
      </c>
      <c r="BA1000" s="54"/>
      <c r="BB1000" s="54">
        <f t="shared" si="77"/>
        <v>49.942320902944992</v>
      </c>
      <c r="BC1000" s="54"/>
      <c r="BD1000" s="54">
        <f t="shared" si="80"/>
        <v>-98.167125280634423</v>
      </c>
      <c r="BE1000" s="54"/>
      <c r="BF1000" s="54">
        <f t="shared" si="78"/>
        <v>-82.540545651730838</v>
      </c>
      <c r="BG1000" s="54"/>
      <c r="BH1000" s="54">
        <f t="shared" si="79"/>
        <v>12.9256485849063</v>
      </c>
      <c r="BI1000" s="54"/>
      <c r="BJ1000" s="3"/>
    </row>
    <row r="1001" spans="2:62" ht="11.25" customHeight="1">
      <c r="B1001" s="2"/>
      <c r="D1001" s="1" t="s">
        <v>94</v>
      </c>
      <c r="F1001" s="24">
        <f>+D976</f>
        <v>10</v>
      </c>
      <c r="G1001" s="24"/>
      <c r="H1001" s="7" t="s">
        <v>10</v>
      </c>
      <c r="I1001" s="24">
        <f>+AM975</f>
        <v>4</v>
      </c>
      <c r="J1001" s="24"/>
      <c r="K1001" s="7" t="s">
        <v>12</v>
      </c>
      <c r="L1001" s="1">
        <v>0</v>
      </c>
      <c r="P1001" s="1" t="s">
        <v>5</v>
      </c>
      <c r="R1001" s="24">
        <f>+F1001*I1001</f>
        <v>40</v>
      </c>
      <c r="S1001" s="24"/>
      <c r="T1001" s="1" t="s">
        <v>0</v>
      </c>
      <c r="W1001" s="7"/>
      <c r="Z1001" s="7"/>
      <c r="AC1001" s="7"/>
      <c r="AV1001" s="25">
        <v>31</v>
      </c>
      <c r="AW1001" s="26"/>
      <c r="AX1001" s="30">
        <f t="shared" si="83"/>
        <v>13.249999999999995</v>
      </c>
      <c r="AY1001" s="28"/>
      <c r="AZ1001" s="54">
        <f t="shared" si="76"/>
        <v>6.4351040219782636E-15</v>
      </c>
      <c r="BA1001" s="54"/>
      <c r="BB1001" s="54">
        <f t="shared" si="77"/>
        <v>50.370994695535686</v>
      </c>
      <c r="BC1001" s="54"/>
      <c r="BD1001" s="54">
        <f t="shared" si="80"/>
        <v>-100.32230220321465</v>
      </c>
      <c r="BE1001" s="54"/>
      <c r="BF1001" s="54">
        <f t="shared" si="78"/>
        <v>-83.079406512037195</v>
      </c>
      <c r="BG1001" s="54"/>
      <c r="BH1001" s="54">
        <f t="shared" si="79"/>
        <v>6.9414599854264068E-13</v>
      </c>
      <c r="BI1001" s="54"/>
      <c r="BJ1001" s="3"/>
    </row>
    <row r="1002" spans="2:62" ht="11.25" customHeight="1">
      <c r="B1002" s="2"/>
      <c r="D1002" s="7" t="s">
        <v>73</v>
      </c>
      <c r="E1002" s="7" t="s">
        <v>10</v>
      </c>
      <c r="F1002" s="24">
        <f>+AK973</f>
        <v>2.9870274118903524</v>
      </c>
      <c r="G1002" s="24"/>
      <c r="H1002" s="7" t="s">
        <v>9</v>
      </c>
      <c r="I1002" s="24">
        <f>+AH987</f>
        <v>130.25648584905662</v>
      </c>
      <c r="J1002" s="24"/>
      <c r="K1002" s="7" t="s">
        <v>10</v>
      </c>
      <c r="L1002" s="24">
        <f>+W992/2</f>
        <v>6.625</v>
      </c>
      <c r="M1002" s="24"/>
      <c r="N1002" s="7" t="s">
        <v>15</v>
      </c>
      <c r="O1002" s="24">
        <f>+AB967</f>
        <v>20</v>
      </c>
      <c r="P1002" s="24"/>
      <c r="Q1002" s="7" t="s">
        <v>10</v>
      </c>
      <c r="R1002" s="24">
        <f>+W992/2</f>
        <v>6.625</v>
      </c>
      <c r="S1002" s="24"/>
      <c r="T1002" s="7" t="s">
        <v>10</v>
      </c>
      <c r="U1002" s="24">
        <f>+R1002/2</f>
        <v>3.3125</v>
      </c>
      <c r="V1002" s="24"/>
      <c r="W1002" s="7" t="s">
        <v>12</v>
      </c>
      <c r="X1002" s="1">
        <v>0</v>
      </c>
      <c r="AB1002" s="1" t="s">
        <v>74</v>
      </c>
      <c r="AD1002" s="24">
        <f>(I1002*L1002-O1002*R1002*U1002)/F1002</f>
        <v>141.96152571684732</v>
      </c>
      <c r="AE1002" s="24"/>
      <c r="AF1002" s="1" t="s">
        <v>0</v>
      </c>
      <c r="BJ1002" s="3"/>
    </row>
    <row r="1003" spans="2:62" ht="11.25" customHeight="1">
      <c r="B1003" s="2"/>
      <c r="H1003" s="7"/>
      <c r="P1003" s="7"/>
      <c r="X1003" s="7"/>
      <c r="AA1003" s="7"/>
      <c r="BJ1003" s="3"/>
    </row>
    <row r="1004" spans="2:62" ht="11.25" customHeight="1">
      <c r="B1004" s="2"/>
      <c r="BJ1004" s="3"/>
    </row>
    <row r="1005" spans="2:62" ht="11.25" customHeight="1">
      <c r="B1005" s="2"/>
      <c r="D1005" s="12" t="s">
        <v>55</v>
      </c>
      <c r="BJ1005" s="3"/>
    </row>
    <row r="1006" spans="2:62" ht="11.25" customHeight="1">
      <c r="B1006" s="2"/>
      <c r="O1006" s="34">
        <v>15</v>
      </c>
      <c r="P1006" s="34"/>
      <c r="Q1006" s="1" t="s">
        <v>3</v>
      </c>
      <c r="AB1006" s="34">
        <v>25</v>
      </c>
      <c r="AC1006" s="34"/>
      <c r="AD1006" s="1" t="s">
        <v>3</v>
      </c>
      <c r="AV1006" s="25" t="s">
        <v>59</v>
      </c>
      <c r="AW1006" s="26"/>
      <c r="AX1006" s="33" t="s">
        <v>48</v>
      </c>
      <c r="AY1006" s="25"/>
      <c r="AZ1006" s="25" t="s">
        <v>58</v>
      </c>
      <c r="BA1006" s="25"/>
      <c r="BB1006" s="56" t="s">
        <v>66</v>
      </c>
      <c r="BC1006" s="25"/>
      <c r="BD1006" s="25" t="s">
        <v>62</v>
      </c>
      <c r="BE1006" s="25"/>
      <c r="BF1006" s="25" t="s">
        <v>65</v>
      </c>
      <c r="BG1006" s="25"/>
      <c r="BH1006" s="25" t="s">
        <v>63</v>
      </c>
      <c r="BI1006" s="25"/>
      <c r="BJ1006" s="3"/>
    </row>
    <row r="1007" spans="2:62" ht="11.25" customHeight="1" thickBot="1">
      <c r="B1007" s="2"/>
      <c r="AV1007" s="57"/>
      <c r="AW1007" s="61"/>
      <c r="AX1007" s="47" t="s">
        <v>60</v>
      </c>
      <c r="AY1007" s="57"/>
      <c r="AZ1007" s="57" t="s">
        <v>60</v>
      </c>
      <c r="BA1007" s="57"/>
      <c r="BB1007" s="57" t="s">
        <v>67</v>
      </c>
      <c r="BC1007" s="57"/>
      <c r="BD1007" s="57" t="s">
        <v>61</v>
      </c>
      <c r="BE1007" s="57"/>
      <c r="BF1007" s="57" t="s">
        <v>61</v>
      </c>
      <c r="BG1007" s="57"/>
      <c r="BH1007" s="57" t="s">
        <v>64</v>
      </c>
      <c r="BI1007" s="57"/>
      <c r="BJ1007" s="3"/>
    </row>
    <row r="1008" spans="2:62" ht="11.25" customHeight="1" thickTop="1">
      <c r="B1008" s="2"/>
      <c r="AV1008" s="58">
        <v>0</v>
      </c>
      <c r="AW1008" s="59"/>
      <c r="AX1008" s="60">
        <v>0</v>
      </c>
      <c r="AY1008" s="54"/>
      <c r="AZ1008" s="54">
        <f t="shared" ref="AZ1008:AZ1039" si="84">4*$AP$1014*AX1008*($V$1029-AX1008)/$V$1029^2</f>
        <v>0</v>
      </c>
      <c r="BA1008" s="54"/>
      <c r="BB1008" s="54">
        <f t="shared" ref="BB1008:BB1039" si="85">IF(AX1008&lt;=$V$1029/2,ATAN($G$1034*($J$1034-$M$1034*AX1008))*180/PI(),-ATAN($G$1034*($J$1034-$M$1034*AX1008))*180/PI())</f>
        <v>54.293308599397115</v>
      </c>
      <c r="BC1008" s="54"/>
      <c r="BD1008" s="54">
        <f>IF(AX1008&lt;=$V$1029/2,-$J$1026*SIN(BB1008*PI()/180)-$H$1021*COS(BB1008*PI()/180)+$O$1006*AX1008*SIN(BB1008*PI()/180)-$C$1016*AZ1008*COS(BB1008*PI()/180),IF(AND($V$1029/2&lt;AX1008,AX1008&lt;=($V$1029-$AE$1027)),-$AG$1026*SIN(BB1008*PI()/180)-$AK$1021*COS(BB1008*PI()/180)+$AB$1006*($V$1029-AX1008)*SIN(BB1008*PI()/180)+$AC$1010*SIN(BB1008*PI()/180),-$AG$1026*SIN(BB1008*PI()/180)-$AK$1021*COS(BB1008*PI()/180)+$AB$1006*($V$1029-AX1008)*SIN(BB1008*PI()/180)))</f>
        <v>-108.51510427835782</v>
      </c>
      <c r="BE1008" s="54"/>
      <c r="BF1008" s="54">
        <f>IF(AX1008&lt;=$V$1029/2,$J$1026*COS(BB1008*PI()/180)-$H$1021*SIN(BB1008*PI()/180)-$O$1006*AX1008*COS(BB1008*PI()/180)-$C$1016*AZ1008*SIN(BB1008*PI()/180),IF(AND($V$1029/2&lt;AX1008,AX1008&lt;=($V$1029-$AE$1027)),-$AG$1026*COS(BB1008*PI()/180)+$AK$1021*SIN(BB1008*PI()/180)+$AB$1006*($V$1029-AX1008)*COS(BB1008*PI()/180)+$AC$1010*COS(BB1008*PI()/180),-$AG$1026*COS(BB1008*PI()/180)+$AK$1021*SIN(BB1008*PI()/180)+$AB$1006*($V$1029-AX1008)*COS(BB1008*PI()/180)))</f>
        <v>11.301604562867531</v>
      </c>
      <c r="BG1008" s="54"/>
      <c r="BH1008" s="54">
        <f>IF(AX1008&lt;=$V$1029/2,$J$1026*AX1008-$H$1021*AZ1008-$O$1006*AX1008*AX1008/2-$C$1016*AZ1008*AZ1008/2,IF(AND($V$1029/2&lt;AX1008,AX1008&lt;=($V$1029-$AE$1027)),$AG$1026*($V$1029-AX1008)-$AK$1021*AZ1008-$AB$1006*($V$1029-AX1008)*($V$1029-AX1008)/2-$AC$1010*($V$1029/2+$Y$1027-AX1008),$AG$1026*($V$1029-AX1008)-$AK$1021*AZ1008-$AB$1006*($V$1029-AX1008)*($V$1029-AX1008)/2))</f>
        <v>0</v>
      </c>
      <c r="BI1008" s="54"/>
      <c r="BJ1008" s="3"/>
    </row>
    <row r="1009" spans="2:80" ht="11.25" customHeight="1">
      <c r="B1009" s="2"/>
      <c r="F1009" s="5"/>
      <c r="V1009" s="1" t="s">
        <v>18</v>
      </c>
      <c r="AN1009" s="5" t="s">
        <v>1</v>
      </c>
      <c r="AV1009" s="25">
        <v>1</v>
      </c>
      <c r="AW1009" s="26"/>
      <c r="AX1009" s="30">
        <f>($V$1029/2)/12+AX1008</f>
        <v>0.47916666666666669</v>
      </c>
      <c r="AY1009" s="28"/>
      <c r="AZ1009" s="54">
        <f t="shared" si="84"/>
        <v>0.63888888888888895</v>
      </c>
      <c r="BA1009" s="54"/>
      <c r="BB1009" s="54">
        <f t="shared" si="85"/>
        <v>51.900328169277294</v>
      </c>
      <c r="BC1009" s="54"/>
      <c r="BD1009" s="54">
        <f t="shared" ref="BD1009:BD1039" si="86">IF(AX1009&lt;=$V$1029/2,-$J$1026*SIN(BB1009*PI()/180)-$H$1021*COS(BB1009*PI()/180)+$O$1006*AX1009*SIN(BB1009*PI()/180)-$C$1016*AZ1009*COS(BB1009*PI()/180),IF(AND($V$1029/2&lt;AX1009,AX1009&lt;=($V$1029-$AE$1027)),-$AG$1026*SIN(BB1009*PI()/180)-$AK$1021*COS(BB1009*PI()/180)+$AB$1006*($V$1029-AX1009)*SIN(BB1009*PI()/180)+$AC$1010*SIN(BB1009*PI()/180),-$AG$1026*SIN(BB1009*PI()/180)-$AK$1021*COS(BB1009*PI()/180)+$AB$1006*($V$1029-AX1009)*SIN(BB1009*PI()/180)))</f>
        <v>-106.2346193045872</v>
      </c>
      <c r="BE1009" s="54"/>
      <c r="BF1009" s="54">
        <f t="shared" ref="BF1009:BF1039" si="87">IF(AX1009&lt;=$V$1029/2,$J$1026*COS(BB1009*PI()/180)-$H$1021*SIN(BB1009*PI()/180)-$O$1006*AX1009*COS(BB1009*PI()/180)-$C$1016*AZ1009*SIN(BB1009*PI()/180),IF(AND($V$1029/2&lt;AX1009,AX1009&lt;=($V$1029-$AE$1027)),-$AG$1026*COS(BB1009*PI()/180)+$AK$1021*SIN(BB1009*PI()/180)+$AB$1006*($V$1029-AX1009)*COS(BB1009*PI()/180)+$AC$1010*COS(BB1009*PI()/180),-$AG$1026*COS(BB1009*PI()/180)+$AK$1021*SIN(BB1009*PI()/180)+$AB$1006*($V$1029-AX1009)*COS(BB1009*PI()/180)))</f>
        <v>6.3600309519748146</v>
      </c>
      <c r="BG1009" s="54"/>
      <c r="BH1009" s="54">
        <f t="shared" ref="BH1009:BH1039" si="88">IF(AX1009&lt;=$V$1029/2,$J$1026*AX1009-$H$1021*AZ1009-$O$1006*AX1009*AX1009/2-$C$1016*AZ1009*AZ1009/2,IF(AND($V$1029/2&lt;AX1009,AX1009&lt;=($V$1029-$AE$1027)),$AG$1026*($V$1029-AX1009)-$AK$1021*AZ1009-$AB$1006*($V$1029-AX1009)*($V$1029-AX1009)/2-$AC$1010*($V$1029/2+$Y$1027-AX1009),$AG$1026*($V$1029-AX1009)-$AK$1021*AZ1009-$AB$1006*($V$1029-AX1009)*($V$1029-AX1009)/2))</f>
        <v>7.0200858410493776</v>
      </c>
      <c r="BI1009" s="54"/>
      <c r="BJ1009" s="3"/>
    </row>
    <row r="1010" spans="2:80" ht="11.25" customHeight="1">
      <c r="B1010" s="2"/>
      <c r="G1010" s="37" t="s">
        <v>71</v>
      </c>
      <c r="AC1010" s="34">
        <v>4</v>
      </c>
      <c r="AD1010" s="34"/>
      <c r="AE1010" s="1" t="s">
        <v>0</v>
      </c>
      <c r="AN1010" s="37">
        <f>+AP1014-AN1016</f>
        <v>0.91493383742911139</v>
      </c>
      <c r="AV1010" s="25">
        <v>2</v>
      </c>
      <c r="AW1010" s="26"/>
      <c r="AX1010" s="30">
        <f t="shared" ref="AX1010:AX1020" si="89">($V$1029/2)/12+AX1009</f>
        <v>0.95833333333333337</v>
      </c>
      <c r="AY1010" s="28"/>
      <c r="AZ1010" s="54">
        <f t="shared" si="84"/>
        <v>1.2222222222222221</v>
      </c>
      <c r="BA1010" s="54"/>
      <c r="BB1010" s="54">
        <f t="shared" si="85"/>
        <v>49.222230206142683</v>
      </c>
      <c r="BC1010" s="54"/>
      <c r="BD1010" s="54">
        <f t="shared" si="86"/>
        <v>-104.18860373178188</v>
      </c>
      <c r="BE1010" s="54"/>
      <c r="BF1010" s="54">
        <f t="shared" si="87"/>
        <v>2.2052233795816836</v>
      </c>
      <c r="BG1010" s="54"/>
      <c r="BH1010" s="54">
        <f t="shared" si="88"/>
        <v>10.217496141975316</v>
      </c>
      <c r="BI1010" s="54"/>
      <c r="BJ1010" s="3"/>
    </row>
    <row r="1011" spans="2:80" ht="11.25" customHeight="1">
      <c r="B1011" s="2"/>
      <c r="G1011" s="37"/>
      <c r="AN1011" s="37"/>
      <c r="AV1011" s="25">
        <v>3</v>
      </c>
      <c r="AW1011" s="26"/>
      <c r="AX1011" s="30">
        <f t="shared" si="89"/>
        <v>1.4375</v>
      </c>
      <c r="AY1011" s="28"/>
      <c r="AZ1011" s="54">
        <f t="shared" si="84"/>
        <v>1.75</v>
      </c>
      <c r="BA1011" s="54"/>
      <c r="BB1011" s="54">
        <f t="shared" si="85"/>
        <v>46.2188752351313</v>
      </c>
      <c r="BC1011" s="54"/>
      <c r="BD1011" s="54">
        <f t="shared" si="86"/>
        <v>-102.39238850365122</v>
      </c>
      <c r="BE1011" s="54"/>
      <c r="BF1011" s="54">
        <f t="shared" si="87"/>
        <v>-1.1224660376404074</v>
      </c>
      <c r="BG1011" s="54"/>
      <c r="BH1011" s="54">
        <f t="shared" si="88"/>
        <v>10.564453125</v>
      </c>
      <c r="BI1011" s="54"/>
      <c r="BJ1011" s="3"/>
    </row>
    <row r="1012" spans="2:80" ht="11.25" customHeight="1">
      <c r="B1012" s="2"/>
      <c r="G1012" s="37"/>
      <c r="O1012" s="1" t="s">
        <v>17</v>
      </c>
      <c r="AD1012" s="6" t="s">
        <v>30</v>
      </c>
      <c r="AN1012" s="37"/>
      <c r="AV1012" s="25">
        <v>4</v>
      </c>
      <c r="AW1012" s="26"/>
      <c r="AX1012" s="30">
        <f t="shared" si="89"/>
        <v>1.9166666666666667</v>
      </c>
      <c r="AY1012" s="28"/>
      <c r="AZ1012" s="54">
        <f t="shared" si="84"/>
        <v>2.2222222222222223</v>
      </c>
      <c r="BA1012" s="54"/>
      <c r="BB1012" s="54">
        <f t="shared" si="85"/>
        <v>42.847037210899536</v>
      </c>
      <c r="BC1012" s="54"/>
      <c r="BD1012" s="54">
        <f t="shared" si="86"/>
        <v>-100.8555394480565</v>
      </c>
      <c r="BE1012" s="54"/>
      <c r="BF1012" s="54">
        <f t="shared" si="87"/>
        <v>-3.5792303387865978</v>
      </c>
      <c r="BG1012" s="54"/>
      <c r="BH1012" s="54">
        <f t="shared" si="88"/>
        <v>8.9405864197530782</v>
      </c>
      <c r="BI1012" s="54"/>
      <c r="BJ1012" s="3"/>
    </row>
    <row r="1013" spans="2:80" ht="11.25" customHeight="1">
      <c r="B1013" s="2"/>
      <c r="C1013" s="37" t="s">
        <v>3</v>
      </c>
      <c r="AP1013" s="5" t="s">
        <v>1</v>
      </c>
      <c r="AV1013" s="25">
        <v>5</v>
      </c>
      <c r="AW1013" s="26"/>
      <c r="AX1013" s="30">
        <f t="shared" si="89"/>
        <v>2.3958333333333335</v>
      </c>
      <c r="AY1013" s="28"/>
      <c r="AZ1013" s="54">
        <f t="shared" si="84"/>
        <v>2.6388888888888888</v>
      </c>
      <c r="BA1013" s="54"/>
      <c r="BB1013" s="54">
        <f t="shared" si="85"/>
        <v>39.062583900518483</v>
      </c>
      <c r="BC1013" s="54"/>
      <c r="BD1013" s="54">
        <f t="shared" si="86"/>
        <v>-99.577758974956907</v>
      </c>
      <c r="BE1013" s="54"/>
      <c r="BF1013" s="54">
        <f t="shared" si="87"/>
        <v>-5.1211381138956789</v>
      </c>
      <c r="BG1013" s="54"/>
      <c r="BH1013" s="54">
        <f t="shared" si="88"/>
        <v>6.1329330632716079</v>
      </c>
      <c r="BI1013" s="54"/>
      <c r="BJ1013" s="3"/>
    </row>
    <row r="1014" spans="2:80" ht="11.25" customHeight="1">
      <c r="B1014" s="2"/>
      <c r="C1014" s="37"/>
      <c r="AP1014" s="38">
        <v>4</v>
      </c>
      <c r="AV1014" s="25">
        <v>6</v>
      </c>
      <c r="AW1014" s="26"/>
      <c r="AX1014" s="30">
        <f t="shared" si="89"/>
        <v>2.875</v>
      </c>
      <c r="AY1014" s="28"/>
      <c r="AZ1014" s="54">
        <f t="shared" si="84"/>
        <v>3</v>
      </c>
      <c r="BA1014" s="54"/>
      <c r="BB1014" s="54">
        <f t="shared" si="85"/>
        <v>34.824489156956794</v>
      </c>
      <c r="BC1014" s="54"/>
      <c r="BD1014" s="54">
        <f t="shared" si="86"/>
        <v>-98.543782311570283</v>
      </c>
      <c r="BE1014" s="54"/>
      <c r="BF1014" s="54">
        <f t="shared" si="87"/>
        <v>-5.7106448819859921</v>
      </c>
      <c r="BG1014" s="54"/>
      <c r="BH1014" s="54">
        <f t="shared" si="88"/>
        <v>2.8359375</v>
      </c>
      <c r="BI1014" s="54"/>
      <c r="BJ1014" s="3"/>
    </row>
    <row r="1015" spans="2:80" ht="11.25" customHeight="1">
      <c r="B1015" s="2"/>
      <c r="C1015" s="37"/>
      <c r="F1015" s="5"/>
      <c r="AN1015" s="5" t="s">
        <v>1</v>
      </c>
      <c r="AP1015" s="38"/>
      <c r="AV1015" s="25">
        <v>7</v>
      </c>
      <c r="AW1015" s="26"/>
      <c r="AX1015" s="30">
        <f t="shared" si="89"/>
        <v>3.3541666666666665</v>
      </c>
      <c r="AY1015" s="28"/>
      <c r="AZ1015" s="54">
        <f t="shared" si="84"/>
        <v>3.3055555555555558</v>
      </c>
      <c r="BA1015" s="54"/>
      <c r="BB1015" s="54">
        <f t="shared" si="85"/>
        <v>30.101304565599701</v>
      </c>
      <c r="BC1015" s="54"/>
      <c r="BD1015" s="54">
        <f t="shared" si="86"/>
        <v>-97.718100357266934</v>
      </c>
      <c r="BE1015" s="54"/>
      <c r="BF1015" s="54">
        <f t="shared" si="87"/>
        <v>-5.3276289522584364</v>
      </c>
      <c r="BG1015" s="54"/>
      <c r="BH1015" s="54">
        <f t="shared" si="88"/>
        <v>-0.34854841820995119</v>
      </c>
      <c r="BI1015" s="54"/>
      <c r="BJ1015" s="3"/>
      <c r="CA1015" s="24"/>
      <c r="CB1015" s="24"/>
    </row>
    <row r="1016" spans="2:80" ht="11.25" customHeight="1">
      <c r="B1016" s="2"/>
      <c r="C1016" s="38">
        <v>10</v>
      </c>
      <c r="G1016" s="37" t="s">
        <v>58</v>
      </c>
      <c r="K1016" s="1" t="s">
        <v>58</v>
      </c>
      <c r="AN1016" s="37">
        <f>+V1032</f>
        <v>3.0850661625708886</v>
      </c>
      <c r="AP1016" s="38"/>
      <c r="AV1016" s="25">
        <v>8</v>
      </c>
      <c r="AW1016" s="26"/>
      <c r="AX1016" s="30">
        <f t="shared" si="89"/>
        <v>3.833333333333333</v>
      </c>
      <c r="AY1016" s="28"/>
      <c r="AZ1016" s="54">
        <f t="shared" si="84"/>
        <v>3.5555555555555558</v>
      </c>
      <c r="BA1016" s="54"/>
      <c r="BB1016" s="54">
        <f t="shared" si="85"/>
        <v>24.880366859181699</v>
      </c>
      <c r="BC1016" s="54"/>
      <c r="BD1016" s="54">
        <f t="shared" si="86"/>
        <v>-97.041494087022116</v>
      </c>
      <c r="BE1016" s="54"/>
      <c r="BF1016" s="54">
        <f t="shared" si="87"/>
        <v>-3.9857483076660483</v>
      </c>
      <c r="BG1016" s="54"/>
      <c r="BH1016" s="54">
        <f t="shared" si="88"/>
        <v>-2.9112654320988298</v>
      </c>
      <c r="BI1016" s="54"/>
      <c r="BJ1016" s="3"/>
    </row>
    <row r="1017" spans="2:80" ht="11.25" customHeight="1">
      <c r="B1017" s="2"/>
      <c r="C1017" s="38"/>
      <c r="G1017" s="37"/>
      <c r="AN1017" s="37"/>
      <c r="AP1017" s="37" t="s">
        <v>42</v>
      </c>
      <c r="AV1017" s="25">
        <v>9</v>
      </c>
      <c r="AW1017" s="26"/>
      <c r="AX1017" s="30">
        <f t="shared" si="89"/>
        <v>4.3125</v>
      </c>
      <c r="AY1017" s="28"/>
      <c r="AZ1017" s="54">
        <f t="shared" si="84"/>
        <v>3.75</v>
      </c>
      <c r="BA1017" s="54"/>
      <c r="BB1017" s="54">
        <f t="shared" si="85"/>
        <v>19.179008025810724</v>
      </c>
      <c r="BC1017" s="54"/>
      <c r="BD1017" s="54">
        <f t="shared" si="86"/>
        <v>-96.432687743142708</v>
      </c>
      <c r="BE1017" s="54"/>
      <c r="BF1017" s="54">
        <f t="shared" si="87"/>
        <v>-1.7529655221475871</v>
      </c>
      <c r="BG1017" s="54"/>
      <c r="BH1017" s="54">
        <f t="shared" si="88"/>
        <v>-4.435546875</v>
      </c>
      <c r="BI1017" s="54"/>
      <c r="BJ1017" s="3"/>
    </row>
    <row r="1018" spans="2:80" ht="11.25" customHeight="1">
      <c r="B1018" s="2"/>
      <c r="C1018" s="38"/>
      <c r="G1018" s="37"/>
      <c r="AN1018" s="37"/>
      <c r="AP1018" s="37"/>
      <c r="AV1018" s="25">
        <v>10</v>
      </c>
      <c r="AW1018" s="26"/>
      <c r="AX1018" s="30">
        <f t="shared" si="89"/>
        <v>4.791666666666667</v>
      </c>
      <c r="AY1018" s="28"/>
      <c r="AZ1018" s="54">
        <f t="shared" si="84"/>
        <v>3.8888888888888888</v>
      </c>
      <c r="BA1018" s="54"/>
      <c r="BB1018" s="54">
        <f t="shared" si="85"/>
        <v>13.055247223796599</v>
      </c>
      <c r="BC1018" s="54"/>
      <c r="BD1018" s="54">
        <f t="shared" si="86"/>
        <v>-95.798824731638859</v>
      </c>
      <c r="BE1018" s="54"/>
      <c r="BF1018" s="54">
        <f t="shared" si="87"/>
        <v>1.2286716669501683</v>
      </c>
      <c r="BG1018" s="54"/>
      <c r="BH1018" s="54">
        <f t="shared" si="88"/>
        <v>-4.5973186728395063</v>
      </c>
      <c r="BI1018" s="54"/>
      <c r="BJ1018" s="3"/>
    </row>
    <row r="1019" spans="2:80" ht="11.25" customHeight="1">
      <c r="B1019" s="2"/>
      <c r="AV1019" s="25">
        <v>11</v>
      </c>
      <c r="AW1019" s="26"/>
      <c r="AX1019" s="30">
        <f t="shared" si="89"/>
        <v>5.2708333333333339</v>
      </c>
      <c r="AY1019" s="28"/>
      <c r="AZ1019" s="54">
        <f t="shared" si="84"/>
        <v>3.9722222222222223</v>
      </c>
      <c r="BA1019" s="54"/>
      <c r="BB1019" s="54">
        <f t="shared" si="85"/>
        <v>6.6134604823147498</v>
      </c>
      <c r="BC1019" s="54"/>
      <c r="BD1019" s="54">
        <f t="shared" si="86"/>
        <v>-95.056136134456253</v>
      </c>
      <c r="BE1019" s="54"/>
      <c r="BF1019" s="54">
        <f t="shared" si="87"/>
        <v>4.7332884332217926</v>
      </c>
      <c r="BG1019" s="54"/>
      <c r="BH1019" s="54">
        <f t="shared" si="88"/>
        <v>-3.1650993441358253</v>
      </c>
      <c r="BI1019" s="54"/>
      <c r="BJ1019" s="3"/>
    </row>
    <row r="1020" spans="2:80" ht="11.25" customHeight="1">
      <c r="B1020" s="2"/>
      <c r="AV1020" s="25">
        <v>12</v>
      </c>
      <c r="AW1020" s="26"/>
      <c r="AX1020" s="30">
        <f t="shared" si="89"/>
        <v>5.7500000000000009</v>
      </c>
      <c r="AY1020" s="28"/>
      <c r="AZ1020" s="54">
        <f t="shared" si="84"/>
        <v>4</v>
      </c>
      <c r="BA1020" s="54"/>
      <c r="BB1020" s="54">
        <f t="shared" si="85"/>
        <v>-1.2313376158104504E-14</v>
      </c>
      <c r="BC1020" s="54"/>
      <c r="BD1020" s="54">
        <f t="shared" si="86"/>
        <v>-94.15625</v>
      </c>
      <c r="BE1020" s="54"/>
      <c r="BF1020" s="54">
        <f t="shared" si="87"/>
        <v>8.4619565217391344</v>
      </c>
      <c r="BG1020" s="54"/>
      <c r="BH1020" s="54">
        <f t="shared" si="88"/>
        <v>-8.5265128291212022E-14</v>
      </c>
      <c r="BI1020" s="54"/>
      <c r="BJ1020" s="3"/>
    </row>
    <row r="1021" spans="2:80" ht="11.25" customHeight="1">
      <c r="B1021" s="2"/>
      <c r="F1021" s="1" t="s">
        <v>5</v>
      </c>
      <c r="H1021" s="24">
        <f>+AL1039</f>
        <v>54.15625</v>
      </c>
      <c r="I1021" s="24"/>
      <c r="J1021" s="1" t="s">
        <v>0</v>
      </c>
      <c r="N1021" s="1" t="s">
        <v>48</v>
      </c>
      <c r="AG1021" s="1" t="s">
        <v>33</v>
      </c>
      <c r="AI1021" s="1" t="s">
        <v>6</v>
      </c>
      <c r="AK1021" s="24">
        <f>+AI1040</f>
        <v>94.15625</v>
      </c>
      <c r="AL1021" s="24"/>
      <c r="AM1021" s="1" t="s">
        <v>0</v>
      </c>
      <c r="AV1021" s="25">
        <v>13</v>
      </c>
      <c r="AW1021" s="26"/>
      <c r="AX1021" s="30">
        <f>($V$1029/2-$AE$1027)/9+AX1020</f>
        <v>6.0555555555555562</v>
      </c>
      <c r="AY1021" s="28"/>
      <c r="AZ1021" s="54">
        <f t="shared" si="84"/>
        <v>3.988704520525566</v>
      </c>
      <c r="BA1021" s="54"/>
      <c r="BB1021" s="54">
        <f t="shared" si="85"/>
        <v>4.2284155646655526</v>
      </c>
      <c r="BC1021" s="54"/>
      <c r="BD1021" s="54">
        <f t="shared" si="86"/>
        <v>-93.839272660176448</v>
      </c>
      <c r="BE1021" s="54"/>
      <c r="BF1021" s="54">
        <f t="shared" si="87"/>
        <v>7.7632313503983026</v>
      </c>
      <c r="BG1021" s="54"/>
      <c r="BH1021" s="54">
        <f t="shared" si="88"/>
        <v>2.4820853462157935</v>
      </c>
      <c r="BI1021" s="54"/>
      <c r="BJ1021" s="3"/>
    </row>
    <row r="1022" spans="2:80" ht="11.25" customHeight="1">
      <c r="B1022" s="2"/>
      <c r="AV1022" s="25">
        <v>14</v>
      </c>
      <c r="AW1022" s="26"/>
      <c r="AX1022" s="30">
        <f t="shared" ref="AX1022:AX1029" si="90">($V$1029/2-$AE$1027)/9+AX1021</f>
        <v>6.3611111111111116</v>
      </c>
      <c r="AY1022" s="28"/>
      <c r="AZ1022" s="54">
        <f t="shared" si="84"/>
        <v>3.9548180821022663</v>
      </c>
      <c r="BA1022" s="54"/>
      <c r="BB1022" s="54">
        <f t="shared" si="85"/>
        <v>8.4112671266485446</v>
      </c>
      <c r="BC1022" s="54"/>
      <c r="BD1022" s="54">
        <f t="shared" si="86"/>
        <v>-94.140468206935466</v>
      </c>
      <c r="BE1022" s="54"/>
      <c r="BF1022" s="54">
        <f t="shared" si="87"/>
        <v>7.0304394767141343</v>
      </c>
      <c r="BG1022" s="54"/>
      <c r="BH1022" s="54">
        <f t="shared" si="88"/>
        <v>4.757145732689299</v>
      </c>
      <c r="BI1022" s="54"/>
      <c r="BJ1022" s="3"/>
    </row>
    <row r="1023" spans="2:80" ht="11.25" customHeight="1">
      <c r="B1023" s="2"/>
      <c r="AV1023" s="25">
        <v>15</v>
      </c>
      <c r="AW1023" s="26"/>
      <c r="AX1023" s="30">
        <f t="shared" si="90"/>
        <v>6.666666666666667</v>
      </c>
      <c r="AY1023" s="28"/>
      <c r="AZ1023" s="54">
        <f t="shared" si="84"/>
        <v>3.8983406847300985</v>
      </c>
      <c r="BA1023" s="54"/>
      <c r="BB1023" s="54">
        <f t="shared" si="85"/>
        <v>12.505869518805747</v>
      </c>
      <c r="BC1023" s="54"/>
      <c r="BD1023" s="54">
        <f t="shared" si="86"/>
        <v>-95.052300291455154</v>
      </c>
      <c r="BE1023" s="54"/>
      <c r="BF1023" s="54">
        <f t="shared" si="87"/>
        <v>6.2768040227018433</v>
      </c>
      <c r="BG1023" s="54"/>
      <c r="BH1023" s="54">
        <f t="shared" si="88"/>
        <v>6.8251811594203495</v>
      </c>
      <c r="BI1023" s="54"/>
      <c r="BJ1023" s="3"/>
    </row>
    <row r="1024" spans="2:80" ht="11.25" customHeight="1">
      <c r="B1024" s="2"/>
      <c r="AV1024" s="25">
        <v>16</v>
      </c>
      <c r="AW1024" s="26"/>
      <c r="AX1024" s="30">
        <f t="shared" si="90"/>
        <v>6.9722222222222223</v>
      </c>
      <c r="AY1024" s="28"/>
      <c r="AZ1024" s="54">
        <f t="shared" si="84"/>
        <v>3.8192723284090646</v>
      </c>
      <c r="BA1024" s="54"/>
      <c r="BB1024" s="54">
        <f t="shared" si="85"/>
        <v>16.474855150054665</v>
      </c>
      <c r="BC1024" s="54"/>
      <c r="BD1024" s="54">
        <f t="shared" si="86"/>
        <v>-96.556221712618282</v>
      </c>
      <c r="BE1024" s="54"/>
      <c r="BF1024" s="54">
        <f t="shared" si="87"/>
        <v>5.5156668602494152</v>
      </c>
      <c r="BG1024" s="54"/>
      <c r="BH1024" s="54">
        <f t="shared" si="88"/>
        <v>8.686191626409002</v>
      </c>
      <c r="BI1024" s="54"/>
      <c r="BJ1024" s="3"/>
    </row>
    <row r="1025" spans="2:62" ht="11.25" customHeight="1">
      <c r="B1025" s="2"/>
      <c r="AV1025" s="25">
        <v>17</v>
      </c>
      <c r="AW1025" s="26"/>
      <c r="AX1025" s="30">
        <f t="shared" si="90"/>
        <v>7.2777777777777777</v>
      </c>
      <c r="AY1025" s="28"/>
      <c r="AZ1025" s="54">
        <f t="shared" si="84"/>
        <v>3.7176130131391631</v>
      </c>
      <c r="BA1025" s="54"/>
      <c r="BB1025" s="54">
        <f t="shared" si="85"/>
        <v>20.287853043445466</v>
      </c>
      <c r="BC1025" s="54"/>
      <c r="BD1025" s="54">
        <f t="shared" si="86"/>
        <v>-98.624376316879051</v>
      </c>
      <c r="BE1025" s="54"/>
      <c r="BF1025" s="54">
        <f t="shared" si="87"/>
        <v>4.7594798290301892</v>
      </c>
      <c r="BG1025" s="54"/>
      <c r="BH1025" s="54">
        <f t="shared" si="88"/>
        <v>10.340177133655398</v>
      </c>
      <c r="BI1025" s="54"/>
      <c r="BJ1025" s="3"/>
    </row>
    <row r="1026" spans="2:62" ht="11.25" customHeight="1">
      <c r="B1026" s="2"/>
      <c r="H1026" s="1" t="s">
        <v>4</v>
      </c>
      <c r="J1026" s="24">
        <f>+E1037</f>
        <v>94.711956521739125</v>
      </c>
      <c r="K1026" s="24"/>
      <c r="L1026" s="1" t="s">
        <v>0</v>
      </c>
      <c r="AE1026" s="1" t="s">
        <v>7</v>
      </c>
      <c r="AG1026" s="24">
        <f>+AC1038</f>
        <v>139.28804347826087</v>
      </c>
      <c r="AH1026" s="24"/>
      <c r="AI1026" s="1" t="s">
        <v>0</v>
      </c>
      <c r="AV1026" s="25">
        <v>18</v>
      </c>
      <c r="AW1026" s="26"/>
      <c r="AX1026" s="30">
        <f t="shared" si="90"/>
        <v>7.583333333333333</v>
      </c>
      <c r="AY1026" s="28"/>
      <c r="AZ1026" s="54">
        <f t="shared" si="84"/>
        <v>3.593362738920395</v>
      </c>
      <c r="BA1026" s="54"/>
      <c r="BB1026" s="54">
        <f t="shared" si="85"/>
        <v>23.922279065151873</v>
      </c>
      <c r="BC1026" s="54"/>
      <c r="BD1026" s="54">
        <f t="shared" si="86"/>
        <v>-101.22186774950458</v>
      </c>
      <c r="BE1026" s="54"/>
      <c r="BF1026" s="54">
        <f t="shared" si="87"/>
        <v>4.0190431894252754</v>
      </c>
      <c r="BG1026" s="54"/>
      <c r="BH1026" s="54">
        <f t="shared" si="88"/>
        <v>11.787137681159368</v>
      </c>
      <c r="BI1026" s="54"/>
      <c r="BJ1026" s="3"/>
    </row>
    <row r="1027" spans="2:62" ht="11.25" customHeight="1">
      <c r="B1027" s="2"/>
      <c r="L1027" s="24" t="s">
        <v>48</v>
      </c>
      <c r="M1027" s="24"/>
      <c r="N1027" s="24"/>
      <c r="R1027" s="24" t="s">
        <v>72</v>
      </c>
      <c r="S1027" s="24"/>
      <c r="T1027" s="24"/>
      <c r="Y1027" s="24">
        <f>+V1029/2-AE1027</f>
        <v>2.75</v>
      </c>
      <c r="Z1027" s="24"/>
      <c r="AA1027" s="1" t="s">
        <v>1</v>
      </c>
      <c r="AE1027" s="34">
        <v>3</v>
      </c>
      <c r="AF1027" s="34"/>
      <c r="AG1027" s="1" t="s">
        <v>1</v>
      </c>
      <c r="AV1027" s="25">
        <v>19</v>
      </c>
      <c r="AW1027" s="26"/>
      <c r="AX1027" s="30">
        <f t="shared" si="90"/>
        <v>7.8888888888888884</v>
      </c>
      <c r="AY1027" s="28"/>
      <c r="AZ1027" s="54">
        <f t="shared" si="84"/>
        <v>3.4465215057527598</v>
      </c>
      <c r="BA1027" s="54"/>
      <c r="BB1027" s="54">
        <f t="shared" si="85"/>
        <v>27.363297138342329</v>
      </c>
      <c r="BC1027" s="54"/>
      <c r="BD1027" s="54">
        <f t="shared" si="86"/>
        <v>-104.30921924077578</v>
      </c>
      <c r="BE1027" s="54"/>
      <c r="BF1027" s="54">
        <f t="shared" si="87"/>
        <v>3.3030612877089021</v>
      </c>
      <c r="BG1027" s="54"/>
      <c r="BH1027" s="54">
        <f t="shared" si="88"/>
        <v>13.027073268921111</v>
      </c>
      <c r="BI1027" s="54"/>
      <c r="BJ1027" s="3"/>
    </row>
    <row r="1028" spans="2:62" ht="11.25" customHeight="1">
      <c r="B1028" s="2"/>
      <c r="AV1028" s="25">
        <v>20</v>
      </c>
      <c r="AW1028" s="26"/>
      <c r="AX1028" s="30">
        <f t="shared" si="90"/>
        <v>8.1944444444444446</v>
      </c>
      <c r="AY1028" s="28"/>
      <c r="AZ1028" s="54">
        <f t="shared" si="84"/>
        <v>3.2770893136362576</v>
      </c>
      <c r="BA1028" s="54"/>
      <c r="BB1028" s="54">
        <f t="shared" si="85"/>
        <v>30.603142336195788</v>
      </c>
      <c r="BC1028" s="54"/>
      <c r="BD1028" s="54">
        <f t="shared" si="86"/>
        <v>-107.84469825033186</v>
      </c>
      <c r="BE1028" s="54"/>
      <c r="BF1028" s="54">
        <f t="shared" si="87"/>
        <v>2.6180054111782254</v>
      </c>
      <c r="BG1028" s="54"/>
      <c r="BH1028" s="54">
        <f t="shared" si="88"/>
        <v>14.059983896940459</v>
      </c>
      <c r="BI1028" s="54"/>
      <c r="BJ1028" s="3"/>
    </row>
    <row r="1029" spans="2:62" ht="11.25" customHeight="1">
      <c r="B1029" s="2"/>
      <c r="U1029" s="1" t="s">
        <v>43</v>
      </c>
      <c r="V1029" s="34">
        <v>11.5</v>
      </c>
      <c r="W1029" s="34"/>
      <c r="X1029" s="1" t="s">
        <v>1</v>
      </c>
      <c r="AV1029" s="25">
        <v>21</v>
      </c>
      <c r="AW1029" s="26"/>
      <c r="AX1029" s="33">
        <f t="shared" si="90"/>
        <v>8.5</v>
      </c>
      <c r="AY1029" s="25"/>
      <c r="AZ1029" s="55">
        <f t="shared" si="84"/>
        <v>3.0850661625708886</v>
      </c>
      <c r="BA1029" s="55"/>
      <c r="BB1029" s="55">
        <f t="shared" si="85"/>
        <v>33.640049398561089</v>
      </c>
      <c r="BC1029" s="55"/>
      <c r="BD1029" s="55">
        <f t="shared" si="86"/>
        <v>-111.78628588761929</v>
      </c>
      <c r="BE1029" s="55"/>
      <c r="BF1029" s="55">
        <f t="shared" si="87"/>
        <v>1.968219487411091</v>
      </c>
      <c r="BG1029" s="55"/>
      <c r="BH1029" s="55">
        <f t="shared" si="88"/>
        <v>14.885869565217376</v>
      </c>
      <c r="BI1029" s="55"/>
      <c r="BJ1029" s="3"/>
    </row>
    <row r="1030" spans="2:62" ht="11.25" customHeight="1">
      <c r="B1030" s="2"/>
      <c r="AV1030" s="25">
        <v>22</v>
      </c>
      <c r="AW1030" s="26"/>
      <c r="AX1030" s="33">
        <f>($V$1029/2-$AE$1027)/9+AX1028+0.000001</f>
        <v>8.5000009999999993</v>
      </c>
      <c r="AY1030" s="25"/>
      <c r="AZ1030" s="55">
        <f t="shared" si="84"/>
        <v>3.085065497164341</v>
      </c>
      <c r="BA1030" s="55"/>
      <c r="BB1030" s="55">
        <f t="shared" si="85"/>
        <v>33.6400590076247</v>
      </c>
      <c r="BC1030" s="55"/>
      <c r="BD1030" s="55">
        <f t="shared" si="86"/>
        <v>-114.00219444874672</v>
      </c>
      <c r="BE1030" s="55"/>
      <c r="BF1030" s="55">
        <f t="shared" si="87"/>
        <v>-1.3619190865089621</v>
      </c>
      <c r="BG1030" s="55"/>
      <c r="BH1030" s="55">
        <f t="shared" si="88"/>
        <v>14.885867929346688</v>
      </c>
      <c r="BI1030" s="55"/>
      <c r="BJ1030" s="3"/>
    </row>
    <row r="1031" spans="2:62" ht="11.25" customHeight="1">
      <c r="B1031" s="2"/>
      <c r="C1031" s="1" t="s">
        <v>40</v>
      </c>
      <c r="AV1031" s="25">
        <v>23</v>
      </c>
      <c r="AW1031" s="26"/>
      <c r="AX1031" s="30">
        <f>$AE$1027/9+AX1029</f>
        <v>8.8333333333333339</v>
      </c>
      <c r="AY1031" s="28"/>
      <c r="AZ1031" s="54">
        <f t="shared" si="84"/>
        <v>2.8498214660785548</v>
      </c>
      <c r="BA1031" s="54"/>
      <c r="BB1031" s="54">
        <f t="shared" si="85"/>
        <v>36.725211641491192</v>
      </c>
      <c r="BC1031" s="54"/>
      <c r="BD1031" s="54">
        <f t="shared" si="86"/>
        <v>-118.89339813459065</v>
      </c>
      <c r="BE1031" s="54"/>
      <c r="BF1031" s="54">
        <f t="shared" si="87"/>
        <v>-1.9035924153486121</v>
      </c>
      <c r="BG1031" s="54"/>
      <c r="BH1031" s="54">
        <f t="shared" si="88"/>
        <v>14.217391304347814</v>
      </c>
      <c r="BI1031" s="54"/>
      <c r="BJ1031" s="3"/>
    </row>
    <row r="1032" spans="2:62" ht="11.25" customHeight="1">
      <c r="B1032" s="2"/>
      <c r="C1032" s="1" t="s">
        <v>41</v>
      </c>
      <c r="E1032" s="1">
        <v>4</v>
      </c>
      <c r="F1032" s="7" t="s">
        <v>10</v>
      </c>
      <c r="G1032" s="24">
        <f>+AP1014</f>
        <v>4</v>
      </c>
      <c r="H1032" s="24"/>
      <c r="I1032" s="7" t="s">
        <v>10</v>
      </c>
      <c r="J1032" s="24">
        <f>+V1029-AE1027</f>
        <v>8.5</v>
      </c>
      <c r="K1032" s="24"/>
      <c r="L1032" s="1" t="s">
        <v>44</v>
      </c>
      <c r="M1032" s="24">
        <f>+V1029</f>
        <v>11.5</v>
      </c>
      <c r="N1032" s="24"/>
      <c r="O1032" s="7" t="s">
        <v>9</v>
      </c>
      <c r="P1032" s="24">
        <f>+J1032</f>
        <v>8.5</v>
      </c>
      <c r="Q1032" s="24"/>
      <c r="R1032" s="1" t="s">
        <v>45</v>
      </c>
      <c r="S1032" s="24">
        <f>+M1032</f>
        <v>11.5</v>
      </c>
      <c r="T1032" s="24"/>
      <c r="U1032" s="1" t="s">
        <v>46</v>
      </c>
      <c r="V1032" s="24">
        <f>E1032*G1032*J1032*(M1032-P1032)/S1032^2</f>
        <v>3.0850661625708886</v>
      </c>
      <c r="W1032" s="24"/>
      <c r="X1032" s="1" t="s">
        <v>1</v>
      </c>
      <c r="AV1032" s="25">
        <v>24</v>
      </c>
      <c r="AW1032" s="26"/>
      <c r="AX1032" s="30">
        <f t="shared" ref="AX1032:AX1039" si="91">$AE$1027/9+AX1031</f>
        <v>9.1666666666666679</v>
      </c>
      <c r="AY1032" s="28"/>
      <c r="AZ1032" s="54">
        <f t="shared" si="84"/>
        <v>2.587691661415668</v>
      </c>
      <c r="BA1032" s="54"/>
      <c r="BB1032" s="54">
        <f t="shared" si="85"/>
        <v>39.581120424141439</v>
      </c>
      <c r="BC1032" s="54"/>
      <c r="BD1032" s="54">
        <f t="shared" si="86"/>
        <v>-124.15032771505801</v>
      </c>
      <c r="BE1032" s="54"/>
      <c r="BF1032" s="54">
        <f t="shared" si="87"/>
        <v>-2.4001326953804281</v>
      </c>
      <c r="BG1032" s="54"/>
      <c r="BH1032" s="54">
        <f t="shared" si="88"/>
        <v>13.302536231884034</v>
      </c>
      <c r="BI1032" s="54"/>
      <c r="BJ1032" s="3"/>
    </row>
    <row r="1033" spans="2:62" ht="11.25" customHeight="1">
      <c r="B1033" s="2"/>
      <c r="C1033" s="1" t="s">
        <v>47</v>
      </c>
      <c r="K1033" s="1">
        <v>4</v>
      </c>
      <c r="L1033" s="7" t="s">
        <v>10</v>
      </c>
      <c r="M1033" s="24">
        <f>+AP1014</f>
        <v>4</v>
      </c>
      <c r="N1033" s="24"/>
      <c r="O1033" s="7" t="s">
        <v>10</v>
      </c>
      <c r="P1033" s="7" t="s">
        <v>48</v>
      </c>
      <c r="Q1033" s="1" t="s">
        <v>44</v>
      </c>
      <c r="R1033" s="24">
        <f>+V1029</f>
        <v>11.5</v>
      </c>
      <c r="S1033" s="24"/>
      <c r="T1033" s="7" t="s">
        <v>9</v>
      </c>
      <c r="U1033" s="7" t="s">
        <v>48</v>
      </c>
      <c r="V1033" s="1" t="s">
        <v>45</v>
      </c>
      <c r="W1033" s="24">
        <f>+R1033</f>
        <v>11.5</v>
      </c>
      <c r="X1033" s="24"/>
      <c r="Y1033" s="1" t="s">
        <v>46</v>
      </c>
      <c r="Z1033" s="24">
        <f>+K1033*M1033/W1033^2</f>
        <v>0.12098298676748583</v>
      </c>
      <c r="AA1033" s="24"/>
      <c r="AB1033" s="7" t="s">
        <v>10</v>
      </c>
      <c r="AC1033" s="7" t="s">
        <v>48</v>
      </c>
      <c r="AD1033" s="1" t="s">
        <v>44</v>
      </c>
      <c r="AE1033" s="24">
        <f>+R1033</f>
        <v>11.5</v>
      </c>
      <c r="AF1033" s="24"/>
      <c r="AG1033" s="7" t="s">
        <v>9</v>
      </c>
      <c r="AH1033" s="7" t="s">
        <v>48</v>
      </c>
      <c r="AI1033" s="1" t="s">
        <v>49</v>
      </c>
      <c r="AV1033" s="25">
        <v>25</v>
      </c>
      <c r="AW1033" s="26"/>
      <c r="AX1033" s="30">
        <f t="shared" si="91"/>
        <v>9.5000000000000018</v>
      </c>
      <c r="AY1033" s="28"/>
      <c r="AZ1033" s="54">
        <f t="shared" si="84"/>
        <v>2.298676748582229</v>
      </c>
      <c r="BA1033" s="54"/>
      <c r="BB1033" s="54">
        <f t="shared" si="85"/>
        <v>42.219733113282579</v>
      </c>
      <c r="BC1033" s="54"/>
      <c r="BD1033" s="54">
        <f t="shared" si="86"/>
        <v>-129.72899045742065</v>
      </c>
      <c r="BE1033" s="54"/>
      <c r="BF1033" s="54">
        <f t="shared" si="87"/>
        <v>-2.8536217578324141</v>
      </c>
      <c r="BG1033" s="54"/>
      <c r="BH1033" s="54">
        <f t="shared" si="88"/>
        <v>12.141304347826093</v>
      </c>
      <c r="BI1033" s="54"/>
      <c r="BJ1033" s="3"/>
    </row>
    <row r="1034" spans="2:62" ht="11.25" customHeight="1">
      <c r="B1034" s="2"/>
      <c r="C1034" s="1" t="s">
        <v>50</v>
      </c>
      <c r="G1034" s="24">
        <f>+Z1033</f>
        <v>0.12098298676748583</v>
      </c>
      <c r="H1034" s="24"/>
      <c r="I1034" s="7" t="s">
        <v>44</v>
      </c>
      <c r="J1034" s="24">
        <f>+AE1033</f>
        <v>11.5</v>
      </c>
      <c r="K1034" s="24"/>
      <c r="L1034" s="7" t="s">
        <v>9</v>
      </c>
      <c r="M1034" s="1">
        <v>2</v>
      </c>
      <c r="N1034" s="7" t="s">
        <v>10</v>
      </c>
      <c r="O1034" s="7" t="s">
        <v>48</v>
      </c>
      <c r="P1034" s="1" t="s">
        <v>49</v>
      </c>
      <c r="AV1034" s="25">
        <v>26</v>
      </c>
      <c r="AW1034" s="26"/>
      <c r="AX1034" s="30">
        <f t="shared" si="91"/>
        <v>9.8333333333333357</v>
      </c>
      <c r="AY1034" s="28"/>
      <c r="AZ1034" s="54">
        <f t="shared" si="84"/>
        <v>1.9827767275782373</v>
      </c>
      <c r="BA1034" s="54"/>
      <c r="BB1034" s="54">
        <f t="shared" si="85"/>
        <v>44.654958272327839</v>
      </c>
      <c r="BC1034" s="54"/>
      <c r="BD1034" s="54">
        <f t="shared" si="86"/>
        <v>-135.59004606548777</v>
      </c>
      <c r="BE1034" s="54"/>
      <c r="BF1034" s="54">
        <f t="shared" si="87"/>
        <v>-3.2668077097809842</v>
      </c>
      <c r="BG1034" s="54"/>
      <c r="BH1034" s="54">
        <f t="shared" si="88"/>
        <v>10.733695652173928</v>
      </c>
      <c r="BI1034" s="54"/>
      <c r="BJ1034" s="3"/>
    </row>
    <row r="1035" spans="2:62" ht="11.25" customHeight="1">
      <c r="B1035" s="2"/>
      <c r="C1035" s="4" t="s">
        <v>28</v>
      </c>
      <c r="AV1035" s="25">
        <v>27</v>
      </c>
      <c r="AW1035" s="26"/>
      <c r="AX1035" s="30">
        <f t="shared" si="91"/>
        <v>10.16666666666667</v>
      </c>
      <c r="AY1035" s="28"/>
      <c r="AZ1035" s="54">
        <f t="shared" si="84"/>
        <v>1.6399915984036935</v>
      </c>
      <c r="BA1035" s="54"/>
      <c r="BB1035" s="54">
        <f t="shared" si="85"/>
        <v>46.901598146144053</v>
      </c>
      <c r="BC1035" s="54"/>
      <c r="BD1035" s="54">
        <f t="shared" si="86"/>
        <v>-141.69873029412028</v>
      </c>
      <c r="BE1035" s="54"/>
      <c r="BF1035" s="54">
        <f t="shared" si="87"/>
        <v>-3.6427803930901206</v>
      </c>
      <c r="BG1035" s="54"/>
      <c r="BH1035" s="54">
        <f t="shared" si="88"/>
        <v>9.0797101449275246</v>
      </c>
      <c r="BI1035" s="54"/>
      <c r="BJ1035" s="3"/>
    </row>
    <row r="1036" spans="2:62" ht="11.25" customHeight="1">
      <c r="B1036" s="2"/>
      <c r="C1036" s="1" t="s">
        <v>11</v>
      </c>
      <c r="E1036" s="24">
        <f>+V1029</f>
        <v>11.5</v>
      </c>
      <c r="F1036" s="24"/>
      <c r="G1036" s="7" t="s">
        <v>9</v>
      </c>
      <c r="H1036" s="24">
        <f>+O1006</f>
        <v>15</v>
      </c>
      <c r="I1036" s="24"/>
      <c r="J1036" s="7" t="s">
        <v>10</v>
      </c>
      <c r="K1036" s="24">
        <f>+V1029/2</f>
        <v>5.75</v>
      </c>
      <c r="L1036" s="24"/>
      <c r="M1036" s="7" t="s">
        <v>10</v>
      </c>
      <c r="N1036" s="24">
        <f>+V1029/2+V1029/2/2</f>
        <v>8.625</v>
      </c>
      <c r="O1036" s="24"/>
      <c r="P1036" s="7" t="s">
        <v>9</v>
      </c>
      <c r="Q1036" s="24">
        <f>+AB1006</f>
        <v>25</v>
      </c>
      <c r="R1036" s="24"/>
      <c r="S1036" s="7" t="s">
        <v>10</v>
      </c>
      <c r="T1036" s="24">
        <f>+V1029/2</f>
        <v>5.75</v>
      </c>
      <c r="U1036" s="24"/>
      <c r="V1036" s="7" t="s">
        <v>10</v>
      </c>
      <c r="W1036" s="24">
        <f>+T1036/2</f>
        <v>2.875</v>
      </c>
      <c r="X1036" s="24"/>
      <c r="Y1036" s="7" t="s">
        <v>9</v>
      </c>
      <c r="Z1036" s="24">
        <f>+AC1010</f>
        <v>4</v>
      </c>
      <c r="AA1036" s="24"/>
      <c r="AB1036" s="7" t="s">
        <v>10</v>
      </c>
      <c r="AC1036" s="24">
        <f>+AE1027</f>
        <v>3</v>
      </c>
      <c r="AD1036" s="24"/>
      <c r="AE1036" s="7" t="s">
        <v>15</v>
      </c>
      <c r="AF1036" s="24">
        <f>+C1016</f>
        <v>10</v>
      </c>
      <c r="AG1036" s="24"/>
      <c r="AH1036" s="7" t="s">
        <v>10</v>
      </c>
      <c r="AI1036" s="24">
        <f>+AP1014</f>
        <v>4</v>
      </c>
      <c r="AJ1036" s="24"/>
      <c r="AK1036" s="7" t="s">
        <v>10</v>
      </c>
      <c r="AL1036" s="24">
        <f>+AI1036/2</f>
        <v>2</v>
      </c>
      <c r="AM1036" s="24"/>
      <c r="AN1036" s="7" t="s">
        <v>12</v>
      </c>
      <c r="AO1036" s="1">
        <v>0</v>
      </c>
      <c r="AV1036" s="25">
        <v>28</v>
      </c>
      <c r="AW1036" s="26"/>
      <c r="AX1036" s="30">
        <f t="shared" si="91"/>
        <v>10.500000000000004</v>
      </c>
      <c r="AY1036" s="28"/>
      <c r="AZ1036" s="54">
        <f t="shared" si="84"/>
        <v>1.2703213610585971</v>
      </c>
      <c r="BA1036" s="54"/>
      <c r="BB1036" s="54">
        <f t="shared" si="85"/>
        <v>48.97458552776807</v>
      </c>
      <c r="BC1036" s="54"/>
      <c r="BD1036" s="54">
        <f t="shared" si="86"/>
        <v>-148.02458633322701</v>
      </c>
      <c r="BE1036" s="54"/>
      <c r="BF1036" s="54">
        <f t="shared" si="87"/>
        <v>-3.9847380125161145</v>
      </c>
      <c r="BG1036" s="54"/>
      <c r="BH1036" s="54">
        <f t="shared" si="88"/>
        <v>7.179347826086957</v>
      </c>
      <c r="BI1036" s="54"/>
      <c r="BJ1036" s="3"/>
    </row>
    <row r="1037" spans="2:62" ht="11.25" customHeight="1">
      <c r="B1037" s="2"/>
      <c r="C1037" s="1" t="s">
        <v>4</v>
      </c>
      <c r="E1037" s="24">
        <f>(H1036*K1036*N1036+Q1036*T1036*W1036+Z1036*AC1036-AF1036*AI1036*AL1036)/E1036</f>
        <v>94.711956521739125</v>
      </c>
      <c r="F1037" s="24"/>
      <c r="G1037" s="1" t="s">
        <v>0</v>
      </c>
      <c r="AV1037" s="25">
        <v>29</v>
      </c>
      <c r="AW1037" s="26"/>
      <c r="AX1037" s="30">
        <f t="shared" si="91"/>
        <v>10.833333333333337</v>
      </c>
      <c r="AY1037" s="28"/>
      <c r="AZ1037" s="54">
        <f t="shared" si="84"/>
        <v>0.87376601554294797</v>
      </c>
      <c r="BA1037" s="54"/>
      <c r="BB1037" s="54">
        <f t="shared" si="85"/>
        <v>50.88846507414447</v>
      </c>
      <c r="BC1037" s="54"/>
      <c r="BD1037" s="54">
        <f t="shared" si="86"/>
        <v>-154.54108618272676</v>
      </c>
      <c r="BE1037" s="54"/>
      <c r="BF1037" s="54">
        <f t="shared" si="87"/>
        <v>-4.2958289882765435</v>
      </c>
      <c r="BG1037" s="54"/>
      <c r="BH1037" s="54">
        <f t="shared" si="88"/>
        <v>5.032608695652157</v>
      </c>
      <c r="BI1037" s="54"/>
      <c r="BJ1037" s="3"/>
    </row>
    <row r="1038" spans="2:62" ht="11.25" customHeight="1">
      <c r="B1038" s="2"/>
      <c r="C1038" s="1" t="s">
        <v>13</v>
      </c>
      <c r="E1038" s="24">
        <f>+J1026</f>
        <v>94.711956521739125</v>
      </c>
      <c r="F1038" s="24"/>
      <c r="G1038" s="7" t="s">
        <v>9</v>
      </c>
      <c r="H1038" s="24">
        <f>+O1006</f>
        <v>15</v>
      </c>
      <c r="I1038" s="24"/>
      <c r="J1038" s="7" t="s">
        <v>10</v>
      </c>
      <c r="K1038" s="24">
        <f>+V1029/2</f>
        <v>5.75</v>
      </c>
      <c r="L1038" s="24"/>
      <c r="M1038" s="7" t="s">
        <v>9</v>
      </c>
      <c r="N1038" s="24">
        <f>+AB1006</f>
        <v>25</v>
      </c>
      <c r="O1038" s="24"/>
      <c r="P1038" s="7" t="s">
        <v>10</v>
      </c>
      <c r="Q1038" s="24">
        <f>+V1029/2</f>
        <v>5.75</v>
      </c>
      <c r="R1038" s="24"/>
      <c r="S1038" s="7" t="s">
        <v>9</v>
      </c>
      <c r="T1038" s="24">
        <f>+AC1010</f>
        <v>4</v>
      </c>
      <c r="U1038" s="24"/>
      <c r="V1038" s="7" t="s">
        <v>12</v>
      </c>
      <c r="W1038" s="1">
        <v>0</v>
      </c>
      <c r="AA1038" s="1" t="s">
        <v>7</v>
      </c>
      <c r="AC1038" s="24">
        <f>+H1038*K1038+N1038*Q1038+T1038-E1038</f>
        <v>139.28804347826087</v>
      </c>
      <c r="AD1038" s="24"/>
      <c r="AE1038" s="1" t="s">
        <v>0</v>
      </c>
      <c r="AV1038" s="25">
        <v>30</v>
      </c>
      <c r="AW1038" s="26"/>
      <c r="AX1038" s="30">
        <f t="shared" si="91"/>
        <v>11.166666666666671</v>
      </c>
      <c r="AY1038" s="28"/>
      <c r="AZ1038" s="54">
        <f t="shared" si="84"/>
        <v>0.45032556185674655</v>
      </c>
      <c r="BA1038" s="54"/>
      <c r="BB1038" s="54">
        <f t="shared" si="85"/>
        <v>52.657064850035184</v>
      </c>
      <c r="BC1038" s="54"/>
      <c r="BD1038" s="54">
        <f t="shared" si="86"/>
        <v>-161.2252083359441</v>
      </c>
      <c r="BE1038" s="54"/>
      <c r="BF1038" s="54">
        <f t="shared" si="87"/>
        <v>-4.5790523294598549</v>
      </c>
      <c r="BG1038" s="54"/>
      <c r="BH1038" s="54">
        <f t="shared" si="88"/>
        <v>2.63949275362316</v>
      </c>
      <c r="BI1038" s="54"/>
      <c r="BJ1038" s="3"/>
    </row>
    <row r="1039" spans="2:62" ht="11.25" customHeight="1">
      <c r="B1039" s="2"/>
      <c r="C1039" s="1" t="s">
        <v>14</v>
      </c>
      <c r="E1039" s="24">
        <f>+AP1014</f>
        <v>4</v>
      </c>
      <c r="F1039" s="24"/>
      <c r="G1039" s="7" t="s">
        <v>9</v>
      </c>
      <c r="H1039" s="24">
        <f>+J1026</f>
        <v>94.711956521739125</v>
      </c>
      <c r="I1039" s="24"/>
      <c r="J1039" s="7" t="s">
        <v>10</v>
      </c>
      <c r="K1039" s="24">
        <f>+V1029/2</f>
        <v>5.75</v>
      </c>
      <c r="L1039" s="24"/>
      <c r="M1039" s="7" t="s">
        <v>15</v>
      </c>
      <c r="N1039" s="24">
        <f>+O1006</f>
        <v>15</v>
      </c>
      <c r="O1039" s="24"/>
      <c r="P1039" s="7" t="s">
        <v>10</v>
      </c>
      <c r="Q1039" s="24">
        <f>+V1029/2</f>
        <v>5.75</v>
      </c>
      <c r="R1039" s="24"/>
      <c r="S1039" s="7" t="s">
        <v>10</v>
      </c>
      <c r="T1039" s="24">
        <f>+Q1039/2</f>
        <v>2.875</v>
      </c>
      <c r="U1039" s="24"/>
      <c r="V1039" s="7" t="s">
        <v>15</v>
      </c>
      <c r="W1039" s="24">
        <f>+C1016</f>
        <v>10</v>
      </c>
      <c r="X1039" s="24"/>
      <c r="Y1039" s="7" t="s">
        <v>10</v>
      </c>
      <c r="Z1039" s="24">
        <f>+AP1014</f>
        <v>4</v>
      </c>
      <c r="AA1039" s="24"/>
      <c r="AB1039" s="7" t="s">
        <v>10</v>
      </c>
      <c r="AC1039" s="24">
        <f>+Z1039/2</f>
        <v>2</v>
      </c>
      <c r="AD1039" s="24"/>
      <c r="AE1039" s="7" t="s">
        <v>12</v>
      </c>
      <c r="AF1039" s="1">
        <v>0</v>
      </c>
      <c r="AJ1039" s="1" t="s">
        <v>5</v>
      </c>
      <c r="AL1039" s="24">
        <f>(H1039*K1039-N1039*Q1039*T1039-W1039*Z1039*AC1039)/E1039</f>
        <v>54.15625</v>
      </c>
      <c r="AM1039" s="24"/>
      <c r="AN1039" s="1" t="s">
        <v>0</v>
      </c>
      <c r="AV1039" s="25">
        <v>31</v>
      </c>
      <c r="AW1039" s="26"/>
      <c r="AX1039" s="30">
        <f t="shared" si="91"/>
        <v>11.500000000000005</v>
      </c>
      <c r="AY1039" s="28"/>
      <c r="AZ1039" s="54">
        <f t="shared" si="84"/>
        <v>-7.4143589818445266E-15</v>
      </c>
      <c r="BA1039" s="54"/>
      <c r="BB1039" s="54">
        <f t="shared" si="85"/>
        <v>54.293308599397143</v>
      </c>
      <c r="BC1039" s="54"/>
      <c r="BD1039" s="54">
        <f t="shared" si="86"/>
        <v>-168.05701400746605</v>
      </c>
      <c r="BE1039" s="54"/>
      <c r="BF1039" s="54">
        <f t="shared" si="87"/>
        <v>-4.8372009425689058</v>
      </c>
      <c r="BG1039" s="54"/>
      <c r="BH1039" s="54">
        <f t="shared" si="88"/>
        <v>-4.4167568153566087E-14</v>
      </c>
      <c r="BI1039" s="54"/>
      <c r="BJ1039" s="3"/>
    </row>
    <row r="1040" spans="2:62" ht="11.25" customHeight="1">
      <c r="B1040" s="2"/>
      <c r="C1040" s="1" t="s">
        <v>16</v>
      </c>
      <c r="E1040" s="24">
        <f>+AP1014</f>
        <v>4</v>
      </c>
      <c r="F1040" s="24"/>
      <c r="G1040" s="7" t="s">
        <v>9</v>
      </c>
      <c r="H1040" s="24">
        <f>+AG1026</f>
        <v>139.28804347826087</v>
      </c>
      <c r="I1040" s="24"/>
      <c r="J1040" s="7" t="s">
        <v>10</v>
      </c>
      <c r="K1040" s="24">
        <f>+V1029/2</f>
        <v>5.75</v>
      </c>
      <c r="L1040" s="24"/>
      <c r="M1040" s="7" t="s">
        <v>15</v>
      </c>
      <c r="N1040" s="24">
        <f>+AB1006</f>
        <v>25</v>
      </c>
      <c r="O1040" s="24"/>
      <c r="P1040" s="7" t="s">
        <v>10</v>
      </c>
      <c r="Q1040" s="24">
        <f>+V1029/2</f>
        <v>5.75</v>
      </c>
      <c r="R1040" s="24"/>
      <c r="S1040" s="7" t="s">
        <v>10</v>
      </c>
      <c r="T1040" s="24">
        <f>+Q1040/2</f>
        <v>2.875</v>
      </c>
      <c r="U1040" s="24"/>
      <c r="V1040" s="7" t="s">
        <v>15</v>
      </c>
      <c r="W1040" s="24">
        <f>+AC1010</f>
        <v>4</v>
      </c>
      <c r="X1040" s="24"/>
      <c r="Y1040" s="7" t="s">
        <v>10</v>
      </c>
      <c r="Z1040" s="24">
        <f>+Y1027</f>
        <v>2.75</v>
      </c>
      <c r="AA1040" s="24"/>
      <c r="AB1040" s="7" t="s">
        <v>12</v>
      </c>
      <c r="AC1040" s="1">
        <v>0</v>
      </c>
      <c r="AG1040" s="1" t="s">
        <v>6</v>
      </c>
      <c r="AI1040" s="24">
        <f>(H1040*K1040-N1040*Q1040*T1040-W1040*Z1040)/E1040</f>
        <v>94.15625</v>
      </c>
      <c r="AJ1040" s="24"/>
      <c r="AK1040" s="1" t="s">
        <v>0</v>
      </c>
      <c r="BJ1040" s="3"/>
    </row>
    <row r="1041" spans="2:62" ht="11.25" customHeight="1">
      <c r="B1041" s="2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I1041" s="7"/>
      <c r="AJ1041" s="7"/>
      <c r="BJ1041" s="3"/>
    </row>
    <row r="1042" spans="2:62" ht="11.25" customHeight="1">
      <c r="B1042" s="2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I1042" s="7"/>
      <c r="AJ1042" s="7"/>
      <c r="BJ1042" s="3"/>
    </row>
    <row r="1043" spans="2:62" ht="11.25" customHeight="1">
      <c r="B1043" s="2"/>
      <c r="D1043" s="12" t="s">
        <v>55</v>
      </c>
      <c r="BJ1043" s="3"/>
    </row>
    <row r="1044" spans="2:62" ht="11.25" customHeight="1">
      <c r="B1044" s="2"/>
      <c r="M1044" s="34">
        <v>15</v>
      </c>
      <c r="N1044" s="34"/>
      <c r="O1044" s="1" t="s">
        <v>3</v>
      </c>
      <c r="Y1044" s="34">
        <v>25</v>
      </c>
      <c r="Z1044" s="34"/>
      <c r="AA1044" s="1" t="s">
        <v>3</v>
      </c>
      <c r="AV1044" s="25" t="s">
        <v>59</v>
      </c>
      <c r="AW1044" s="26"/>
      <c r="AX1044" s="33" t="s">
        <v>48</v>
      </c>
      <c r="AY1044" s="25"/>
      <c r="AZ1044" s="25" t="s">
        <v>58</v>
      </c>
      <c r="BA1044" s="25"/>
      <c r="BB1044" s="56" t="s">
        <v>66</v>
      </c>
      <c r="BC1044" s="25"/>
      <c r="BD1044" s="25" t="s">
        <v>62</v>
      </c>
      <c r="BE1044" s="25"/>
      <c r="BF1044" s="25" t="s">
        <v>65</v>
      </c>
      <c r="BG1044" s="25"/>
      <c r="BH1044" s="25" t="s">
        <v>63</v>
      </c>
      <c r="BI1044" s="25"/>
      <c r="BJ1044" s="3"/>
    </row>
    <row r="1045" spans="2:62" ht="11.25" customHeight="1" thickBot="1">
      <c r="B1045" s="2"/>
      <c r="AV1045" s="57"/>
      <c r="AW1045" s="61"/>
      <c r="AX1045" s="47" t="s">
        <v>60</v>
      </c>
      <c r="AY1045" s="57"/>
      <c r="AZ1045" s="57" t="s">
        <v>60</v>
      </c>
      <c r="BA1045" s="57"/>
      <c r="BB1045" s="57" t="s">
        <v>67</v>
      </c>
      <c r="BC1045" s="57"/>
      <c r="BD1045" s="57" t="s">
        <v>61</v>
      </c>
      <c r="BE1045" s="57"/>
      <c r="BF1045" s="57" t="s">
        <v>61</v>
      </c>
      <c r="BG1045" s="57"/>
      <c r="BH1045" s="57" t="s">
        <v>64</v>
      </c>
      <c r="BI1045" s="57"/>
      <c r="BJ1045" s="3"/>
    </row>
    <row r="1046" spans="2:62" ht="11.25" customHeight="1" thickTop="1">
      <c r="B1046" s="2"/>
      <c r="AV1046" s="58">
        <v>0</v>
      </c>
      <c r="AW1046" s="59"/>
      <c r="AX1046" s="60">
        <v>0</v>
      </c>
      <c r="AY1046" s="54"/>
      <c r="AZ1046" s="54">
        <f>4*$AN$1052*AX1046*($T$1067-AX1046)/$T$1067^2</f>
        <v>0</v>
      </c>
      <c r="BA1046" s="54"/>
      <c r="BB1046" s="54">
        <f t="shared" ref="BB1046:BB1077" si="92">IF(AX1046&lt;=$T$1067/2,ATAN($J$1072*($M$1072-$P$1072*AX1046))*180/PI(),-ATAN($J$1072*($M$1072-$P$1072*AX1046))*180/PI())</f>
        <v>53.13010235415598</v>
      </c>
      <c r="BC1046" s="54"/>
      <c r="BD1046" s="54">
        <f>IF(AX1046&lt;=$T$1067/2,-$H$1064*SIN(BB1046*PI()/180)-$F$1059*COS(BB1046*PI()/180)+$M$1044*AX1046*SIN(BB1046*PI()/180),IF(AND($T$1067/2&lt;AX1046,AX1046&lt;=($T$1067-$AC$1065)),-$AE$1064*SIN(BB1046*PI()/180)-$AI$1059*COS(BB1046*PI()/180)+$Y$1044*($T$1067-AX1046)*SIN(BB1046*PI()/180)+$AA$1048*SIN(BB1046*PI()/180),-$AE$1064*SIN(BB1046*PI()/180)-$AI$1059*COS(BB1046*PI()/180)+$Y$1044*($T$1067-AX1046)*SIN(BB1046*PI()/180)))</f>
        <v>-144.375</v>
      </c>
      <c r="BE1046" s="54"/>
      <c r="BF1046" s="54">
        <f>IF(AX1046&lt;=$T$1067/2,$H$1064*COS(BB1046*PI()/180)-$F$1059*SIN(BB1046*PI()/180)-$M$1044*AX1046*COS(BB1046*PI()/180),IF(AND($T$1067/2&lt;AX1046,AX1046&lt;=($T$1067-$AC$1065)),-$AE$1064*COS(BB1046*PI()/180)+$AI$1059*SIN(BB1046*PI()/180)+$Y$1044*($T$1067-AX1046)*COS(BB1046*PI()/180)+$AA$1048*COS(BB1046*PI()/180),-$AE$1064*COS(BB1046*PI()/180)+$AI$1059*SIN(BB1046*PI()/180)+$Y$1044*($T$1067-AX1046)*COS(BB1046*PI()/180)))</f>
        <v>-11.25</v>
      </c>
      <c r="BG1046" s="54"/>
      <c r="BH1046" s="54">
        <f>IF(AX1046&lt;=$T$1067/2,$H$1064*AX1046-$F$1059*AZ1046-$M$1044*AX1046*AX1046/2,IF(AND($T$1067/2&lt;AX1046,AX1046&lt;=($T$1067-$AC$1065)),$AE$1064*($T$1067-AX1046)-$AI$1059*AZ1046-$Y$1044*($T$1067-AX1046)*($T$1067-AX1046)/2-$AA$1048*($T$1067/2+$W$1065-AX1046),$AE$1064*($T$1067-AX1046)-$AI$1059*AZ1046-$Y$1044*($T$1067-AX1046)*($T$1067-AX1046)/2))</f>
        <v>0</v>
      </c>
      <c r="BI1046" s="54"/>
      <c r="BJ1046" s="3"/>
    </row>
    <row r="1047" spans="2:62" ht="11.25" customHeight="1">
      <c r="B1047" s="2"/>
      <c r="D1047" s="5"/>
      <c r="T1047" s="1" t="s">
        <v>18</v>
      </c>
      <c r="AL1047" s="5" t="s">
        <v>1</v>
      </c>
      <c r="AV1047" s="25">
        <v>1</v>
      </c>
      <c r="AW1047" s="26"/>
      <c r="AX1047" s="30">
        <f>($T$1067/2)/12+AX1046</f>
        <v>0.5</v>
      </c>
      <c r="AY1047" s="28"/>
      <c r="AZ1047" s="54">
        <f t="shared" ref="AZ1047:AZ1077" si="93">4*$AN$1052*AX1047*($T$1067-AX1047)/$T$1067^2</f>
        <v>0.63888888888888884</v>
      </c>
      <c r="BA1047" s="54"/>
      <c r="BB1047" s="54">
        <f t="shared" si="92"/>
        <v>50.710593137499636</v>
      </c>
      <c r="BC1047" s="54"/>
      <c r="BD1047" s="54">
        <f t="shared" ref="BD1047:BD1077" si="94">IF(AX1047&lt;=$T$1067/2,-$H$1064*SIN(BB1047*PI()/180)-$F$1059*COS(BB1047*PI()/180)+$M$1044*AX1047*SIN(BB1047*PI()/180),IF(AND($T$1067/2&lt;AX1047,AX1047&lt;=($T$1067-$AC$1065)),-$AE$1064*SIN(BB1047*PI()/180)-$AI$1059*COS(BB1047*PI()/180)+$Y$1044*($T$1067-AX1047)*SIN(BB1047*PI()/180)+$AA$1048*SIN(BB1047*PI()/180),-$AE$1064*SIN(BB1047*PI()/180)-$AI$1059*COS(BB1047*PI()/180)+$Y$1044*($T$1067-AX1047)*SIN(BB1047*PI()/180)))</f>
        <v>-138.91654023768703</v>
      </c>
      <c r="BE1047" s="54"/>
      <c r="BF1047" s="54">
        <f t="shared" ref="BF1047:BF1077" si="95">IF(AX1047&lt;=$T$1067/2,$H$1064*COS(BB1047*PI()/180)-$F$1059*SIN(BB1047*PI()/180)-$M$1044*AX1047*COS(BB1047*PI()/180),IF(AND($T$1067/2&lt;AX1047,AX1047&lt;=($T$1067-$AC$1065)),-$AE$1064*COS(BB1047*PI()/180)+$AI$1059*SIN(BB1047*PI()/180)+$Y$1044*($T$1067-AX1047)*COS(BB1047*PI()/180)+$AA$1048*COS(BB1047*PI()/180),-$AE$1064*COS(BB1047*PI()/180)+$AI$1059*SIN(BB1047*PI()/180)+$Y$1044*($T$1067-AX1047)*COS(BB1047*PI()/180)))</f>
        <v>-9.8943404727697164</v>
      </c>
      <c r="BG1047" s="54"/>
      <c r="BH1047" s="54">
        <f t="shared" ref="BH1047:BH1077" si="96">IF(AX1047&lt;=$T$1067/2,$H$1064*AX1047-$F$1059*AZ1047-$M$1044*AX1047*AX1047/2,IF(AND($T$1067/2&lt;AX1047,AX1047&lt;=($T$1067-$AC$1065)),$AE$1064*($T$1067-AX1047)-$AI$1059*AZ1047-$Y$1044*($T$1067-AX1047)*($T$1067-AX1047)/2-$AA$1048*($T$1067/2+$W$1065-AX1047),$AE$1064*($T$1067-AX1047)-$AI$1059*AZ1047-$Y$1044*($T$1067-AX1047)*($T$1067-AX1047)/2))</f>
        <v>-8.5937499999999929</v>
      </c>
      <c r="BI1047" s="54"/>
      <c r="BJ1047" s="3"/>
    </row>
    <row r="1048" spans="2:62" ht="11.25" customHeight="1">
      <c r="B1048" s="2"/>
      <c r="D1048" s="37" t="s">
        <v>71</v>
      </c>
      <c r="AA1048" s="34">
        <v>15</v>
      </c>
      <c r="AB1048" s="34"/>
      <c r="AC1048" s="1" t="s">
        <v>0</v>
      </c>
      <c r="AL1048" s="37">
        <f>+AN1052-AL1054</f>
        <v>1</v>
      </c>
      <c r="AV1048" s="25">
        <v>2</v>
      </c>
      <c r="AW1048" s="26"/>
      <c r="AX1048" s="30">
        <f t="shared" ref="AX1048:AX1058" si="97">($T$1067/2)/12+AX1047</f>
        <v>1</v>
      </c>
      <c r="AY1048" s="28"/>
      <c r="AZ1048" s="54">
        <f t="shared" si="93"/>
        <v>1.2222222222222223</v>
      </c>
      <c r="BA1048" s="54"/>
      <c r="BB1048" s="54">
        <f t="shared" si="92"/>
        <v>48.012787504183336</v>
      </c>
      <c r="BC1048" s="54"/>
      <c r="BD1048" s="54">
        <f t="shared" si="94"/>
        <v>-133.65357867206859</v>
      </c>
      <c r="BE1048" s="54"/>
      <c r="BF1048" s="54">
        <f t="shared" si="95"/>
        <v>-8.3620591452806146</v>
      </c>
      <c r="BG1048" s="54"/>
      <c r="BH1048" s="54">
        <f t="shared" si="96"/>
        <v>-15.625000000000014</v>
      </c>
      <c r="BI1048" s="54"/>
      <c r="BJ1048" s="3"/>
    </row>
    <row r="1049" spans="2:62" ht="11.25" customHeight="1">
      <c r="B1049" s="2"/>
      <c r="D1049" s="37"/>
      <c r="AL1049" s="37"/>
      <c r="AV1049" s="25">
        <v>3</v>
      </c>
      <c r="AW1049" s="26"/>
      <c r="AX1049" s="30">
        <f t="shared" si="97"/>
        <v>1.5</v>
      </c>
      <c r="AY1049" s="28"/>
      <c r="AZ1049" s="54">
        <f t="shared" si="93"/>
        <v>1.75</v>
      </c>
      <c r="BA1049" s="54"/>
      <c r="BB1049" s="54">
        <f t="shared" si="92"/>
        <v>45</v>
      </c>
      <c r="BC1049" s="54"/>
      <c r="BD1049" s="54">
        <f t="shared" si="94"/>
        <v>-128.60504582830336</v>
      </c>
      <c r="BE1049" s="54"/>
      <c r="BF1049" s="54">
        <f t="shared" si="95"/>
        <v>-6.6291260736238655</v>
      </c>
      <c r="BG1049" s="54"/>
      <c r="BH1049" s="54">
        <f t="shared" si="96"/>
        <v>-21.09375</v>
      </c>
      <c r="BI1049" s="54"/>
      <c r="BJ1049" s="3"/>
    </row>
    <row r="1050" spans="2:62" ht="11.25" customHeight="1">
      <c r="B1050" s="2"/>
      <c r="D1050" s="37"/>
      <c r="M1050" s="1" t="s">
        <v>17</v>
      </c>
      <c r="AB1050" s="6" t="s">
        <v>30</v>
      </c>
      <c r="AL1050" s="37"/>
      <c r="AV1050" s="25">
        <v>4</v>
      </c>
      <c r="AW1050" s="26"/>
      <c r="AX1050" s="30">
        <f t="shared" si="97"/>
        <v>2</v>
      </c>
      <c r="AY1050" s="28"/>
      <c r="AZ1050" s="54">
        <f t="shared" si="93"/>
        <v>2.2222222222222223</v>
      </c>
      <c r="BA1050" s="54"/>
      <c r="BB1050" s="54">
        <f t="shared" si="92"/>
        <v>41.633539336570202</v>
      </c>
      <c r="BC1050" s="54"/>
      <c r="BD1050" s="54">
        <f t="shared" si="94"/>
        <v>-123.78966840698114</v>
      </c>
      <c r="BE1050" s="54"/>
      <c r="BF1050" s="54">
        <f t="shared" si="95"/>
        <v>-4.6713082417728735</v>
      </c>
      <c r="BG1050" s="54"/>
      <c r="BH1050" s="54">
        <f t="shared" si="96"/>
        <v>-25</v>
      </c>
      <c r="BI1050" s="54"/>
      <c r="BJ1050" s="3"/>
    </row>
    <row r="1051" spans="2:62" ht="11.25" customHeight="1">
      <c r="B1051" s="2"/>
      <c r="AN1051" s="5" t="s">
        <v>1</v>
      </c>
      <c r="AV1051" s="25">
        <v>5</v>
      </c>
      <c r="AW1051" s="26"/>
      <c r="AX1051" s="30">
        <f t="shared" si="97"/>
        <v>2.5</v>
      </c>
      <c r="AY1051" s="28"/>
      <c r="AZ1051" s="54">
        <f t="shared" si="93"/>
        <v>2.6388888888888888</v>
      </c>
      <c r="BA1051" s="54"/>
      <c r="BB1051" s="54">
        <f t="shared" si="92"/>
        <v>37.874983651098198</v>
      </c>
      <c r="BC1051" s="54"/>
      <c r="BD1051" s="54">
        <f t="shared" si="94"/>
        <v>-119.22507449954928</v>
      </c>
      <c r="BE1051" s="54"/>
      <c r="BF1051" s="54">
        <f t="shared" si="95"/>
        <v>-2.4667256793010139</v>
      </c>
      <c r="BG1051" s="54"/>
      <c r="BH1051" s="54">
        <f t="shared" si="96"/>
        <v>-27.34375</v>
      </c>
      <c r="BI1051" s="54"/>
      <c r="BJ1051" s="3"/>
    </row>
    <row r="1052" spans="2:62" ht="11.25" customHeight="1">
      <c r="B1052" s="2"/>
      <c r="AN1052" s="38">
        <v>4</v>
      </c>
      <c r="AV1052" s="25">
        <v>6</v>
      </c>
      <c r="AW1052" s="26"/>
      <c r="AX1052" s="30">
        <f t="shared" si="97"/>
        <v>3</v>
      </c>
      <c r="AY1052" s="28"/>
      <c r="AZ1052" s="54">
        <f t="shared" si="93"/>
        <v>3</v>
      </c>
      <c r="BA1052" s="54"/>
      <c r="BB1052" s="54">
        <f t="shared" si="92"/>
        <v>33.690067525979785</v>
      </c>
      <c r="BC1052" s="54"/>
      <c r="BD1052" s="54">
        <f t="shared" si="94"/>
        <v>-114.92694690541467</v>
      </c>
      <c r="BE1052" s="54"/>
      <c r="BF1052" s="54">
        <f t="shared" si="95"/>
        <v>7.1054273576010019E-15</v>
      </c>
      <c r="BG1052" s="54"/>
      <c r="BH1052" s="54">
        <f t="shared" si="96"/>
        <v>-28.125</v>
      </c>
      <c r="BI1052" s="54"/>
      <c r="BJ1052" s="3"/>
    </row>
    <row r="1053" spans="2:62" ht="11.25" customHeight="1">
      <c r="B1053" s="2"/>
      <c r="D1053" s="5"/>
      <c r="AL1053" s="5" t="s">
        <v>1</v>
      </c>
      <c r="AN1053" s="38"/>
      <c r="AV1053" s="25">
        <v>7</v>
      </c>
      <c r="AW1053" s="26"/>
      <c r="AX1053" s="30">
        <f t="shared" si="97"/>
        <v>3.5</v>
      </c>
      <c r="AY1053" s="28"/>
      <c r="AZ1053" s="54">
        <f t="shared" si="93"/>
        <v>3.3055555555555554</v>
      </c>
      <c r="BA1053" s="54"/>
      <c r="BB1053" s="54">
        <f t="shared" si="92"/>
        <v>29.054604099077146</v>
      </c>
      <c r="BC1053" s="54"/>
      <c r="BD1053" s="54">
        <f t="shared" si="94"/>
        <v>-110.90870440792011</v>
      </c>
      <c r="BE1053" s="54"/>
      <c r="BF1053" s="54">
        <f t="shared" si="95"/>
        <v>2.731741487879809</v>
      </c>
      <c r="BG1053" s="54"/>
      <c r="BH1053" s="54">
        <f t="shared" si="96"/>
        <v>-27.34375</v>
      </c>
      <c r="BI1053" s="54"/>
      <c r="BJ1053" s="3"/>
    </row>
    <row r="1054" spans="2:62" ht="11.25" customHeight="1">
      <c r="B1054" s="2"/>
      <c r="D1054" s="37" t="s">
        <v>58</v>
      </c>
      <c r="I1054" s="1" t="s">
        <v>58</v>
      </c>
      <c r="AL1054" s="37">
        <f>+Y1070</f>
        <v>3</v>
      </c>
      <c r="AN1054" s="38"/>
      <c r="AV1054" s="25">
        <v>8</v>
      </c>
      <c r="AW1054" s="26"/>
      <c r="AX1054" s="30">
        <f t="shared" si="97"/>
        <v>4</v>
      </c>
      <c r="AY1054" s="28"/>
      <c r="AZ1054" s="54">
        <f t="shared" si="93"/>
        <v>3.5555555555555554</v>
      </c>
      <c r="BA1054" s="54"/>
      <c r="BB1054" s="54">
        <f t="shared" si="92"/>
        <v>23.962488974578182</v>
      </c>
      <c r="BC1054" s="54"/>
      <c r="BD1054" s="54">
        <f t="shared" si="94"/>
        <v>-107.18247955691766</v>
      </c>
      <c r="BE1054" s="54"/>
      <c r="BF1054" s="54">
        <f t="shared" si="95"/>
        <v>5.7113221788766211</v>
      </c>
      <c r="BG1054" s="54"/>
      <c r="BH1054" s="54">
        <f t="shared" si="96"/>
        <v>-25</v>
      </c>
      <c r="BI1054" s="54"/>
      <c r="BJ1054" s="3"/>
    </row>
    <row r="1055" spans="2:62" ht="11.25" customHeight="1">
      <c r="B1055" s="2"/>
      <c r="D1055" s="37"/>
      <c r="AL1055" s="37"/>
      <c r="AN1055" s="37" t="s">
        <v>42</v>
      </c>
      <c r="AV1055" s="25">
        <v>9</v>
      </c>
      <c r="AW1055" s="26"/>
      <c r="AX1055" s="30">
        <f t="shared" si="97"/>
        <v>4.5</v>
      </c>
      <c r="AY1055" s="28"/>
      <c r="AZ1055" s="54">
        <f t="shared" si="93"/>
        <v>3.75</v>
      </c>
      <c r="BA1055" s="54"/>
      <c r="BB1055" s="54">
        <f t="shared" si="92"/>
        <v>18.43494882292201</v>
      </c>
      <c r="BC1055" s="54"/>
      <c r="BD1055" s="54">
        <f t="shared" si="94"/>
        <v>-103.76223572427494</v>
      </c>
      <c r="BE1055" s="54"/>
      <c r="BF1055" s="54">
        <f t="shared" si="95"/>
        <v>8.8939059192235703</v>
      </c>
      <c r="BG1055" s="54"/>
      <c r="BH1055" s="54">
        <f t="shared" si="96"/>
        <v>-21.09375</v>
      </c>
      <c r="BI1055" s="54"/>
      <c r="BJ1055" s="3"/>
    </row>
    <row r="1056" spans="2:62" ht="11.25" customHeight="1">
      <c r="B1056" s="2"/>
      <c r="D1056" s="37"/>
      <c r="AL1056" s="37"/>
      <c r="AN1056" s="37"/>
      <c r="AV1056" s="25">
        <v>10</v>
      </c>
      <c r="AW1056" s="26"/>
      <c r="AX1056" s="30">
        <f t="shared" si="97"/>
        <v>5</v>
      </c>
      <c r="AY1056" s="28"/>
      <c r="AZ1056" s="54">
        <f t="shared" si="93"/>
        <v>3.8888888888888888</v>
      </c>
      <c r="BA1056" s="54"/>
      <c r="BB1056" s="54">
        <f t="shared" si="92"/>
        <v>12.528807709151511</v>
      </c>
      <c r="BC1056" s="54"/>
      <c r="BD1056" s="54">
        <f t="shared" si="94"/>
        <v>-100.66929058147012</v>
      </c>
      <c r="BE1056" s="54"/>
      <c r="BF1056" s="54">
        <f t="shared" si="95"/>
        <v>12.202338252299413</v>
      </c>
      <c r="BG1056" s="54"/>
      <c r="BH1056" s="54">
        <f t="shared" si="96"/>
        <v>-15.625</v>
      </c>
      <c r="BI1056" s="54"/>
      <c r="BJ1056" s="3"/>
    </row>
    <row r="1057" spans="2:62" ht="11.25" customHeight="1">
      <c r="B1057" s="2"/>
      <c r="AV1057" s="25">
        <v>11</v>
      </c>
      <c r="AW1057" s="26"/>
      <c r="AX1057" s="30">
        <f t="shared" si="97"/>
        <v>5.5</v>
      </c>
      <c r="AY1057" s="28"/>
      <c r="AZ1057" s="54">
        <f t="shared" si="93"/>
        <v>3.9722222222222223</v>
      </c>
      <c r="BA1057" s="54"/>
      <c r="BB1057" s="54">
        <f t="shared" si="92"/>
        <v>6.3401917459099089</v>
      </c>
      <c r="BC1057" s="54"/>
      <c r="BD1057" s="54">
        <f t="shared" si="94"/>
        <v>-97.938959687629534</v>
      </c>
      <c r="BE1057" s="54"/>
      <c r="BF1057" s="54">
        <f t="shared" si="95"/>
        <v>15.529433354275284</v>
      </c>
      <c r="BG1057" s="54"/>
      <c r="BH1057" s="54">
        <f t="shared" si="96"/>
        <v>-8.59375</v>
      </c>
      <c r="BI1057" s="54"/>
      <c r="BJ1057" s="3"/>
    </row>
    <row r="1058" spans="2:62" ht="11.25" customHeight="1">
      <c r="B1058" s="2"/>
      <c r="AV1058" s="25">
        <v>12</v>
      </c>
      <c r="AW1058" s="26"/>
      <c r="AX1058" s="30">
        <f t="shared" si="97"/>
        <v>6</v>
      </c>
      <c r="AY1058" s="28"/>
      <c r="AZ1058" s="54">
        <f t="shared" si="93"/>
        <v>4</v>
      </c>
      <c r="BA1058" s="54"/>
      <c r="BB1058" s="54">
        <f t="shared" si="92"/>
        <v>0</v>
      </c>
      <c r="BC1058" s="54"/>
      <c r="BD1058" s="54">
        <f t="shared" si="94"/>
        <v>-95.625</v>
      </c>
      <c r="BE1058" s="54"/>
      <c r="BF1058" s="54">
        <f t="shared" si="95"/>
        <v>18.75</v>
      </c>
      <c r="BG1058" s="54"/>
      <c r="BH1058" s="54">
        <f t="shared" si="96"/>
        <v>0</v>
      </c>
      <c r="BI1058" s="54"/>
      <c r="BJ1058" s="3"/>
    </row>
    <row r="1059" spans="2:62" ht="11.25" customHeight="1">
      <c r="B1059" s="2"/>
      <c r="D1059" s="1" t="s">
        <v>5</v>
      </c>
      <c r="F1059" s="24">
        <f>+AF1076</f>
        <v>95.625</v>
      </c>
      <c r="G1059" s="24"/>
      <c r="H1059" s="1" t="s">
        <v>0</v>
      </c>
      <c r="L1059" s="1" t="s">
        <v>48</v>
      </c>
      <c r="AE1059" s="1" t="s">
        <v>33</v>
      </c>
      <c r="AG1059" s="1" t="s">
        <v>6</v>
      </c>
      <c r="AI1059" s="24">
        <f>+AL1077</f>
        <v>95.625</v>
      </c>
      <c r="AJ1059" s="24"/>
      <c r="AK1059" s="1" t="s">
        <v>0</v>
      </c>
      <c r="AV1059" s="25">
        <v>13</v>
      </c>
      <c r="AW1059" s="26"/>
      <c r="AX1059" s="30">
        <f>($T$1067/2-$AC$1065)/9+AX1058</f>
        <v>6.333333333333333</v>
      </c>
      <c r="AY1059" s="28"/>
      <c r="AZ1059" s="54">
        <f t="shared" si="93"/>
        <v>3.9876543209876538</v>
      </c>
      <c r="BA1059" s="54"/>
      <c r="BB1059" s="54">
        <f t="shared" si="92"/>
        <v>4.2363947990588366</v>
      </c>
      <c r="BC1059" s="54"/>
      <c r="BD1059" s="54">
        <f t="shared" si="94"/>
        <v>-94.594232295804971</v>
      </c>
      <c r="BE1059" s="54"/>
      <c r="BF1059" s="54">
        <f t="shared" si="95"/>
        <v>17.452185702992409</v>
      </c>
      <c r="BG1059" s="54"/>
      <c r="BH1059" s="54">
        <f t="shared" si="96"/>
        <v>6.0416666666666217</v>
      </c>
      <c r="BI1059" s="54"/>
      <c r="BJ1059" s="3"/>
    </row>
    <row r="1060" spans="2:62" ht="11.25" customHeight="1">
      <c r="B1060" s="2"/>
      <c r="AV1060" s="25">
        <v>14</v>
      </c>
      <c r="AW1060" s="26"/>
      <c r="AX1060" s="30">
        <f t="shared" ref="AX1060:AX1067" si="98">($T$1067/2-$AC$1065)/9+AX1059</f>
        <v>6.6666666666666661</v>
      </c>
      <c r="AY1060" s="28"/>
      <c r="AZ1060" s="54">
        <f t="shared" si="93"/>
        <v>3.9506172839506175</v>
      </c>
      <c r="BA1060" s="54"/>
      <c r="BB1060" s="54">
        <f t="shared" si="92"/>
        <v>8.4269690214806641</v>
      </c>
      <c r="BC1060" s="54"/>
      <c r="BD1060" s="54">
        <f t="shared" si="94"/>
        <v>-94.287271376985856</v>
      </c>
      <c r="BE1060" s="54"/>
      <c r="BF1060" s="54">
        <f t="shared" si="95"/>
        <v>16.07455626325039</v>
      </c>
      <c r="BG1060" s="54"/>
      <c r="BH1060" s="54">
        <f t="shared" si="96"/>
        <v>11.666666666666735</v>
      </c>
      <c r="BI1060" s="54"/>
      <c r="BJ1060" s="3"/>
    </row>
    <row r="1061" spans="2:62" ht="11.25" customHeight="1">
      <c r="B1061" s="2"/>
      <c r="AV1061" s="25">
        <v>15</v>
      </c>
      <c r="AW1061" s="26"/>
      <c r="AX1061" s="30">
        <f t="shared" si="98"/>
        <v>6.9999999999999991</v>
      </c>
      <c r="AY1061" s="28"/>
      <c r="AZ1061" s="54">
        <f t="shared" si="93"/>
        <v>3.8888888888888888</v>
      </c>
      <c r="BA1061" s="54"/>
      <c r="BB1061" s="54">
        <f t="shared" si="92"/>
        <v>12.528807709151501</v>
      </c>
      <c r="BC1061" s="54"/>
      <c r="BD1061" s="54">
        <f t="shared" si="94"/>
        <v>-94.703702991457092</v>
      </c>
      <c r="BE1061" s="54"/>
      <c r="BF1061" s="54">
        <f t="shared" si="95"/>
        <v>14.642805902759306</v>
      </c>
      <c r="BG1061" s="54"/>
      <c r="BH1061" s="54">
        <f t="shared" si="96"/>
        <v>16.874999999999986</v>
      </c>
      <c r="BI1061" s="54"/>
      <c r="BJ1061" s="3"/>
    </row>
    <row r="1062" spans="2:62" ht="11.25" customHeight="1">
      <c r="B1062" s="2"/>
      <c r="AV1062" s="25">
        <v>16</v>
      </c>
      <c r="AW1062" s="26"/>
      <c r="AX1062" s="30">
        <f t="shared" si="98"/>
        <v>7.3333333333333321</v>
      </c>
      <c r="AY1062" s="28"/>
      <c r="AZ1062" s="54">
        <f t="shared" si="93"/>
        <v>3.80246913580247</v>
      </c>
      <c r="BA1062" s="54"/>
      <c r="BB1062" s="54">
        <f t="shared" si="92"/>
        <v>16.504361381755</v>
      </c>
      <c r="BC1062" s="54"/>
      <c r="BD1062" s="54">
        <f t="shared" si="94"/>
        <v>-95.828024335738746</v>
      </c>
      <c r="BE1062" s="54"/>
      <c r="BF1062" s="54">
        <f t="shared" si="95"/>
        <v>13.183474049740305</v>
      </c>
      <c r="BG1062" s="54"/>
      <c r="BH1062" s="54">
        <f t="shared" si="96"/>
        <v>21.666666666666668</v>
      </c>
      <c r="BI1062" s="54"/>
      <c r="BJ1062" s="3"/>
    </row>
    <row r="1063" spans="2:62" ht="11.25" customHeight="1">
      <c r="B1063" s="2"/>
      <c r="AV1063" s="25">
        <v>17</v>
      </c>
      <c r="AW1063" s="26"/>
      <c r="AX1063" s="30">
        <f t="shared" si="98"/>
        <v>7.6666666666666652</v>
      </c>
      <c r="AY1063" s="28"/>
      <c r="AZ1063" s="54">
        <f t="shared" si="93"/>
        <v>3.6913580246913589</v>
      </c>
      <c r="BA1063" s="54"/>
      <c r="BB1063" s="54">
        <f t="shared" si="92"/>
        <v>20.323136829662925</v>
      </c>
      <c r="BC1063" s="54"/>
      <c r="BD1063" s="54">
        <f t="shared" si="94"/>
        <v>-97.631512565161515</v>
      </c>
      <c r="BE1063" s="54"/>
      <c r="BF1063" s="54">
        <f t="shared" si="95"/>
        <v>11.721859509046302</v>
      </c>
      <c r="BG1063" s="54"/>
      <c r="BH1063" s="54">
        <f t="shared" si="96"/>
        <v>26.041666666666636</v>
      </c>
      <c r="BI1063" s="54"/>
      <c r="BJ1063" s="3"/>
    </row>
    <row r="1064" spans="2:62" ht="11.25" customHeight="1">
      <c r="B1064" s="2"/>
      <c r="F1064" s="1" t="s">
        <v>4</v>
      </c>
      <c r="H1064" s="24">
        <f>+AO1074</f>
        <v>108.75</v>
      </c>
      <c r="I1064" s="24"/>
      <c r="J1064" s="1" t="s">
        <v>0</v>
      </c>
      <c r="AC1064" s="1" t="s">
        <v>7</v>
      </c>
      <c r="AE1064" s="24">
        <f>+AF1075</f>
        <v>146.25</v>
      </c>
      <c r="AF1064" s="24"/>
      <c r="AG1064" s="1" t="s">
        <v>0</v>
      </c>
      <c r="AV1064" s="25">
        <v>18</v>
      </c>
      <c r="AW1064" s="26"/>
      <c r="AX1064" s="30">
        <f t="shared" si="98"/>
        <v>7.9999999999999982</v>
      </c>
      <c r="AY1064" s="28"/>
      <c r="AZ1064" s="54">
        <f t="shared" si="93"/>
        <v>3.5555555555555562</v>
      </c>
      <c r="BA1064" s="54"/>
      <c r="BB1064" s="54">
        <f t="shared" si="92"/>
        <v>23.962488974578164</v>
      </c>
      <c r="BC1064" s="54"/>
      <c r="BD1064" s="54">
        <f t="shared" si="94"/>
        <v>-100.07505640098232</v>
      </c>
      <c r="BE1064" s="54"/>
      <c r="BF1064" s="54">
        <f t="shared" si="95"/>
        <v>10.280379921977893</v>
      </c>
      <c r="BG1064" s="54"/>
      <c r="BH1064" s="54">
        <f t="shared" si="96"/>
        <v>29.999999999999972</v>
      </c>
      <c r="BI1064" s="54"/>
      <c r="BJ1064" s="3"/>
    </row>
    <row r="1065" spans="2:62" ht="11.25" customHeight="1">
      <c r="B1065" s="2"/>
      <c r="J1065" s="24" t="s">
        <v>48</v>
      </c>
      <c r="K1065" s="24"/>
      <c r="L1065" s="24"/>
      <c r="P1065" s="24" t="s">
        <v>72</v>
      </c>
      <c r="Q1065" s="24"/>
      <c r="R1065" s="24"/>
      <c r="W1065" s="24">
        <f>+T1067/2-AC1065</f>
        <v>3</v>
      </c>
      <c r="X1065" s="24"/>
      <c r="Y1065" s="1" t="s">
        <v>1</v>
      </c>
      <c r="AC1065" s="34">
        <v>3</v>
      </c>
      <c r="AD1065" s="34"/>
      <c r="AE1065" s="1" t="s">
        <v>1</v>
      </c>
      <c r="AV1065" s="25">
        <v>19</v>
      </c>
      <c r="AW1065" s="26"/>
      <c r="AX1065" s="30">
        <f t="shared" si="98"/>
        <v>8.3333333333333321</v>
      </c>
      <c r="AY1065" s="28"/>
      <c r="AZ1065" s="54">
        <f t="shared" si="93"/>
        <v>3.3950617283950622</v>
      </c>
      <c r="BA1065" s="54"/>
      <c r="BB1065" s="54">
        <f t="shared" si="92"/>
        <v>27.407575437818391</v>
      </c>
      <c r="BC1065" s="54"/>
      <c r="BD1065" s="54">
        <f t="shared" si="94"/>
        <v>-103.11241482948097</v>
      </c>
      <c r="BE1065" s="54"/>
      <c r="BF1065" s="54">
        <f t="shared" si="95"/>
        <v>8.8775453144892857</v>
      </c>
      <c r="BG1065" s="54"/>
      <c r="BH1065" s="54">
        <f t="shared" si="96"/>
        <v>33.541666666666728</v>
      </c>
      <c r="BI1065" s="54"/>
      <c r="BJ1065" s="3"/>
    </row>
    <row r="1066" spans="2:62" ht="11.25" customHeight="1">
      <c r="B1066" s="2"/>
      <c r="AV1066" s="25">
        <v>20</v>
      </c>
      <c r="AW1066" s="26"/>
      <c r="AX1066" s="30">
        <f t="shared" si="98"/>
        <v>8.6666666666666661</v>
      </c>
      <c r="AY1066" s="28"/>
      <c r="AZ1066" s="54">
        <f t="shared" si="93"/>
        <v>3.209876543209877</v>
      </c>
      <c r="BA1066" s="54"/>
      <c r="BB1066" s="54">
        <f t="shared" si="92"/>
        <v>30.650667957052857</v>
      </c>
      <c r="BC1066" s="54"/>
      <c r="BD1066" s="54">
        <f t="shared" si="94"/>
        <v>-106.69340910572595</v>
      </c>
      <c r="BE1066" s="54"/>
      <c r="BF1066" s="54">
        <f t="shared" si="95"/>
        <v>7.5275509192990242</v>
      </c>
      <c r="BG1066" s="54"/>
      <c r="BH1066" s="54">
        <f t="shared" si="96"/>
        <v>36.66666666666665</v>
      </c>
      <c r="BI1066" s="54"/>
      <c r="BJ1066" s="3"/>
    </row>
    <row r="1067" spans="2:62" ht="11.25" customHeight="1">
      <c r="B1067" s="2"/>
      <c r="S1067" s="1" t="s">
        <v>43</v>
      </c>
      <c r="T1067" s="34">
        <v>12</v>
      </c>
      <c r="U1067" s="34"/>
      <c r="V1067" s="1" t="s">
        <v>1</v>
      </c>
      <c r="AV1067" s="25">
        <v>21</v>
      </c>
      <c r="AW1067" s="26"/>
      <c r="AX1067" s="33">
        <f t="shared" si="98"/>
        <v>9</v>
      </c>
      <c r="AY1067" s="25"/>
      <c r="AZ1067" s="55">
        <f t="shared" si="93"/>
        <v>3</v>
      </c>
      <c r="BA1067" s="55"/>
      <c r="BB1067" s="55">
        <f t="shared" si="92"/>
        <v>33.690067525979785</v>
      </c>
      <c r="BC1067" s="55"/>
      <c r="BD1067" s="55">
        <f t="shared" si="94"/>
        <v>-110.7666954337254</v>
      </c>
      <c r="BE1067" s="55"/>
      <c r="BF1067" s="55">
        <f t="shared" si="95"/>
        <v>6.2403772075338164</v>
      </c>
      <c r="BG1067" s="55"/>
      <c r="BH1067" s="55">
        <f t="shared" si="96"/>
        <v>39.375</v>
      </c>
      <c r="BI1067" s="55"/>
      <c r="BJ1067" s="3"/>
    </row>
    <row r="1068" spans="2:62" ht="11.25" customHeight="1">
      <c r="B1068" s="2"/>
      <c r="AV1068" s="25">
        <v>22</v>
      </c>
      <c r="AW1068" s="26"/>
      <c r="AX1068" s="33">
        <f>($T$1067/2-$AC$1065)/9+AX1066+0.000001</f>
        <v>9.0000009999999993</v>
      </c>
      <c r="AY1068" s="25"/>
      <c r="AZ1068" s="55">
        <f t="shared" si="93"/>
        <v>2.9999993333332231</v>
      </c>
      <c r="BA1068" s="55"/>
      <c r="BB1068" s="55">
        <f t="shared" si="92"/>
        <v>33.690076340714185</v>
      </c>
      <c r="BC1068" s="55"/>
      <c r="BD1068" s="55">
        <f t="shared" si="94"/>
        <v>-119.0872132046685</v>
      </c>
      <c r="BE1068" s="55"/>
      <c r="BF1068" s="55">
        <f t="shared" si="95"/>
        <v>-6.2403796876834079</v>
      </c>
      <c r="BG1068" s="55"/>
      <c r="BH1068" s="55">
        <f t="shared" si="96"/>
        <v>39.374992499998115</v>
      </c>
      <c r="BI1068" s="55"/>
      <c r="BJ1068" s="3"/>
    </row>
    <row r="1069" spans="2:62" ht="11.25" customHeight="1">
      <c r="B1069" s="2"/>
      <c r="F1069" s="1" t="s">
        <v>40</v>
      </c>
      <c r="AV1069" s="25">
        <v>23</v>
      </c>
      <c r="AW1069" s="26"/>
      <c r="AX1069" s="30">
        <f>$AC$1065/9+AX1067</f>
        <v>9.3333333333333339</v>
      </c>
      <c r="AY1069" s="28"/>
      <c r="AZ1069" s="54">
        <f t="shared" si="93"/>
        <v>2.7654320987654319</v>
      </c>
      <c r="BA1069" s="54"/>
      <c r="BB1069" s="54">
        <f t="shared" si="92"/>
        <v>36.528855366985177</v>
      </c>
      <c r="BC1069" s="54"/>
      <c r="BD1069" s="54">
        <f t="shared" si="94"/>
        <v>-124.21034918422292</v>
      </c>
      <c r="BE1069" s="54"/>
      <c r="BF1069" s="54">
        <f t="shared" si="95"/>
        <v>-7.0311254417665197</v>
      </c>
      <c r="BG1069" s="54"/>
      <c r="BH1069" s="54">
        <f t="shared" si="96"/>
        <v>36.666666666666572</v>
      </c>
      <c r="BI1069" s="54"/>
      <c r="BJ1069" s="3"/>
    </row>
    <row r="1070" spans="2:62" ht="11.25" customHeight="1">
      <c r="B1070" s="2"/>
      <c r="F1070" s="1" t="s">
        <v>41</v>
      </c>
      <c r="H1070" s="1">
        <v>4</v>
      </c>
      <c r="I1070" s="7" t="s">
        <v>10</v>
      </c>
      <c r="J1070" s="24">
        <f>+AN1052</f>
        <v>4</v>
      </c>
      <c r="K1070" s="24"/>
      <c r="L1070" s="7" t="s">
        <v>10</v>
      </c>
      <c r="M1070" s="24">
        <f>+T1067-AC1065</f>
        <v>9</v>
      </c>
      <c r="N1070" s="24"/>
      <c r="O1070" s="1" t="s">
        <v>44</v>
      </c>
      <c r="P1070" s="24">
        <f>+T1067</f>
        <v>12</v>
      </c>
      <c r="Q1070" s="24"/>
      <c r="R1070" s="7" t="s">
        <v>9</v>
      </c>
      <c r="S1070" s="24">
        <f>+M1070</f>
        <v>9</v>
      </c>
      <c r="T1070" s="24"/>
      <c r="U1070" s="1" t="s">
        <v>45</v>
      </c>
      <c r="V1070" s="24">
        <f>+P1070</f>
        <v>12</v>
      </c>
      <c r="W1070" s="24"/>
      <c r="X1070" s="1" t="s">
        <v>46</v>
      </c>
      <c r="Y1070" s="24">
        <f>H1070*J1070*M1070*(P1070-S1070)/V1070^2</f>
        <v>3</v>
      </c>
      <c r="Z1070" s="24"/>
      <c r="AA1070" s="1" t="s">
        <v>1</v>
      </c>
      <c r="AV1070" s="25">
        <v>24</v>
      </c>
      <c r="AW1070" s="26"/>
      <c r="AX1070" s="30">
        <f>$AC$1065/9+AX1069</f>
        <v>9.6666666666666679</v>
      </c>
      <c r="AY1070" s="28"/>
      <c r="AZ1070" s="54">
        <f t="shared" si="93"/>
        <v>2.506172839506172</v>
      </c>
      <c r="BA1070" s="54"/>
      <c r="BB1070" s="54">
        <f t="shared" si="92"/>
        <v>39.173657970444232</v>
      </c>
      <c r="BC1070" s="54"/>
      <c r="BD1070" s="54">
        <f t="shared" si="94"/>
        <v>-129.66642577977069</v>
      </c>
      <c r="BE1070" s="54"/>
      <c r="BF1070" s="54">
        <f t="shared" si="95"/>
        <v>-7.752349855172902</v>
      </c>
      <c r="BG1070" s="54"/>
      <c r="BH1070" s="54">
        <f t="shared" si="96"/>
        <v>33.541666666666657</v>
      </c>
      <c r="BI1070" s="54"/>
      <c r="BJ1070" s="3"/>
    </row>
    <row r="1071" spans="2:62" ht="11.25" customHeight="1">
      <c r="B1071" s="2"/>
      <c r="F1071" s="1" t="s">
        <v>47</v>
      </c>
      <c r="N1071" s="1">
        <v>4</v>
      </c>
      <c r="O1071" s="7" t="s">
        <v>10</v>
      </c>
      <c r="P1071" s="24">
        <f>+AN1052</f>
        <v>4</v>
      </c>
      <c r="Q1071" s="24"/>
      <c r="R1071" s="7" t="s">
        <v>10</v>
      </c>
      <c r="S1071" s="7" t="s">
        <v>48</v>
      </c>
      <c r="T1071" s="1" t="s">
        <v>44</v>
      </c>
      <c r="U1071" s="24">
        <f>+T1067</f>
        <v>12</v>
      </c>
      <c r="V1071" s="24"/>
      <c r="W1071" s="7" t="s">
        <v>9</v>
      </c>
      <c r="X1071" s="7" t="s">
        <v>48</v>
      </c>
      <c r="Y1071" s="1" t="s">
        <v>45</v>
      </c>
      <c r="Z1071" s="24">
        <f>+U1071</f>
        <v>12</v>
      </c>
      <c r="AA1071" s="24"/>
      <c r="AB1071" s="1" t="s">
        <v>46</v>
      </c>
      <c r="AC1071" s="24">
        <f>+N1071*P1071/Z1071^2</f>
        <v>0.1111111111111111</v>
      </c>
      <c r="AD1071" s="24"/>
      <c r="AE1071" s="7" t="s">
        <v>10</v>
      </c>
      <c r="AF1071" s="7" t="s">
        <v>48</v>
      </c>
      <c r="AG1071" s="1" t="s">
        <v>44</v>
      </c>
      <c r="AH1071" s="24">
        <f>+U1071</f>
        <v>12</v>
      </c>
      <c r="AI1071" s="24"/>
      <c r="AJ1071" s="7" t="s">
        <v>9</v>
      </c>
      <c r="AK1071" s="7" t="s">
        <v>48</v>
      </c>
      <c r="AL1071" s="1" t="s">
        <v>49</v>
      </c>
      <c r="AV1071" s="25">
        <v>25</v>
      </c>
      <c r="AW1071" s="26"/>
      <c r="AX1071" s="30">
        <f t="shared" ref="AX1071:AX1077" si="99">$AC$1065/9+AX1070</f>
        <v>10.000000000000002</v>
      </c>
      <c r="AY1071" s="28"/>
      <c r="AZ1071" s="54">
        <f t="shared" si="93"/>
        <v>2.2222222222222205</v>
      </c>
      <c r="BA1071" s="54"/>
      <c r="BB1071" s="54">
        <f t="shared" si="92"/>
        <v>41.633539336570209</v>
      </c>
      <c r="BC1071" s="54"/>
      <c r="BD1071" s="54">
        <f t="shared" si="94"/>
        <v>-135.41603558650476</v>
      </c>
      <c r="BE1071" s="54"/>
      <c r="BF1071" s="54">
        <f t="shared" si="95"/>
        <v>-8.408354835191183</v>
      </c>
      <c r="BG1071" s="54"/>
      <c r="BH1071" s="54">
        <f t="shared" si="96"/>
        <v>29.999999999999972</v>
      </c>
      <c r="BI1071" s="54"/>
      <c r="BJ1071" s="3"/>
    </row>
    <row r="1072" spans="2:62" ht="11.25" customHeight="1">
      <c r="B1072" s="2"/>
      <c r="F1072" s="1" t="s">
        <v>50</v>
      </c>
      <c r="J1072" s="24">
        <f>+AC1071</f>
        <v>0.1111111111111111</v>
      </c>
      <c r="K1072" s="24"/>
      <c r="L1072" s="7" t="s">
        <v>44</v>
      </c>
      <c r="M1072" s="24">
        <f>+AH1071</f>
        <v>12</v>
      </c>
      <c r="N1072" s="24"/>
      <c r="O1072" s="7" t="s">
        <v>9</v>
      </c>
      <c r="P1072" s="1">
        <v>2</v>
      </c>
      <c r="Q1072" s="7" t="s">
        <v>10</v>
      </c>
      <c r="R1072" s="7" t="s">
        <v>48</v>
      </c>
      <c r="S1072" s="1" t="s">
        <v>49</v>
      </c>
      <c r="AV1072" s="25">
        <v>26</v>
      </c>
      <c r="AW1072" s="26"/>
      <c r="AX1072" s="30">
        <f t="shared" si="99"/>
        <v>10.333333333333336</v>
      </c>
      <c r="AY1072" s="28"/>
      <c r="AZ1072" s="54">
        <f t="shared" si="93"/>
        <v>1.9135802469135779</v>
      </c>
      <c r="BA1072" s="54"/>
      <c r="BB1072" s="54">
        <f t="shared" si="92"/>
        <v>43.919075813339326</v>
      </c>
      <c r="BC1072" s="54"/>
      <c r="BD1072" s="54">
        <f t="shared" si="94"/>
        <v>-141.42398018742855</v>
      </c>
      <c r="BE1072" s="54"/>
      <c r="BF1072" s="54">
        <f t="shared" si="95"/>
        <v>-9.0040026686435262</v>
      </c>
      <c r="BG1072" s="54"/>
      <c r="BH1072" s="54">
        <f t="shared" si="96"/>
        <v>26.04166666666665</v>
      </c>
      <c r="BI1072" s="54"/>
      <c r="BJ1072" s="3"/>
    </row>
    <row r="1073" spans="2:62" ht="11.25" customHeight="1">
      <c r="B1073" s="2"/>
      <c r="F1073" s="4" t="s">
        <v>28</v>
      </c>
      <c r="AO1073" s="7"/>
      <c r="AV1073" s="25">
        <v>27</v>
      </c>
      <c r="AW1073" s="26"/>
      <c r="AX1073" s="30">
        <f t="shared" si="99"/>
        <v>10.66666666666667</v>
      </c>
      <c r="AY1073" s="28"/>
      <c r="AZ1073" s="54">
        <f t="shared" si="93"/>
        <v>1.5802469135802439</v>
      </c>
      <c r="BA1073" s="54"/>
      <c r="BB1073" s="54">
        <f t="shared" si="92"/>
        <v>46.04162667600999</v>
      </c>
      <c r="BC1073" s="54"/>
      <c r="BD1073" s="54">
        <f t="shared" si="94"/>
        <v>-147.65913229503627</v>
      </c>
      <c r="BE1073" s="54"/>
      <c r="BF1073" s="54">
        <f t="shared" si="95"/>
        <v>-9.5443640955331936</v>
      </c>
      <c r="BG1073" s="54"/>
      <c r="BH1073" s="54">
        <f t="shared" si="96"/>
        <v>21.666666666666622</v>
      </c>
      <c r="BI1073" s="54"/>
      <c r="BJ1073" s="3"/>
    </row>
    <row r="1074" spans="2:62" ht="11.25" customHeight="1">
      <c r="B1074" s="2"/>
      <c r="F1074" s="1" t="s">
        <v>11</v>
      </c>
      <c r="H1074" s="24">
        <f>+T1067</f>
        <v>12</v>
      </c>
      <c r="I1074" s="24"/>
      <c r="J1074" s="7" t="s">
        <v>9</v>
      </c>
      <c r="K1074" s="24">
        <f>+M1044</f>
        <v>15</v>
      </c>
      <c r="L1074" s="24"/>
      <c r="M1074" s="7" t="s">
        <v>10</v>
      </c>
      <c r="N1074" s="24">
        <f>+T1067/2</f>
        <v>6</v>
      </c>
      <c r="O1074" s="24"/>
      <c r="P1074" s="7" t="s">
        <v>10</v>
      </c>
      <c r="Q1074" s="24">
        <f>+T1067/2+T1067/2/2</f>
        <v>9</v>
      </c>
      <c r="R1074" s="24"/>
      <c r="S1074" s="7" t="s">
        <v>9</v>
      </c>
      <c r="T1074" s="24">
        <f>+Y1044</f>
        <v>25</v>
      </c>
      <c r="U1074" s="24"/>
      <c r="V1074" s="7" t="s">
        <v>10</v>
      </c>
      <c r="W1074" s="24">
        <f>+T1067/2</f>
        <v>6</v>
      </c>
      <c r="X1074" s="24"/>
      <c r="Y1074" s="7" t="s">
        <v>10</v>
      </c>
      <c r="Z1074" s="24">
        <f>+W1074/2</f>
        <v>3</v>
      </c>
      <c r="AA1074" s="24"/>
      <c r="AB1074" s="7" t="s">
        <v>9</v>
      </c>
      <c r="AC1074" s="24">
        <f>+AA1048</f>
        <v>15</v>
      </c>
      <c r="AD1074" s="24"/>
      <c r="AE1074" s="7" t="s">
        <v>10</v>
      </c>
      <c r="AF1074" s="24">
        <f>+AC1065</f>
        <v>3</v>
      </c>
      <c r="AG1074" s="24"/>
      <c r="AH1074" s="7" t="s">
        <v>12</v>
      </c>
      <c r="AI1074" s="1">
        <v>0</v>
      </c>
      <c r="AM1074" s="1" t="s">
        <v>4</v>
      </c>
      <c r="AO1074" s="24">
        <f>(K1074*N1074*Q1074+T1074*W1074*Z1074+AC1074*AF1074)/H1074</f>
        <v>108.75</v>
      </c>
      <c r="AP1074" s="24"/>
      <c r="AQ1074" s="1" t="s">
        <v>0</v>
      </c>
      <c r="AV1074" s="25">
        <v>28</v>
      </c>
      <c r="AW1074" s="26"/>
      <c r="AX1074" s="30">
        <f t="shared" si="99"/>
        <v>11.000000000000004</v>
      </c>
      <c r="AY1074" s="28"/>
      <c r="AZ1074" s="54">
        <f t="shared" si="93"/>
        <v>1.2222222222222183</v>
      </c>
      <c r="BA1074" s="54"/>
      <c r="BB1074" s="54">
        <f t="shared" si="92"/>
        <v>48.012787504183358</v>
      </c>
      <c r="BC1074" s="54"/>
      <c r="BD1074" s="54">
        <f t="shared" si="94"/>
        <v>-154.09416769386573</v>
      </c>
      <c r="BE1074" s="54"/>
      <c r="BF1074" s="54">
        <f t="shared" si="95"/>
        <v>-10.034470974336745</v>
      </c>
      <c r="BG1074" s="54"/>
      <c r="BH1074" s="54">
        <f t="shared" si="96"/>
        <v>16.874999999999947</v>
      </c>
      <c r="BI1074" s="54"/>
      <c r="BJ1074" s="3"/>
    </row>
    <row r="1075" spans="2:62" ht="11.25" customHeight="1">
      <c r="B1075" s="2"/>
      <c r="F1075" s="1" t="s">
        <v>13</v>
      </c>
      <c r="H1075" s="24">
        <f>+H1064</f>
        <v>108.75</v>
      </c>
      <c r="I1075" s="24"/>
      <c r="J1075" s="7" t="s">
        <v>9</v>
      </c>
      <c r="K1075" s="24">
        <f>+M1044</f>
        <v>15</v>
      </c>
      <c r="L1075" s="24"/>
      <c r="M1075" s="7" t="s">
        <v>10</v>
      </c>
      <c r="N1075" s="24">
        <f>+T1067/2</f>
        <v>6</v>
      </c>
      <c r="O1075" s="24"/>
      <c r="P1075" s="7" t="s">
        <v>9</v>
      </c>
      <c r="Q1075" s="24">
        <f>+Y1044</f>
        <v>25</v>
      </c>
      <c r="R1075" s="24"/>
      <c r="S1075" s="7" t="s">
        <v>10</v>
      </c>
      <c r="T1075" s="24">
        <f>+T1067/2</f>
        <v>6</v>
      </c>
      <c r="U1075" s="24"/>
      <c r="V1075" s="7" t="s">
        <v>9</v>
      </c>
      <c r="W1075" s="24">
        <f>+AA1048</f>
        <v>15</v>
      </c>
      <c r="X1075" s="24"/>
      <c r="Y1075" s="7" t="s">
        <v>12</v>
      </c>
      <c r="Z1075" s="1">
        <v>0</v>
      </c>
      <c r="AD1075" s="1" t="s">
        <v>7</v>
      </c>
      <c r="AF1075" s="24">
        <f>+K1075*N1075+Q1075*T1075+W1075-H1075</f>
        <v>146.25</v>
      </c>
      <c r="AG1075" s="24"/>
      <c r="AH1075" s="1" t="s">
        <v>0</v>
      </c>
      <c r="AV1075" s="25">
        <v>29</v>
      </c>
      <c r="AW1075" s="26"/>
      <c r="AX1075" s="30">
        <f t="shared" si="99"/>
        <v>11.333333333333337</v>
      </c>
      <c r="AY1075" s="28"/>
      <c r="AZ1075" s="54">
        <f t="shared" si="93"/>
        <v>0.83950617283950124</v>
      </c>
      <c r="BA1075" s="54"/>
      <c r="BB1075" s="54">
        <f t="shared" si="92"/>
        <v>49.844000375080704</v>
      </c>
      <c r="BC1075" s="54"/>
      <c r="BD1075" s="54">
        <f t="shared" si="94"/>
        <v>-160.70522163316642</v>
      </c>
      <c r="BE1075" s="54"/>
      <c r="BF1075" s="54">
        <f t="shared" si="95"/>
        <v>-10.47915276215897</v>
      </c>
      <c r="BG1075" s="54"/>
      <c r="BH1075" s="54">
        <f t="shared" si="96"/>
        <v>11.6666666666666</v>
      </c>
      <c r="BI1075" s="54"/>
      <c r="BJ1075" s="3"/>
    </row>
    <row r="1076" spans="2:62" ht="11.25" customHeight="1">
      <c r="B1076" s="2"/>
      <c r="F1076" s="1" t="s">
        <v>14</v>
      </c>
      <c r="H1076" s="24">
        <f>+AN1052</f>
        <v>4</v>
      </c>
      <c r="I1076" s="24"/>
      <c r="J1076" s="7" t="s">
        <v>9</v>
      </c>
      <c r="K1076" s="24">
        <f>+H1064</f>
        <v>108.75</v>
      </c>
      <c r="L1076" s="24"/>
      <c r="M1076" s="7" t="s">
        <v>10</v>
      </c>
      <c r="N1076" s="24">
        <f>+T1067/2</f>
        <v>6</v>
      </c>
      <c r="O1076" s="24"/>
      <c r="P1076" s="7" t="s">
        <v>15</v>
      </c>
      <c r="Q1076" s="24">
        <f>+M1044</f>
        <v>15</v>
      </c>
      <c r="R1076" s="24"/>
      <c r="S1076" s="7" t="s">
        <v>10</v>
      </c>
      <c r="T1076" s="24">
        <f>+T1067/2</f>
        <v>6</v>
      </c>
      <c r="U1076" s="24"/>
      <c r="V1076" s="7" t="s">
        <v>10</v>
      </c>
      <c r="W1076" s="24">
        <f>+T1076/2</f>
        <v>3</v>
      </c>
      <c r="X1076" s="24"/>
      <c r="Y1076" s="7" t="s">
        <v>12</v>
      </c>
      <c r="Z1076" s="1">
        <v>0</v>
      </c>
      <c r="AD1076" s="1" t="s">
        <v>5</v>
      </c>
      <c r="AF1076" s="24">
        <f>(K1076*N1076-Q1076*T1076*W1076)/H1076</f>
        <v>95.625</v>
      </c>
      <c r="AG1076" s="24"/>
      <c r="AH1076" s="1" t="s">
        <v>0</v>
      </c>
      <c r="AV1076" s="25">
        <v>30</v>
      </c>
      <c r="AW1076" s="26"/>
      <c r="AX1076" s="30">
        <f t="shared" si="99"/>
        <v>11.666666666666671</v>
      </c>
      <c r="AY1076" s="28"/>
      <c r="AZ1076" s="54">
        <f t="shared" si="93"/>
        <v>0.4320987654320928</v>
      </c>
      <c r="BA1076" s="54"/>
      <c r="BB1076" s="54">
        <f t="shared" si="92"/>
        <v>51.546290783294062</v>
      </c>
      <c r="BC1076" s="54"/>
      <c r="BD1076" s="54">
        <f t="shared" si="94"/>
        <v>-167.4715176993748</v>
      </c>
      <c r="BE1076" s="54"/>
      <c r="BF1076" s="54">
        <f t="shared" si="95"/>
        <v>-10.882937513027777</v>
      </c>
      <c r="BG1076" s="54"/>
      <c r="BH1076" s="54">
        <f t="shared" si="96"/>
        <v>6.0416666666665799</v>
      </c>
      <c r="BI1076" s="54"/>
      <c r="BJ1076" s="3"/>
    </row>
    <row r="1077" spans="2:62" ht="11.25" customHeight="1">
      <c r="B1077" s="2"/>
      <c r="F1077" s="1" t="s">
        <v>16</v>
      </c>
      <c r="H1077" s="24">
        <f>+AN1052</f>
        <v>4</v>
      </c>
      <c r="I1077" s="24"/>
      <c r="J1077" s="7" t="s">
        <v>9</v>
      </c>
      <c r="K1077" s="24">
        <f>+AE1064</f>
        <v>146.25</v>
      </c>
      <c r="L1077" s="24"/>
      <c r="M1077" s="7" t="s">
        <v>10</v>
      </c>
      <c r="N1077" s="24">
        <f>+T1067/2</f>
        <v>6</v>
      </c>
      <c r="O1077" s="24"/>
      <c r="P1077" s="7" t="s">
        <v>15</v>
      </c>
      <c r="Q1077" s="24">
        <f>+Y1044</f>
        <v>25</v>
      </c>
      <c r="R1077" s="24"/>
      <c r="S1077" s="7" t="s">
        <v>10</v>
      </c>
      <c r="T1077" s="24">
        <f>+T1067/2</f>
        <v>6</v>
      </c>
      <c r="U1077" s="24"/>
      <c r="V1077" s="7" t="s">
        <v>10</v>
      </c>
      <c r="W1077" s="24">
        <f>+T1077/2</f>
        <v>3</v>
      </c>
      <c r="X1077" s="24"/>
      <c r="Y1077" s="7" t="s">
        <v>15</v>
      </c>
      <c r="Z1077" s="24">
        <f>+AA1048</f>
        <v>15</v>
      </c>
      <c r="AA1077" s="24"/>
      <c r="AB1077" s="7" t="s">
        <v>10</v>
      </c>
      <c r="AC1077" s="24">
        <f>+W1065</f>
        <v>3</v>
      </c>
      <c r="AD1077" s="24"/>
      <c r="AE1077" s="7" t="s">
        <v>12</v>
      </c>
      <c r="AF1077" s="1">
        <v>0</v>
      </c>
      <c r="AJ1077" s="1" t="s">
        <v>6</v>
      </c>
      <c r="AL1077" s="24">
        <f>(K1077*N1077-Q1077*T1077*W1077-Z1077*AC1077)/H1077</f>
        <v>95.625</v>
      </c>
      <c r="AM1077" s="24"/>
      <c r="AN1077" s="1" t="s">
        <v>0</v>
      </c>
      <c r="AV1077" s="25">
        <v>31</v>
      </c>
      <c r="AW1077" s="26"/>
      <c r="AX1077" s="30">
        <f t="shared" si="99"/>
        <v>12.000000000000005</v>
      </c>
      <c r="AY1077" s="28"/>
      <c r="AZ1077" s="54">
        <f t="shared" si="93"/>
        <v>-7.105427357601005E-15</v>
      </c>
      <c r="BA1077" s="54"/>
      <c r="BB1077" s="54">
        <f t="shared" si="92"/>
        <v>53.130102354156001</v>
      </c>
      <c r="BC1077" s="54"/>
      <c r="BD1077" s="54">
        <f t="shared" si="94"/>
        <v>-174.37500000000011</v>
      </c>
      <c r="BE1077" s="54"/>
      <c r="BF1077" s="54">
        <f t="shared" si="95"/>
        <v>-11.250000000000023</v>
      </c>
      <c r="BG1077" s="54"/>
      <c r="BH1077" s="54">
        <f t="shared" si="96"/>
        <v>-9.9920072216264139E-14</v>
      </c>
      <c r="BI1077" s="54"/>
      <c r="BJ1077" s="3"/>
    </row>
    <row r="1078" spans="2:62" ht="11.25" customHeight="1">
      <c r="B1078" s="2"/>
      <c r="BJ1078" s="3"/>
    </row>
    <row r="1079" spans="2:62" ht="11.25" customHeight="1">
      <c r="B1079" s="2"/>
      <c r="BJ1079" s="3"/>
    </row>
    <row r="1080" spans="2:62" ht="11.25" customHeight="1">
      <c r="B1080" s="2"/>
      <c r="D1080" s="12" t="s">
        <v>55</v>
      </c>
      <c r="AV1080" s="25" t="s">
        <v>59</v>
      </c>
      <c r="AW1080" s="26"/>
      <c r="AX1080" s="33" t="s">
        <v>48</v>
      </c>
      <c r="AY1080" s="25"/>
      <c r="AZ1080" s="25" t="s">
        <v>58</v>
      </c>
      <c r="BA1080" s="25"/>
      <c r="BB1080" s="56" t="s">
        <v>66</v>
      </c>
      <c r="BC1080" s="25"/>
      <c r="BD1080" s="25" t="s">
        <v>62</v>
      </c>
      <c r="BE1080" s="25"/>
      <c r="BF1080" s="25" t="s">
        <v>65</v>
      </c>
      <c r="BG1080" s="25"/>
      <c r="BH1080" s="25" t="s">
        <v>63</v>
      </c>
      <c r="BI1080" s="25"/>
      <c r="BJ1080" s="3"/>
    </row>
    <row r="1081" spans="2:62" ht="11.25" customHeight="1" thickBot="1">
      <c r="B1081" s="2"/>
      <c r="N1081" s="34">
        <v>20</v>
      </c>
      <c r="O1081" s="34"/>
      <c r="P1081" s="1" t="s">
        <v>3</v>
      </c>
      <c r="AV1081" s="57"/>
      <c r="AW1081" s="61"/>
      <c r="AX1081" s="47" t="s">
        <v>60</v>
      </c>
      <c r="AY1081" s="57"/>
      <c r="AZ1081" s="57" t="s">
        <v>60</v>
      </c>
      <c r="BA1081" s="57"/>
      <c r="BB1081" s="57" t="s">
        <v>67</v>
      </c>
      <c r="BC1081" s="57"/>
      <c r="BD1081" s="57" t="s">
        <v>61</v>
      </c>
      <c r="BE1081" s="57"/>
      <c r="BF1081" s="57" t="s">
        <v>61</v>
      </c>
      <c r="BG1081" s="57"/>
      <c r="BH1081" s="57" t="s">
        <v>64</v>
      </c>
      <c r="BI1081" s="57"/>
      <c r="BJ1081" s="3"/>
    </row>
    <row r="1082" spans="2:62" ht="11.25" customHeight="1" thickTop="1">
      <c r="B1082" s="2"/>
      <c r="AV1082" s="58">
        <v>0</v>
      </c>
      <c r="AW1082" s="59"/>
      <c r="AX1082" s="60">
        <v>0</v>
      </c>
      <c r="AY1082" s="54"/>
      <c r="AZ1082" s="54">
        <f>4*$AN$1089*AX1082*($T$1104-AX1082)/$T$1104^2</f>
        <v>0</v>
      </c>
      <c r="BA1082" s="54"/>
      <c r="BB1082" s="54">
        <f t="shared" ref="BB1082:BB1113" si="100">IF(AX1082&lt;=$T$1104/2,ATAN($J$1109*($M$1109-$P$1109*AX1082))*180/PI(),-ATAN($J$1109*($M$1109-$P$1109*AX1082))*180/PI())</f>
        <v>53.13010235415598</v>
      </c>
      <c r="BC1082" s="54"/>
      <c r="BD1082" s="54">
        <f>IF(AX1082&lt;=$T$1104/2,-$H$1101*SIN(BB1082*PI()/180)-$F$1096*COS(BB1082*PI()/180)+$N$1081*AX1082*SIN(BB1082*PI()/180),IF(AND($T$1104/2&lt;AX1082,AX1082&lt;=($T$1104-$AC$1102)),-$AE$1101*SIN(BB1082*PI()/180)-$AI$1096*COS(BB1082*PI()/180)+$AA$1085*SIN(BB1082*PI()/180),-$AE$1101*SIN(BB1082*PI()/180)-$AI$1096*COS(BB1082*PI()/180)))</f>
        <v>-100.69999999999999</v>
      </c>
      <c r="BE1082" s="54"/>
      <c r="BF1082" s="54">
        <f>IF(AX1082&lt;=$T$1104/2,$H$1101*COS(BB1082*PI()/180)-$F$1096*SIN(BB1082*PI()/180)-$N$1081*AX1082*COS(BB1082*PI()/180),IF(AND($T$1104/2&lt;AX1082,AX1082&lt;=($T$1104-$AC$1102)),-$AE$1101*COS(BB1082*PI()/180)+$AI$1096*SIN(BB1082*PI()/180)+$AA$1085*COS(BB1082*PI()/180),-$AE$1101*COS(BB1082*PI()/180)+$AI$1096*SIN(BB1082*PI()/180)))</f>
        <v>17.399999999999999</v>
      </c>
      <c r="BG1082" s="54"/>
      <c r="BH1082" s="54">
        <f t="shared" ref="BH1082" si="101">IF(AX1082&lt;=$T$1104/2,$H$1101*AX1082-$F$1096*AZ1082-$N$1081*AX1082*AX1082/2,IF(AND($T$1104/2&lt;AX1082,AX1082&lt;=($T$1104-$AC$1102)),$AE$1101*($T$1104-AX1082)-$AI$1096*AZ1082-$AA$1085*($T$1104/2+$W$1102-AX1082),$AE$1101*($T$1104-AX1082)-$AI$1096*AZ1082))</f>
        <v>0</v>
      </c>
      <c r="BI1082" s="54"/>
      <c r="BJ1082" s="3"/>
    </row>
    <row r="1083" spans="2:62" ht="11.25" customHeight="1">
      <c r="B1083" s="2"/>
      <c r="AV1083" s="25">
        <v>1</v>
      </c>
      <c r="AW1083" s="26"/>
      <c r="AX1083" s="30">
        <f>($T$1104/2)/12+AX1082</f>
        <v>0.5</v>
      </c>
      <c r="AY1083" s="28"/>
      <c r="AZ1083" s="54">
        <f t="shared" ref="AZ1083:AZ1113" si="102">4*$AN$1089*AX1083*($T$1104-AX1083)/$T$1104^2</f>
        <v>0.63888888888888884</v>
      </c>
      <c r="BA1083" s="54"/>
      <c r="BB1083" s="54">
        <f t="shared" si="100"/>
        <v>50.710593137499636</v>
      </c>
      <c r="BC1083" s="54"/>
      <c r="BD1083" s="54">
        <f t="shared" ref="BD1083:BD1113" si="103">IF(AX1083&lt;=$T$1104/2,-$H$1101*SIN(BB1083*PI()/180)-$F$1096*COS(BB1083*PI()/180)+$N$1081*AX1083*SIN(BB1083*PI()/180),IF(AND($T$1104/2&lt;AX1083,AX1083&lt;=($T$1104-$AC$1102)),-$AE$1101*SIN(BB1083*PI()/180)-$AI$1096*COS(BB1083*PI()/180)+$AA$1085*SIN(BB1083*PI()/180),-$AE$1101*SIN(BB1083*PI()/180)-$AI$1096*COS(BB1083*PI()/180)))</f>
        <v>-92.13609848243172</v>
      </c>
      <c r="BE1083" s="54"/>
      <c r="BF1083" s="54">
        <f t="shared" ref="BF1083:BF1113" si="104">IF(AX1083&lt;=$T$1104/2,$H$1101*COS(BB1083*PI()/180)-$F$1096*SIN(BB1083*PI()/180)-$N$1081*AX1083*COS(BB1083*PI()/180),IF(AND($T$1104/2&lt;AX1083,AX1083&lt;=($T$1104-$AC$1102)),-$AE$1101*COS(BB1083*PI()/180)+$AI$1096*SIN(BB1083*PI()/180)+$AA$1085*COS(BB1083*PI()/180),-$AE$1101*COS(BB1083*PI()/180)+$AI$1096*SIN(BB1083*PI()/180)))</f>
        <v>15.303246597883859</v>
      </c>
      <c r="BG1083" s="54"/>
      <c r="BH1083" s="54">
        <f t="shared" ref="BH1083:BH1113" si="105">IF(AX1083&lt;=$T$1104/2,$H$1101*AX1083-$F$1096*AZ1083-$N$1081*AX1083*AX1083/2,IF(AND($T$1104/2&lt;AX1083,AX1083&lt;=($T$1104-$AC$1102)),$AE$1101*($T$1104-AX1083)-$AI$1096*AZ1083-$AA$1085*($T$1104/2+$W$1102-AX1083),$AE$1101*($T$1104-AX1083)-$AI$1096*AZ1083))</f>
        <v>13.291666666666668</v>
      </c>
      <c r="BI1083" s="54"/>
      <c r="BJ1083" s="3"/>
    </row>
    <row r="1084" spans="2:62" ht="11.25" customHeight="1">
      <c r="B1084" s="2"/>
      <c r="D1084" s="5"/>
      <c r="T1084" s="1" t="s">
        <v>18</v>
      </c>
      <c r="AL1084" s="5" t="s">
        <v>1</v>
      </c>
      <c r="AV1084" s="25">
        <v>2</v>
      </c>
      <c r="AW1084" s="26"/>
      <c r="AX1084" s="30">
        <f t="shared" ref="AX1084:AX1094" si="106">($T$1104/2)/12+AX1083</f>
        <v>1</v>
      </c>
      <c r="AY1084" s="28"/>
      <c r="AZ1084" s="54">
        <f t="shared" si="102"/>
        <v>1.2222222222222223</v>
      </c>
      <c r="BA1084" s="54"/>
      <c r="BB1084" s="54">
        <f t="shared" si="100"/>
        <v>48.012787504183336</v>
      </c>
      <c r="BC1084" s="54"/>
      <c r="BD1084" s="54">
        <f t="shared" si="103"/>
        <v>-83.880744403992722</v>
      </c>
      <c r="BE1084" s="54"/>
      <c r="BF1084" s="54">
        <f t="shared" si="104"/>
        <v>12.933318144700701</v>
      </c>
      <c r="BG1084" s="54"/>
      <c r="BH1084" s="54">
        <f t="shared" si="105"/>
        <v>24.166666666666664</v>
      </c>
      <c r="BI1084" s="54"/>
      <c r="BJ1084" s="3"/>
    </row>
    <row r="1085" spans="2:62" ht="11.25" customHeight="1">
      <c r="B1085" s="2"/>
      <c r="D1085" s="37" t="s">
        <v>71</v>
      </c>
      <c r="AA1085" s="34">
        <v>4</v>
      </c>
      <c r="AB1085" s="34"/>
      <c r="AC1085" s="1" t="s">
        <v>0</v>
      </c>
      <c r="AL1085" s="37">
        <f>+AN1089-AL1091</f>
        <v>1</v>
      </c>
      <c r="AV1085" s="25">
        <v>3</v>
      </c>
      <c r="AW1085" s="26"/>
      <c r="AX1085" s="30">
        <f t="shared" si="106"/>
        <v>1.5</v>
      </c>
      <c r="AY1085" s="28"/>
      <c r="AZ1085" s="54">
        <f t="shared" si="102"/>
        <v>1.75</v>
      </c>
      <c r="BA1085" s="54"/>
      <c r="BB1085" s="54">
        <f t="shared" si="100"/>
        <v>45</v>
      </c>
      <c r="BC1085" s="54"/>
      <c r="BD1085" s="54">
        <f t="shared" si="103"/>
        <v>-76.013978977553847</v>
      </c>
      <c r="BE1085" s="54"/>
      <c r="BF1085" s="54">
        <f t="shared" si="104"/>
        <v>10.253048327204951</v>
      </c>
      <c r="BG1085" s="54"/>
      <c r="BH1085" s="54">
        <f t="shared" si="105"/>
        <v>32.625</v>
      </c>
      <c r="BI1085" s="54"/>
      <c r="BJ1085" s="3"/>
    </row>
    <row r="1086" spans="2:62" ht="11.25" customHeight="1">
      <c r="B1086" s="2"/>
      <c r="D1086" s="37"/>
      <c r="AL1086" s="37"/>
      <c r="AV1086" s="25">
        <v>4</v>
      </c>
      <c r="AW1086" s="26"/>
      <c r="AX1086" s="30">
        <f t="shared" si="106"/>
        <v>2</v>
      </c>
      <c r="AY1086" s="28"/>
      <c r="AZ1086" s="54">
        <f t="shared" si="102"/>
        <v>2.2222222222222223</v>
      </c>
      <c r="BA1086" s="54"/>
      <c r="BB1086" s="54">
        <f t="shared" si="100"/>
        <v>41.633539336570202</v>
      </c>
      <c r="BC1086" s="54"/>
      <c r="BD1086" s="54">
        <f t="shared" si="103"/>
        <v>-68.637089099116082</v>
      </c>
      <c r="BE1086" s="54"/>
      <c r="BF1086" s="54">
        <f t="shared" si="104"/>
        <v>7.2249567472753746</v>
      </c>
      <c r="BG1086" s="54"/>
      <c r="BH1086" s="54">
        <f t="shared" si="105"/>
        <v>38.666666666666657</v>
      </c>
      <c r="BI1086" s="54"/>
      <c r="BJ1086" s="3"/>
    </row>
    <row r="1087" spans="2:62" ht="11.25" customHeight="1">
      <c r="B1087" s="2"/>
      <c r="D1087" s="37"/>
      <c r="M1087" s="1" t="s">
        <v>17</v>
      </c>
      <c r="AB1087" s="6" t="s">
        <v>30</v>
      </c>
      <c r="AL1087" s="37"/>
      <c r="AV1087" s="25">
        <v>5</v>
      </c>
      <c r="AW1087" s="26"/>
      <c r="AX1087" s="30">
        <f t="shared" si="106"/>
        <v>2.5</v>
      </c>
      <c r="AY1087" s="28"/>
      <c r="AZ1087" s="54">
        <f t="shared" si="102"/>
        <v>2.6388888888888888</v>
      </c>
      <c r="BA1087" s="54"/>
      <c r="BB1087" s="54">
        <f t="shared" si="100"/>
        <v>37.874983651098198</v>
      </c>
      <c r="BC1087" s="54"/>
      <c r="BD1087" s="54">
        <f t="shared" si="103"/>
        <v>-61.876443262110911</v>
      </c>
      <c r="BE1087" s="54"/>
      <c r="BF1087" s="54">
        <f t="shared" si="104"/>
        <v>3.8152023839855786</v>
      </c>
      <c r="BG1087" s="54"/>
      <c r="BH1087" s="54">
        <f t="shared" si="105"/>
        <v>42.291666666666671</v>
      </c>
      <c r="BI1087" s="54"/>
      <c r="BJ1087" s="3"/>
    </row>
    <row r="1088" spans="2:62" ht="11.25" customHeight="1">
      <c r="B1088" s="2"/>
      <c r="AN1088" s="5" t="s">
        <v>1</v>
      </c>
      <c r="AV1088" s="25">
        <v>6</v>
      </c>
      <c r="AW1088" s="26"/>
      <c r="AX1088" s="30">
        <f t="shared" si="106"/>
        <v>3</v>
      </c>
      <c r="AY1088" s="28"/>
      <c r="AZ1088" s="54">
        <f t="shared" si="102"/>
        <v>3</v>
      </c>
      <c r="BA1088" s="54"/>
      <c r="BB1088" s="54">
        <f t="shared" si="100"/>
        <v>33.690067525979785</v>
      </c>
      <c r="BC1088" s="54"/>
      <c r="BD1088" s="54">
        <f t="shared" si="103"/>
        <v>-55.886044769691836</v>
      </c>
      <c r="BE1088" s="54"/>
      <c r="BF1088" s="54">
        <f t="shared" si="104"/>
        <v>7.1054273576010019E-15</v>
      </c>
      <c r="BG1088" s="54"/>
      <c r="BH1088" s="54">
        <f t="shared" si="105"/>
        <v>43.5</v>
      </c>
      <c r="BI1088" s="54"/>
      <c r="BJ1088" s="3"/>
    </row>
    <row r="1089" spans="2:62" ht="11.25" customHeight="1">
      <c r="B1089" s="2"/>
      <c r="AN1089" s="38">
        <v>4</v>
      </c>
      <c r="AV1089" s="25">
        <v>7</v>
      </c>
      <c r="AW1089" s="26"/>
      <c r="AX1089" s="30">
        <f t="shared" si="106"/>
        <v>3.5</v>
      </c>
      <c r="AY1089" s="28"/>
      <c r="AZ1089" s="54">
        <f t="shared" si="102"/>
        <v>3.3055555555555554</v>
      </c>
      <c r="BA1089" s="54"/>
      <c r="BB1089" s="54">
        <f t="shared" si="100"/>
        <v>29.054604099077146</v>
      </c>
      <c r="BC1089" s="54"/>
      <c r="BD1089" s="54">
        <f t="shared" si="103"/>
        <v>-50.846814894402783</v>
      </c>
      <c r="BE1089" s="54"/>
      <c r="BF1089" s="54">
        <f t="shared" si="104"/>
        <v>-4.2250935012540936</v>
      </c>
      <c r="BG1089" s="54"/>
      <c r="BH1089" s="54">
        <f t="shared" si="105"/>
        <v>42.291666666666686</v>
      </c>
      <c r="BI1089" s="54"/>
      <c r="BJ1089" s="3"/>
    </row>
    <row r="1090" spans="2:62" ht="11.25" customHeight="1">
      <c r="B1090" s="2"/>
      <c r="D1090" s="5"/>
      <c r="AL1090" s="5" t="s">
        <v>1</v>
      </c>
      <c r="AN1090" s="38"/>
      <c r="AV1090" s="25">
        <v>8</v>
      </c>
      <c r="AW1090" s="26"/>
      <c r="AX1090" s="30">
        <f t="shared" si="106"/>
        <v>4</v>
      </c>
      <c r="AY1090" s="28"/>
      <c r="AZ1090" s="54">
        <f t="shared" si="102"/>
        <v>3.5555555555555554</v>
      </c>
      <c r="BA1090" s="54"/>
      <c r="BB1090" s="54">
        <f t="shared" si="100"/>
        <v>23.962488974578182</v>
      </c>
      <c r="BC1090" s="54"/>
      <c r="BD1090" s="54">
        <f t="shared" si="103"/>
        <v>-46.959760137429868</v>
      </c>
      <c r="BE1090" s="54"/>
      <c r="BF1090" s="54">
        <f t="shared" si="104"/>
        <v>-8.8335116366624788</v>
      </c>
      <c r="BG1090" s="54"/>
      <c r="BH1090" s="54">
        <f t="shared" si="105"/>
        <v>38.666666666666686</v>
      </c>
      <c r="BI1090" s="54"/>
      <c r="BJ1090" s="3"/>
    </row>
    <row r="1091" spans="2:62" ht="11.25" customHeight="1">
      <c r="B1091" s="2"/>
      <c r="D1091" s="37" t="s">
        <v>58</v>
      </c>
      <c r="I1091" s="1" t="s">
        <v>58</v>
      </c>
      <c r="AL1091" s="37">
        <f>+Y1107</f>
        <v>3</v>
      </c>
      <c r="AN1091" s="38"/>
      <c r="AV1091" s="25">
        <v>9</v>
      </c>
      <c r="AW1091" s="26"/>
      <c r="AX1091" s="30">
        <f t="shared" si="106"/>
        <v>4.5</v>
      </c>
      <c r="AY1091" s="28"/>
      <c r="AZ1091" s="54">
        <f t="shared" si="102"/>
        <v>3.75</v>
      </c>
      <c r="BA1091" s="54"/>
      <c r="BB1091" s="54">
        <f t="shared" si="100"/>
        <v>18.43494882292201</v>
      </c>
      <c r="BC1091" s="54"/>
      <c r="BD1091" s="54">
        <f t="shared" si="103"/>
        <v>-44.430001125365735</v>
      </c>
      <c r="BE1091" s="54"/>
      <c r="BF1091" s="54">
        <f t="shared" si="104"/>
        <v>-13.755907821732436</v>
      </c>
      <c r="BG1091" s="54"/>
      <c r="BH1091" s="54">
        <f t="shared" si="105"/>
        <v>32.625</v>
      </c>
      <c r="BI1091" s="54"/>
      <c r="BJ1091" s="3"/>
    </row>
    <row r="1092" spans="2:62" ht="11.25" customHeight="1">
      <c r="B1092" s="2"/>
      <c r="D1092" s="37"/>
      <c r="AL1092" s="37"/>
      <c r="AN1092" s="37" t="s">
        <v>42</v>
      </c>
      <c r="AV1092" s="25">
        <v>10</v>
      </c>
      <c r="AW1092" s="26"/>
      <c r="AX1092" s="30">
        <f t="shared" si="106"/>
        <v>5</v>
      </c>
      <c r="AY1092" s="28"/>
      <c r="AZ1092" s="54">
        <f t="shared" si="102"/>
        <v>3.8888888888888888</v>
      </c>
      <c r="BA1092" s="54"/>
      <c r="BB1092" s="54">
        <f t="shared" si="100"/>
        <v>12.528807709151511</v>
      </c>
      <c r="BC1092" s="54"/>
      <c r="BD1092" s="54">
        <f t="shared" si="103"/>
        <v>-43.44032417818589</v>
      </c>
      <c r="BE1092" s="54"/>
      <c r="BF1092" s="54">
        <f t="shared" si="104"/>
        <v>-18.872949830223078</v>
      </c>
      <c r="BG1092" s="54"/>
      <c r="BH1092" s="54">
        <f t="shared" si="105"/>
        <v>24.166666666666629</v>
      </c>
      <c r="BI1092" s="54"/>
      <c r="BJ1092" s="3"/>
    </row>
    <row r="1093" spans="2:62" ht="11.25" customHeight="1">
      <c r="B1093" s="2"/>
      <c r="D1093" s="37"/>
      <c r="AL1093" s="37"/>
      <c r="AN1093" s="37"/>
      <c r="AV1093" s="25">
        <v>11</v>
      </c>
      <c r="AW1093" s="26"/>
      <c r="AX1093" s="30">
        <f t="shared" si="106"/>
        <v>5.5</v>
      </c>
      <c r="AY1093" s="28"/>
      <c r="AZ1093" s="54">
        <f t="shared" si="102"/>
        <v>3.9722222222222223</v>
      </c>
      <c r="BA1093" s="54"/>
      <c r="BB1093" s="54">
        <f t="shared" si="100"/>
        <v>6.3401917459099089</v>
      </c>
      <c r="BC1093" s="54"/>
      <c r="BD1093" s="54">
        <f t="shared" si="103"/>
        <v>-44.117394666901191</v>
      </c>
      <c r="BE1093" s="54"/>
      <c r="BF1093" s="54">
        <f t="shared" si="104"/>
        <v>-24.018856921279124</v>
      </c>
      <c r="BG1093" s="54"/>
      <c r="BH1093" s="54">
        <f t="shared" si="105"/>
        <v>13.291666666666629</v>
      </c>
      <c r="BI1093" s="54"/>
      <c r="BJ1093" s="3"/>
    </row>
    <row r="1094" spans="2:62" ht="11.25" customHeight="1">
      <c r="B1094" s="2"/>
      <c r="AV1094" s="25">
        <v>12</v>
      </c>
      <c r="AW1094" s="26"/>
      <c r="AX1094" s="30">
        <f t="shared" si="106"/>
        <v>6</v>
      </c>
      <c r="AY1094" s="28"/>
      <c r="AZ1094" s="54">
        <f t="shared" si="102"/>
        <v>4</v>
      </c>
      <c r="BA1094" s="54"/>
      <c r="BB1094" s="54">
        <f t="shared" si="100"/>
        <v>0</v>
      </c>
      <c r="BC1094" s="54"/>
      <c r="BD1094" s="54">
        <f t="shared" si="103"/>
        <v>-46.5</v>
      </c>
      <c r="BE1094" s="54"/>
      <c r="BF1094" s="54">
        <f t="shared" si="104"/>
        <v>-29</v>
      </c>
      <c r="BG1094" s="54"/>
      <c r="BH1094" s="54">
        <f t="shared" si="105"/>
        <v>0</v>
      </c>
      <c r="BI1094" s="54"/>
      <c r="BJ1094" s="3"/>
    </row>
    <row r="1095" spans="2:62" ht="11.25" customHeight="1">
      <c r="B1095" s="2"/>
      <c r="AV1095" s="25">
        <v>13</v>
      </c>
      <c r="AW1095" s="26"/>
      <c r="AX1095" s="30">
        <f>($T$1104/2-$AC$1102)/9+AX1094</f>
        <v>6.333333333333333</v>
      </c>
      <c r="AY1095" s="28"/>
      <c r="AZ1095" s="54">
        <f t="shared" si="102"/>
        <v>3.9876543209876538</v>
      </c>
      <c r="BA1095" s="54"/>
      <c r="BB1095" s="54">
        <f t="shared" si="100"/>
        <v>4.2363947990588366</v>
      </c>
      <c r="BC1095" s="54"/>
      <c r="BD1095" s="54">
        <f t="shared" si="103"/>
        <v>-48.515229462181004</v>
      </c>
      <c r="BE1095" s="54"/>
      <c r="BF1095" s="54">
        <f t="shared" si="104"/>
        <v>-25.485731502782563</v>
      </c>
      <c r="BG1095" s="54"/>
      <c r="BH1095" s="54">
        <f t="shared" si="105"/>
        <v>-9.0925925925925632</v>
      </c>
      <c r="BI1095" s="54"/>
      <c r="BJ1095" s="3"/>
    </row>
    <row r="1096" spans="2:62" ht="11.25" customHeight="1">
      <c r="B1096" s="2"/>
      <c r="D1096" s="1" t="s">
        <v>5</v>
      </c>
      <c r="F1096" s="24">
        <f>+AF1113</f>
        <v>46.5</v>
      </c>
      <c r="G1096" s="24"/>
      <c r="H1096" s="1" t="s">
        <v>0</v>
      </c>
      <c r="L1096" s="1" t="s">
        <v>48</v>
      </c>
      <c r="AE1096" s="1" t="s">
        <v>33</v>
      </c>
      <c r="AG1096" s="1" t="s">
        <v>6</v>
      </c>
      <c r="AI1096" s="24">
        <f>+AC1114</f>
        <v>46.5</v>
      </c>
      <c r="AJ1096" s="24"/>
      <c r="AK1096" s="1" t="s">
        <v>0</v>
      </c>
      <c r="AV1096" s="25">
        <v>14</v>
      </c>
      <c r="AW1096" s="26"/>
      <c r="AX1096" s="30">
        <f t="shared" ref="AX1096:AX1103" si="107">($T$1104/2-$AC$1102)/9+AX1095</f>
        <v>6.6666666666666661</v>
      </c>
      <c r="AY1096" s="28"/>
      <c r="AZ1096" s="54">
        <f t="shared" si="102"/>
        <v>3.9506172839506175</v>
      </c>
      <c r="BA1096" s="54"/>
      <c r="BB1096" s="54">
        <f t="shared" si="100"/>
        <v>8.4269690214806641</v>
      </c>
      <c r="BC1096" s="54"/>
      <c r="BD1096" s="54">
        <f t="shared" si="103"/>
        <v>-50.247872171049394</v>
      </c>
      <c r="BE1096" s="54"/>
      <c r="BF1096" s="54">
        <f t="shared" si="104"/>
        <v>-21.872387667602261</v>
      </c>
      <c r="BG1096" s="54"/>
      <c r="BH1096" s="54">
        <f t="shared" si="105"/>
        <v>-17.037037037037031</v>
      </c>
      <c r="BI1096" s="54"/>
      <c r="BJ1096" s="3"/>
    </row>
    <row r="1097" spans="2:62" ht="11.25" customHeight="1">
      <c r="B1097" s="2"/>
      <c r="AV1097" s="25">
        <v>15</v>
      </c>
      <c r="AW1097" s="26"/>
      <c r="AX1097" s="30">
        <f t="shared" si="107"/>
        <v>6.9999999999999991</v>
      </c>
      <c r="AY1097" s="28"/>
      <c r="AZ1097" s="54">
        <f t="shared" si="102"/>
        <v>3.8888888888888888</v>
      </c>
      <c r="BA1097" s="54"/>
      <c r="BB1097" s="54">
        <f t="shared" si="100"/>
        <v>12.528807709151501</v>
      </c>
      <c r="BC1097" s="54"/>
      <c r="BD1097" s="54">
        <f t="shared" si="103"/>
        <v>-51.683681575294834</v>
      </c>
      <c r="BE1097" s="54"/>
      <c r="BF1097" s="54">
        <f t="shared" si="104"/>
        <v>-18.222158456767133</v>
      </c>
      <c r="BG1097" s="54"/>
      <c r="BH1097" s="54">
        <f t="shared" si="105"/>
        <v>-23.833333333333318</v>
      </c>
      <c r="BI1097" s="54"/>
      <c r="BJ1097" s="3"/>
    </row>
    <row r="1098" spans="2:62" ht="11.25" customHeight="1">
      <c r="B1098" s="2"/>
      <c r="AV1098" s="25">
        <v>16</v>
      </c>
      <c r="AW1098" s="26"/>
      <c r="AX1098" s="30">
        <f t="shared" si="107"/>
        <v>7.3333333333333321</v>
      </c>
      <c r="AY1098" s="28"/>
      <c r="AZ1098" s="54">
        <f t="shared" si="102"/>
        <v>3.80246913580247</v>
      </c>
      <c r="BA1098" s="54"/>
      <c r="BB1098" s="54">
        <f t="shared" si="100"/>
        <v>16.504361381755</v>
      </c>
      <c r="BC1098" s="54"/>
      <c r="BD1098" s="54">
        <f t="shared" si="103"/>
        <v>-52.822673801989843</v>
      </c>
      <c r="BE1098" s="54"/>
      <c r="BF1098" s="54">
        <f t="shared" si="104"/>
        <v>-14.595037937894357</v>
      </c>
      <c r="BG1098" s="54"/>
      <c r="BH1098" s="54">
        <f t="shared" si="105"/>
        <v>-29.481481481481509</v>
      </c>
      <c r="BI1098" s="54"/>
      <c r="BJ1098" s="3"/>
    </row>
    <row r="1099" spans="2:62" ht="11.25" customHeight="1">
      <c r="B1099" s="2"/>
      <c r="AV1099" s="25">
        <v>17</v>
      </c>
      <c r="AW1099" s="26"/>
      <c r="AX1099" s="30">
        <f t="shared" si="107"/>
        <v>7.6666666666666652</v>
      </c>
      <c r="AY1099" s="28"/>
      <c r="AZ1099" s="54">
        <f t="shared" si="102"/>
        <v>3.6913580246913589</v>
      </c>
      <c r="BA1099" s="54"/>
      <c r="BB1099" s="54">
        <f t="shared" si="100"/>
        <v>20.323136829662925</v>
      </c>
      <c r="BC1099" s="54"/>
      <c r="BD1099" s="54">
        <f t="shared" si="103"/>
        <v>-53.677433692536432</v>
      </c>
      <c r="BE1099" s="54"/>
      <c r="BF1099" s="54">
        <f t="shared" si="104"/>
        <v>-11.044596515190303</v>
      </c>
      <c r="BG1099" s="54"/>
      <c r="BH1099" s="54">
        <f t="shared" si="105"/>
        <v>-33.981481481481467</v>
      </c>
      <c r="BI1099" s="54"/>
      <c r="BJ1099" s="3"/>
    </row>
    <row r="1100" spans="2:62" ht="11.25" customHeight="1">
      <c r="B1100" s="2"/>
      <c r="AV1100" s="25">
        <v>18</v>
      </c>
      <c r="AW1100" s="26"/>
      <c r="AX1100" s="30">
        <f t="shared" si="107"/>
        <v>7.9999999999999982</v>
      </c>
      <c r="AY1100" s="28"/>
      <c r="AZ1100" s="54">
        <f t="shared" si="102"/>
        <v>3.5555555555555562</v>
      </c>
      <c r="BA1100" s="54"/>
      <c r="BB1100" s="54">
        <f t="shared" si="100"/>
        <v>23.962488974578164</v>
      </c>
      <c r="BC1100" s="54"/>
      <c r="BD1100" s="54">
        <f t="shared" si="103"/>
        <v>-54.270252526391936</v>
      </c>
      <c r="BE1100" s="54"/>
      <c r="BF1100" s="54">
        <f t="shared" si="104"/>
        <v>-7.6150962385021597</v>
      </c>
      <c r="BG1100" s="54"/>
      <c r="BH1100" s="54">
        <f t="shared" si="105"/>
        <v>-37.333333333333321</v>
      </c>
      <c r="BI1100" s="54"/>
      <c r="BJ1100" s="3"/>
    </row>
    <row r="1101" spans="2:62" ht="11.25" customHeight="1">
      <c r="B1101" s="2"/>
      <c r="F1101" s="1" t="s">
        <v>4</v>
      </c>
      <c r="H1101" s="24">
        <f>+AF1111</f>
        <v>91</v>
      </c>
      <c r="I1101" s="24"/>
      <c r="J1101" s="1" t="s">
        <v>0</v>
      </c>
      <c r="AC1101" s="1" t="s">
        <v>7</v>
      </c>
      <c r="AE1101" s="24">
        <f>+Z1112</f>
        <v>33</v>
      </c>
      <c r="AF1101" s="24"/>
      <c r="AG1101" s="1" t="s">
        <v>0</v>
      </c>
      <c r="AV1101" s="25">
        <v>19</v>
      </c>
      <c r="AW1101" s="26"/>
      <c r="AX1101" s="30">
        <f t="shared" si="107"/>
        <v>8.3333333333333321</v>
      </c>
      <c r="AY1101" s="28"/>
      <c r="AZ1101" s="54">
        <f t="shared" si="102"/>
        <v>3.3950617283950622</v>
      </c>
      <c r="BA1101" s="54"/>
      <c r="BB1101" s="54">
        <f t="shared" si="100"/>
        <v>27.407575437818391</v>
      </c>
      <c r="BC1101" s="54"/>
      <c r="BD1101" s="54">
        <f t="shared" si="103"/>
        <v>-54.629783481570222</v>
      </c>
      <c r="BE1101" s="54"/>
      <c r="BF1101" s="54">
        <f t="shared" si="104"/>
        <v>-4.3401332648614463</v>
      </c>
      <c r="BG1101" s="54"/>
      <c r="BH1101" s="54">
        <f t="shared" si="105"/>
        <v>-39.53703703703701</v>
      </c>
      <c r="BI1101" s="54"/>
      <c r="BJ1101" s="3"/>
    </row>
    <row r="1102" spans="2:62" ht="11.25" customHeight="1">
      <c r="B1102" s="2"/>
      <c r="J1102" s="24" t="s">
        <v>48</v>
      </c>
      <c r="K1102" s="24"/>
      <c r="L1102" s="24"/>
      <c r="P1102" s="24" t="s">
        <v>72</v>
      </c>
      <c r="Q1102" s="24"/>
      <c r="R1102" s="24"/>
      <c r="W1102" s="24">
        <f>+T1104/2-AC1102</f>
        <v>3</v>
      </c>
      <c r="X1102" s="24"/>
      <c r="Y1102" s="1" t="s">
        <v>1</v>
      </c>
      <c r="AC1102" s="34">
        <v>3</v>
      </c>
      <c r="AD1102" s="34"/>
      <c r="AE1102" s="1" t="s">
        <v>1</v>
      </c>
      <c r="AV1102" s="25">
        <v>20</v>
      </c>
      <c r="AW1102" s="26"/>
      <c r="AX1102" s="30">
        <f t="shared" si="107"/>
        <v>8.6666666666666661</v>
      </c>
      <c r="AY1102" s="28"/>
      <c r="AZ1102" s="54">
        <f t="shared" si="102"/>
        <v>3.209876543209877</v>
      </c>
      <c r="BA1102" s="54"/>
      <c r="BB1102" s="54">
        <f t="shared" si="100"/>
        <v>30.650667957052857</v>
      </c>
      <c r="BC1102" s="54"/>
      <c r="BD1102" s="54">
        <f t="shared" si="103"/>
        <v>-54.787825632739356</v>
      </c>
      <c r="BE1102" s="54"/>
      <c r="BF1102" s="54">
        <f t="shared" si="104"/>
        <v>-1.2426433263604828</v>
      </c>
      <c r="BG1102" s="54"/>
      <c r="BH1102" s="54">
        <f t="shared" si="105"/>
        <v>-40.592592592592617</v>
      </c>
      <c r="BI1102" s="54"/>
      <c r="BJ1102" s="3"/>
    </row>
    <row r="1103" spans="2:62" ht="11.25" customHeight="1">
      <c r="B1103" s="2"/>
      <c r="AV1103" s="25">
        <v>21</v>
      </c>
      <c r="AW1103" s="26"/>
      <c r="AX1103" s="33">
        <f t="shared" si="107"/>
        <v>9</v>
      </c>
      <c r="AY1103" s="25"/>
      <c r="AZ1103" s="55">
        <f t="shared" si="102"/>
        <v>3</v>
      </c>
      <c r="BA1103" s="55"/>
      <c r="BB1103" s="55">
        <f t="shared" si="100"/>
        <v>33.690067525979785</v>
      </c>
      <c r="BC1103" s="55"/>
      <c r="BD1103" s="55">
        <f t="shared" si="103"/>
        <v>-54.776644377241375</v>
      </c>
      <c r="BE1103" s="55"/>
      <c r="BF1103" s="55">
        <f t="shared" si="104"/>
        <v>1.6641005886756841</v>
      </c>
      <c r="BG1103" s="55"/>
      <c r="BH1103" s="55">
        <f t="shared" si="105"/>
        <v>-40.5</v>
      </c>
      <c r="BI1103" s="55"/>
      <c r="BJ1103" s="3"/>
    </row>
    <row r="1104" spans="2:62" ht="11.25" customHeight="1">
      <c r="B1104" s="2"/>
      <c r="S1104" s="1" t="s">
        <v>43</v>
      </c>
      <c r="T1104" s="34">
        <v>12</v>
      </c>
      <c r="U1104" s="34"/>
      <c r="V1104" s="1" t="s">
        <v>1</v>
      </c>
      <c r="AV1104" s="25">
        <v>22</v>
      </c>
      <c r="AW1104" s="26"/>
      <c r="AX1104" s="33">
        <f>($T$1104/2-$AC$1102)/9+AX1102+0.000001</f>
        <v>9.0000009999999993</v>
      </c>
      <c r="AY1104" s="25"/>
      <c r="AZ1104" s="55">
        <f t="shared" si="102"/>
        <v>2.9999993333332231</v>
      </c>
      <c r="BA1104" s="55"/>
      <c r="BB1104" s="55">
        <f t="shared" si="100"/>
        <v>33.690076340714185</v>
      </c>
      <c r="BC1104" s="55"/>
      <c r="BD1104" s="55">
        <f t="shared" si="103"/>
        <v>-56.995445418157068</v>
      </c>
      <c r="BE1104" s="55"/>
      <c r="BF1104" s="55">
        <f t="shared" si="104"/>
        <v>-1.6640918201465524</v>
      </c>
      <c r="BG1104" s="55"/>
      <c r="BH1104" s="55">
        <f t="shared" si="105"/>
        <v>-40.500001999994851</v>
      </c>
      <c r="BI1104" s="55"/>
      <c r="BJ1104" s="3"/>
    </row>
    <row r="1105" spans="2:62" ht="11.25" customHeight="1">
      <c r="B1105" s="2"/>
      <c r="AV1105" s="25">
        <v>23</v>
      </c>
      <c r="AW1105" s="26"/>
      <c r="AX1105" s="30">
        <f>$AC$1102/9+AX1103</f>
        <v>9.3333333333333339</v>
      </c>
      <c r="AY1105" s="28"/>
      <c r="AZ1105" s="54">
        <f t="shared" si="102"/>
        <v>2.7654320987654319</v>
      </c>
      <c r="BA1105" s="54"/>
      <c r="BB1105" s="54">
        <f t="shared" si="100"/>
        <v>36.528855366985177</v>
      </c>
      <c r="BC1105" s="54"/>
      <c r="BD1105" s="54">
        <f t="shared" si="103"/>
        <v>-57.007918661180014</v>
      </c>
      <c r="BE1105" s="54"/>
      <c r="BF1105" s="54">
        <f t="shared" si="104"/>
        <v>1.1606937237201969</v>
      </c>
      <c r="BG1105" s="54"/>
      <c r="BH1105" s="54">
        <f t="shared" si="105"/>
        <v>-40.592592592592595</v>
      </c>
      <c r="BI1105" s="54"/>
      <c r="BJ1105" s="3"/>
    </row>
    <row r="1106" spans="2:62" ht="11.25" customHeight="1">
      <c r="B1106" s="2"/>
      <c r="F1106" s="1" t="s">
        <v>40</v>
      </c>
      <c r="AV1106" s="25">
        <v>24</v>
      </c>
      <c r="AW1106" s="26"/>
      <c r="AX1106" s="30">
        <f>$AC$1102/9+AX1105</f>
        <v>9.6666666666666679</v>
      </c>
      <c r="AY1106" s="28"/>
      <c r="AZ1106" s="54">
        <f t="shared" si="102"/>
        <v>2.506172839506172</v>
      </c>
      <c r="BA1106" s="54"/>
      <c r="BB1106" s="54">
        <f t="shared" si="100"/>
        <v>39.173657970444232</v>
      </c>
      <c r="BC1106" s="54"/>
      <c r="BD1106" s="54">
        <f t="shared" si="103"/>
        <v>-56.893634214907735</v>
      </c>
      <c r="BE1106" s="54"/>
      <c r="BF1106" s="54">
        <f t="shared" si="104"/>
        <v>3.7900377069734219</v>
      </c>
      <c r="BG1106" s="54"/>
      <c r="BH1106" s="54">
        <f t="shared" si="105"/>
        <v>-39.537037037037038</v>
      </c>
      <c r="BI1106" s="54"/>
      <c r="BJ1106" s="3"/>
    </row>
    <row r="1107" spans="2:62" ht="11.25" customHeight="1">
      <c r="B1107" s="2"/>
      <c r="F1107" s="1" t="s">
        <v>41</v>
      </c>
      <c r="H1107" s="1">
        <v>4</v>
      </c>
      <c r="I1107" s="7" t="s">
        <v>10</v>
      </c>
      <c r="J1107" s="24">
        <f>+AN1089</f>
        <v>4</v>
      </c>
      <c r="K1107" s="24"/>
      <c r="L1107" s="7" t="s">
        <v>10</v>
      </c>
      <c r="M1107" s="24">
        <f>+T1104-AC1102</f>
        <v>9</v>
      </c>
      <c r="N1107" s="24"/>
      <c r="O1107" s="1" t="s">
        <v>44</v>
      </c>
      <c r="P1107" s="24">
        <f>+T1104</f>
        <v>12</v>
      </c>
      <c r="Q1107" s="24"/>
      <c r="R1107" s="7" t="s">
        <v>9</v>
      </c>
      <c r="S1107" s="24">
        <f>+M1107</f>
        <v>9</v>
      </c>
      <c r="T1107" s="24"/>
      <c r="U1107" s="1" t="s">
        <v>45</v>
      </c>
      <c r="V1107" s="24">
        <f>+P1107</f>
        <v>12</v>
      </c>
      <c r="W1107" s="24"/>
      <c r="X1107" s="1" t="s">
        <v>46</v>
      </c>
      <c r="Y1107" s="24">
        <f>H1107*J1107*M1107*(P1107-S1107)/V1107^2</f>
        <v>3</v>
      </c>
      <c r="Z1107" s="24"/>
      <c r="AA1107" s="1" t="s">
        <v>1</v>
      </c>
      <c r="AV1107" s="25">
        <v>25</v>
      </c>
      <c r="AW1107" s="26"/>
      <c r="AX1107" s="30">
        <f t="shared" ref="AX1107:AX1113" si="108">$AC$1102/9+AX1106</f>
        <v>10.000000000000002</v>
      </c>
      <c r="AY1107" s="28"/>
      <c r="AZ1107" s="54">
        <f t="shared" si="102"/>
        <v>2.2222222222222205</v>
      </c>
      <c r="BA1107" s="54"/>
      <c r="BB1107" s="54">
        <f t="shared" si="100"/>
        <v>41.633539336570209</v>
      </c>
      <c r="BC1107" s="54"/>
      <c r="BD1107" s="54">
        <f t="shared" si="103"/>
        <v>-56.67854000017752</v>
      </c>
      <c r="BE1107" s="54"/>
      <c r="BF1107" s="54">
        <f t="shared" si="104"/>
        <v>6.228410989030511</v>
      </c>
      <c r="BG1107" s="54"/>
      <c r="BH1107" s="54">
        <f t="shared" si="105"/>
        <v>-37.333333333333314</v>
      </c>
      <c r="BI1107" s="54"/>
      <c r="BJ1107" s="3"/>
    </row>
    <row r="1108" spans="2:62" ht="11.25" customHeight="1">
      <c r="B1108" s="2"/>
      <c r="F1108" s="1" t="s">
        <v>47</v>
      </c>
      <c r="N1108" s="1">
        <v>4</v>
      </c>
      <c r="O1108" s="7" t="s">
        <v>10</v>
      </c>
      <c r="P1108" s="24">
        <f>+AN1089</f>
        <v>4</v>
      </c>
      <c r="Q1108" s="24"/>
      <c r="R1108" s="7" t="s">
        <v>10</v>
      </c>
      <c r="S1108" s="7" t="s">
        <v>48</v>
      </c>
      <c r="T1108" s="1" t="s">
        <v>44</v>
      </c>
      <c r="U1108" s="24">
        <f>+T1104</f>
        <v>12</v>
      </c>
      <c r="V1108" s="24"/>
      <c r="W1108" s="7" t="s">
        <v>9</v>
      </c>
      <c r="X1108" s="7" t="s">
        <v>48</v>
      </c>
      <c r="Y1108" s="1" t="s">
        <v>45</v>
      </c>
      <c r="Z1108" s="24">
        <f>+U1108</f>
        <v>12</v>
      </c>
      <c r="AA1108" s="24"/>
      <c r="AB1108" s="1" t="s">
        <v>46</v>
      </c>
      <c r="AC1108" s="24">
        <f>+N1108*P1108/Z1108^2</f>
        <v>0.1111111111111111</v>
      </c>
      <c r="AD1108" s="24"/>
      <c r="AE1108" s="7" t="s">
        <v>10</v>
      </c>
      <c r="AF1108" s="7" t="s">
        <v>48</v>
      </c>
      <c r="AG1108" s="1" t="s">
        <v>44</v>
      </c>
      <c r="AH1108" s="24">
        <f>+U1108</f>
        <v>12</v>
      </c>
      <c r="AI1108" s="24"/>
      <c r="AJ1108" s="7" t="s">
        <v>9</v>
      </c>
      <c r="AK1108" s="7" t="s">
        <v>48</v>
      </c>
      <c r="AL1108" s="1" t="s">
        <v>49</v>
      </c>
      <c r="AV1108" s="25">
        <v>26</v>
      </c>
      <c r="AW1108" s="26"/>
      <c r="AX1108" s="30">
        <f t="shared" si="108"/>
        <v>10.333333333333336</v>
      </c>
      <c r="AY1108" s="28"/>
      <c r="AZ1108" s="54">
        <f t="shared" si="102"/>
        <v>1.9135802469135779</v>
      </c>
      <c r="BA1108" s="54"/>
      <c r="BB1108" s="54">
        <f t="shared" si="100"/>
        <v>43.919075813339326</v>
      </c>
      <c r="BC1108" s="54"/>
      <c r="BD1108" s="54">
        <f t="shared" si="103"/>
        <v>-56.385065600527597</v>
      </c>
      <c r="BE1108" s="54"/>
      <c r="BF1108" s="54">
        <f t="shared" si="104"/>
        <v>8.4837714033441216</v>
      </c>
      <c r="BG1108" s="54"/>
      <c r="BH1108" s="54">
        <f t="shared" si="105"/>
        <v>-33.981481481481445</v>
      </c>
      <c r="BI1108" s="54"/>
      <c r="BJ1108" s="3"/>
    </row>
    <row r="1109" spans="2:62" ht="11.25" customHeight="1">
      <c r="B1109" s="2"/>
      <c r="F1109" s="1" t="s">
        <v>50</v>
      </c>
      <c r="J1109" s="24">
        <f>+AC1108</f>
        <v>0.1111111111111111</v>
      </c>
      <c r="K1109" s="24"/>
      <c r="L1109" s="7" t="s">
        <v>44</v>
      </c>
      <c r="M1109" s="24">
        <f>+AH1108</f>
        <v>12</v>
      </c>
      <c r="N1109" s="24"/>
      <c r="O1109" s="7" t="s">
        <v>9</v>
      </c>
      <c r="P1109" s="1">
        <v>2</v>
      </c>
      <c r="Q1109" s="7" t="s">
        <v>10</v>
      </c>
      <c r="R1109" s="7" t="s">
        <v>48</v>
      </c>
      <c r="S1109" s="1" t="s">
        <v>49</v>
      </c>
      <c r="AV1109" s="25">
        <v>27</v>
      </c>
      <c r="AW1109" s="26"/>
      <c r="AX1109" s="30">
        <f t="shared" si="108"/>
        <v>10.66666666666667</v>
      </c>
      <c r="AY1109" s="28"/>
      <c r="AZ1109" s="54">
        <f t="shared" si="102"/>
        <v>1.5802469135802439</v>
      </c>
      <c r="BA1109" s="54"/>
      <c r="BB1109" s="54">
        <f t="shared" si="100"/>
        <v>46.04162667600999</v>
      </c>
      <c r="BC1109" s="54"/>
      <c r="BD1109" s="54">
        <f t="shared" si="103"/>
        <v>-56.0321657810494</v>
      </c>
      <c r="BE1109" s="54"/>
      <c r="BF1109" s="54">
        <f t="shared" si="104"/>
        <v>10.566285907782213</v>
      </c>
      <c r="BG1109" s="54"/>
      <c r="BH1109" s="54">
        <f t="shared" si="105"/>
        <v>-29.481481481481438</v>
      </c>
      <c r="BI1109" s="54"/>
      <c r="BJ1109" s="3"/>
    </row>
    <row r="1110" spans="2:62" ht="11.25" customHeight="1">
      <c r="B1110" s="2"/>
      <c r="F1110" s="4" t="s">
        <v>28</v>
      </c>
      <c r="AO1110" s="7"/>
      <c r="AV1110" s="25">
        <v>28</v>
      </c>
      <c r="AW1110" s="26"/>
      <c r="AX1110" s="30">
        <f t="shared" si="108"/>
        <v>11.000000000000004</v>
      </c>
      <c r="AY1110" s="28"/>
      <c r="AZ1110" s="54">
        <f t="shared" si="102"/>
        <v>1.2222222222222183</v>
      </c>
      <c r="BA1110" s="54"/>
      <c r="BB1110" s="54">
        <f t="shared" si="100"/>
        <v>48.012787504183358</v>
      </c>
      <c r="BC1110" s="54"/>
      <c r="BD1110" s="54">
        <f t="shared" si="103"/>
        <v>-55.635566846600391</v>
      </c>
      <c r="BE1110" s="54"/>
      <c r="BF1110" s="54">
        <f t="shared" si="104"/>
        <v>12.487341656952413</v>
      </c>
      <c r="BG1110" s="54"/>
      <c r="BH1110" s="54">
        <f t="shared" si="105"/>
        <v>-23.833333333333265</v>
      </c>
      <c r="BI1110" s="54"/>
      <c r="BJ1110" s="3"/>
    </row>
    <row r="1111" spans="2:62" ht="11.25" customHeight="1">
      <c r="B1111" s="2"/>
      <c r="F1111" s="1" t="s">
        <v>11</v>
      </c>
      <c r="H1111" s="24">
        <f>+T1104</f>
        <v>12</v>
      </c>
      <c r="I1111" s="24"/>
      <c r="J1111" s="7" t="s">
        <v>9</v>
      </c>
      <c r="K1111" s="24">
        <f>+N1081</f>
        <v>20</v>
      </c>
      <c r="L1111" s="24"/>
      <c r="M1111" s="7" t="s">
        <v>10</v>
      </c>
      <c r="N1111" s="24">
        <f>+T1104/2</f>
        <v>6</v>
      </c>
      <c r="O1111" s="24"/>
      <c r="P1111" s="7" t="s">
        <v>10</v>
      </c>
      <c r="Q1111" s="24">
        <f>+T1104/2+T1104/4</f>
        <v>9</v>
      </c>
      <c r="R1111" s="24"/>
      <c r="S1111" s="7" t="s">
        <v>9</v>
      </c>
      <c r="T1111" s="24">
        <f>+AA1085</f>
        <v>4</v>
      </c>
      <c r="U1111" s="24"/>
      <c r="V1111" s="7" t="s">
        <v>10</v>
      </c>
      <c r="W1111" s="24">
        <f>+AC1102</f>
        <v>3</v>
      </c>
      <c r="X1111" s="24"/>
      <c r="Y1111" s="7" t="s">
        <v>12</v>
      </c>
      <c r="Z1111" s="1">
        <v>0</v>
      </c>
      <c r="AD1111" s="1" t="s">
        <v>4</v>
      </c>
      <c r="AF1111" s="24">
        <f>(K1111*N1111*Q1111+T1111*W1111)/H1111</f>
        <v>91</v>
      </c>
      <c r="AG1111" s="24"/>
      <c r="AH1111" s="1" t="s">
        <v>0</v>
      </c>
      <c r="AV1111" s="25">
        <v>29</v>
      </c>
      <c r="AW1111" s="26"/>
      <c r="AX1111" s="30">
        <f t="shared" si="108"/>
        <v>11.333333333333337</v>
      </c>
      <c r="AY1111" s="28"/>
      <c r="AZ1111" s="54">
        <f t="shared" si="102"/>
        <v>0.83950617283950124</v>
      </c>
      <c r="BA1111" s="54"/>
      <c r="BB1111" s="54">
        <f t="shared" si="100"/>
        <v>49.844000375080704</v>
      </c>
      <c r="BC1111" s="54"/>
      <c r="BD1111" s="54">
        <f t="shared" si="103"/>
        <v>-55.208117629015291</v>
      </c>
      <c r="BE1111" s="54"/>
      <c r="BF1111" s="54">
        <f t="shared" si="104"/>
        <v>14.258812989194116</v>
      </c>
      <c r="BG1111" s="54"/>
      <c r="BH1111" s="54">
        <f t="shared" si="105"/>
        <v>-17.037037037036946</v>
      </c>
      <c r="BI1111" s="54"/>
      <c r="BJ1111" s="3"/>
    </row>
    <row r="1112" spans="2:62" ht="11.25" customHeight="1">
      <c r="B1112" s="2"/>
      <c r="F1112" s="1" t="s">
        <v>13</v>
      </c>
      <c r="H1112" s="24">
        <f>+H1101</f>
        <v>91</v>
      </c>
      <c r="I1112" s="24"/>
      <c r="J1112" s="7" t="s">
        <v>9</v>
      </c>
      <c r="K1112" s="24">
        <f>+N1081</f>
        <v>20</v>
      </c>
      <c r="L1112" s="24"/>
      <c r="M1112" s="7" t="s">
        <v>10</v>
      </c>
      <c r="N1112" s="24">
        <f>+T1104/2</f>
        <v>6</v>
      </c>
      <c r="O1112" s="24"/>
      <c r="P1112" s="7" t="s">
        <v>9</v>
      </c>
      <c r="Q1112" s="24">
        <f>+AA1085</f>
        <v>4</v>
      </c>
      <c r="R1112" s="24"/>
      <c r="S1112" s="7" t="s">
        <v>12</v>
      </c>
      <c r="T1112" s="1">
        <v>0</v>
      </c>
      <c r="X1112" s="1" t="s">
        <v>7</v>
      </c>
      <c r="Z1112" s="24">
        <f>+K1112*N1112+Q1112-H1112</f>
        <v>33</v>
      </c>
      <c r="AA1112" s="24"/>
      <c r="AB1112" s="1" t="s">
        <v>0</v>
      </c>
      <c r="AV1112" s="25">
        <v>30</v>
      </c>
      <c r="AW1112" s="26"/>
      <c r="AX1112" s="30">
        <f t="shared" si="108"/>
        <v>11.666666666666671</v>
      </c>
      <c r="AY1112" s="28"/>
      <c r="AZ1112" s="54">
        <f t="shared" si="102"/>
        <v>0.4320987654320928</v>
      </c>
      <c r="BA1112" s="54"/>
      <c r="BB1112" s="54">
        <f t="shared" si="100"/>
        <v>51.546290783294062</v>
      </c>
      <c r="BC1112" s="54"/>
      <c r="BD1112" s="54">
        <f t="shared" si="103"/>
        <v>-54.760177644917448</v>
      </c>
      <c r="BE1112" s="54"/>
      <c r="BF1112" s="54">
        <f t="shared" si="104"/>
        <v>15.892543669818334</v>
      </c>
      <c r="BG1112" s="54"/>
      <c r="BH1112" s="54">
        <f t="shared" si="105"/>
        <v>-9.0925925925924709</v>
      </c>
      <c r="BI1112" s="54"/>
      <c r="BJ1112" s="3"/>
    </row>
    <row r="1113" spans="2:62" ht="11.25" customHeight="1">
      <c r="B1113" s="2"/>
      <c r="F1113" s="1" t="s">
        <v>14</v>
      </c>
      <c r="H1113" s="24">
        <f>+AN1089</f>
        <v>4</v>
      </c>
      <c r="I1113" s="24"/>
      <c r="J1113" s="7" t="s">
        <v>9</v>
      </c>
      <c r="K1113" s="24">
        <f>+H1101</f>
        <v>91</v>
      </c>
      <c r="L1113" s="24"/>
      <c r="M1113" s="7" t="s">
        <v>10</v>
      </c>
      <c r="N1113" s="24">
        <f>+T1104/2</f>
        <v>6</v>
      </c>
      <c r="O1113" s="24"/>
      <c r="P1113" s="7" t="s">
        <v>15</v>
      </c>
      <c r="Q1113" s="24">
        <f>+N1081</f>
        <v>20</v>
      </c>
      <c r="R1113" s="24"/>
      <c r="S1113" s="7" t="s">
        <v>10</v>
      </c>
      <c r="T1113" s="24">
        <f>+T1104/2</f>
        <v>6</v>
      </c>
      <c r="U1113" s="24"/>
      <c r="V1113" s="7" t="s">
        <v>10</v>
      </c>
      <c r="W1113" s="24">
        <f>+T1113/2</f>
        <v>3</v>
      </c>
      <c r="X1113" s="24"/>
      <c r="Y1113" s="7" t="s">
        <v>12</v>
      </c>
      <c r="Z1113" s="1">
        <v>0</v>
      </c>
      <c r="AD1113" s="1" t="s">
        <v>5</v>
      </c>
      <c r="AF1113" s="24">
        <f>(K1113*N1113-Q1113*T1113*W1113)/H1113</f>
        <v>46.5</v>
      </c>
      <c r="AG1113" s="24"/>
      <c r="AH1113" s="1" t="s">
        <v>0</v>
      </c>
      <c r="AV1113" s="25">
        <v>31</v>
      </c>
      <c r="AW1113" s="26"/>
      <c r="AX1113" s="30">
        <f t="shared" si="108"/>
        <v>12.000000000000005</v>
      </c>
      <c r="AY1113" s="28"/>
      <c r="AZ1113" s="54">
        <f t="shared" si="102"/>
        <v>-7.105427357601005E-15</v>
      </c>
      <c r="BA1113" s="54"/>
      <c r="BB1113" s="54">
        <f t="shared" si="100"/>
        <v>53.130102354156001</v>
      </c>
      <c r="BC1113" s="54"/>
      <c r="BD1113" s="54">
        <f t="shared" si="103"/>
        <v>-54.3</v>
      </c>
      <c r="BE1113" s="54"/>
      <c r="BF1113" s="54">
        <f t="shared" si="104"/>
        <v>17.400000000000016</v>
      </c>
      <c r="BG1113" s="54"/>
      <c r="BH1113" s="54">
        <f t="shared" si="105"/>
        <v>1.5454304502782194E-13</v>
      </c>
      <c r="BI1113" s="54"/>
      <c r="BJ1113" s="3"/>
    </row>
    <row r="1114" spans="2:62" ht="11.25" customHeight="1">
      <c r="B1114" s="2"/>
      <c r="F1114" s="1" t="s">
        <v>16</v>
      </c>
      <c r="H1114" s="24">
        <f>+AN1089</f>
        <v>4</v>
      </c>
      <c r="I1114" s="24"/>
      <c r="J1114" s="7" t="s">
        <v>9</v>
      </c>
      <c r="K1114" s="24">
        <f>+AE1101</f>
        <v>33</v>
      </c>
      <c r="L1114" s="24"/>
      <c r="M1114" s="7" t="s">
        <v>10</v>
      </c>
      <c r="N1114" s="24">
        <f>+T1104/2</f>
        <v>6</v>
      </c>
      <c r="O1114" s="24"/>
      <c r="P1114" s="7" t="s">
        <v>15</v>
      </c>
      <c r="Q1114" s="24">
        <f>+AA1085</f>
        <v>4</v>
      </c>
      <c r="R1114" s="24"/>
      <c r="S1114" s="7" t="s">
        <v>10</v>
      </c>
      <c r="T1114" s="24">
        <f>+W1102</f>
        <v>3</v>
      </c>
      <c r="U1114" s="24"/>
      <c r="V1114" s="7" t="s">
        <v>12</v>
      </c>
      <c r="W1114" s="1">
        <v>0</v>
      </c>
      <c r="AA1114" s="1" t="s">
        <v>6</v>
      </c>
      <c r="AC1114" s="24">
        <f>(K1114*N1114-Q1114*T1114)/H1114</f>
        <v>46.5</v>
      </c>
      <c r="AD1114" s="24"/>
      <c r="AE1114" s="1" t="s">
        <v>0</v>
      </c>
      <c r="BJ1114" s="3"/>
    </row>
    <row r="1115" spans="2:62" ht="11.25" customHeight="1" thickBot="1">
      <c r="B1115" s="17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1"/>
    </row>
    <row r="1116" spans="2:62" ht="11.25" customHeight="1"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</row>
    <row r="1117" spans="2:62" ht="11.25" customHeight="1"/>
    <row r="1118" spans="2:62" ht="11.25" customHeight="1">
      <c r="F1118" s="4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L1118" s="7"/>
      <c r="AM1118" s="7"/>
    </row>
    <row r="1119" spans="2:62" ht="11.25" customHeight="1">
      <c r="J1119" s="7"/>
      <c r="R1119" s="7"/>
      <c r="Z1119" s="7"/>
      <c r="AC1119" s="7"/>
    </row>
    <row r="1120" spans="2:62" ht="11.25" customHeight="1">
      <c r="J1120" s="7"/>
    </row>
    <row r="1121" spans="10:29" ht="11.25" customHeight="1">
      <c r="J1121" s="7"/>
      <c r="S1121" s="7"/>
      <c r="AB1121" s="7"/>
    </row>
    <row r="1122" spans="10:29" ht="11.25" customHeight="1">
      <c r="J1122" s="7"/>
      <c r="R1122" s="7"/>
      <c r="AC1122" s="7"/>
    </row>
    <row r="1123" spans="10:29" ht="11.25" customHeight="1">
      <c r="J1123" s="7"/>
      <c r="AC1123" s="7"/>
    </row>
    <row r="1124" spans="10:29" ht="11.25" customHeight="1">
      <c r="J1124" s="7"/>
      <c r="S1124" s="7"/>
    </row>
    <row r="1125" spans="10:29" ht="11.25" customHeight="1">
      <c r="J1125" s="7"/>
      <c r="R1125" s="7"/>
      <c r="Z1125" s="7"/>
    </row>
    <row r="1126" spans="10:29" ht="11.25" customHeight="1">
      <c r="R1126" s="7"/>
      <c r="Z1126" s="7"/>
    </row>
    <row r="1127" spans="10:29" ht="11.25" customHeight="1"/>
    <row r="1128" spans="10:29" ht="11.25" customHeight="1"/>
    <row r="1129" spans="10:29" ht="11.25" customHeight="1"/>
    <row r="1130" spans="10:29" ht="11.25" customHeight="1"/>
    <row r="1131" spans="10:29" ht="11.25" customHeight="1"/>
    <row r="1132" spans="10:29" ht="11.25" customHeight="1"/>
    <row r="1133" spans="10:29" ht="11.25" customHeight="1"/>
    <row r="1134" spans="10:29" ht="11.25" customHeight="1"/>
    <row r="1135" spans="10:29" ht="11.25" customHeight="1"/>
    <row r="1136" spans="10:29" ht="11.25" customHeight="1"/>
    <row r="1137" ht="11.25" customHeight="1"/>
    <row r="1138" ht="11.25" customHeight="1"/>
    <row r="1139" ht="11.25" customHeight="1"/>
    <row r="1140" ht="11.25" customHeight="1"/>
    <row r="1141" ht="11.25" customHeight="1"/>
    <row r="1142" ht="11.25" customHeight="1"/>
    <row r="1143" ht="11.25" customHeight="1"/>
    <row r="1144" ht="11.25" customHeight="1"/>
    <row r="1145" ht="11.25" customHeight="1"/>
    <row r="1146" ht="11.25" customHeight="1"/>
    <row r="1147" ht="11.25" customHeight="1"/>
    <row r="1148" ht="11.25" customHeight="1"/>
    <row r="1149" ht="11.25" customHeight="1"/>
  </sheetData>
  <sheetProtection algorithmName="SHA-512" hashValue="7RjYOLPX6mLjOoPzb8rjH/rPwL+1325L1NdWanAAUqybLWhLL8G04opmes8qWZsuruI2ivHq497XbWqIWtCQlA==" saltValue="phKfdZ6OyaZ8QExwcwo38A==" spinCount="100000" sheet="1" objects="1" scenarios="1"/>
  <mergeCells count="5647">
    <mergeCell ref="J199:K199"/>
    <mergeCell ref="AL186:AM186"/>
    <mergeCell ref="AO186:AP186"/>
    <mergeCell ref="AX186:AY186"/>
    <mergeCell ref="AF187:AG187"/>
    <mergeCell ref="H197:I197"/>
    <mergeCell ref="M197:N197"/>
    <mergeCell ref="P197:Q197"/>
    <mergeCell ref="U197:V197"/>
    <mergeCell ref="X197:Y197"/>
    <mergeCell ref="AA197:AB197"/>
    <mergeCell ref="AF197:AG197"/>
    <mergeCell ref="AI197:AJ197"/>
    <mergeCell ref="AN197:AO197"/>
    <mergeCell ref="AQ197:AR197"/>
    <mergeCell ref="H198:I198"/>
    <mergeCell ref="M198:N198"/>
    <mergeCell ref="P198:Q198"/>
    <mergeCell ref="U198:V198"/>
    <mergeCell ref="X198:Y198"/>
    <mergeCell ref="AA198:AB198"/>
    <mergeCell ref="AF198:AG198"/>
    <mergeCell ref="AI198:AJ198"/>
    <mergeCell ref="AN198:AO198"/>
    <mergeCell ref="AQ198:AR198"/>
    <mergeCell ref="H194:I194"/>
    <mergeCell ref="M194:N194"/>
    <mergeCell ref="P194:Q194"/>
    <mergeCell ref="U194:V194"/>
    <mergeCell ref="X194:Y194"/>
    <mergeCell ref="AA194:AB194"/>
    <mergeCell ref="AF194:AG194"/>
    <mergeCell ref="AI194:AJ194"/>
    <mergeCell ref="H195:I195"/>
    <mergeCell ref="M195:N195"/>
    <mergeCell ref="P195:Q195"/>
    <mergeCell ref="U195:V195"/>
    <mergeCell ref="X195:Y195"/>
    <mergeCell ref="AA195:AB195"/>
    <mergeCell ref="AF195:AG195"/>
    <mergeCell ref="AI195:AJ195"/>
    <mergeCell ref="H196:I196"/>
    <mergeCell ref="K196:L196"/>
    <mergeCell ref="N196:O196"/>
    <mergeCell ref="Q196:R196"/>
    <mergeCell ref="T196:U196"/>
    <mergeCell ref="W196:X196"/>
    <mergeCell ref="Z196:AA196"/>
    <mergeCell ref="AC196:AD196"/>
    <mergeCell ref="AQ191:AR191"/>
    <mergeCell ref="BB191:BC191"/>
    <mergeCell ref="H192:I192"/>
    <mergeCell ref="M192:N192"/>
    <mergeCell ref="P192:Q192"/>
    <mergeCell ref="U192:V192"/>
    <mergeCell ref="X192:Y192"/>
    <mergeCell ref="AA192:AB192"/>
    <mergeCell ref="AF192:AG192"/>
    <mergeCell ref="AI192:AJ192"/>
    <mergeCell ref="AL192:AM192"/>
    <mergeCell ref="AQ192:AR192"/>
    <mergeCell ref="BB192:BC192"/>
    <mergeCell ref="H193:I193"/>
    <mergeCell ref="K193:L193"/>
    <mergeCell ref="N193:O193"/>
    <mergeCell ref="Q193:R193"/>
    <mergeCell ref="T193:U193"/>
    <mergeCell ref="W193:X193"/>
    <mergeCell ref="Z193:AA193"/>
    <mergeCell ref="AC193:AD193"/>
    <mergeCell ref="AF193:AG193"/>
    <mergeCell ref="AI193:AJ193"/>
    <mergeCell ref="AR193:AS193"/>
    <mergeCell ref="AT191:AU191"/>
    <mergeCell ref="AY191:AZ191"/>
    <mergeCell ref="AT192:AU192"/>
    <mergeCell ref="AY192:AZ192"/>
    <mergeCell ref="AL193:AM193"/>
    <mergeCell ref="AO193:AP193"/>
    <mergeCell ref="AI186:AJ186"/>
    <mergeCell ref="H188:I188"/>
    <mergeCell ref="K188:L188"/>
    <mergeCell ref="N188:O188"/>
    <mergeCell ref="Q188:R188"/>
    <mergeCell ref="T188:U188"/>
    <mergeCell ref="W188:X188"/>
    <mergeCell ref="Z188:AA188"/>
    <mergeCell ref="AC188:AD188"/>
    <mergeCell ref="AL188:AM188"/>
    <mergeCell ref="H191:I191"/>
    <mergeCell ref="M191:N191"/>
    <mergeCell ref="P191:Q191"/>
    <mergeCell ref="U191:V191"/>
    <mergeCell ref="X191:Y191"/>
    <mergeCell ref="AA191:AB191"/>
    <mergeCell ref="AF191:AG191"/>
    <mergeCell ref="AI191:AJ191"/>
    <mergeCell ref="AL191:AM191"/>
    <mergeCell ref="H187:I187"/>
    <mergeCell ref="K187:L187"/>
    <mergeCell ref="N187:O187"/>
    <mergeCell ref="Q187:R187"/>
    <mergeCell ref="T187:U187"/>
    <mergeCell ref="W187:X187"/>
    <mergeCell ref="H189:I189"/>
    <mergeCell ref="K189:L189"/>
    <mergeCell ref="T189:U189"/>
    <mergeCell ref="M181:N181"/>
    <mergeCell ref="S181:T181"/>
    <mergeCell ref="Z181:AA181"/>
    <mergeCell ref="AF181:AG181"/>
    <mergeCell ref="W183:X183"/>
    <mergeCell ref="H186:I186"/>
    <mergeCell ref="K186:L186"/>
    <mergeCell ref="N186:O186"/>
    <mergeCell ref="Q186:R186"/>
    <mergeCell ref="T186:U186"/>
    <mergeCell ref="W186:X186"/>
    <mergeCell ref="Z186:AA186"/>
    <mergeCell ref="AC186:AD186"/>
    <mergeCell ref="AF186:AG186"/>
    <mergeCell ref="Q159:R159"/>
    <mergeCell ref="AA159:AB159"/>
    <mergeCell ref="H163:H165"/>
    <mergeCell ref="AE163:AF163"/>
    <mergeCell ref="AN163:AN165"/>
    <mergeCell ref="D166:D168"/>
    <mergeCell ref="AP168:AP170"/>
    <mergeCell ref="D169:D171"/>
    <mergeCell ref="Z169:AA169"/>
    <mergeCell ref="H170:H172"/>
    <mergeCell ref="AN170:AN172"/>
    <mergeCell ref="I175:J175"/>
    <mergeCell ref="T175:U175"/>
    <mergeCell ref="Z175:AA175"/>
    <mergeCell ref="K180:L180"/>
    <mergeCell ref="AH180:AI180"/>
    <mergeCell ref="Y1044:Z1044"/>
    <mergeCell ref="T554:U554"/>
    <mergeCell ref="W554:X554"/>
    <mergeCell ref="Z554:AA554"/>
    <mergeCell ref="Q555:R555"/>
    <mergeCell ref="T555:U555"/>
    <mergeCell ref="X247:Y247"/>
    <mergeCell ref="T274:U274"/>
    <mergeCell ref="W274:X274"/>
    <mergeCell ref="Z274:AA274"/>
    <mergeCell ref="Q275:R275"/>
    <mergeCell ref="T275:U275"/>
    <mergeCell ref="Y824:Z824"/>
    <mergeCell ref="Q851:R851"/>
    <mergeCell ref="T851:U851"/>
    <mergeCell ref="W851:X851"/>
    <mergeCell ref="Y335:Z335"/>
    <mergeCell ref="T361:U361"/>
    <mergeCell ref="W361:X361"/>
    <mergeCell ref="Z361:AA361"/>
    <mergeCell ref="T1074:U1074"/>
    <mergeCell ref="W1074:X1074"/>
    <mergeCell ref="Z1074:AA1074"/>
    <mergeCell ref="Q1075:R1075"/>
    <mergeCell ref="T1075:U1075"/>
    <mergeCell ref="Y895:Z895"/>
    <mergeCell ref="T921:U921"/>
    <mergeCell ref="W921:X921"/>
    <mergeCell ref="Z921:AA921"/>
    <mergeCell ref="Q922:R922"/>
    <mergeCell ref="T922:U922"/>
    <mergeCell ref="AB1006:AC1006"/>
    <mergeCell ref="AB471:AC471"/>
    <mergeCell ref="T504:U504"/>
    <mergeCell ref="W504:X504"/>
    <mergeCell ref="Z504:AA504"/>
    <mergeCell ref="Q505:R505"/>
    <mergeCell ref="T505:U505"/>
    <mergeCell ref="Q1036:R1036"/>
    <mergeCell ref="T1036:U1036"/>
    <mergeCell ref="W1036:X1036"/>
    <mergeCell ref="P599:Q599"/>
    <mergeCell ref="U599:V599"/>
    <mergeCell ref="Z599:AA599"/>
    <mergeCell ref="AC599:AD599"/>
    <mergeCell ref="X612:Y612"/>
    <mergeCell ref="X615:Y615"/>
    <mergeCell ref="AC615:AD615"/>
    <mergeCell ref="AA934:AB934"/>
    <mergeCell ref="W959:X959"/>
    <mergeCell ref="P471:Q471"/>
    <mergeCell ref="Y521:Z521"/>
    <mergeCell ref="Q362:R362"/>
    <mergeCell ref="T362:U362"/>
    <mergeCell ref="M521:N521"/>
    <mergeCell ref="AA525:AB525"/>
    <mergeCell ref="P330:Q330"/>
    <mergeCell ref="U330:V330"/>
    <mergeCell ref="T328:U328"/>
    <mergeCell ref="M335:N335"/>
    <mergeCell ref="AU667:AU699"/>
    <mergeCell ref="AV699:AW699"/>
    <mergeCell ref="AX699:AY699"/>
    <mergeCell ref="P356:Q356"/>
    <mergeCell ref="W356:X356"/>
    <mergeCell ref="AC356:AD356"/>
    <mergeCell ref="AL364:AM364"/>
    <mergeCell ref="AA338:AB338"/>
    <mergeCell ref="AL557:AM557"/>
    <mergeCell ref="X562:Y562"/>
    <mergeCell ref="AA562:AB562"/>
    <mergeCell ref="AF562:AG562"/>
    <mergeCell ref="AI562:AJ562"/>
    <mergeCell ref="AF565:AG565"/>
    <mergeCell ref="AI565:AJ565"/>
    <mergeCell ref="AN565:AO565"/>
    <mergeCell ref="AQ565:AR565"/>
    <mergeCell ref="AH599:AI599"/>
    <mergeCell ref="AF604:AG604"/>
    <mergeCell ref="AF609:AG609"/>
    <mergeCell ref="AF615:AG615"/>
    <mergeCell ref="AI373:AJ373"/>
    <mergeCell ref="AN373:AO373"/>
    <mergeCell ref="AQ373:AR373"/>
    <mergeCell ref="AZ699:BA699"/>
    <mergeCell ref="BB699:BC699"/>
    <mergeCell ref="BD699:BE699"/>
    <mergeCell ref="BF699:BG699"/>
    <mergeCell ref="BH699:BI699"/>
    <mergeCell ref="BD787:BE787"/>
    <mergeCell ref="BD788:BE788"/>
    <mergeCell ref="BF787:BG787"/>
    <mergeCell ref="BF788:BG788"/>
    <mergeCell ref="BH787:BI787"/>
    <mergeCell ref="BH788:BI788"/>
    <mergeCell ref="BF789:BG789"/>
    <mergeCell ref="BH789:BI789"/>
    <mergeCell ref="BD789:BE789"/>
    <mergeCell ref="AX788:AY788"/>
    <mergeCell ref="AZ788:BA788"/>
    <mergeCell ref="AV789:AW789"/>
    <mergeCell ref="AX789:AY789"/>
    <mergeCell ref="AZ789:BA789"/>
    <mergeCell ref="AV787:AW788"/>
    <mergeCell ref="AX787:AY787"/>
    <mergeCell ref="AZ787:BA787"/>
    <mergeCell ref="AX715:AY715"/>
    <mergeCell ref="AZ715:BA715"/>
    <mergeCell ref="BB715:BC715"/>
    <mergeCell ref="BD715:BE715"/>
    <mergeCell ref="BF715:BG715"/>
    <mergeCell ref="BH715:BI715"/>
    <mergeCell ref="BH716:BI716"/>
    <mergeCell ref="AX719:AY719"/>
    <mergeCell ref="AZ719:BA719"/>
    <mergeCell ref="BB719:BC719"/>
    <mergeCell ref="AV1113:AW1113"/>
    <mergeCell ref="AX1113:AY1113"/>
    <mergeCell ref="AZ1113:BA1113"/>
    <mergeCell ref="BB1113:BC1113"/>
    <mergeCell ref="BD1113:BE1113"/>
    <mergeCell ref="BF1113:BG1113"/>
    <mergeCell ref="BH1113:BI1113"/>
    <mergeCell ref="P1102:R1102"/>
    <mergeCell ref="J1102:L1102"/>
    <mergeCell ref="AV1110:AW1110"/>
    <mergeCell ref="AX1110:AY1110"/>
    <mergeCell ref="AZ1110:BA1110"/>
    <mergeCell ref="BB1110:BC1110"/>
    <mergeCell ref="BD1110:BE1110"/>
    <mergeCell ref="BF1110:BG1110"/>
    <mergeCell ref="BH1110:BI1110"/>
    <mergeCell ref="AV1111:AW1111"/>
    <mergeCell ref="AX1111:AY1111"/>
    <mergeCell ref="AZ1111:BA1111"/>
    <mergeCell ref="BB1111:BC1111"/>
    <mergeCell ref="BD1111:BE1111"/>
    <mergeCell ref="BF1111:BG1111"/>
    <mergeCell ref="BH1111:BI1111"/>
    <mergeCell ref="AV1112:AW1112"/>
    <mergeCell ref="AX1112:AY1112"/>
    <mergeCell ref="AZ1112:BA1112"/>
    <mergeCell ref="BB1112:BC1112"/>
    <mergeCell ref="BD1112:BE1112"/>
    <mergeCell ref="BF1112:BG1112"/>
    <mergeCell ref="BH1112:BI1112"/>
    <mergeCell ref="AV1107:AW1107"/>
    <mergeCell ref="AX1107:AY1107"/>
    <mergeCell ref="AZ1107:BA1107"/>
    <mergeCell ref="BB1107:BC1107"/>
    <mergeCell ref="BD1107:BE1107"/>
    <mergeCell ref="BF1107:BG1107"/>
    <mergeCell ref="BH1107:BI1107"/>
    <mergeCell ref="AV1108:AW1108"/>
    <mergeCell ref="AX1108:AY1108"/>
    <mergeCell ref="AZ1108:BA1108"/>
    <mergeCell ref="BB1108:BC1108"/>
    <mergeCell ref="BD1108:BE1108"/>
    <mergeCell ref="BF1108:BG1108"/>
    <mergeCell ref="BH1108:BI1108"/>
    <mergeCell ref="AV1109:AW1109"/>
    <mergeCell ref="AX1109:AY1109"/>
    <mergeCell ref="AZ1109:BA1109"/>
    <mergeCell ref="BB1109:BC1109"/>
    <mergeCell ref="BD1109:BE1109"/>
    <mergeCell ref="BF1109:BG1109"/>
    <mergeCell ref="BH1109:BI1109"/>
    <mergeCell ref="AV1104:AW1104"/>
    <mergeCell ref="AX1104:AY1104"/>
    <mergeCell ref="AZ1104:BA1104"/>
    <mergeCell ref="BB1104:BC1104"/>
    <mergeCell ref="BD1104:BE1104"/>
    <mergeCell ref="BF1104:BG1104"/>
    <mergeCell ref="BH1104:BI1104"/>
    <mergeCell ref="AV1105:AW1105"/>
    <mergeCell ref="AX1105:AY1105"/>
    <mergeCell ref="AZ1105:BA1105"/>
    <mergeCell ref="BB1105:BC1105"/>
    <mergeCell ref="BD1105:BE1105"/>
    <mergeCell ref="BF1105:BG1105"/>
    <mergeCell ref="BH1105:BI1105"/>
    <mergeCell ref="AV1106:AW1106"/>
    <mergeCell ref="AX1106:AY1106"/>
    <mergeCell ref="AZ1106:BA1106"/>
    <mergeCell ref="BB1106:BC1106"/>
    <mergeCell ref="BD1106:BE1106"/>
    <mergeCell ref="BF1106:BG1106"/>
    <mergeCell ref="BH1106:BI1106"/>
    <mergeCell ref="AV1101:AW1101"/>
    <mergeCell ref="AX1101:AY1101"/>
    <mergeCell ref="AZ1101:BA1101"/>
    <mergeCell ref="BB1101:BC1101"/>
    <mergeCell ref="BD1101:BE1101"/>
    <mergeCell ref="BF1101:BG1101"/>
    <mergeCell ref="BH1101:BI1101"/>
    <mergeCell ref="AV1102:AW1102"/>
    <mergeCell ref="AX1102:AY1102"/>
    <mergeCell ref="AZ1102:BA1102"/>
    <mergeCell ref="BB1102:BC1102"/>
    <mergeCell ref="BD1102:BE1102"/>
    <mergeCell ref="BF1102:BG1102"/>
    <mergeCell ref="BH1102:BI1102"/>
    <mergeCell ref="AV1103:AW1103"/>
    <mergeCell ref="AX1103:AY1103"/>
    <mergeCell ref="AZ1103:BA1103"/>
    <mergeCell ref="BB1103:BC1103"/>
    <mergeCell ref="BD1103:BE1103"/>
    <mergeCell ref="BF1103:BG1103"/>
    <mergeCell ref="BH1103:BI1103"/>
    <mergeCell ref="AV1098:AW1098"/>
    <mergeCell ref="AX1098:AY1098"/>
    <mergeCell ref="AZ1098:BA1098"/>
    <mergeCell ref="BB1098:BC1098"/>
    <mergeCell ref="BD1098:BE1098"/>
    <mergeCell ref="BF1098:BG1098"/>
    <mergeCell ref="BH1098:BI1098"/>
    <mergeCell ref="AV1099:AW1099"/>
    <mergeCell ref="AX1099:AY1099"/>
    <mergeCell ref="AZ1099:BA1099"/>
    <mergeCell ref="BB1099:BC1099"/>
    <mergeCell ref="BD1099:BE1099"/>
    <mergeCell ref="BF1099:BG1099"/>
    <mergeCell ref="BH1099:BI1099"/>
    <mergeCell ref="AV1100:AW1100"/>
    <mergeCell ref="AX1100:AY1100"/>
    <mergeCell ref="AZ1100:BA1100"/>
    <mergeCell ref="BB1100:BC1100"/>
    <mergeCell ref="BD1100:BE1100"/>
    <mergeCell ref="BF1100:BG1100"/>
    <mergeCell ref="BH1100:BI1100"/>
    <mergeCell ref="AV1095:AW1095"/>
    <mergeCell ref="AX1095:AY1095"/>
    <mergeCell ref="AZ1095:BA1095"/>
    <mergeCell ref="BB1095:BC1095"/>
    <mergeCell ref="BD1095:BE1095"/>
    <mergeCell ref="BF1095:BG1095"/>
    <mergeCell ref="BH1095:BI1095"/>
    <mergeCell ref="AV1096:AW1096"/>
    <mergeCell ref="AX1096:AY1096"/>
    <mergeCell ref="AZ1096:BA1096"/>
    <mergeCell ref="BB1096:BC1096"/>
    <mergeCell ref="BD1096:BE1096"/>
    <mergeCell ref="BF1096:BG1096"/>
    <mergeCell ref="BH1096:BI1096"/>
    <mergeCell ref="AV1097:AW1097"/>
    <mergeCell ref="AX1097:AY1097"/>
    <mergeCell ref="AZ1097:BA1097"/>
    <mergeCell ref="BB1097:BC1097"/>
    <mergeCell ref="BD1097:BE1097"/>
    <mergeCell ref="BF1097:BG1097"/>
    <mergeCell ref="BH1097:BI1097"/>
    <mergeCell ref="AV1092:AW1092"/>
    <mergeCell ref="AX1092:AY1092"/>
    <mergeCell ref="AZ1092:BA1092"/>
    <mergeCell ref="BB1092:BC1092"/>
    <mergeCell ref="BD1092:BE1092"/>
    <mergeCell ref="BF1092:BG1092"/>
    <mergeCell ref="BH1092:BI1092"/>
    <mergeCell ref="AV1093:AW1093"/>
    <mergeCell ref="AX1093:AY1093"/>
    <mergeCell ref="AZ1093:BA1093"/>
    <mergeCell ref="BB1093:BC1093"/>
    <mergeCell ref="BD1093:BE1093"/>
    <mergeCell ref="BF1093:BG1093"/>
    <mergeCell ref="BH1093:BI1093"/>
    <mergeCell ref="AV1094:AW1094"/>
    <mergeCell ref="AX1094:AY1094"/>
    <mergeCell ref="AZ1094:BA1094"/>
    <mergeCell ref="BB1094:BC1094"/>
    <mergeCell ref="BD1094:BE1094"/>
    <mergeCell ref="BF1094:BG1094"/>
    <mergeCell ref="BH1094:BI1094"/>
    <mergeCell ref="AV1089:AW1089"/>
    <mergeCell ref="AX1089:AY1089"/>
    <mergeCell ref="AZ1089:BA1089"/>
    <mergeCell ref="BB1089:BC1089"/>
    <mergeCell ref="BD1089:BE1089"/>
    <mergeCell ref="BF1089:BG1089"/>
    <mergeCell ref="BH1089:BI1089"/>
    <mergeCell ref="AV1090:AW1090"/>
    <mergeCell ref="AX1090:AY1090"/>
    <mergeCell ref="AZ1090:BA1090"/>
    <mergeCell ref="BB1090:BC1090"/>
    <mergeCell ref="BD1090:BE1090"/>
    <mergeCell ref="BF1090:BG1090"/>
    <mergeCell ref="BH1090:BI1090"/>
    <mergeCell ref="AV1091:AW1091"/>
    <mergeCell ref="AX1091:AY1091"/>
    <mergeCell ref="AZ1091:BA1091"/>
    <mergeCell ref="BB1091:BC1091"/>
    <mergeCell ref="BD1091:BE1091"/>
    <mergeCell ref="BF1091:BG1091"/>
    <mergeCell ref="BH1091:BI1091"/>
    <mergeCell ref="AV1086:AW1086"/>
    <mergeCell ref="AX1086:AY1086"/>
    <mergeCell ref="AZ1086:BA1086"/>
    <mergeCell ref="BB1086:BC1086"/>
    <mergeCell ref="BD1086:BE1086"/>
    <mergeCell ref="BF1086:BG1086"/>
    <mergeCell ref="BH1086:BI1086"/>
    <mergeCell ref="AV1087:AW1087"/>
    <mergeCell ref="AX1087:AY1087"/>
    <mergeCell ref="AZ1087:BA1087"/>
    <mergeCell ref="BB1087:BC1087"/>
    <mergeCell ref="BD1087:BE1087"/>
    <mergeCell ref="BF1087:BG1087"/>
    <mergeCell ref="BH1087:BI1087"/>
    <mergeCell ref="AV1088:AW1088"/>
    <mergeCell ref="AX1088:AY1088"/>
    <mergeCell ref="AZ1088:BA1088"/>
    <mergeCell ref="BB1088:BC1088"/>
    <mergeCell ref="BD1088:BE1088"/>
    <mergeCell ref="BF1088:BG1088"/>
    <mergeCell ref="BH1088:BI1088"/>
    <mergeCell ref="AV1083:AW1083"/>
    <mergeCell ref="AX1083:AY1083"/>
    <mergeCell ref="AZ1083:BA1083"/>
    <mergeCell ref="BB1083:BC1083"/>
    <mergeCell ref="BD1083:BE1083"/>
    <mergeCell ref="BF1083:BG1083"/>
    <mergeCell ref="BH1083:BI1083"/>
    <mergeCell ref="AV1084:AW1084"/>
    <mergeCell ref="AX1084:AY1084"/>
    <mergeCell ref="AZ1084:BA1084"/>
    <mergeCell ref="BB1084:BC1084"/>
    <mergeCell ref="BD1084:BE1084"/>
    <mergeCell ref="BF1084:BG1084"/>
    <mergeCell ref="BH1084:BI1084"/>
    <mergeCell ref="AV1085:AW1085"/>
    <mergeCell ref="AX1085:AY1085"/>
    <mergeCell ref="AZ1085:BA1085"/>
    <mergeCell ref="BB1085:BC1085"/>
    <mergeCell ref="BD1085:BE1085"/>
    <mergeCell ref="BF1085:BG1085"/>
    <mergeCell ref="BH1085:BI1085"/>
    <mergeCell ref="AV1080:AW1081"/>
    <mergeCell ref="AX1080:AY1080"/>
    <mergeCell ref="AZ1080:BA1080"/>
    <mergeCell ref="BB1080:BC1080"/>
    <mergeCell ref="BD1080:BE1080"/>
    <mergeCell ref="BF1080:BG1080"/>
    <mergeCell ref="BH1080:BI1080"/>
    <mergeCell ref="AX1081:AY1081"/>
    <mergeCell ref="AZ1081:BA1081"/>
    <mergeCell ref="BB1081:BC1081"/>
    <mergeCell ref="BD1081:BE1081"/>
    <mergeCell ref="BF1081:BG1081"/>
    <mergeCell ref="BH1081:BI1081"/>
    <mergeCell ref="AV1082:AW1082"/>
    <mergeCell ref="AX1082:AY1082"/>
    <mergeCell ref="AZ1082:BA1082"/>
    <mergeCell ref="BB1082:BC1082"/>
    <mergeCell ref="BD1082:BE1082"/>
    <mergeCell ref="BF1082:BG1082"/>
    <mergeCell ref="BH1082:BI1082"/>
    <mergeCell ref="N1081:O1081"/>
    <mergeCell ref="D1085:D1087"/>
    <mergeCell ref="AL1085:AL1087"/>
    <mergeCell ref="AN1089:AN1091"/>
    <mergeCell ref="D1091:D1093"/>
    <mergeCell ref="AL1091:AL1093"/>
    <mergeCell ref="AN1092:AN1093"/>
    <mergeCell ref="F1096:G1096"/>
    <mergeCell ref="AI1096:AJ1096"/>
    <mergeCell ref="H1101:I1101"/>
    <mergeCell ref="AE1101:AF1101"/>
    <mergeCell ref="W1102:X1102"/>
    <mergeCell ref="AC1102:AD1102"/>
    <mergeCell ref="T1104:U1104"/>
    <mergeCell ref="J1107:K1107"/>
    <mergeCell ref="M1107:N1107"/>
    <mergeCell ref="S1107:T1107"/>
    <mergeCell ref="V1107:W1107"/>
    <mergeCell ref="Y1107:Z1107"/>
    <mergeCell ref="P1107:Q1107"/>
    <mergeCell ref="P1108:Q1108"/>
    <mergeCell ref="H1112:I1112"/>
    <mergeCell ref="K1112:L1112"/>
    <mergeCell ref="N1112:O1112"/>
    <mergeCell ref="Q1112:R1112"/>
    <mergeCell ref="H1113:I1113"/>
    <mergeCell ref="K1113:L1113"/>
    <mergeCell ref="N1113:O1113"/>
    <mergeCell ref="Q1113:R1113"/>
    <mergeCell ref="T1113:U1113"/>
    <mergeCell ref="Z1112:AA1112"/>
    <mergeCell ref="W1113:X1113"/>
    <mergeCell ref="AF1113:AG1113"/>
    <mergeCell ref="H1114:I1114"/>
    <mergeCell ref="K1114:L1114"/>
    <mergeCell ref="N1114:O1114"/>
    <mergeCell ref="Q1114:R1114"/>
    <mergeCell ref="T1114:U1114"/>
    <mergeCell ref="AC1114:AD1114"/>
    <mergeCell ref="H1111:I1111"/>
    <mergeCell ref="K1111:L1111"/>
    <mergeCell ref="N1111:O1111"/>
    <mergeCell ref="Q1111:R1111"/>
    <mergeCell ref="T1111:U1111"/>
    <mergeCell ref="W1111:X1111"/>
    <mergeCell ref="AF1111:AG1111"/>
    <mergeCell ref="U1108:V1108"/>
    <mergeCell ref="Z1108:AA1108"/>
    <mergeCell ref="AC1108:AD1108"/>
    <mergeCell ref="AH1108:AI1108"/>
    <mergeCell ref="J1109:K1109"/>
    <mergeCell ref="M1109:N1109"/>
    <mergeCell ref="F536:G536"/>
    <mergeCell ref="D531:D533"/>
    <mergeCell ref="D525:D527"/>
    <mergeCell ref="AN532:AN533"/>
    <mergeCell ref="J547:K547"/>
    <mergeCell ref="J542:K542"/>
    <mergeCell ref="Q542:R542"/>
    <mergeCell ref="W542:X542"/>
    <mergeCell ref="AC542:AD542"/>
    <mergeCell ref="M547:N547"/>
    <mergeCell ref="P547:Q547"/>
    <mergeCell ref="S547:T547"/>
    <mergeCell ref="V547:W547"/>
    <mergeCell ref="Y547:Z547"/>
    <mergeCell ref="AE541:AF541"/>
    <mergeCell ref="AH549:AI549"/>
    <mergeCell ref="J550:K550"/>
    <mergeCell ref="M550:N550"/>
    <mergeCell ref="J548:K548"/>
    <mergeCell ref="M548:N548"/>
    <mergeCell ref="P548:Q548"/>
    <mergeCell ref="S548:T548"/>
    <mergeCell ref="V548:W548"/>
    <mergeCell ref="Y548:Z548"/>
    <mergeCell ref="P549:Q549"/>
    <mergeCell ref="U549:V549"/>
    <mergeCell ref="AC549:AD549"/>
    <mergeCell ref="Z549:AA549"/>
    <mergeCell ref="H554:I554"/>
    <mergeCell ref="H541:I541"/>
    <mergeCell ref="T544:U544"/>
    <mergeCell ref="AI536:AJ536"/>
    <mergeCell ref="AN529:AN531"/>
    <mergeCell ref="AL531:AL533"/>
    <mergeCell ref="AL525:AL527"/>
    <mergeCell ref="AA323:AB323"/>
    <mergeCell ref="AF323:AG323"/>
    <mergeCell ref="AI323:AJ323"/>
    <mergeCell ref="X330:Y330"/>
    <mergeCell ref="AC330:AD330"/>
    <mergeCell ref="AF330:AG330"/>
    <mergeCell ref="J331:K331"/>
    <mergeCell ref="H323:I323"/>
    <mergeCell ref="M323:N323"/>
    <mergeCell ref="P323:Q323"/>
    <mergeCell ref="U323:V323"/>
    <mergeCell ref="X323:Y323"/>
    <mergeCell ref="X329:Y329"/>
    <mergeCell ref="AC329:AD329"/>
    <mergeCell ref="AF329:AG329"/>
    <mergeCell ref="H330:I330"/>
    <mergeCell ref="X326:Y326"/>
    <mergeCell ref="H327:I327"/>
    <mergeCell ref="M327:N327"/>
    <mergeCell ref="P327:Q327"/>
    <mergeCell ref="U327:V327"/>
    <mergeCell ref="X327:Y327"/>
    <mergeCell ref="H326:I326"/>
    <mergeCell ref="M326:N326"/>
    <mergeCell ref="U326:V326"/>
    <mergeCell ref="M330:N330"/>
    <mergeCell ref="H329:I329"/>
    <mergeCell ref="M329:N329"/>
    <mergeCell ref="P329:Q329"/>
    <mergeCell ref="U329:V329"/>
    <mergeCell ref="H328:I328"/>
    <mergeCell ref="K328:L328"/>
    <mergeCell ref="N328:O328"/>
    <mergeCell ref="Q328:R328"/>
    <mergeCell ref="AC321:AD321"/>
    <mergeCell ref="AF320:AG320"/>
    <mergeCell ref="H321:I321"/>
    <mergeCell ref="K321:L321"/>
    <mergeCell ref="N321:O321"/>
    <mergeCell ref="Q321:R321"/>
    <mergeCell ref="T321:U321"/>
    <mergeCell ref="H320:I320"/>
    <mergeCell ref="K320:L320"/>
    <mergeCell ref="N320:O320"/>
    <mergeCell ref="Q320:R320"/>
    <mergeCell ref="T320:U320"/>
    <mergeCell ref="W320:X320"/>
    <mergeCell ref="AF324:AG324"/>
    <mergeCell ref="AI324:AJ324"/>
    <mergeCell ref="H325:I325"/>
    <mergeCell ref="K325:L325"/>
    <mergeCell ref="N325:O325"/>
    <mergeCell ref="Q325:R325"/>
    <mergeCell ref="T325:U325"/>
    <mergeCell ref="W325:X325"/>
    <mergeCell ref="Z325:AA325"/>
    <mergeCell ref="AC325:AD325"/>
    <mergeCell ref="H324:I324"/>
    <mergeCell ref="M324:N324"/>
    <mergeCell ref="P324:Q324"/>
    <mergeCell ref="U324:V324"/>
    <mergeCell ref="X324:Y324"/>
    <mergeCell ref="AA324:AB324"/>
    <mergeCell ref="AK295:AK297"/>
    <mergeCell ref="AM300:AM302"/>
    <mergeCell ref="W301:X301"/>
    <mergeCell ref="H319:I319"/>
    <mergeCell ref="AK302:AK304"/>
    <mergeCell ref="H318:I318"/>
    <mergeCell ref="K318:L318"/>
    <mergeCell ref="N318:O318"/>
    <mergeCell ref="Q318:R318"/>
    <mergeCell ref="T318:U318"/>
    <mergeCell ref="F307:G307"/>
    <mergeCell ref="Q307:R307"/>
    <mergeCell ref="V307:W307"/>
    <mergeCell ref="AI307:AJ307"/>
    <mergeCell ref="H312:I312"/>
    <mergeCell ref="AE312:AF312"/>
    <mergeCell ref="W318:X318"/>
    <mergeCell ref="AF318:AG318"/>
    <mergeCell ref="J313:K313"/>
    <mergeCell ref="P313:Q313"/>
    <mergeCell ref="W313:X313"/>
    <mergeCell ref="AC313:AD313"/>
    <mergeCell ref="T315:U315"/>
    <mergeCell ref="AF286:AG286"/>
    <mergeCell ref="AQ286:AR286"/>
    <mergeCell ref="AI286:AJ286"/>
    <mergeCell ref="AN286:AO286"/>
    <mergeCell ref="J287:K287"/>
    <mergeCell ref="M291:N291"/>
    <mergeCell ref="AQ285:AR285"/>
    <mergeCell ref="AI285:AJ285"/>
    <mergeCell ref="AN285:AO285"/>
    <mergeCell ref="H286:I286"/>
    <mergeCell ref="M286:N286"/>
    <mergeCell ref="P286:Q286"/>
    <mergeCell ref="U286:V286"/>
    <mergeCell ref="X286:Y286"/>
    <mergeCell ref="AA286:AB286"/>
    <mergeCell ref="N284:O284"/>
    <mergeCell ref="Q284:R284"/>
    <mergeCell ref="T284:U284"/>
    <mergeCell ref="W284:X284"/>
    <mergeCell ref="AC284:AD284"/>
    <mergeCell ref="AF282:AG282"/>
    <mergeCell ref="AI282:AJ282"/>
    <mergeCell ref="H283:I283"/>
    <mergeCell ref="M283:N283"/>
    <mergeCell ref="P283:Q283"/>
    <mergeCell ref="U283:V283"/>
    <mergeCell ref="X283:Y283"/>
    <mergeCell ref="AF280:AG280"/>
    <mergeCell ref="AI280:AJ280"/>
    <mergeCell ref="AA285:AB285"/>
    <mergeCell ref="H284:I284"/>
    <mergeCell ref="K284:L284"/>
    <mergeCell ref="H281:I281"/>
    <mergeCell ref="K281:L281"/>
    <mergeCell ref="N281:O281"/>
    <mergeCell ref="Q281:R281"/>
    <mergeCell ref="T281:U281"/>
    <mergeCell ref="W281:X281"/>
    <mergeCell ref="Z284:AA284"/>
    <mergeCell ref="AA283:AB283"/>
    <mergeCell ref="AF283:AG283"/>
    <mergeCell ref="AI283:AJ283"/>
    <mergeCell ref="H282:I282"/>
    <mergeCell ref="M282:N282"/>
    <mergeCell ref="P282:Q282"/>
    <mergeCell ref="U282:V282"/>
    <mergeCell ref="X282:Y282"/>
    <mergeCell ref="AA282:AB282"/>
    <mergeCell ref="AF285:AG285"/>
    <mergeCell ref="AO274:AP274"/>
    <mergeCell ref="K275:L275"/>
    <mergeCell ref="N275:O275"/>
    <mergeCell ref="W275:X275"/>
    <mergeCell ref="AF275:AG275"/>
    <mergeCell ref="H276:I276"/>
    <mergeCell ref="N276:O276"/>
    <mergeCell ref="Q276:R276"/>
    <mergeCell ref="T276:U276"/>
    <mergeCell ref="W276:X276"/>
    <mergeCell ref="AC277:AD277"/>
    <mergeCell ref="K276:L276"/>
    <mergeCell ref="AF276:AG276"/>
    <mergeCell ref="H277:I277"/>
    <mergeCell ref="K277:L277"/>
    <mergeCell ref="N277:O277"/>
    <mergeCell ref="Q277:R277"/>
    <mergeCell ref="T277:U277"/>
    <mergeCell ref="W277:X277"/>
    <mergeCell ref="H275:I275"/>
    <mergeCell ref="D295:D297"/>
    <mergeCell ref="AB295:AC295"/>
    <mergeCell ref="K319:L319"/>
    <mergeCell ref="N319:O319"/>
    <mergeCell ref="Q319:R319"/>
    <mergeCell ref="Z319:AA319"/>
    <mergeCell ref="D302:D304"/>
    <mergeCell ref="P326:Q326"/>
    <mergeCell ref="AE268:AF268"/>
    <mergeCell ref="H268:I268"/>
    <mergeCell ref="AM256:AM258"/>
    <mergeCell ref="AK251:AK253"/>
    <mergeCell ref="AK258:AK260"/>
    <mergeCell ref="AI263:AJ263"/>
    <mergeCell ref="Q263:R263"/>
    <mergeCell ref="W263:X263"/>
    <mergeCell ref="H274:I274"/>
    <mergeCell ref="K274:L274"/>
    <mergeCell ref="N274:O274"/>
    <mergeCell ref="Q274:R274"/>
    <mergeCell ref="AC274:AD274"/>
    <mergeCell ref="AF274:AG274"/>
    <mergeCell ref="T271:U271"/>
    <mergeCell ref="J269:K269"/>
    <mergeCell ref="P269:Q269"/>
    <mergeCell ref="W269:X269"/>
    <mergeCell ref="AC269:AD269"/>
    <mergeCell ref="AL277:AM277"/>
    <mergeCell ref="Z277:AA277"/>
    <mergeCell ref="AF279:AG279"/>
    <mergeCell ref="W257:X257"/>
    <mergeCell ref="AI279:AJ279"/>
    <mergeCell ref="N247:O247"/>
    <mergeCell ref="AB251:AC251"/>
    <mergeCell ref="D258:D260"/>
    <mergeCell ref="D251:D253"/>
    <mergeCell ref="F263:G263"/>
    <mergeCell ref="H279:I279"/>
    <mergeCell ref="M279:N279"/>
    <mergeCell ref="P279:Q279"/>
    <mergeCell ref="U279:V279"/>
    <mergeCell ref="X279:Y279"/>
    <mergeCell ref="AA279:AB279"/>
    <mergeCell ref="Z281:AA281"/>
    <mergeCell ref="AC281:AD281"/>
    <mergeCell ref="H285:I285"/>
    <mergeCell ref="M285:N285"/>
    <mergeCell ref="P285:Q285"/>
    <mergeCell ref="U285:V285"/>
    <mergeCell ref="X285:Y285"/>
    <mergeCell ref="H280:I280"/>
    <mergeCell ref="M280:N280"/>
    <mergeCell ref="P280:Q280"/>
    <mergeCell ref="U280:V280"/>
    <mergeCell ref="X280:Y280"/>
    <mergeCell ref="AA280:AB280"/>
    <mergeCell ref="F345:G345"/>
    <mergeCell ref="AI345:AJ345"/>
    <mergeCell ref="H361:I361"/>
    <mergeCell ref="K361:L361"/>
    <mergeCell ref="N361:O361"/>
    <mergeCell ref="Q361:R361"/>
    <mergeCell ref="AC361:AD361"/>
    <mergeCell ref="AF361:AG361"/>
    <mergeCell ref="AO361:AP361"/>
    <mergeCell ref="C343:D343"/>
    <mergeCell ref="AK343:AL343"/>
    <mergeCell ref="AK339:AL340"/>
    <mergeCell ref="AM339:AM340"/>
    <mergeCell ref="AN341:AN343"/>
    <mergeCell ref="Q353:R353"/>
    <mergeCell ref="W353:X353"/>
    <mergeCell ref="U345:V345"/>
    <mergeCell ref="AE350:AF350"/>
    <mergeCell ref="H350:I350"/>
    <mergeCell ref="C339:D340"/>
    <mergeCell ref="E339:E340"/>
    <mergeCell ref="H366:I366"/>
    <mergeCell ref="M366:N366"/>
    <mergeCell ref="P366:Q366"/>
    <mergeCell ref="U366:V366"/>
    <mergeCell ref="X366:Y366"/>
    <mergeCell ref="AA366:AB366"/>
    <mergeCell ref="AF366:AG366"/>
    <mergeCell ref="AI366:AJ366"/>
    <mergeCell ref="AF363:AG363"/>
    <mergeCell ref="H364:I364"/>
    <mergeCell ref="K364:L364"/>
    <mergeCell ref="N364:O364"/>
    <mergeCell ref="Q364:R364"/>
    <mergeCell ref="T364:U364"/>
    <mergeCell ref="W364:X364"/>
    <mergeCell ref="Z364:AA364"/>
    <mergeCell ref="AC364:AD364"/>
    <mergeCell ref="H362:I362"/>
    <mergeCell ref="K362:L362"/>
    <mergeCell ref="N362:O362"/>
    <mergeCell ref="W362:X362"/>
    <mergeCell ref="AF362:AG362"/>
    <mergeCell ref="H363:I363"/>
    <mergeCell ref="K363:L363"/>
    <mergeCell ref="N363:O363"/>
    <mergeCell ref="Q363:R363"/>
    <mergeCell ref="T363:U363"/>
    <mergeCell ref="W363:X363"/>
    <mergeCell ref="T358:U358"/>
    <mergeCell ref="J356:K356"/>
    <mergeCell ref="AF369:AG369"/>
    <mergeCell ref="AI369:AJ369"/>
    <mergeCell ref="H370:I370"/>
    <mergeCell ref="M370:N370"/>
    <mergeCell ref="P370:Q370"/>
    <mergeCell ref="U370:V370"/>
    <mergeCell ref="X370:Y370"/>
    <mergeCell ref="AA370:AB370"/>
    <mergeCell ref="AF370:AG370"/>
    <mergeCell ref="AI370:AJ370"/>
    <mergeCell ref="H367:I367"/>
    <mergeCell ref="M367:N367"/>
    <mergeCell ref="P367:Q367"/>
    <mergeCell ref="U367:V367"/>
    <mergeCell ref="X367:Y367"/>
    <mergeCell ref="AA367:AB367"/>
    <mergeCell ref="AF367:AG367"/>
    <mergeCell ref="AI367:AJ367"/>
    <mergeCell ref="H368:I368"/>
    <mergeCell ref="K368:L368"/>
    <mergeCell ref="N368:O368"/>
    <mergeCell ref="Q368:R368"/>
    <mergeCell ref="T368:U368"/>
    <mergeCell ref="W368:X368"/>
    <mergeCell ref="Z368:AA368"/>
    <mergeCell ref="AC368:AD368"/>
    <mergeCell ref="H371:I371"/>
    <mergeCell ref="K371:L371"/>
    <mergeCell ref="N371:O371"/>
    <mergeCell ref="Q371:R371"/>
    <mergeCell ref="T371:U371"/>
    <mergeCell ref="W371:X371"/>
    <mergeCell ref="Z371:AA371"/>
    <mergeCell ref="AC371:AD371"/>
    <mergeCell ref="H372:I372"/>
    <mergeCell ref="M372:N372"/>
    <mergeCell ref="P372:Q372"/>
    <mergeCell ref="U372:V372"/>
    <mergeCell ref="X372:Y372"/>
    <mergeCell ref="AA372:AB372"/>
    <mergeCell ref="H369:I369"/>
    <mergeCell ref="M369:N369"/>
    <mergeCell ref="P369:Q369"/>
    <mergeCell ref="U369:V369"/>
    <mergeCell ref="X369:Y369"/>
    <mergeCell ref="AA369:AB369"/>
    <mergeCell ref="K554:L554"/>
    <mergeCell ref="N554:O554"/>
    <mergeCell ref="Q554:R554"/>
    <mergeCell ref="AC554:AD554"/>
    <mergeCell ref="AF554:AG554"/>
    <mergeCell ref="AO554:AP554"/>
    <mergeCell ref="H555:I555"/>
    <mergeCell ref="K555:L555"/>
    <mergeCell ref="N555:O555"/>
    <mergeCell ref="W555:X555"/>
    <mergeCell ref="AF555:AG555"/>
    <mergeCell ref="I551:J551"/>
    <mergeCell ref="L551:M551"/>
    <mergeCell ref="Q551:R551"/>
    <mergeCell ref="T551:U551"/>
    <mergeCell ref="AA551:AB551"/>
    <mergeCell ref="I552:J552"/>
    <mergeCell ref="L552:M552"/>
    <mergeCell ref="Q552:R552"/>
    <mergeCell ref="T552:U552"/>
    <mergeCell ref="AA552:AB552"/>
    <mergeCell ref="H559:I559"/>
    <mergeCell ref="M559:N559"/>
    <mergeCell ref="P559:Q559"/>
    <mergeCell ref="U559:V559"/>
    <mergeCell ref="X559:Y559"/>
    <mergeCell ref="AA559:AB559"/>
    <mergeCell ref="AF559:AG559"/>
    <mergeCell ref="AI559:AJ559"/>
    <mergeCell ref="H556:I556"/>
    <mergeCell ref="K556:L556"/>
    <mergeCell ref="N556:O556"/>
    <mergeCell ref="Q556:R556"/>
    <mergeCell ref="T556:U556"/>
    <mergeCell ref="W556:X556"/>
    <mergeCell ref="AF556:AG556"/>
    <mergeCell ref="H557:I557"/>
    <mergeCell ref="K557:L557"/>
    <mergeCell ref="N557:O557"/>
    <mergeCell ref="Q557:R557"/>
    <mergeCell ref="T557:U557"/>
    <mergeCell ref="W557:X557"/>
    <mergeCell ref="Z557:AA557"/>
    <mergeCell ref="AC557:AD557"/>
    <mergeCell ref="H563:I563"/>
    <mergeCell ref="M563:N563"/>
    <mergeCell ref="P563:Q563"/>
    <mergeCell ref="U563:V563"/>
    <mergeCell ref="X563:Y563"/>
    <mergeCell ref="AA563:AB563"/>
    <mergeCell ref="AF563:AG563"/>
    <mergeCell ref="AI563:AJ563"/>
    <mergeCell ref="H560:I560"/>
    <mergeCell ref="M560:N560"/>
    <mergeCell ref="P560:Q560"/>
    <mergeCell ref="U560:V560"/>
    <mergeCell ref="X560:Y560"/>
    <mergeCell ref="AA560:AB560"/>
    <mergeCell ref="AF560:AG560"/>
    <mergeCell ref="AI560:AJ560"/>
    <mergeCell ref="H561:I561"/>
    <mergeCell ref="K561:L561"/>
    <mergeCell ref="N561:O561"/>
    <mergeCell ref="Q561:R561"/>
    <mergeCell ref="T561:U561"/>
    <mergeCell ref="W561:X561"/>
    <mergeCell ref="Z561:AA561"/>
    <mergeCell ref="AC561:AD561"/>
    <mergeCell ref="H566:I566"/>
    <mergeCell ref="M566:N566"/>
    <mergeCell ref="P566:Q566"/>
    <mergeCell ref="U566:V566"/>
    <mergeCell ref="X566:Y566"/>
    <mergeCell ref="AA566:AB566"/>
    <mergeCell ref="AF566:AG566"/>
    <mergeCell ref="AI566:AJ566"/>
    <mergeCell ref="AN566:AO566"/>
    <mergeCell ref="AQ566:AR566"/>
    <mergeCell ref="H564:I564"/>
    <mergeCell ref="K564:L564"/>
    <mergeCell ref="N564:O564"/>
    <mergeCell ref="Q564:R564"/>
    <mergeCell ref="T564:U564"/>
    <mergeCell ref="W564:X564"/>
    <mergeCell ref="Z564:AA564"/>
    <mergeCell ref="AC564:AD564"/>
    <mergeCell ref="H565:I565"/>
    <mergeCell ref="M565:N565"/>
    <mergeCell ref="P565:Q565"/>
    <mergeCell ref="U565:V565"/>
    <mergeCell ref="X565:Y565"/>
    <mergeCell ref="AA565:AB565"/>
    <mergeCell ref="F586:G586"/>
    <mergeCell ref="AI586:AJ586"/>
    <mergeCell ref="H591:I591"/>
    <mergeCell ref="AE591:AF591"/>
    <mergeCell ref="J592:K592"/>
    <mergeCell ref="Q592:R592"/>
    <mergeCell ref="W592:X592"/>
    <mergeCell ref="AC592:AD592"/>
    <mergeCell ref="T594:U594"/>
    <mergeCell ref="J567:K567"/>
    <mergeCell ref="N571:O571"/>
    <mergeCell ref="D575:D577"/>
    <mergeCell ref="AA575:AB575"/>
    <mergeCell ref="AL575:AL577"/>
    <mergeCell ref="AN579:AN581"/>
    <mergeCell ref="D581:D583"/>
    <mergeCell ref="AL581:AL583"/>
    <mergeCell ref="AN582:AN583"/>
    <mergeCell ref="J600:K600"/>
    <mergeCell ref="M600:N600"/>
    <mergeCell ref="I601:J601"/>
    <mergeCell ref="L601:M601"/>
    <mergeCell ref="Q601:R601"/>
    <mergeCell ref="T601:U601"/>
    <mergeCell ref="AA601:AB601"/>
    <mergeCell ref="J597:K597"/>
    <mergeCell ref="M597:N597"/>
    <mergeCell ref="P597:Q597"/>
    <mergeCell ref="S597:T597"/>
    <mergeCell ref="V597:W597"/>
    <mergeCell ref="Y597:Z597"/>
    <mergeCell ref="J598:K598"/>
    <mergeCell ref="M598:N598"/>
    <mergeCell ref="P598:Q598"/>
    <mergeCell ref="S598:T598"/>
    <mergeCell ref="V598:W598"/>
    <mergeCell ref="Y598:Z598"/>
    <mergeCell ref="K605:L605"/>
    <mergeCell ref="N605:O605"/>
    <mergeCell ref="Q605:R605"/>
    <mergeCell ref="Z605:AA605"/>
    <mergeCell ref="H606:I606"/>
    <mergeCell ref="K606:L606"/>
    <mergeCell ref="N606:O606"/>
    <mergeCell ref="Q606:R606"/>
    <mergeCell ref="T606:U606"/>
    <mergeCell ref="W606:X606"/>
    <mergeCell ref="AF606:AG606"/>
    <mergeCell ref="I602:J602"/>
    <mergeCell ref="L602:M602"/>
    <mergeCell ref="Q602:R602"/>
    <mergeCell ref="T602:U602"/>
    <mergeCell ref="AA602:AB602"/>
    <mergeCell ref="H604:I604"/>
    <mergeCell ref="K604:L604"/>
    <mergeCell ref="N604:O604"/>
    <mergeCell ref="Q604:R604"/>
    <mergeCell ref="T604:U604"/>
    <mergeCell ref="W604:X604"/>
    <mergeCell ref="H610:I610"/>
    <mergeCell ref="M610:N610"/>
    <mergeCell ref="P610:Q610"/>
    <mergeCell ref="U610:V610"/>
    <mergeCell ref="X610:Y610"/>
    <mergeCell ref="AA610:AB610"/>
    <mergeCell ref="AF610:AG610"/>
    <mergeCell ref="AI610:AJ610"/>
    <mergeCell ref="H607:I607"/>
    <mergeCell ref="K607:L607"/>
    <mergeCell ref="N607:O607"/>
    <mergeCell ref="Q607:R607"/>
    <mergeCell ref="T607:U607"/>
    <mergeCell ref="AC607:AD607"/>
    <mergeCell ref="J399:K399"/>
    <mergeCell ref="P399:Q399"/>
    <mergeCell ref="W399:X399"/>
    <mergeCell ref="AC399:AD399"/>
    <mergeCell ref="T401:U401"/>
    <mergeCell ref="H404:I404"/>
    <mergeCell ref="AC411:AD411"/>
    <mergeCell ref="H412:I412"/>
    <mergeCell ref="M412:N412"/>
    <mergeCell ref="P412:Q412"/>
    <mergeCell ref="U412:V412"/>
    <mergeCell ref="X412:Y412"/>
    <mergeCell ref="H409:I409"/>
    <mergeCell ref="M409:N409"/>
    <mergeCell ref="P409:Q409"/>
    <mergeCell ref="U409:V409"/>
    <mergeCell ref="X409:Y409"/>
    <mergeCell ref="H605:I605"/>
    <mergeCell ref="H616:I616"/>
    <mergeCell ref="M616:N616"/>
    <mergeCell ref="P616:Q616"/>
    <mergeCell ref="U616:V616"/>
    <mergeCell ref="X616:Y616"/>
    <mergeCell ref="AC616:AD616"/>
    <mergeCell ref="AF616:AG616"/>
    <mergeCell ref="H614:I614"/>
    <mergeCell ref="K614:L614"/>
    <mergeCell ref="N614:O614"/>
    <mergeCell ref="Q614:R614"/>
    <mergeCell ref="T614:U614"/>
    <mergeCell ref="H615:I615"/>
    <mergeCell ref="M615:N615"/>
    <mergeCell ref="P615:Q615"/>
    <mergeCell ref="U615:V615"/>
    <mergeCell ref="M613:N613"/>
    <mergeCell ref="P613:Q613"/>
    <mergeCell ref="U613:V613"/>
    <mergeCell ref="X613:Y613"/>
    <mergeCell ref="H611:I611"/>
    <mergeCell ref="K611:L611"/>
    <mergeCell ref="B2:BJ2"/>
    <mergeCell ref="N378:O378"/>
    <mergeCell ref="AA381:AB381"/>
    <mergeCell ref="C382:D383"/>
    <mergeCell ref="E382:E383"/>
    <mergeCell ref="AK382:AL383"/>
    <mergeCell ref="AM382:AM383"/>
    <mergeCell ref="AN384:AN386"/>
    <mergeCell ref="C386:D386"/>
    <mergeCell ref="AK386:AL386"/>
    <mergeCell ref="F388:G388"/>
    <mergeCell ref="U388:V388"/>
    <mergeCell ref="AI388:AJ388"/>
    <mergeCell ref="H393:I393"/>
    <mergeCell ref="AE393:AF393"/>
    <mergeCell ref="Q396:R396"/>
    <mergeCell ref="W396:X396"/>
    <mergeCell ref="J374:K374"/>
    <mergeCell ref="AF372:AG372"/>
    <mergeCell ref="AI372:AJ372"/>
    <mergeCell ref="AN372:AO372"/>
    <mergeCell ref="AQ372:AR372"/>
    <mergeCell ref="H373:I373"/>
    <mergeCell ref="M373:N373"/>
    <mergeCell ref="P373:Q373"/>
    <mergeCell ref="AI609:AJ609"/>
    <mergeCell ref="U373:V373"/>
    <mergeCell ref="X373:Y373"/>
    <mergeCell ref="AA373:AB373"/>
    <mergeCell ref="AF373:AG373"/>
    <mergeCell ref="H406:I406"/>
    <mergeCell ref="K406:L406"/>
    <mergeCell ref="N406:O406"/>
    <mergeCell ref="Q406:R406"/>
    <mergeCell ref="T406:U406"/>
    <mergeCell ref="W406:X406"/>
    <mergeCell ref="AF406:AG406"/>
    <mergeCell ref="H407:I407"/>
    <mergeCell ref="K407:L407"/>
    <mergeCell ref="N407:O407"/>
    <mergeCell ref="Q407:R407"/>
    <mergeCell ref="T407:U407"/>
    <mergeCell ref="AC407:AD407"/>
    <mergeCell ref="K404:L404"/>
    <mergeCell ref="N404:O404"/>
    <mergeCell ref="Q404:R404"/>
    <mergeCell ref="T404:U404"/>
    <mergeCell ref="W404:X404"/>
    <mergeCell ref="AF404:AG404"/>
    <mergeCell ref="H405:I405"/>
    <mergeCell ref="K405:L405"/>
    <mergeCell ref="N405:O405"/>
    <mergeCell ref="Q405:R405"/>
    <mergeCell ref="Z405:AA405"/>
    <mergeCell ref="AA409:AB409"/>
    <mergeCell ref="AF409:AG409"/>
    <mergeCell ref="AI409:AJ409"/>
    <mergeCell ref="H410:I410"/>
    <mergeCell ref="M410:N410"/>
    <mergeCell ref="P410:Q410"/>
    <mergeCell ref="U410:V410"/>
    <mergeCell ref="X410:Y410"/>
    <mergeCell ref="AA410:AB410"/>
    <mergeCell ref="AF410:AG410"/>
    <mergeCell ref="AI410:AJ410"/>
    <mergeCell ref="H413:I413"/>
    <mergeCell ref="M413:N413"/>
    <mergeCell ref="P413:Q413"/>
    <mergeCell ref="U413:V413"/>
    <mergeCell ref="X413:Y413"/>
    <mergeCell ref="P609:Q609"/>
    <mergeCell ref="U609:V609"/>
    <mergeCell ref="X609:Y609"/>
    <mergeCell ref="AA609:AB609"/>
    <mergeCell ref="J497:K497"/>
    <mergeCell ref="M497:N497"/>
    <mergeCell ref="P497:Q497"/>
    <mergeCell ref="S497:T497"/>
    <mergeCell ref="V497:W497"/>
    <mergeCell ref="Y497:Z497"/>
    <mergeCell ref="H414:I414"/>
    <mergeCell ref="K414:L414"/>
    <mergeCell ref="N414:O414"/>
    <mergeCell ref="Q414:R414"/>
    <mergeCell ref="T414:U414"/>
    <mergeCell ref="H411:I411"/>
    <mergeCell ref="K411:L411"/>
    <mergeCell ref="N411:O411"/>
    <mergeCell ref="Q411:R411"/>
    <mergeCell ref="T411:U411"/>
    <mergeCell ref="W411:X411"/>
    <mergeCell ref="Z411:AA411"/>
    <mergeCell ref="H415:I415"/>
    <mergeCell ref="M415:N415"/>
    <mergeCell ref="P415:Q415"/>
    <mergeCell ref="U415:V415"/>
    <mergeCell ref="J417:K417"/>
    <mergeCell ref="X415:Y415"/>
    <mergeCell ref="H562:I562"/>
    <mergeCell ref="M562:N562"/>
    <mergeCell ref="P562:Q562"/>
    <mergeCell ref="U562:V562"/>
    <mergeCell ref="E815:F815"/>
    <mergeCell ref="H815:I815"/>
    <mergeCell ref="K815:L815"/>
    <mergeCell ref="N815:O815"/>
    <mergeCell ref="Z815:AA815"/>
    <mergeCell ref="AA501:AB501"/>
    <mergeCell ref="I502:J502"/>
    <mergeCell ref="L502:M502"/>
    <mergeCell ref="Q502:R502"/>
    <mergeCell ref="T502:U502"/>
    <mergeCell ref="AA502:AB502"/>
    <mergeCell ref="H504:I504"/>
    <mergeCell ref="K504:L504"/>
    <mergeCell ref="N504:O504"/>
    <mergeCell ref="Q504:R504"/>
    <mergeCell ref="H509:I509"/>
    <mergeCell ref="E816:F816"/>
    <mergeCell ref="O788:P788"/>
    <mergeCell ref="G792:G794"/>
    <mergeCell ref="AD792:AE792"/>
    <mergeCell ref="AC415:AD415"/>
    <mergeCell ref="AF415:AG415"/>
    <mergeCell ref="H416:I416"/>
    <mergeCell ref="M416:N416"/>
    <mergeCell ref="P416:Q416"/>
    <mergeCell ref="U416:V416"/>
    <mergeCell ref="X416:Y416"/>
    <mergeCell ref="AC416:AD416"/>
    <mergeCell ref="AF416:AG416"/>
    <mergeCell ref="J617:K617"/>
    <mergeCell ref="N611:O611"/>
    <mergeCell ref="Q611:R611"/>
    <mergeCell ref="T611:U611"/>
    <mergeCell ref="W611:X611"/>
    <mergeCell ref="Z611:AA611"/>
    <mergeCell ref="AC611:AD611"/>
    <mergeCell ref="H612:I612"/>
    <mergeCell ref="M612:N612"/>
    <mergeCell ref="P612:Q612"/>
    <mergeCell ref="U612:V612"/>
    <mergeCell ref="H609:I609"/>
    <mergeCell ref="M609:N609"/>
    <mergeCell ref="P499:Q499"/>
    <mergeCell ref="U499:V499"/>
    <mergeCell ref="Z499:AA499"/>
    <mergeCell ref="AC499:AD499"/>
    <mergeCell ref="H475:H477"/>
    <mergeCell ref="H613:I613"/>
    <mergeCell ref="AM792:AM794"/>
    <mergeCell ref="AO797:AO799"/>
    <mergeCell ref="Y798:Z798"/>
    <mergeCell ref="G799:G801"/>
    <mergeCell ref="AM799:AM801"/>
    <mergeCell ref="H804:I804"/>
    <mergeCell ref="S804:T804"/>
    <mergeCell ref="Y804:Z804"/>
    <mergeCell ref="AK804:AL804"/>
    <mergeCell ref="AA788:AB788"/>
    <mergeCell ref="Q815:R815"/>
    <mergeCell ref="T815:U815"/>
    <mergeCell ref="W815:X815"/>
    <mergeCell ref="K819:L819"/>
    <mergeCell ref="N819:O819"/>
    <mergeCell ref="Q819:R819"/>
    <mergeCell ref="T819:U819"/>
    <mergeCell ref="W819:X819"/>
    <mergeCell ref="Z819:AA819"/>
    <mergeCell ref="AL818:AM818"/>
    <mergeCell ref="J809:K809"/>
    <mergeCell ref="AG809:AH809"/>
    <mergeCell ref="L810:M810"/>
    <mergeCell ref="R810:S810"/>
    <mergeCell ref="Y810:Z810"/>
    <mergeCell ref="AE810:AF810"/>
    <mergeCell ref="V812:W812"/>
    <mergeCell ref="AC815:AD815"/>
    <mergeCell ref="E817:F817"/>
    <mergeCell ref="H817:I817"/>
    <mergeCell ref="K817:L817"/>
    <mergeCell ref="T817:U817"/>
    <mergeCell ref="AC817:AD817"/>
    <mergeCell ref="E818:F818"/>
    <mergeCell ref="H818:I818"/>
    <mergeCell ref="K818:L818"/>
    <mergeCell ref="N818:O818"/>
    <mergeCell ref="Q818:R818"/>
    <mergeCell ref="T818:U818"/>
    <mergeCell ref="N817:O817"/>
    <mergeCell ref="Q817:R817"/>
    <mergeCell ref="H888:I888"/>
    <mergeCell ref="K888:L888"/>
    <mergeCell ref="N888:O888"/>
    <mergeCell ref="Q888:R888"/>
    <mergeCell ref="T888:U888"/>
    <mergeCell ref="W869:X869"/>
    <mergeCell ref="W834:X834"/>
    <mergeCell ref="Q840:R840"/>
    <mergeCell ref="W840:X840"/>
    <mergeCell ref="N852:O852"/>
    <mergeCell ref="Q852:R852"/>
    <mergeCell ref="AF888:AG888"/>
    <mergeCell ref="H889:I889"/>
    <mergeCell ref="K889:L889"/>
    <mergeCell ref="N889:O889"/>
    <mergeCell ref="Q889:R889"/>
    <mergeCell ref="T889:U889"/>
    <mergeCell ref="AC889:AD889"/>
    <mergeCell ref="BF873:BG873"/>
    <mergeCell ref="H910:I910"/>
    <mergeCell ref="AE910:AF910"/>
    <mergeCell ref="Q913:R913"/>
    <mergeCell ref="W913:X913"/>
    <mergeCell ref="N887:O887"/>
    <mergeCell ref="Q887:R887"/>
    <mergeCell ref="J881:K881"/>
    <mergeCell ref="P881:Q881"/>
    <mergeCell ref="AC881:AD881"/>
    <mergeCell ref="AV875:AW875"/>
    <mergeCell ref="AX875:AY875"/>
    <mergeCell ref="AZ875:BA875"/>
    <mergeCell ref="BB875:BC875"/>
    <mergeCell ref="BD875:BE875"/>
    <mergeCell ref="BF875:BG875"/>
    <mergeCell ref="AV879:AW879"/>
    <mergeCell ref="AX879:AY879"/>
    <mergeCell ref="AZ879:BA879"/>
    <mergeCell ref="BB879:BC879"/>
    <mergeCell ref="AA898:AB898"/>
    <mergeCell ref="W888:X888"/>
    <mergeCell ref="Z887:AA887"/>
    <mergeCell ref="W886:X886"/>
    <mergeCell ref="W881:X881"/>
    <mergeCell ref="BD793:BE793"/>
    <mergeCell ref="BF793:BG793"/>
    <mergeCell ref="AV792:AW792"/>
    <mergeCell ref="AX792:AY792"/>
    <mergeCell ref="AZ792:BA792"/>
    <mergeCell ref="BD792:BE792"/>
    <mergeCell ref="BF792:BG792"/>
    <mergeCell ref="BF794:BG794"/>
    <mergeCell ref="AX814:AY814"/>
    <mergeCell ref="AZ814:BA814"/>
    <mergeCell ref="BD814:BE814"/>
    <mergeCell ref="BF813:BG813"/>
    <mergeCell ref="BF814:BG814"/>
    <mergeCell ref="BF871:BG871"/>
    <mergeCell ref="AV823:AW824"/>
    <mergeCell ref="AX823:AY823"/>
    <mergeCell ref="AZ823:BA823"/>
    <mergeCell ref="BB823:BC823"/>
    <mergeCell ref="BD823:BE823"/>
    <mergeCell ref="BF823:BG823"/>
    <mergeCell ref="AV827:AW827"/>
    <mergeCell ref="AX827:AY827"/>
    <mergeCell ref="AZ827:BA827"/>
    <mergeCell ref="BB827:BC827"/>
    <mergeCell ref="BD827:BE827"/>
    <mergeCell ref="BF827:BG827"/>
    <mergeCell ref="BF836:BG836"/>
    <mergeCell ref="BD839:BE839"/>
    <mergeCell ref="BF839:BG839"/>
    <mergeCell ref="AV840:AW840"/>
    <mergeCell ref="AX840:AY840"/>
    <mergeCell ref="AZ840:BA840"/>
    <mergeCell ref="BD791:BE791"/>
    <mergeCell ref="BF791:BG791"/>
    <mergeCell ref="AV790:AW790"/>
    <mergeCell ref="AZ790:BA790"/>
    <mergeCell ref="BD790:BE790"/>
    <mergeCell ref="BF790:BG790"/>
    <mergeCell ref="BH796:BI796"/>
    <mergeCell ref="AV797:AW797"/>
    <mergeCell ref="AX797:AY797"/>
    <mergeCell ref="AZ797:BA797"/>
    <mergeCell ref="BD797:BE797"/>
    <mergeCell ref="BF797:BG797"/>
    <mergeCell ref="BH797:BI797"/>
    <mergeCell ref="AV796:AW796"/>
    <mergeCell ref="AX796:AY796"/>
    <mergeCell ref="AZ796:BA796"/>
    <mergeCell ref="BD796:BE796"/>
    <mergeCell ref="BF796:BG796"/>
    <mergeCell ref="BH794:BI794"/>
    <mergeCell ref="AV795:AW795"/>
    <mergeCell ref="AX795:AY795"/>
    <mergeCell ref="AZ795:BA795"/>
    <mergeCell ref="BD795:BE795"/>
    <mergeCell ref="BF795:BG795"/>
    <mergeCell ref="BH795:BI795"/>
    <mergeCell ref="AV794:AW794"/>
    <mergeCell ref="AX794:AY794"/>
    <mergeCell ref="AZ794:BA794"/>
    <mergeCell ref="BD794:BE794"/>
    <mergeCell ref="AV793:AW793"/>
    <mergeCell ref="AX793:AY793"/>
    <mergeCell ref="AZ793:BA793"/>
    <mergeCell ref="BH792:BI792"/>
    <mergeCell ref="BH793:BI793"/>
    <mergeCell ref="BH790:BI790"/>
    <mergeCell ref="BH791:BI791"/>
    <mergeCell ref="AX790:AY790"/>
    <mergeCell ref="BH800:BI800"/>
    <mergeCell ref="AV801:AW801"/>
    <mergeCell ref="AX801:AY801"/>
    <mergeCell ref="AZ801:BA801"/>
    <mergeCell ref="BD801:BE801"/>
    <mergeCell ref="BF801:BG801"/>
    <mergeCell ref="BH801:BI801"/>
    <mergeCell ref="AV800:AW800"/>
    <mergeCell ref="AX800:AY800"/>
    <mergeCell ref="AZ800:BA800"/>
    <mergeCell ref="BD800:BE800"/>
    <mergeCell ref="BF800:BG800"/>
    <mergeCell ref="BH798:BI798"/>
    <mergeCell ref="AV799:AW799"/>
    <mergeCell ref="AX799:AY799"/>
    <mergeCell ref="AZ799:BA799"/>
    <mergeCell ref="BD799:BE799"/>
    <mergeCell ref="BF799:BG799"/>
    <mergeCell ref="BH799:BI799"/>
    <mergeCell ref="AV798:AW798"/>
    <mergeCell ref="AX798:AY798"/>
    <mergeCell ref="AZ798:BA798"/>
    <mergeCell ref="BD798:BE798"/>
    <mergeCell ref="BF798:BG798"/>
    <mergeCell ref="AV791:AW791"/>
    <mergeCell ref="AX791:AY791"/>
    <mergeCell ref="AZ791:BA791"/>
    <mergeCell ref="BH804:BI804"/>
    <mergeCell ref="AV805:AW805"/>
    <mergeCell ref="AX805:AY805"/>
    <mergeCell ref="AZ805:BA805"/>
    <mergeCell ref="BD805:BE805"/>
    <mergeCell ref="BF805:BG805"/>
    <mergeCell ref="BH805:BI805"/>
    <mergeCell ref="AV804:AW804"/>
    <mergeCell ref="AX804:AY804"/>
    <mergeCell ref="AZ804:BA804"/>
    <mergeCell ref="BD804:BE804"/>
    <mergeCell ref="BF804:BG804"/>
    <mergeCell ref="BH802:BI802"/>
    <mergeCell ref="AV803:AW803"/>
    <mergeCell ref="AX803:AY803"/>
    <mergeCell ref="AZ803:BA803"/>
    <mergeCell ref="BD803:BE803"/>
    <mergeCell ref="BF803:BG803"/>
    <mergeCell ref="BH803:BI803"/>
    <mergeCell ref="AV802:AW802"/>
    <mergeCell ref="AX802:AY802"/>
    <mergeCell ref="AZ802:BA802"/>
    <mergeCell ref="BD802:BE802"/>
    <mergeCell ref="BF802:BG802"/>
    <mergeCell ref="BH808:BI808"/>
    <mergeCell ref="AV809:AW809"/>
    <mergeCell ref="AX809:AY809"/>
    <mergeCell ref="AZ809:BA809"/>
    <mergeCell ref="BD809:BE809"/>
    <mergeCell ref="BF809:BG809"/>
    <mergeCell ref="BH809:BI809"/>
    <mergeCell ref="AV808:AW808"/>
    <mergeCell ref="AX808:AY808"/>
    <mergeCell ref="AZ808:BA808"/>
    <mergeCell ref="BD808:BE808"/>
    <mergeCell ref="BF808:BG808"/>
    <mergeCell ref="BH806:BI806"/>
    <mergeCell ref="AV807:AW807"/>
    <mergeCell ref="AX807:AY807"/>
    <mergeCell ref="AZ807:BA807"/>
    <mergeCell ref="BD807:BE807"/>
    <mergeCell ref="BF807:BG807"/>
    <mergeCell ref="BH807:BI807"/>
    <mergeCell ref="AV806:AW806"/>
    <mergeCell ref="AX806:AY806"/>
    <mergeCell ref="AZ806:BA806"/>
    <mergeCell ref="BD806:BE806"/>
    <mergeCell ref="BF806:BG806"/>
    <mergeCell ref="BH811:BI811"/>
    <mergeCell ref="AV812:AW812"/>
    <mergeCell ref="AX812:AY812"/>
    <mergeCell ref="AZ812:BA812"/>
    <mergeCell ref="BD812:BE812"/>
    <mergeCell ref="BF811:BG811"/>
    <mergeCell ref="BF812:BG812"/>
    <mergeCell ref="BH812:BI812"/>
    <mergeCell ref="BB811:BC811"/>
    <mergeCell ref="BB812:BC812"/>
    <mergeCell ref="AV811:AW811"/>
    <mergeCell ref="AX811:AY811"/>
    <mergeCell ref="AZ811:BA811"/>
    <mergeCell ref="BD811:BE811"/>
    <mergeCell ref="AE880:AF880"/>
    <mergeCell ref="BH815:BI815"/>
    <mergeCell ref="AV816:AW816"/>
    <mergeCell ref="AX816:AY816"/>
    <mergeCell ref="AZ816:BA816"/>
    <mergeCell ref="BD816:BE816"/>
    <mergeCell ref="BF815:BG815"/>
    <mergeCell ref="BF816:BG816"/>
    <mergeCell ref="BH816:BI816"/>
    <mergeCell ref="BB815:BC815"/>
    <mergeCell ref="BB816:BC816"/>
    <mergeCell ref="AV815:AW815"/>
    <mergeCell ref="AX815:AY815"/>
    <mergeCell ref="AZ815:BA815"/>
    <mergeCell ref="BD815:BE815"/>
    <mergeCell ref="BH813:BI813"/>
    <mergeCell ref="AV814:AW814"/>
    <mergeCell ref="BH814:BI814"/>
    <mergeCell ref="BD813:BE813"/>
    <mergeCell ref="BH819:BI819"/>
    <mergeCell ref="AV819:AW819"/>
    <mergeCell ref="AX819:AY819"/>
    <mergeCell ref="AZ819:BA819"/>
    <mergeCell ref="BD819:BE819"/>
    <mergeCell ref="BF819:BG819"/>
    <mergeCell ref="BB819:BC819"/>
    <mergeCell ref="BH817:BI817"/>
    <mergeCell ref="AV818:AW818"/>
    <mergeCell ref="AX818:AY818"/>
    <mergeCell ref="AZ818:BA818"/>
    <mergeCell ref="BD818:BE818"/>
    <mergeCell ref="BF817:BG817"/>
    <mergeCell ref="BF818:BG818"/>
    <mergeCell ref="BH818:BI818"/>
    <mergeCell ref="BB817:BC817"/>
    <mergeCell ref="BB818:BC818"/>
    <mergeCell ref="AV817:AW817"/>
    <mergeCell ref="AX817:AY817"/>
    <mergeCell ref="AZ817:BA817"/>
    <mergeCell ref="BD817:BE817"/>
    <mergeCell ref="BH810:BI810"/>
    <mergeCell ref="M859:N859"/>
    <mergeCell ref="H880:I880"/>
    <mergeCell ref="BH820:BI820"/>
    <mergeCell ref="BB787:BC787"/>
    <mergeCell ref="BB788:BC788"/>
    <mergeCell ref="BB789:BC789"/>
    <mergeCell ref="BB790:BC790"/>
    <mergeCell ref="BB791:BC791"/>
    <mergeCell ref="BB792:BC792"/>
    <mergeCell ref="BB793:BC793"/>
    <mergeCell ref="BB794:BC794"/>
    <mergeCell ref="BB795:BC795"/>
    <mergeCell ref="BB796:BC796"/>
    <mergeCell ref="BB797:BC797"/>
    <mergeCell ref="BB798:BC798"/>
    <mergeCell ref="BB799:BC799"/>
    <mergeCell ref="BB800:BC800"/>
    <mergeCell ref="BB801:BC801"/>
    <mergeCell ref="BB802:BC802"/>
    <mergeCell ref="BB803:BC803"/>
    <mergeCell ref="BB804:BC804"/>
    <mergeCell ref="BB805:BC805"/>
    <mergeCell ref="BB806:BC806"/>
    <mergeCell ref="BB807:BC807"/>
    <mergeCell ref="BB808:BC808"/>
    <mergeCell ref="BB809:BC809"/>
    <mergeCell ref="AV820:AW820"/>
    <mergeCell ref="AX820:AY820"/>
    <mergeCell ref="AZ820:BA820"/>
    <mergeCell ref="BD820:BE820"/>
    <mergeCell ref="BF820:BG820"/>
    <mergeCell ref="AV810:AW810"/>
    <mergeCell ref="AX810:AY810"/>
    <mergeCell ref="AZ810:BA810"/>
    <mergeCell ref="BB810:BC810"/>
    <mergeCell ref="BD810:BE810"/>
    <mergeCell ref="BF810:BG810"/>
    <mergeCell ref="BB820:BC820"/>
    <mergeCell ref="AF886:AG886"/>
    <mergeCell ref="AV859:AW860"/>
    <mergeCell ref="AX859:AY859"/>
    <mergeCell ref="AZ859:BA859"/>
    <mergeCell ref="BB859:BC859"/>
    <mergeCell ref="BD859:BE859"/>
    <mergeCell ref="BF859:BG859"/>
    <mergeCell ref="AV867:AW867"/>
    <mergeCell ref="AZ867:BA867"/>
    <mergeCell ref="BB867:BC867"/>
    <mergeCell ref="BD867:BE867"/>
    <mergeCell ref="AV871:AW871"/>
    <mergeCell ref="AZ871:BA871"/>
    <mergeCell ref="BB871:BC871"/>
    <mergeCell ref="AV876:AW876"/>
    <mergeCell ref="AX876:AY876"/>
    <mergeCell ref="AZ876:BA876"/>
    <mergeCell ref="BB876:BC876"/>
    <mergeCell ref="BD876:BE876"/>
    <mergeCell ref="BF876:BG876"/>
    <mergeCell ref="BB813:BC813"/>
    <mergeCell ref="BB814:BC814"/>
    <mergeCell ref="AV813:AW813"/>
    <mergeCell ref="AX813:AY813"/>
    <mergeCell ref="AZ813:BA813"/>
    <mergeCell ref="BH859:BI859"/>
    <mergeCell ref="AX860:AY860"/>
    <mergeCell ref="AZ860:BA860"/>
    <mergeCell ref="BB860:BC860"/>
    <mergeCell ref="BD860:BE860"/>
    <mergeCell ref="BF860:BG860"/>
    <mergeCell ref="BH860:BI860"/>
    <mergeCell ref="N895:O895"/>
    <mergeCell ref="D863:D865"/>
    <mergeCell ref="AB863:AC863"/>
    <mergeCell ref="AK863:AK865"/>
    <mergeCell ref="AM868:AM870"/>
    <mergeCell ref="D870:D872"/>
    <mergeCell ref="AK870:AK872"/>
    <mergeCell ref="F875:G875"/>
    <mergeCell ref="Q875:R875"/>
    <mergeCell ref="W875:X875"/>
    <mergeCell ref="AI875:AJ875"/>
    <mergeCell ref="T883:U883"/>
    <mergeCell ref="H886:I886"/>
    <mergeCell ref="K886:L886"/>
    <mergeCell ref="N886:O886"/>
    <mergeCell ref="Q886:R886"/>
    <mergeCell ref="T886:U886"/>
    <mergeCell ref="H887:I887"/>
    <mergeCell ref="K887:L887"/>
    <mergeCell ref="AV863:AW863"/>
    <mergeCell ref="AX863:AY863"/>
    <mergeCell ref="AZ863:BA863"/>
    <mergeCell ref="BB863:BC863"/>
    <mergeCell ref="BD863:BE863"/>
    <mergeCell ref="BF863:BG863"/>
    <mergeCell ref="BH863:BI863"/>
    <mergeCell ref="AV864:AW864"/>
    <mergeCell ref="AX864:AY864"/>
    <mergeCell ref="AZ864:BA864"/>
    <mergeCell ref="BB864:BC864"/>
    <mergeCell ref="BD864:BE864"/>
    <mergeCell ref="BF864:BG864"/>
    <mergeCell ref="BH864:BI864"/>
    <mergeCell ref="AV861:AW861"/>
    <mergeCell ref="AX861:AY861"/>
    <mergeCell ref="AZ861:BA861"/>
    <mergeCell ref="BB861:BC861"/>
    <mergeCell ref="BD861:BE861"/>
    <mergeCell ref="BF861:BG861"/>
    <mergeCell ref="BH861:BI861"/>
    <mergeCell ref="AV862:AW862"/>
    <mergeCell ref="AX862:AY862"/>
    <mergeCell ref="AZ862:BA862"/>
    <mergeCell ref="BB862:BC862"/>
    <mergeCell ref="BD862:BE862"/>
    <mergeCell ref="BF862:BG862"/>
    <mergeCell ref="BH862:BI862"/>
    <mergeCell ref="BH867:BI867"/>
    <mergeCell ref="AV868:AW868"/>
    <mergeCell ref="AZ868:BA868"/>
    <mergeCell ref="BB868:BC868"/>
    <mergeCell ref="BF868:BG868"/>
    <mergeCell ref="BH868:BI868"/>
    <mergeCell ref="AV865:AW865"/>
    <mergeCell ref="AX865:AY865"/>
    <mergeCell ref="AZ865:BA865"/>
    <mergeCell ref="BB865:BC865"/>
    <mergeCell ref="BD865:BE865"/>
    <mergeCell ref="BF865:BG865"/>
    <mergeCell ref="BH865:BI865"/>
    <mergeCell ref="AV866:AW866"/>
    <mergeCell ref="AX866:AY866"/>
    <mergeCell ref="AZ866:BA866"/>
    <mergeCell ref="BB866:BC866"/>
    <mergeCell ref="BD866:BE866"/>
    <mergeCell ref="BF866:BG866"/>
    <mergeCell ref="BH866:BI866"/>
    <mergeCell ref="AX867:AY867"/>
    <mergeCell ref="BF867:BG867"/>
    <mergeCell ref="AX868:AY868"/>
    <mergeCell ref="BD868:BE868"/>
    <mergeCell ref="BH871:BI871"/>
    <mergeCell ref="AV872:AW872"/>
    <mergeCell ref="AZ872:BA872"/>
    <mergeCell ref="BB872:BC872"/>
    <mergeCell ref="BD872:BE872"/>
    <mergeCell ref="BH872:BI872"/>
    <mergeCell ref="AV869:AW869"/>
    <mergeCell ref="AZ869:BA869"/>
    <mergeCell ref="BB869:BC869"/>
    <mergeCell ref="BD869:BE869"/>
    <mergeCell ref="BH869:BI869"/>
    <mergeCell ref="AV870:AW870"/>
    <mergeCell ref="AZ870:BA870"/>
    <mergeCell ref="BB870:BC870"/>
    <mergeCell ref="BD870:BE870"/>
    <mergeCell ref="BH870:BI870"/>
    <mergeCell ref="BH875:BI875"/>
    <mergeCell ref="BD871:BE871"/>
    <mergeCell ref="BF872:BG872"/>
    <mergeCell ref="BF869:BG869"/>
    <mergeCell ref="BF870:BG870"/>
    <mergeCell ref="AX869:AY869"/>
    <mergeCell ref="AX870:AY870"/>
    <mergeCell ref="AX871:AY871"/>
    <mergeCell ref="AX872:AY872"/>
    <mergeCell ref="AX873:AY873"/>
    <mergeCell ref="BH876:BI876"/>
    <mergeCell ref="AV873:AW873"/>
    <mergeCell ref="AZ873:BA873"/>
    <mergeCell ref="BB873:BC873"/>
    <mergeCell ref="BD873:BE873"/>
    <mergeCell ref="BH873:BI873"/>
    <mergeCell ref="AV874:AW874"/>
    <mergeCell ref="AX874:AY874"/>
    <mergeCell ref="BB874:BC874"/>
    <mergeCell ref="BD874:BE874"/>
    <mergeCell ref="BF874:BG874"/>
    <mergeCell ref="BH874:BI874"/>
    <mergeCell ref="AZ874:BA874"/>
    <mergeCell ref="BD879:BE879"/>
    <mergeCell ref="BF879:BG879"/>
    <mergeCell ref="BH879:BI879"/>
    <mergeCell ref="AV880:AW880"/>
    <mergeCell ref="AX880:AY880"/>
    <mergeCell ref="AZ880:BA880"/>
    <mergeCell ref="BB880:BC880"/>
    <mergeCell ref="BD880:BE880"/>
    <mergeCell ref="BF880:BG880"/>
    <mergeCell ref="BH880:BI880"/>
    <mergeCell ref="AV877:AW877"/>
    <mergeCell ref="AX877:AY877"/>
    <mergeCell ref="AZ877:BA877"/>
    <mergeCell ref="BB877:BC877"/>
    <mergeCell ref="BD877:BE877"/>
    <mergeCell ref="BF877:BG877"/>
    <mergeCell ref="BH877:BI877"/>
    <mergeCell ref="AV878:AW878"/>
    <mergeCell ref="AX878:AY878"/>
    <mergeCell ref="AZ878:BA878"/>
    <mergeCell ref="BB878:BC878"/>
    <mergeCell ref="BD878:BE878"/>
    <mergeCell ref="BF878:BG878"/>
    <mergeCell ref="BH878:BI878"/>
    <mergeCell ref="AV883:AW883"/>
    <mergeCell ref="AX883:AY883"/>
    <mergeCell ref="AZ883:BA883"/>
    <mergeCell ref="BB883:BC883"/>
    <mergeCell ref="BD883:BE883"/>
    <mergeCell ref="BF883:BG883"/>
    <mergeCell ref="BH883:BI883"/>
    <mergeCell ref="AV884:AW884"/>
    <mergeCell ref="AX884:AY884"/>
    <mergeCell ref="AZ884:BA884"/>
    <mergeCell ref="BB884:BC884"/>
    <mergeCell ref="BD884:BE884"/>
    <mergeCell ref="BF884:BG884"/>
    <mergeCell ref="BH884:BI884"/>
    <mergeCell ref="AV881:AW881"/>
    <mergeCell ref="AX881:AY881"/>
    <mergeCell ref="AZ881:BA881"/>
    <mergeCell ref="BB881:BC881"/>
    <mergeCell ref="BD881:BE881"/>
    <mergeCell ref="BF881:BG881"/>
    <mergeCell ref="BH881:BI881"/>
    <mergeCell ref="AV882:AW882"/>
    <mergeCell ref="AX882:AY882"/>
    <mergeCell ref="AZ882:BA882"/>
    <mergeCell ref="BB882:BC882"/>
    <mergeCell ref="BD882:BE882"/>
    <mergeCell ref="BF882:BG882"/>
    <mergeCell ref="BH882:BI882"/>
    <mergeCell ref="AV887:AW887"/>
    <mergeCell ref="AX887:AY887"/>
    <mergeCell ref="AZ887:BA887"/>
    <mergeCell ref="BB887:BC887"/>
    <mergeCell ref="BD887:BE887"/>
    <mergeCell ref="BF887:BG887"/>
    <mergeCell ref="BH887:BI887"/>
    <mergeCell ref="AV888:AW888"/>
    <mergeCell ref="AX888:AY888"/>
    <mergeCell ref="AZ888:BA888"/>
    <mergeCell ref="BB888:BC888"/>
    <mergeCell ref="BD888:BE888"/>
    <mergeCell ref="BF888:BG888"/>
    <mergeCell ref="BH888:BI888"/>
    <mergeCell ref="AV885:AW885"/>
    <mergeCell ref="AX885:AY885"/>
    <mergeCell ref="AZ885:BA885"/>
    <mergeCell ref="BB885:BC885"/>
    <mergeCell ref="BD885:BE885"/>
    <mergeCell ref="BF885:BG885"/>
    <mergeCell ref="BH885:BI885"/>
    <mergeCell ref="AV886:AW886"/>
    <mergeCell ref="AX886:AY886"/>
    <mergeCell ref="AZ886:BA886"/>
    <mergeCell ref="BB886:BC886"/>
    <mergeCell ref="BD886:BE886"/>
    <mergeCell ref="BF886:BG886"/>
    <mergeCell ref="BH886:BI886"/>
    <mergeCell ref="AV891:AW891"/>
    <mergeCell ref="AX891:AY891"/>
    <mergeCell ref="AZ891:BA891"/>
    <mergeCell ref="BB891:BC891"/>
    <mergeCell ref="BD891:BE891"/>
    <mergeCell ref="BF891:BG891"/>
    <mergeCell ref="BH891:BI891"/>
    <mergeCell ref="AV892:AW892"/>
    <mergeCell ref="AX892:AY892"/>
    <mergeCell ref="AZ892:BA892"/>
    <mergeCell ref="BB892:BC892"/>
    <mergeCell ref="BD892:BE892"/>
    <mergeCell ref="BF892:BG892"/>
    <mergeCell ref="BH892:BI892"/>
    <mergeCell ref="AV889:AW889"/>
    <mergeCell ref="AX889:AY889"/>
    <mergeCell ref="AZ889:BA889"/>
    <mergeCell ref="BB889:BC889"/>
    <mergeCell ref="BD889:BE889"/>
    <mergeCell ref="BF889:BG889"/>
    <mergeCell ref="BH889:BI889"/>
    <mergeCell ref="AV890:AW890"/>
    <mergeCell ref="AX890:AY890"/>
    <mergeCell ref="AZ890:BA890"/>
    <mergeCell ref="BB890:BC890"/>
    <mergeCell ref="BD890:BE890"/>
    <mergeCell ref="BF890:BG890"/>
    <mergeCell ref="BH890:BI890"/>
    <mergeCell ref="J916:K916"/>
    <mergeCell ref="W916:X916"/>
    <mergeCell ref="AC916:AD916"/>
    <mergeCell ref="T918:U918"/>
    <mergeCell ref="H921:I921"/>
    <mergeCell ref="K921:L921"/>
    <mergeCell ref="N921:O921"/>
    <mergeCell ref="Q921:R921"/>
    <mergeCell ref="AC921:AD921"/>
    <mergeCell ref="AF921:AG921"/>
    <mergeCell ref="C899:D900"/>
    <mergeCell ref="E899:E900"/>
    <mergeCell ref="AK899:AL900"/>
    <mergeCell ref="AM899:AM900"/>
    <mergeCell ref="AN901:AN903"/>
    <mergeCell ref="C903:D903"/>
    <mergeCell ref="AK903:AL903"/>
    <mergeCell ref="F905:G905"/>
    <mergeCell ref="U905:V905"/>
    <mergeCell ref="AI905:AJ905"/>
    <mergeCell ref="N931:O931"/>
    <mergeCell ref="H924:I924"/>
    <mergeCell ref="K924:L924"/>
    <mergeCell ref="N924:O924"/>
    <mergeCell ref="Q924:R924"/>
    <mergeCell ref="T924:U924"/>
    <mergeCell ref="W924:X924"/>
    <mergeCell ref="Z924:AA924"/>
    <mergeCell ref="AC924:AD924"/>
    <mergeCell ref="AL924:AM924"/>
    <mergeCell ref="AO921:AP921"/>
    <mergeCell ref="H922:I922"/>
    <mergeCell ref="K922:L922"/>
    <mergeCell ref="N922:O922"/>
    <mergeCell ref="W922:X922"/>
    <mergeCell ref="AF922:AG922"/>
    <mergeCell ref="H923:I923"/>
    <mergeCell ref="K923:L923"/>
    <mergeCell ref="N923:O923"/>
    <mergeCell ref="Q923:R923"/>
    <mergeCell ref="T923:U923"/>
    <mergeCell ref="W923:X923"/>
    <mergeCell ref="AF923:AG923"/>
    <mergeCell ref="AV897:AW897"/>
    <mergeCell ref="AX897:AY897"/>
    <mergeCell ref="AZ897:BA897"/>
    <mergeCell ref="BB897:BC897"/>
    <mergeCell ref="BD897:BE897"/>
    <mergeCell ref="BF897:BG897"/>
    <mergeCell ref="BH897:BI897"/>
    <mergeCell ref="AV898:AW898"/>
    <mergeCell ref="AX898:AY898"/>
    <mergeCell ref="AZ898:BA898"/>
    <mergeCell ref="BB898:BC898"/>
    <mergeCell ref="BD898:BE898"/>
    <mergeCell ref="BF898:BG898"/>
    <mergeCell ref="BH898:BI898"/>
    <mergeCell ref="AV895:AW896"/>
    <mergeCell ref="AX895:AY895"/>
    <mergeCell ref="AZ895:BA895"/>
    <mergeCell ref="BB895:BC895"/>
    <mergeCell ref="BD895:BE895"/>
    <mergeCell ref="BF895:BG895"/>
    <mergeCell ref="BH895:BI895"/>
    <mergeCell ref="AX896:AY896"/>
    <mergeCell ref="AZ896:BA896"/>
    <mergeCell ref="BB896:BC896"/>
    <mergeCell ref="BD896:BE896"/>
    <mergeCell ref="BF896:BG896"/>
    <mergeCell ref="BH896:BI896"/>
    <mergeCell ref="AV901:AW901"/>
    <mergeCell ref="AX901:AY901"/>
    <mergeCell ref="AZ901:BA901"/>
    <mergeCell ref="BB901:BC901"/>
    <mergeCell ref="BD901:BE901"/>
    <mergeCell ref="BF901:BG901"/>
    <mergeCell ref="BH901:BI901"/>
    <mergeCell ref="AV902:AW902"/>
    <mergeCell ref="AX902:AY902"/>
    <mergeCell ref="AZ902:BA902"/>
    <mergeCell ref="BB902:BC902"/>
    <mergeCell ref="BD902:BE902"/>
    <mergeCell ref="BF902:BG902"/>
    <mergeCell ref="BH902:BI902"/>
    <mergeCell ref="AV899:AW899"/>
    <mergeCell ref="AX899:AY899"/>
    <mergeCell ref="AZ899:BA899"/>
    <mergeCell ref="BB899:BC899"/>
    <mergeCell ref="BD899:BE899"/>
    <mergeCell ref="BF899:BG899"/>
    <mergeCell ref="BH899:BI899"/>
    <mergeCell ref="AV900:AW900"/>
    <mergeCell ref="AX900:AY900"/>
    <mergeCell ref="AZ900:BA900"/>
    <mergeCell ref="BB900:BC900"/>
    <mergeCell ref="BD900:BE900"/>
    <mergeCell ref="BF900:BG900"/>
    <mergeCell ref="BH900:BI900"/>
    <mergeCell ref="AV905:AW905"/>
    <mergeCell ref="AX905:AY905"/>
    <mergeCell ref="AZ905:BA905"/>
    <mergeCell ref="BB905:BC905"/>
    <mergeCell ref="BD905:BE905"/>
    <mergeCell ref="BF905:BG905"/>
    <mergeCell ref="BH905:BI905"/>
    <mergeCell ref="AV906:AW906"/>
    <mergeCell ref="AX906:AY906"/>
    <mergeCell ref="AZ906:BA906"/>
    <mergeCell ref="BB906:BC906"/>
    <mergeCell ref="BD906:BE906"/>
    <mergeCell ref="BF906:BG906"/>
    <mergeCell ref="BH906:BI906"/>
    <mergeCell ref="AV903:AW903"/>
    <mergeCell ref="AX903:AY903"/>
    <mergeCell ref="AZ903:BA903"/>
    <mergeCell ref="BB903:BC903"/>
    <mergeCell ref="BD903:BE903"/>
    <mergeCell ref="BF903:BG903"/>
    <mergeCell ref="BH903:BI903"/>
    <mergeCell ref="AV904:AW904"/>
    <mergeCell ref="AX904:AY904"/>
    <mergeCell ref="AZ904:BA904"/>
    <mergeCell ref="BB904:BC904"/>
    <mergeCell ref="BD904:BE904"/>
    <mergeCell ref="BF904:BG904"/>
    <mergeCell ref="BH904:BI904"/>
    <mergeCell ref="AV909:AW909"/>
    <mergeCell ref="AX909:AY909"/>
    <mergeCell ref="AZ909:BA909"/>
    <mergeCell ref="BB909:BC909"/>
    <mergeCell ref="BD909:BE909"/>
    <mergeCell ref="BF909:BG909"/>
    <mergeCell ref="BH909:BI909"/>
    <mergeCell ref="AV910:AW910"/>
    <mergeCell ref="AX910:AY910"/>
    <mergeCell ref="AZ910:BA910"/>
    <mergeCell ref="BB910:BC910"/>
    <mergeCell ref="BD910:BE910"/>
    <mergeCell ref="BF910:BG910"/>
    <mergeCell ref="BH910:BI910"/>
    <mergeCell ref="AV907:AW907"/>
    <mergeCell ref="AX907:AY907"/>
    <mergeCell ref="AZ907:BA907"/>
    <mergeCell ref="BB907:BC907"/>
    <mergeCell ref="BD907:BE907"/>
    <mergeCell ref="BF907:BG907"/>
    <mergeCell ref="BH907:BI907"/>
    <mergeCell ref="AV908:AW908"/>
    <mergeCell ref="AX908:AY908"/>
    <mergeCell ref="AZ908:BA908"/>
    <mergeCell ref="BB908:BC908"/>
    <mergeCell ref="BD908:BE908"/>
    <mergeCell ref="BF908:BG908"/>
    <mergeCell ref="BH908:BI908"/>
    <mergeCell ref="AV913:AW913"/>
    <mergeCell ref="AX913:AY913"/>
    <mergeCell ref="AZ913:BA913"/>
    <mergeCell ref="BB913:BC913"/>
    <mergeCell ref="BD913:BE913"/>
    <mergeCell ref="BF913:BG913"/>
    <mergeCell ref="BH913:BI913"/>
    <mergeCell ref="AV914:AW914"/>
    <mergeCell ref="AX914:AY914"/>
    <mergeCell ref="AZ914:BA914"/>
    <mergeCell ref="BB914:BC914"/>
    <mergeCell ref="BD914:BE914"/>
    <mergeCell ref="BF914:BG914"/>
    <mergeCell ref="BH914:BI914"/>
    <mergeCell ref="AV911:AW911"/>
    <mergeCell ref="AX911:AY911"/>
    <mergeCell ref="AZ911:BA911"/>
    <mergeCell ref="BB911:BC911"/>
    <mergeCell ref="BD911:BE911"/>
    <mergeCell ref="BF911:BG911"/>
    <mergeCell ref="BH911:BI911"/>
    <mergeCell ref="AV912:AW912"/>
    <mergeCell ref="AX912:AY912"/>
    <mergeCell ref="AZ912:BA912"/>
    <mergeCell ref="BB912:BC912"/>
    <mergeCell ref="BD912:BE912"/>
    <mergeCell ref="BF912:BG912"/>
    <mergeCell ref="BH912:BI912"/>
    <mergeCell ref="AV917:AW917"/>
    <mergeCell ref="AX917:AY917"/>
    <mergeCell ref="AZ917:BA917"/>
    <mergeCell ref="BB917:BC917"/>
    <mergeCell ref="BD917:BE917"/>
    <mergeCell ref="BF917:BG917"/>
    <mergeCell ref="BH917:BI917"/>
    <mergeCell ref="AV918:AW918"/>
    <mergeCell ref="AX918:AY918"/>
    <mergeCell ref="AZ918:BA918"/>
    <mergeCell ref="BB918:BC918"/>
    <mergeCell ref="BD918:BE918"/>
    <mergeCell ref="BF918:BG918"/>
    <mergeCell ref="BH918:BI918"/>
    <mergeCell ref="AV915:AW915"/>
    <mergeCell ref="AX915:AY915"/>
    <mergeCell ref="AZ915:BA915"/>
    <mergeCell ref="BB915:BC915"/>
    <mergeCell ref="BD915:BE915"/>
    <mergeCell ref="BF915:BG915"/>
    <mergeCell ref="BH915:BI915"/>
    <mergeCell ref="AV916:AW916"/>
    <mergeCell ref="AX916:AY916"/>
    <mergeCell ref="AZ916:BA916"/>
    <mergeCell ref="BB916:BC916"/>
    <mergeCell ref="BD916:BE916"/>
    <mergeCell ref="BF916:BG916"/>
    <mergeCell ref="BH916:BI916"/>
    <mergeCell ref="AV921:AW921"/>
    <mergeCell ref="AX921:AY921"/>
    <mergeCell ref="AZ921:BA921"/>
    <mergeCell ref="BB921:BC921"/>
    <mergeCell ref="BD921:BE921"/>
    <mergeCell ref="BF921:BG921"/>
    <mergeCell ref="BH921:BI921"/>
    <mergeCell ref="AV922:AW922"/>
    <mergeCell ref="AX922:AY922"/>
    <mergeCell ref="AZ922:BA922"/>
    <mergeCell ref="BB922:BC922"/>
    <mergeCell ref="BD922:BE922"/>
    <mergeCell ref="BF922:BG922"/>
    <mergeCell ref="BH922:BI922"/>
    <mergeCell ref="AV919:AW919"/>
    <mergeCell ref="AX919:AY919"/>
    <mergeCell ref="AZ919:BA919"/>
    <mergeCell ref="BB919:BC919"/>
    <mergeCell ref="BD919:BE919"/>
    <mergeCell ref="BF919:BG919"/>
    <mergeCell ref="BH919:BI919"/>
    <mergeCell ref="AV920:AW920"/>
    <mergeCell ref="AX920:AY920"/>
    <mergeCell ref="AZ920:BA920"/>
    <mergeCell ref="BB920:BC920"/>
    <mergeCell ref="BD920:BE920"/>
    <mergeCell ref="BF920:BG920"/>
    <mergeCell ref="BH920:BI920"/>
    <mergeCell ref="AZ926:BA926"/>
    <mergeCell ref="BB926:BC926"/>
    <mergeCell ref="BD926:BE926"/>
    <mergeCell ref="BF926:BG926"/>
    <mergeCell ref="BH926:BI926"/>
    <mergeCell ref="AV923:AW923"/>
    <mergeCell ref="AX923:AY923"/>
    <mergeCell ref="AZ923:BA923"/>
    <mergeCell ref="BB923:BC923"/>
    <mergeCell ref="BD923:BE923"/>
    <mergeCell ref="BF923:BG923"/>
    <mergeCell ref="BH923:BI923"/>
    <mergeCell ref="AV924:AW924"/>
    <mergeCell ref="AX924:AY924"/>
    <mergeCell ref="AZ924:BA924"/>
    <mergeCell ref="BB924:BC924"/>
    <mergeCell ref="BD924:BE924"/>
    <mergeCell ref="BF924:BG924"/>
    <mergeCell ref="BH924:BI924"/>
    <mergeCell ref="C935:D936"/>
    <mergeCell ref="E935:E936"/>
    <mergeCell ref="AK935:AL936"/>
    <mergeCell ref="AM935:AM936"/>
    <mergeCell ref="AN904:AN905"/>
    <mergeCell ref="P916:R916"/>
    <mergeCell ref="BP860:BR860"/>
    <mergeCell ref="AN937:AN939"/>
    <mergeCell ref="AV927:AW927"/>
    <mergeCell ref="AX927:AY927"/>
    <mergeCell ref="AZ927:BA927"/>
    <mergeCell ref="BB927:BC927"/>
    <mergeCell ref="BD927:BE927"/>
    <mergeCell ref="BF927:BG927"/>
    <mergeCell ref="BH927:BI927"/>
    <mergeCell ref="AV928:AW928"/>
    <mergeCell ref="AX928:AY928"/>
    <mergeCell ref="AZ928:BA928"/>
    <mergeCell ref="BB928:BC928"/>
    <mergeCell ref="BD928:BE928"/>
    <mergeCell ref="BF928:BG928"/>
    <mergeCell ref="BH928:BI928"/>
    <mergeCell ref="AV925:AW925"/>
    <mergeCell ref="AX925:AY925"/>
    <mergeCell ref="AZ925:BA925"/>
    <mergeCell ref="BB925:BC925"/>
    <mergeCell ref="BD925:BE925"/>
    <mergeCell ref="BF925:BG925"/>
    <mergeCell ref="BH925:BI925"/>
    <mergeCell ref="AV926:AW926"/>
    <mergeCell ref="AX926:AY926"/>
    <mergeCell ref="AV931:AW932"/>
    <mergeCell ref="AF959:AG959"/>
    <mergeCell ref="J952:K952"/>
    <mergeCell ref="W952:X952"/>
    <mergeCell ref="AC952:AD952"/>
    <mergeCell ref="T954:U954"/>
    <mergeCell ref="H957:I957"/>
    <mergeCell ref="K957:L957"/>
    <mergeCell ref="N957:O957"/>
    <mergeCell ref="Q957:R957"/>
    <mergeCell ref="T957:U957"/>
    <mergeCell ref="W957:X957"/>
    <mergeCell ref="C939:D939"/>
    <mergeCell ref="AK939:AL939"/>
    <mergeCell ref="F941:G941"/>
    <mergeCell ref="U941:V941"/>
    <mergeCell ref="AI941:AJ941"/>
    <mergeCell ref="H946:I946"/>
    <mergeCell ref="AE946:AF946"/>
    <mergeCell ref="Q949:R949"/>
    <mergeCell ref="W949:X949"/>
    <mergeCell ref="P952:R952"/>
    <mergeCell ref="AX931:AY931"/>
    <mergeCell ref="AZ931:BA931"/>
    <mergeCell ref="BB931:BC931"/>
    <mergeCell ref="BD931:BE931"/>
    <mergeCell ref="BF931:BG931"/>
    <mergeCell ref="BH931:BI931"/>
    <mergeCell ref="AX932:AY932"/>
    <mergeCell ref="AZ932:BA932"/>
    <mergeCell ref="BB932:BC932"/>
    <mergeCell ref="BD932:BE932"/>
    <mergeCell ref="BF932:BG932"/>
    <mergeCell ref="BH932:BI932"/>
    <mergeCell ref="AN940:AN941"/>
    <mergeCell ref="M1044:N1044"/>
    <mergeCell ref="H960:I960"/>
    <mergeCell ref="K960:L960"/>
    <mergeCell ref="N960:O960"/>
    <mergeCell ref="Q960:R960"/>
    <mergeCell ref="T960:U960"/>
    <mergeCell ref="AC960:AD960"/>
    <mergeCell ref="AF957:AG957"/>
    <mergeCell ref="H958:I958"/>
    <mergeCell ref="K958:L958"/>
    <mergeCell ref="N958:O958"/>
    <mergeCell ref="Q958:R958"/>
    <mergeCell ref="Z958:AA958"/>
    <mergeCell ref="H959:I959"/>
    <mergeCell ref="K959:L959"/>
    <mergeCell ref="N959:O959"/>
    <mergeCell ref="Q959:R959"/>
    <mergeCell ref="T959:U959"/>
    <mergeCell ref="AV935:AW935"/>
    <mergeCell ref="AX935:AY935"/>
    <mergeCell ref="AZ935:BA935"/>
    <mergeCell ref="BB935:BC935"/>
    <mergeCell ref="BD935:BE935"/>
    <mergeCell ref="BF935:BG935"/>
    <mergeCell ref="BH935:BI935"/>
    <mergeCell ref="AV936:AW936"/>
    <mergeCell ref="AX936:AY936"/>
    <mergeCell ref="AZ936:BA936"/>
    <mergeCell ref="BB936:BC936"/>
    <mergeCell ref="BD936:BE936"/>
    <mergeCell ref="BF936:BG936"/>
    <mergeCell ref="BH936:BI936"/>
    <mergeCell ref="AV933:AW933"/>
    <mergeCell ref="AX933:AY933"/>
    <mergeCell ref="AZ933:BA933"/>
    <mergeCell ref="BB933:BC933"/>
    <mergeCell ref="BD933:BE933"/>
    <mergeCell ref="BF933:BG933"/>
    <mergeCell ref="BH933:BI933"/>
    <mergeCell ref="AV934:AW934"/>
    <mergeCell ref="AX934:AY934"/>
    <mergeCell ref="AZ934:BA934"/>
    <mergeCell ref="BB934:BC934"/>
    <mergeCell ref="BD934:BE934"/>
    <mergeCell ref="BF934:BG934"/>
    <mergeCell ref="BH934:BI934"/>
    <mergeCell ref="AV939:AW939"/>
    <mergeCell ref="AX939:AY939"/>
    <mergeCell ref="AZ939:BA939"/>
    <mergeCell ref="BB939:BC939"/>
    <mergeCell ref="BD939:BE939"/>
    <mergeCell ref="BF939:BG939"/>
    <mergeCell ref="BH939:BI939"/>
    <mergeCell ref="AV940:AW940"/>
    <mergeCell ref="AX940:AY940"/>
    <mergeCell ref="AZ940:BA940"/>
    <mergeCell ref="BB940:BC940"/>
    <mergeCell ref="BD940:BE940"/>
    <mergeCell ref="BF940:BG940"/>
    <mergeCell ref="BH940:BI940"/>
    <mergeCell ref="AV937:AW937"/>
    <mergeCell ref="AX937:AY937"/>
    <mergeCell ref="AZ937:BA937"/>
    <mergeCell ref="BB937:BC937"/>
    <mergeCell ref="BD937:BE937"/>
    <mergeCell ref="BF937:BG937"/>
    <mergeCell ref="BH937:BI937"/>
    <mergeCell ref="AV938:AW938"/>
    <mergeCell ref="AX938:AY938"/>
    <mergeCell ref="AZ938:BA938"/>
    <mergeCell ref="BB938:BC938"/>
    <mergeCell ref="BD938:BE938"/>
    <mergeCell ref="BF938:BG938"/>
    <mergeCell ref="BH938:BI938"/>
    <mergeCell ref="AV943:AW943"/>
    <mergeCell ref="AX943:AY943"/>
    <mergeCell ref="AZ943:BA943"/>
    <mergeCell ref="BB943:BC943"/>
    <mergeCell ref="BD943:BE943"/>
    <mergeCell ref="BF943:BG943"/>
    <mergeCell ref="BH943:BI943"/>
    <mergeCell ref="AV944:AW944"/>
    <mergeCell ref="AX944:AY944"/>
    <mergeCell ref="AZ944:BA944"/>
    <mergeCell ref="BB944:BC944"/>
    <mergeCell ref="BD944:BE944"/>
    <mergeCell ref="BF944:BG944"/>
    <mergeCell ref="BH944:BI944"/>
    <mergeCell ref="AV941:AW941"/>
    <mergeCell ref="AX941:AY941"/>
    <mergeCell ref="AZ941:BA941"/>
    <mergeCell ref="BB941:BC941"/>
    <mergeCell ref="BD941:BE941"/>
    <mergeCell ref="BF941:BG941"/>
    <mergeCell ref="BH941:BI941"/>
    <mergeCell ref="AV942:AW942"/>
    <mergeCell ref="AX942:AY942"/>
    <mergeCell ref="AZ942:BA942"/>
    <mergeCell ref="BB942:BC942"/>
    <mergeCell ref="BD942:BE942"/>
    <mergeCell ref="BF942:BG942"/>
    <mergeCell ref="BH942:BI942"/>
    <mergeCell ref="AV947:AW947"/>
    <mergeCell ref="AX947:AY947"/>
    <mergeCell ref="AZ947:BA947"/>
    <mergeCell ref="BB947:BC947"/>
    <mergeCell ref="BD947:BE947"/>
    <mergeCell ref="BF947:BG947"/>
    <mergeCell ref="BH947:BI947"/>
    <mergeCell ref="AV948:AW948"/>
    <mergeCell ref="AX948:AY948"/>
    <mergeCell ref="AZ948:BA948"/>
    <mergeCell ref="BB948:BC948"/>
    <mergeCell ref="BD948:BE948"/>
    <mergeCell ref="BF948:BG948"/>
    <mergeCell ref="BH948:BI948"/>
    <mergeCell ref="AV945:AW945"/>
    <mergeCell ref="AX945:AY945"/>
    <mergeCell ref="AZ945:BA945"/>
    <mergeCell ref="BB945:BC945"/>
    <mergeCell ref="BD945:BE945"/>
    <mergeCell ref="BF945:BG945"/>
    <mergeCell ref="BH945:BI945"/>
    <mergeCell ref="AV946:AW946"/>
    <mergeCell ref="AX946:AY946"/>
    <mergeCell ref="AZ946:BA946"/>
    <mergeCell ref="BB946:BC946"/>
    <mergeCell ref="BD946:BE946"/>
    <mergeCell ref="BF946:BG946"/>
    <mergeCell ref="BH946:BI946"/>
    <mergeCell ref="AV951:AW951"/>
    <mergeCell ref="AX951:AY951"/>
    <mergeCell ref="AZ951:BA951"/>
    <mergeCell ref="BB951:BC951"/>
    <mergeCell ref="BD951:BE951"/>
    <mergeCell ref="BF951:BG951"/>
    <mergeCell ref="BH951:BI951"/>
    <mergeCell ref="AV952:AW952"/>
    <mergeCell ref="AX952:AY952"/>
    <mergeCell ref="AZ952:BA952"/>
    <mergeCell ref="BB952:BC952"/>
    <mergeCell ref="BD952:BE952"/>
    <mergeCell ref="BF952:BG952"/>
    <mergeCell ref="BH952:BI952"/>
    <mergeCell ref="AV949:AW949"/>
    <mergeCell ref="AX949:AY949"/>
    <mergeCell ref="AZ949:BA949"/>
    <mergeCell ref="BB949:BC949"/>
    <mergeCell ref="BD949:BE949"/>
    <mergeCell ref="BF949:BG949"/>
    <mergeCell ref="BH949:BI949"/>
    <mergeCell ref="AV950:AW950"/>
    <mergeCell ref="AX950:AY950"/>
    <mergeCell ref="AZ950:BA950"/>
    <mergeCell ref="BB950:BC950"/>
    <mergeCell ref="BD950:BE950"/>
    <mergeCell ref="BF950:BG950"/>
    <mergeCell ref="BH950:BI950"/>
    <mergeCell ref="AV955:AW955"/>
    <mergeCell ref="AX955:AY955"/>
    <mergeCell ref="AZ955:BA955"/>
    <mergeCell ref="BB955:BC955"/>
    <mergeCell ref="BD955:BE955"/>
    <mergeCell ref="BF955:BG955"/>
    <mergeCell ref="BH955:BI955"/>
    <mergeCell ref="AV956:AW956"/>
    <mergeCell ref="AX956:AY956"/>
    <mergeCell ref="AZ956:BA956"/>
    <mergeCell ref="BB956:BC956"/>
    <mergeCell ref="BD956:BE956"/>
    <mergeCell ref="BF956:BG956"/>
    <mergeCell ref="BH956:BI956"/>
    <mergeCell ref="AV953:AW953"/>
    <mergeCell ref="AX953:AY953"/>
    <mergeCell ref="AZ953:BA953"/>
    <mergeCell ref="BB953:BC953"/>
    <mergeCell ref="BD953:BE953"/>
    <mergeCell ref="BF953:BG953"/>
    <mergeCell ref="BH953:BI953"/>
    <mergeCell ref="AV954:AW954"/>
    <mergeCell ref="AX954:AY954"/>
    <mergeCell ref="AZ954:BA954"/>
    <mergeCell ref="BB954:BC954"/>
    <mergeCell ref="BD954:BE954"/>
    <mergeCell ref="BF954:BG954"/>
    <mergeCell ref="BH954:BI954"/>
    <mergeCell ref="AV959:AW959"/>
    <mergeCell ref="AX959:AY959"/>
    <mergeCell ref="AZ959:BA959"/>
    <mergeCell ref="BB959:BC959"/>
    <mergeCell ref="BD959:BE959"/>
    <mergeCell ref="BF959:BG959"/>
    <mergeCell ref="BH959:BI959"/>
    <mergeCell ref="AV960:AW960"/>
    <mergeCell ref="AX960:AY960"/>
    <mergeCell ref="AZ960:BA960"/>
    <mergeCell ref="BB960:BC960"/>
    <mergeCell ref="BD960:BE960"/>
    <mergeCell ref="BF960:BG960"/>
    <mergeCell ref="BH960:BI960"/>
    <mergeCell ref="AV957:AW957"/>
    <mergeCell ref="AX957:AY957"/>
    <mergeCell ref="AZ957:BA957"/>
    <mergeCell ref="BB957:BC957"/>
    <mergeCell ref="BD957:BE957"/>
    <mergeCell ref="BF957:BG957"/>
    <mergeCell ref="BH957:BI957"/>
    <mergeCell ref="AV958:AW958"/>
    <mergeCell ref="AX958:AY958"/>
    <mergeCell ref="AZ958:BA958"/>
    <mergeCell ref="BB958:BC958"/>
    <mergeCell ref="BD958:BE958"/>
    <mergeCell ref="BF958:BG958"/>
    <mergeCell ref="BH958:BI958"/>
    <mergeCell ref="AV963:AW963"/>
    <mergeCell ref="AX963:AY963"/>
    <mergeCell ref="AZ963:BA963"/>
    <mergeCell ref="BB963:BC963"/>
    <mergeCell ref="BD963:BE963"/>
    <mergeCell ref="BF963:BG963"/>
    <mergeCell ref="BH963:BI963"/>
    <mergeCell ref="AV964:AW964"/>
    <mergeCell ref="AX964:AY964"/>
    <mergeCell ref="AZ964:BA964"/>
    <mergeCell ref="BB964:BC964"/>
    <mergeCell ref="BD964:BE964"/>
    <mergeCell ref="BF964:BG964"/>
    <mergeCell ref="BH964:BI964"/>
    <mergeCell ref="AV961:AW961"/>
    <mergeCell ref="AX961:AY961"/>
    <mergeCell ref="AZ961:BA961"/>
    <mergeCell ref="BB961:BC961"/>
    <mergeCell ref="BD961:BE961"/>
    <mergeCell ref="BF961:BG961"/>
    <mergeCell ref="BH961:BI961"/>
    <mergeCell ref="AV962:AW962"/>
    <mergeCell ref="AX962:AY962"/>
    <mergeCell ref="AZ962:BA962"/>
    <mergeCell ref="BB962:BC962"/>
    <mergeCell ref="BD962:BE962"/>
    <mergeCell ref="BF962:BG962"/>
    <mergeCell ref="BH962:BI962"/>
    <mergeCell ref="H1064:I1064"/>
    <mergeCell ref="AE1064:AF1064"/>
    <mergeCell ref="W1065:X1065"/>
    <mergeCell ref="AC1065:AD1065"/>
    <mergeCell ref="T1067:U1067"/>
    <mergeCell ref="D1048:D1050"/>
    <mergeCell ref="AA1048:AB1048"/>
    <mergeCell ref="AL1048:AL1050"/>
    <mergeCell ref="AN1052:AN1054"/>
    <mergeCell ref="D1054:D1056"/>
    <mergeCell ref="AL1054:AL1056"/>
    <mergeCell ref="AN1055:AN1056"/>
    <mergeCell ref="F1059:G1059"/>
    <mergeCell ref="AI1059:AJ1059"/>
    <mergeCell ref="J1065:L1065"/>
    <mergeCell ref="P1065:R1065"/>
    <mergeCell ref="AC1071:AD1071"/>
    <mergeCell ref="AH1071:AI1071"/>
    <mergeCell ref="J1072:K1072"/>
    <mergeCell ref="M1072:N1072"/>
    <mergeCell ref="J1070:K1070"/>
    <mergeCell ref="M1070:N1070"/>
    <mergeCell ref="P1070:Q1070"/>
    <mergeCell ref="S1070:T1070"/>
    <mergeCell ref="V1070:W1070"/>
    <mergeCell ref="Y1070:Z1070"/>
    <mergeCell ref="P1071:Q1071"/>
    <mergeCell ref="U1071:V1071"/>
    <mergeCell ref="Z1071:AA1071"/>
    <mergeCell ref="AL1077:AM1077"/>
    <mergeCell ref="AO1074:AP1074"/>
    <mergeCell ref="H1075:I1075"/>
    <mergeCell ref="K1075:L1075"/>
    <mergeCell ref="N1075:O1075"/>
    <mergeCell ref="W1075:X1075"/>
    <mergeCell ref="AF1075:AG1075"/>
    <mergeCell ref="H1076:I1076"/>
    <mergeCell ref="K1076:L1076"/>
    <mergeCell ref="N1076:O1076"/>
    <mergeCell ref="Q1076:R1076"/>
    <mergeCell ref="T1076:U1076"/>
    <mergeCell ref="W1076:X1076"/>
    <mergeCell ref="AF1076:AG1076"/>
    <mergeCell ref="H1074:I1074"/>
    <mergeCell ref="K1074:L1074"/>
    <mergeCell ref="N1074:O1074"/>
    <mergeCell ref="Q1074:R1074"/>
    <mergeCell ref="AC1074:AD1074"/>
    <mergeCell ref="AF1074:AG1074"/>
    <mergeCell ref="H1077:I1077"/>
    <mergeCell ref="K1077:L1077"/>
    <mergeCell ref="N1077:O1077"/>
    <mergeCell ref="Q1077:R1077"/>
    <mergeCell ref="T1077:U1077"/>
    <mergeCell ref="W1077:X1077"/>
    <mergeCell ref="Z1077:AA1077"/>
    <mergeCell ref="AC1077:AD1077"/>
    <mergeCell ref="AA1085:AB1085"/>
    <mergeCell ref="AV1044:AW1045"/>
    <mergeCell ref="AX1044:AY1044"/>
    <mergeCell ref="AZ1044:BA1044"/>
    <mergeCell ref="BB1044:BC1044"/>
    <mergeCell ref="BD1044:BE1044"/>
    <mergeCell ref="BF1044:BG1044"/>
    <mergeCell ref="BH1044:BI1044"/>
    <mergeCell ref="AX1045:AY1045"/>
    <mergeCell ref="AZ1045:BA1045"/>
    <mergeCell ref="BB1045:BC1045"/>
    <mergeCell ref="BD1045:BE1045"/>
    <mergeCell ref="BF1045:BG1045"/>
    <mergeCell ref="BH1045:BI1045"/>
    <mergeCell ref="AV1048:AW1048"/>
    <mergeCell ref="AX1048:AY1048"/>
    <mergeCell ref="AZ1048:BA1048"/>
    <mergeCell ref="BB1048:BC1048"/>
    <mergeCell ref="BD1048:BE1048"/>
    <mergeCell ref="BF1048:BG1048"/>
    <mergeCell ref="BH1048:BI1048"/>
    <mergeCell ref="AV1049:AW1049"/>
    <mergeCell ref="AX1049:AY1049"/>
    <mergeCell ref="AZ1049:BA1049"/>
    <mergeCell ref="BB1049:BC1049"/>
    <mergeCell ref="BD1049:BE1049"/>
    <mergeCell ref="BF1049:BG1049"/>
    <mergeCell ref="BH1049:BI1049"/>
    <mergeCell ref="AV1046:AW1046"/>
    <mergeCell ref="AX1046:AY1046"/>
    <mergeCell ref="AZ1046:BA1046"/>
    <mergeCell ref="BB1046:BC1046"/>
    <mergeCell ref="BD1046:BE1046"/>
    <mergeCell ref="BF1046:BG1046"/>
    <mergeCell ref="BH1046:BI1046"/>
    <mergeCell ref="AV1047:AW1047"/>
    <mergeCell ref="AX1047:AY1047"/>
    <mergeCell ref="AZ1047:BA1047"/>
    <mergeCell ref="BB1047:BC1047"/>
    <mergeCell ref="BD1047:BE1047"/>
    <mergeCell ref="BF1047:BG1047"/>
    <mergeCell ref="BH1047:BI1047"/>
    <mergeCell ref="AV1052:AW1052"/>
    <mergeCell ref="AX1052:AY1052"/>
    <mergeCell ref="AZ1052:BA1052"/>
    <mergeCell ref="BB1052:BC1052"/>
    <mergeCell ref="BD1052:BE1052"/>
    <mergeCell ref="BF1052:BG1052"/>
    <mergeCell ref="BH1052:BI1052"/>
    <mergeCell ref="AV1053:AW1053"/>
    <mergeCell ref="AX1053:AY1053"/>
    <mergeCell ref="AZ1053:BA1053"/>
    <mergeCell ref="BB1053:BC1053"/>
    <mergeCell ref="BD1053:BE1053"/>
    <mergeCell ref="BF1053:BG1053"/>
    <mergeCell ref="BH1053:BI1053"/>
    <mergeCell ref="AV1050:AW1050"/>
    <mergeCell ref="AX1050:AY1050"/>
    <mergeCell ref="AZ1050:BA1050"/>
    <mergeCell ref="BB1050:BC1050"/>
    <mergeCell ref="BD1050:BE1050"/>
    <mergeCell ref="BF1050:BG1050"/>
    <mergeCell ref="BH1050:BI1050"/>
    <mergeCell ref="AV1051:AW1051"/>
    <mergeCell ref="AX1051:AY1051"/>
    <mergeCell ref="AZ1051:BA1051"/>
    <mergeCell ref="BB1051:BC1051"/>
    <mergeCell ref="BD1051:BE1051"/>
    <mergeCell ref="BF1051:BG1051"/>
    <mergeCell ref="BH1051:BI1051"/>
    <mergeCell ref="AV1056:AW1056"/>
    <mergeCell ref="AX1056:AY1056"/>
    <mergeCell ref="AZ1056:BA1056"/>
    <mergeCell ref="BB1056:BC1056"/>
    <mergeCell ref="BD1056:BE1056"/>
    <mergeCell ref="BF1056:BG1056"/>
    <mergeCell ref="BH1056:BI1056"/>
    <mergeCell ref="AV1057:AW1057"/>
    <mergeCell ref="AX1057:AY1057"/>
    <mergeCell ref="AZ1057:BA1057"/>
    <mergeCell ref="BB1057:BC1057"/>
    <mergeCell ref="BD1057:BE1057"/>
    <mergeCell ref="BF1057:BG1057"/>
    <mergeCell ref="BH1057:BI1057"/>
    <mergeCell ref="AV1054:AW1054"/>
    <mergeCell ref="AX1054:AY1054"/>
    <mergeCell ref="AZ1054:BA1054"/>
    <mergeCell ref="BB1054:BC1054"/>
    <mergeCell ref="BD1054:BE1054"/>
    <mergeCell ref="BF1054:BG1054"/>
    <mergeCell ref="BH1054:BI1054"/>
    <mergeCell ref="AV1055:AW1055"/>
    <mergeCell ref="AX1055:AY1055"/>
    <mergeCell ref="AZ1055:BA1055"/>
    <mergeCell ref="BB1055:BC1055"/>
    <mergeCell ref="BD1055:BE1055"/>
    <mergeCell ref="BF1055:BG1055"/>
    <mergeCell ref="BH1055:BI1055"/>
    <mergeCell ref="AV1060:AW1060"/>
    <mergeCell ref="AX1060:AY1060"/>
    <mergeCell ref="AZ1060:BA1060"/>
    <mergeCell ref="BB1060:BC1060"/>
    <mergeCell ref="BD1060:BE1060"/>
    <mergeCell ref="BF1060:BG1060"/>
    <mergeCell ref="BH1060:BI1060"/>
    <mergeCell ref="AV1061:AW1061"/>
    <mergeCell ref="AX1061:AY1061"/>
    <mergeCell ref="AZ1061:BA1061"/>
    <mergeCell ref="BB1061:BC1061"/>
    <mergeCell ref="BD1061:BE1061"/>
    <mergeCell ref="BF1061:BG1061"/>
    <mergeCell ref="BH1061:BI1061"/>
    <mergeCell ref="AV1058:AW1058"/>
    <mergeCell ref="AX1058:AY1058"/>
    <mergeCell ref="AZ1058:BA1058"/>
    <mergeCell ref="BB1058:BC1058"/>
    <mergeCell ref="BD1058:BE1058"/>
    <mergeCell ref="BF1058:BG1058"/>
    <mergeCell ref="BH1058:BI1058"/>
    <mergeCell ref="AV1059:AW1059"/>
    <mergeCell ref="AX1059:AY1059"/>
    <mergeCell ref="AZ1059:BA1059"/>
    <mergeCell ref="BB1059:BC1059"/>
    <mergeCell ref="BD1059:BE1059"/>
    <mergeCell ref="BF1059:BG1059"/>
    <mergeCell ref="BH1059:BI1059"/>
    <mergeCell ref="AV1064:AW1064"/>
    <mergeCell ref="AX1064:AY1064"/>
    <mergeCell ref="AZ1064:BA1064"/>
    <mergeCell ref="BB1064:BC1064"/>
    <mergeCell ref="BD1064:BE1064"/>
    <mergeCell ref="BF1064:BG1064"/>
    <mergeCell ref="BH1064:BI1064"/>
    <mergeCell ref="AV1065:AW1065"/>
    <mergeCell ref="AX1065:AY1065"/>
    <mergeCell ref="AZ1065:BA1065"/>
    <mergeCell ref="BB1065:BC1065"/>
    <mergeCell ref="BD1065:BE1065"/>
    <mergeCell ref="BF1065:BG1065"/>
    <mergeCell ref="BH1065:BI1065"/>
    <mergeCell ref="AV1062:AW1062"/>
    <mergeCell ref="AX1062:AY1062"/>
    <mergeCell ref="AZ1062:BA1062"/>
    <mergeCell ref="BB1062:BC1062"/>
    <mergeCell ref="BD1062:BE1062"/>
    <mergeCell ref="BF1062:BG1062"/>
    <mergeCell ref="BH1062:BI1062"/>
    <mergeCell ref="AV1063:AW1063"/>
    <mergeCell ref="AX1063:AY1063"/>
    <mergeCell ref="AZ1063:BA1063"/>
    <mergeCell ref="BB1063:BC1063"/>
    <mergeCell ref="BD1063:BE1063"/>
    <mergeCell ref="BF1063:BG1063"/>
    <mergeCell ref="BH1063:BI1063"/>
    <mergeCell ref="AV1068:AW1068"/>
    <mergeCell ref="AX1068:AY1068"/>
    <mergeCell ref="AZ1068:BA1068"/>
    <mergeCell ref="BB1068:BC1068"/>
    <mergeCell ref="BD1068:BE1068"/>
    <mergeCell ref="BF1068:BG1068"/>
    <mergeCell ref="BH1068:BI1068"/>
    <mergeCell ref="AV1069:AW1069"/>
    <mergeCell ref="AX1069:AY1069"/>
    <mergeCell ref="AZ1069:BA1069"/>
    <mergeCell ref="BB1069:BC1069"/>
    <mergeCell ref="BD1069:BE1069"/>
    <mergeCell ref="BF1069:BG1069"/>
    <mergeCell ref="BH1069:BI1069"/>
    <mergeCell ref="AV1066:AW1066"/>
    <mergeCell ref="AX1066:AY1066"/>
    <mergeCell ref="AZ1066:BA1066"/>
    <mergeCell ref="BB1066:BC1066"/>
    <mergeCell ref="BD1066:BE1066"/>
    <mergeCell ref="BF1066:BG1066"/>
    <mergeCell ref="BH1066:BI1066"/>
    <mergeCell ref="AV1067:AW1067"/>
    <mergeCell ref="AX1067:AY1067"/>
    <mergeCell ref="AZ1067:BA1067"/>
    <mergeCell ref="BB1067:BC1067"/>
    <mergeCell ref="BD1067:BE1067"/>
    <mergeCell ref="BF1067:BG1067"/>
    <mergeCell ref="BH1067:BI1067"/>
    <mergeCell ref="AV1072:AW1072"/>
    <mergeCell ref="AX1072:AY1072"/>
    <mergeCell ref="AZ1072:BA1072"/>
    <mergeCell ref="BB1072:BC1072"/>
    <mergeCell ref="BD1072:BE1072"/>
    <mergeCell ref="BF1072:BG1072"/>
    <mergeCell ref="BH1072:BI1072"/>
    <mergeCell ref="AV1073:AW1073"/>
    <mergeCell ref="AX1073:AY1073"/>
    <mergeCell ref="AZ1073:BA1073"/>
    <mergeCell ref="BB1073:BC1073"/>
    <mergeCell ref="BD1073:BE1073"/>
    <mergeCell ref="BF1073:BG1073"/>
    <mergeCell ref="BH1073:BI1073"/>
    <mergeCell ref="AV1070:AW1070"/>
    <mergeCell ref="AX1070:AY1070"/>
    <mergeCell ref="AZ1070:BA1070"/>
    <mergeCell ref="BB1070:BC1070"/>
    <mergeCell ref="BD1070:BE1070"/>
    <mergeCell ref="BF1070:BG1070"/>
    <mergeCell ref="BH1070:BI1070"/>
    <mergeCell ref="AV1071:AW1071"/>
    <mergeCell ref="AX1071:AY1071"/>
    <mergeCell ref="AZ1071:BA1071"/>
    <mergeCell ref="BB1071:BC1071"/>
    <mergeCell ref="BD1071:BE1071"/>
    <mergeCell ref="BF1071:BG1071"/>
    <mergeCell ref="BH1071:BI1071"/>
    <mergeCell ref="AV1076:AW1076"/>
    <mergeCell ref="AX1076:AY1076"/>
    <mergeCell ref="AZ1076:BA1076"/>
    <mergeCell ref="BB1076:BC1076"/>
    <mergeCell ref="BD1076:BE1076"/>
    <mergeCell ref="BF1076:BG1076"/>
    <mergeCell ref="BH1076:BI1076"/>
    <mergeCell ref="AV1077:AW1077"/>
    <mergeCell ref="AX1077:AY1077"/>
    <mergeCell ref="AZ1077:BA1077"/>
    <mergeCell ref="BB1077:BC1077"/>
    <mergeCell ref="BD1077:BE1077"/>
    <mergeCell ref="BF1077:BG1077"/>
    <mergeCell ref="BH1077:BI1077"/>
    <mergeCell ref="AV1074:AW1074"/>
    <mergeCell ref="AX1074:AY1074"/>
    <mergeCell ref="AZ1074:BA1074"/>
    <mergeCell ref="BB1074:BC1074"/>
    <mergeCell ref="BD1074:BE1074"/>
    <mergeCell ref="BF1074:BG1074"/>
    <mergeCell ref="BH1074:BI1074"/>
    <mergeCell ref="AV1075:AW1075"/>
    <mergeCell ref="AX1075:AY1075"/>
    <mergeCell ref="AZ1075:BA1075"/>
    <mergeCell ref="BB1075:BC1075"/>
    <mergeCell ref="BD1075:BE1075"/>
    <mergeCell ref="BF1075:BG1075"/>
    <mergeCell ref="BH1075:BI1075"/>
    <mergeCell ref="Q203:R203"/>
    <mergeCell ref="H207:H209"/>
    <mergeCell ref="AE207:AF207"/>
    <mergeCell ref="AN207:AN209"/>
    <mergeCell ref="AP212:AP214"/>
    <mergeCell ref="Z213:AA213"/>
    <mergeCell ref="H214:H216"/>
    <mergeCell ref="AN214:AN216"/>
    <mergeCell ref="I219:J219"/>
    <mergeCell ref="T219:U219"/>
    <mergeCell ref="Z219:AA219"/>
    <mergeCell ref="AL219:AM219"/>
    <mergeCell ref="K224:L224"/>
    <mergeCell ref="AH224:AI224"/>
    <mergeCell ref="M225:N225"/>
    <mergeCell ref="S225:T225"/>
    <mergeCell ref="Z225:AA225"/>
    <mergeCell ref="AF225:AG225"/>
    <mergeCell ref="AA203:AB203"/>
    <mergeCell ref="W227:X227"/>
    <mergeCell ref="H230:I230"/>
    <mergeCell ref="K230:L230"/>
    <mergeCell ref="N230:O230"/>
    <mergeCell ref="Q230:R230"/>
    <mergeCell ref="AC230:AD230"/>
    <mergeCell ref="AF230:AG230"/>
    <mergeCell ref="AX230:AY230"/>
    <mergeCell ref="H231:I231"/>
    <mergeCell ref="K231:L231"/>
    <mergeCell ref="N231:O231"/>
    <mergeCell ref="W231:X231"/>
    <mergeCell ref="AF231:AG231"/>
    <mergeCell ref="H232:I232"/>
    <mergeCell ref="K232:L232"/>
    <mergeCell ref="N232:O232"/>
    <mergeCell ref="Q232:R232"/>
    <mergeCell ref="T232:U232"/>
    <mergeCell ref="W232:X232"/>
    <mergeCell ref="AO232:AP232"/>
    <mergeCell ref="T230:U230"/>
    <mergeCell ref="W230:X230"/>
    <mergeCell ref="Z230:AA230"/>
    <mergeCell ref="Q231:R231"/>
    <mergeCell ref="T231:U231"/>
    <mergeCell ref="H233:I233"/>
    <mergeCell ref="K233:L233"/>
    <mergeCell ref="N233:O233"/>
    <mergeCell ref="Q233:R233"/>
    <mergeCell ref="T233:U233"/>
    <mergeCell ref="W233:X233"/>
    <mergeCell ref="Z233:AA233"/>
    <mergeCell ref="AC233:AD233"/>
    <mergeCell ref="AL233:AM233"/>
    <mergeCell ref="H235:I235"/>
    <mergeCell ref="M235:N235"/>
    <mergeCell ref="P235:Q235"/>
    <mergeCell ref="U235:V235"/>
    <mergeCell ref="X235:Y235"/>
    <mergeCell ref="AA235:AB235"/>
    <mergeCell ref="AF235:AG235"/>
    <mergeCell ref="AT235:AU235"/>
    <mergeCell ref="H236:I236"/>
    <mergeCell ref="M236:N236"/>
    <mergeCell ref="P236:Q236"/>
    <mergeCell ref="U236:V236"/>
    <mergeCell ref="X236:Y236"/>
    <mergeCell ref="AA236:AB236"/>
    <mergeCell ref="AF236:AG236"/>
    <mergeCell ref="AT236:AU236"/>
    <mergeCell ref="H237:I237"/>
    <mergeCell ref="K237:L237"/>
    <mergeCell ref="N237:O237"/>
    <mergeCell ref="Q237:R237"/>
    <mergeCell ref="T237:U237"/>
    <mergeCell ref="W237:X237"/>
    <mergeCell ref="Z237:AA237"/>
    <mergeCell ref="AL237:AM237"/>
    <mergeCell ref="H238:I238"/>
    <mergeCell ref="M238:N238"/>
    <mergeCell ref="P238:Q238"/>
    <mergeCell ref="U238:V238"/>
    <mergeCell ref="X238:Y238"/>
    <mergeCell ref="AA238:AB238"/>
    <mergeCell ref="AF238:AG238"/>
    <mergeCell ref="AI238:AJ238"/>
    <mergeCell ref="P239:Q239"/>
    <mergeCell ref="U239:V239"/>
    <mergeCell ref="X239:Y239"/>
    <mergeCell ref="AA239:AB239"/>
    <mergeCell ref="AF239:AG239"/>
    <mergeCell ref="AI239:AJ239"/>
    <mergeCell ref="H240:I240"/>
    <mergeCell ref="K240:L240"/>
    <mergeCell ref="N240:O240"/>
    <mergeCell ref="Q240:R240"/>
    <mergeCell ref="T240:U240"/>
    <mergeCell ref="W240:X240"/>
    <mergeCell ref="Z240:AA240"/>
    <mergeCell ref="AC240:AD240"/>
    <mergeCell ref="H241:I241"/>
    <mergeCell ref="M241:N241"/>
    <mergeCell ref="P241:Q241"/>
    <mergeCell ref="U241:V241"/>
    <mergeCell ref="X241:Y241"/>
    <mergeCell ref="AA241:AB241"/>
    <mergeCell ref="AF241:AG241"/>
    <mergeCell ref="AI241:AJ241"/>
    <mergeCell ref="AN241:AO241"/>
    <mergeCell ref="AQ241:AR241"/>
    <mergeCell ref="H242:I242"/>
    <mergeCell ref="M242:N242"/>
    <mergeCell ref="P242:Q242"/>
    <mergeCell ref="U242:V242"/>
    <mergeCell ref="X242:Y242"/>
    <mergeCell ref="AA242:AB242"/>
    <mergeCell ref="AF242:AG242"/>
    <mergeCell ref="AI242:AJ242"/>
    <mergeCell ref="AN242:AO242"/>
    <mergeCell ref="AQ242:AR242"/>
    <mergeCell ref="J243:K243"/>
    <mergeCell ref="D213:D215"/>
    <mergeCell ref="D210:D212"/>
    <mergeCell ref="AI230:AJ230"/>
    <mergeCell ref="AL230:AM230"/>
    <mergeCell ref="AO230:AP230"/>
    <mergeCell ref="Z232:AA232"/>
    <mergeCell ref="AC232:AD232"/>
    <mergeCell ref="AF232:AG232"/>
    <mergeCell ref="AI235:AJ235"/>
    <mergeCell ref="AL235:AM235"/>
    <mergeCell ref="AQ235:AR235"/>
    <mergeCell ref="AI236:AJ236"/>
    <mergeCell ref="AL236:AM236"/>
    <mergeCell ref="AQ236:AR236"/>
    <mergeCell ref="AC237:AD237"/>
    <mergeCell ref="AF237:AG237"/>
    <mergeCell ref="AI237:AJ237"/>
    <mergeCell ref="H239:I239"/>
    <mergeCell ref="M239:N239"/>
    <mergeCell ref="BH823:BI823"/>
    <mergeCell ref="M824:N824"/>
    <mergeCell ref="AX824:AY824"/>
    <mergeCell ref="AZ824:BA824"/>
    <mergeCell ref="BB824:BC824"/>
    <mergeCell ref="BD824:BE824"/>
    <mergeCell ref="BF824:BG824"/>
    <mergeCell ref="BH824:BI824"/>
    <mergeCell ref="AV825:AW825"/>
    <mergeCell ref="AX825:AY825"/>
    <mergeCell ref="AZ825:BA825"/>
    <mergeCell ref="BB825:BC825"/>
    <mergeCell ref="BD825:BE825"/>
    <mergeCell ref="BF825:BG825"/>
    <mergeCell ref="BH825:BI825"/>
    <mergeCell ref="AV826:AW826"/>
    <mergeCell ref="AX826:AY826"/>
    <mergeCell ref="AZ826:BA826"/>
    <mergeCell ref="BB826:BC826"/>
    <mergeCell ref="BD826:BE826"/>
    <mergeCell ref="BF826:BG826"/>
    <mergeCell ref="BH826:BI826"/>
    <mergeCell ref="BH827:BI827"/>
    <mergeCell ref="D828:D830"/>
    <mergeCell ref="AB828:AC828"/>
    <mergeCell ref="AK828:AK830"/>
    <mergeCell ref="AV828:AW828"/>
    <mergeCell ref="AX828:AY828"/>
    <mergeCell ref="AZ828:BA828"/>
    <mergeCell ref="BB828:BC828"/>
    <mergeCell ref="BD828:BE828"/>
    <mergeCell ref="BF828:BG828"/>
    <mergeCell ref="BH828:BI828"/>
    <mergeCell ref="AV829:AW829"/>
    <mergeCell ref="AX829:AY829"/>
    <mergeCell ref="AZ829:BA829"/>
    <mergeCell ref="BB829:BC829"/>
    <mergeCell ref="BD829:BE829"/>
    <mergeCell ref="BF829:BG829"/>
    <mergeCell ref="BH829:BI829"/>
    <mergeCell ref="AV830:AW830"/>
    <mergeCell ref="AX830:AY830"/>
    <mergeCell ref="AZ830:BA830"/>
    <mergeCell ref="BB830:BC830"/>
    <mergeCell ref="BD830:BE830"/>
    <mergeCell ref="BF830:BG830"/>
    <mergeCell ref="BH830:BI830"/>
    <mergeCell ref="AV831:AW831"/>
    <mergeCell ref="AX831:AY831"/>
    <mergeCell ref="AZ831:BA831"/>
    <mergeCell ref="BB831:BC831"/>
    <mergeCell ref="BD831:BE831"/>
    <mergeCell ref="BF831:BG831"/>
    <mergeCell ref="BH831:BI831"/>
    <mergeCell ref="AV832:AW832"/>
    <mergeCell ref="AX832:AY832"/>
    <mergeCell ref="AZ832:BA832"/>
    <mergeCell ref="BB832:BC832"/>
    <mergeCell ref="BD832:BE832"/>
    <mergeCell ref="BF832:BG832"/>
    <mergeCell ref="BH832:BI832"/>
    <mergeCell ref="AM833:AM835"/>
    <mergeCell ref="AV833:AW833"/>
    <mergeCell ref="AX833:AY833"/>
    <mergeCell ref="AZ833:BA833"/>
    <mergeCell ref="BB833:BC833"/>
    <mergeCell ref="BD833:BE833"/>
    <mergeCell ref="BF833:BG833"/>
    <mergeCell ref="BH833:BI833"/>
    <mergeCell ref="AV834:AW834"/>
    <mergeCell ref="AX834:AY834"/>
    <mergeCell ref="AZ834:BA834"/>
    <mergeCell ref="BB834:BC834"/>
    <mergeCell ref="BD834:BE834"/>
    <mergeCell ref="BF834:BG834"/>
    <mergeCell ref="BH834:BI834"/>
    <mergeCell ref="AK835:AK837"/>
    <mergeCell ref="AV835:AW835"/>
    <mergeCell ref="AX835:AY835"/>
    <mergeCell ref="AZ835:BA835"/>
    <mergeCell ref="BB835:BC835"/>
    <mergeCell ref="BD835:BE835"/>
    <mergeCell ref="BF835:BG835"/>
    <mergeCell ref="BH835:BI835"/>
    <mergeCell ref="AV836:AW836"/>
    <mergeCell ref="AX836:AY836"/>
    <mergeCell ref="AZ836:BA836"/>
    <mergeCell ref="BB836:BC836"/>
    <mergeCell ref="BD836:BE836"/>
    <mergeCell ref="BH836:BI836"/>
    <mergeCell ref="BB840:BC840"/>
    <mergeCell ref="BD840:BE840"/>
    <mergeCell ref="BF840:BG840"/>
    <mergeCell ref="BH840:BI840"/>
    <mergeCell ref="AV841:AW841"/>
    <mergeCell ref="AX841:AY841"/>
    <mergeCell ref="AZ841:BA841"/>
    <mergeCell ref="BB841:BC841"/>
    <mergeCell ref="BD841:BE841"/>
    <mergeCell ref="BF841:BG841"/>
    <mergeCell ref="BH841:BI841"/>
    <mergeCell ref="AV837:AW837"/>
    <mergeCell ref="AX837:AY837"/>
    <mergeCell ref="AZ837:BA837"/>
    <mergeCell ref="BB837:BC837"/>
    <mergeCell ref="BD837:BE837"/>
    <mergeCell ref="BF837:BG837"/>
    <mergeCell ref="BH837:BI837"/>
    <mergeCell ref="AV838:AW838"/>
    <mergeCell ref="AX838:AY838"/>
    <mergeCell ref="AZ838:BA838"/>
    <mergeCell ref="BB838:BC838"/>
    <mergeCell ref="BD838:BE838"/>
    <mergeCell ref="BF838:BG838"/>
    <mergeCell ref="BH838:BI838"/>
    <mergeCell ref="AV839:AW839"/>
    <mergeCell ref="AX839:AY839"/>
    <mergeCell ref="AZ839:BA839"/>
    <mergeCell ref="BB839:BC839"/>
    <mergeCell ref="BH839:BI839"/>
    <mergeCell ref="AV842:AW842"/>
    <mergeCell ref="AX842:AY842"/>
    <mergeCell ref="AZ842:BA842"/>
    <mergeCell ref="BB842:BC842"/>
    <mergeCell ref="BD842:BE842"/>
    <mergeCell ref="BF842:BG842"/>
    <mergeCell ref="BH842:BI842"/>
    <mergeCell ref="AV843:AW843"/>
    <mergeCell ref="AX843:AY843"/>
    <mergeCell ref="AZ843:BA843"/>
    <mergeCell ref="BB843:BC843"/>
    <mergeCell ref="BD843:BE843"/>
    <mergeCell ref="BF843:BG843"/>
    <mergeCell ref="BH843:BI843"/>
    <mergeCell ref="AV844:AW844"/>
    <mergeCell ref="AX844:AY844"/>
    <mergeCell ref="AZ844:BA844"/>
    <mergeCell ref="BB844:BC844"/>
    <mergeCell ref="BD844:BE844"/>
    <mergeCell ref="BF844:BG844"/>
    <mergeCell ref="BH844:BI844"/>
    <mergeCell ref="AZ849:BA849"/>
    <mergeCell ref="BB849:BC849"/>
    <mergeCell ref="BD849:BE849"/>
    <mergeCell ref="BF849:BG849"/>
    <mergeCell ref="BH849:BI849"/>
    <mergeCell ref="AV845:AW845"/>
    <mergeCell ref="AX845:AY845"/>
    <mergeCell ref="AZ845:BA845"/>
    <mergeCell ref="BB845:BC845"/>
    <mergeCell ref="BD845:BE845"/>
    <mergeCell ref="BF845:BG845"/>
    <mergeCell ref="BH845:BI845"/>
    <mergeCell ref="J846:K846"/>
    <mergeCell ref="P846:Q846"/>
    <mergeCell ref="W846:X846"/>
    <mergeCell ref="AC846:AD846"/>
    <mergeCell ref="AV846:AW846"/>
    <mergeCell ref="AX846:AY846"/>
    <mergeCell ref="AZ846:BA846"/>
    <mergeCell ref="BB846:BC846"/>
    <mergeCell ref="BD846:BE846"/>
    <mergeCell ref="BF846:BG846"/>
    <mergeCell ref="BH846:BI846"/>
    <mergeCell ref="BH850:BI850"/>
    <mergeCell ref="E851:F851"/>
    <mergeCell ref="H851:I851"/>
    <mergeCell ref="K851:L851"/>
    <mergeCell ref="N851:O851"/>
    <mergeCell ref="Z851:AA851"/>
    <mergeCell ref="AC851:AD851"/>
    <mergeCell ref="AL851:AM851"/>
    <mergeCell ref="AV851:AW851"/>
    <mergeCell ref="AX851:AY851"/>
    <mergeCell ref="AZ851:BA851"/>
    <mergeCell ref="BB851:BC851"/>
    <mergeCell ref="BD851:BE851"/>
    <mergeCell ref="BF851:BG851"/>
    <mergeCell ref="BH851:BI851"/>
    <mergeCell ref="AV847:AW847"/>
    <mergeCell ref="AX847:AY847"/>
    <mergeCell ref="AZ847:BA847"/>
    <mergeCell ref="BB847:BC847"/>
    <mergeCell ref="BD847:BE847"/>
    <mergeCell ref="BF847:BG847"/>
    <mergeCell ref="BH847:BI847"/>
    <mergeCell ref="T848:U848"/>
    <mergeCell ref="AV848:AW848"/>
    <mergeCell ref="AX848:AY848"/>
    <mergeCell ref="AZ848:BA848"/>
    <mergeCell ref="BB848:BC848"/>
    <mergeCell ref="BD848:BE848"/>
    <mergeCell ref="BF848:BG848"/>
    <mergeCell ref="BH848:BI848"/>
    <mergeCell ref="AV849:AW849"/>
    <mergeCell ref="AX849:AY849"/>
    <mergeCell ref="AI840:AJ840"/>
    <mergeCell ref="D835:D837"/>
    <mergeCell ref="AI819:AJ819"/>
    <mergeCell ref="E819:F819"/>
    <mergeCell ref="H819:I819"/>
    <mergeCell ref="AX852:AY852"/>
    <mergeCell ref="AZ852:BA852"/>
    <mergeCell ref="BB852:BC852"/>
    <mergeCell ref="BD852:BE852"/>
    <mergeCell ref="BF852:BG852"/>
    <mergeCell ref="BH852:BI852"/>
    <mergeCell ref="E853:F853"/>
    <mergeCell ref="H853:I853"/>
    <mergeCell ref="K853:L853"/>
    <mergeCell ref="N853:O853"/>
    <mergeCell ref="Q853:R853"/>
    <mergeCell ref="T853:U853"/>
    <mergeCell ref="AC853:AD853"/>
    <mergeCell ref="AV853:AW853"/>
    <mergeCell ref="AX853:AY853"/>
    <mergeCell ref="AZ853:BA853"/>
    <mergeCell ref="BB853:BC853"/>
    <mergeCell ref="BD853:BE853"/>
    <mergeCell ref="BF853:BG853"/>
    <mergeCell ref="BH853:BI853"/>
    <mergeCell ref="AV850:AW850"/>
    <mergeCell ref="AX850:AY850"/>
    <mergeCell ref="AZ850:BA850"/>
    <mergeCell ref="BB850:BC850"/>
    <mergeCell ref="BD850:BE850"/>
    <mergeCell ref="AV852:AW852"/>
    <mergeCell ref="BF850:BG850"/>
    <mergeCell ref="AH499:AI499"/>
    <mergeCell ref="J500:K500"/>
    <mergeCell ref="C795:C797"/>
    <mergeCell ref="C798:C800"/>
    <mergeCell ref="AF815:AG815"/>
    <mergeCell ref="AI815:AJ815"/>
    <mergeCell ref="AL815:AM815"/>
    <mergeCell ref="W818:X818"/>
    <mergeCell ref="Z818:AA818"/>
    <mergeCell ref="AC818:AD818"/>
    <mergeCell ref="E854:F854"/>
    <mergeCell ref="H854:I854"/>
    <mergeCell ref="K854:L854"/>
    <mergeCell ref="N854:O854"/>
    <mergeCell ref="Q854:R854"/>
    <mergeCell ref="T854:U854"/>
    <mergeCell ref="W854:X854"/>
    <mergeCell ref="Z854:AA854"/>
    <mergeCell ref="AI854:AJ854"/>
    <mergeCell ref="E852:F852"/>
    <mergeCell ref="H852:I852"/>
    <mergeCell ref="K852:L852"/>
    <mergeCell ref="T852:U852"/>
    <mergeCell ref="AC852:AD852"/>
    <mergeCell ref="H845:I845"/>
    <mergeCell ref="AE845:AF845"/>
    <mergeCell ref="F840:G840"/>
    <mergeCell ref="M500:N500"/>
    <mergeCell ref="I501:J501"/>
    <mergeCell ref="L501:M501"/>
    <mergeCell ref="Q501:R501"/>
    <mergeCell ref="T501:U501"/>
    <mergeCell ref="AV856:AW856"/>
    <mergeCell ref="AX856:AY856"/>
    <mergeCell ref="AZ856:BA856"/>
    <mergeCell ref="BB856:BC856"/>
    <mergeCell ref="BD856:BE856"/>
    <mergeCell ref="BF856:BG856"/>
    <mergeCell ref="BH856:BI856"/>
    <mergeCell ref="AV854:AW854"/>
    <mergeCell ref="AX854:AY854"/>
    <mergeCell ref="AZ854:BA854"/>
    <mergeCell ref="BB854:BC854"/>
    <mergeCell ref="BD854:BE854"/>
    <mergeCell ref="BF854:BG854"/>
    <mergeCell ref="BH854:BI854"/>
    <mergeCell ref="AV855:AW855"/>
    <mergeCell ref="AX855:AY855"/>
    <mergeCell ref="AZ855:BA855"/>
    <mergeCell ref="BB855:BC855"/>
    <mergeCell ref="BD855:BE855"/>
    <mergeCell ref="BF855:BG855"/>
    <mergeCell ref="BH855:BI855"/>
    <mergeCell ref="AD475:AE475"/>
    <mergeCell ref="AO475:AO477"/>
    <mergeCell ref="AQ479:AQ481"/>
    <mergeCell ref="H481:H483"/>
    <mergeCell ref="AO481:AO483"/>
    <mergeCell ref="AQ482:AQ483"/>
    <mergeCell ref="I486:J486"/>
    <mergeCell ref="AL486:AM486"/>
    <mergeCell ref="K491:L491"/>
    <mergeCell ref="AH491:AI491"/>
    <mergeCell ref="M492:N492"/>
    <mergeCell ref="T492:U492"/>
    <mergeCell ref="Z492:AA492"/>
    <mergeCell ref="AF492:AG492"/>
    <mergeCell ref="W494:X494"/>
    <mergeCell ref="V498:W498"/>
    <mergeCell ref="Y498:Z498"/>
    <mergeCell ref="J498:K498"/>
    <mergeCell ref="M498:N498"/>
    <mergeCell ref="P498:Q498"/>
    <mergeCell ref="S498:T498"/>
    <mergeCell ref="AC504:AD504"/>
    <mergeCell ref="AF504:AG504"/>
    <mergeCell ref="AX504:AY504"/>
    <mergeCell ref="H505:I505"/>
    <mergeCell ref="K505:L505"/>
    <mergeCell ref="N505:O505"/>
    <mergeCell ref="W505:X505"/>
    <mergeCell ref="AF505:AG505"/>
    <mergeCell ref="H506:I506"/>
    <mergeCell ref="K506:L506"/>
    <mergeCell ref="N506:O506"/>
    <mergeCell ref="Q506:R506"/>
    <mergeCell ref="T506:U506"/>
    <mergeCell ref="W506:X506"/>
    <mergeCell ref="AO506:AP506"/>
    <mergeCell ref="H507:I507"/>
    <mergeCell ref="K507:L507"/>
    <mergeCell ref="N507:O507"/>
    <mergeCell ref="Q507:R507"/>
    <mergeCell ref="T507:U507"/>
    <mergeCell ref="W507:X507"/>
    <mergeCell ref="Z507:AA507"/>
    <mergeCell ref="AC507:AD507"/>
    <mergeCell ref="AL507:AM507"/>
    <mergeCell ref="M509:N509"/>
    <mergeCell ref="P509:Q509"/>
    <mergeCell ref="U509:V509"/>
    <mergeCell ref="X509:Y509"/>
    <mergeCell ref="AA509:AB509"/>
    <mergeCell ref="AF509:AG509"/>
    <mergeCell ref="AT509:AU509"/>
    <mergeCell ref="H510:I510"/>
    <mergeCell ref="M510:N510"/>
    <mergeCell ref="P510:Q510"/>
    <mergeCell ref="U510:V510"/>
    <mergeCell ref="X510:Y510"/>
    <mergeCell ref="AA510:AB510"/>
    <mergeCell ref="AF510:AG510"/>
    <mergeCell ref="AT510:AU510"/>
    <mergeCell ref="H511:I511"/>
    <mergeCell ref="K511:L511"/>
    <mergeCell ref="N511:O511"/>
    <mergeCell ref="Q511:R511"/>
    <mergeCell ref="T511:U511"/>
    <mergeCell ref="W511:X511"/>
    <mergeCell ref="Z511:AA511"/>
    <mergeCell ref="AL511:AM511"/>
    <mergeCell ref="P516:Q516"/>
    <mergeCell ref="U516:V516"/>
    <mergeCell ref="X516:Y516"/>
    <mergeCell ref="AA516:AB516"/>
    <mergeCell ref="AF516:AG516"/>
    <mergeCell ref="AI516:AJ516"/>
    <mergeCell ref="AN516:AO516"/>
    <mergeCell ref="AQ516:AR516"/>
    <mergeCell ref="H512:I512"/>
    <mergeCell ref="M512:N512"/>
    <mergeCell ref="P512:Q512"/>
    <mergeCell ref="U512:V512"/>
    <mergeCell ref="X512:Y512"/>
    <mergeCell ref="AA512:AB512"/>
    <mergeCell ref="AF512:AG512"/>
    <mergeCell ref="AI512:AJ512"/>
    <mergeCell ref="U513:V513"/>
    <mergeCell ref="X513:Y513"/>
    <mergeCell ref="AA513:AB513"/>
    <mergeCell ref="AF513:AG513"/>
    <mergeCell ref="AI513:AJ513"/>
    <mergeCell ref="H514:I514"/>
    <mergeCell ref="K514:L514"/>
    <mergeCell ref="N514:O514"/>
    <mergeCell ref="Q514:R514"/>
    <mergeCell ref="T514:U514"/>
    <mergeCell ref="W514:X514"/>
    <mergeCell ref="Z514:AA514"/>
    <mergeCell ref="AC514:AD514"/>
    <mergeCell ref="J517:K517"/>
    <mergeCell ref="D477:D479"/>
    <mergeCell ref="D480:D482"/>
    <mergeCell ref="AI504:AJ504"/>
    <mergeCell ref="AL504:AM504"/>
    <mergeCell ref="AO504:AP504"/>
    <mergeCell ref="Z506:AA506"/>
    <mergeCell ref="AC506:AD506"/>
    <mergeCell ref="AF506:AG506"/>
    <mergeCell ref="AI509:AJ509"/>
    <mergeCell ref="AL509:AM509"/>
    <mergeCell ref="AQ509:AR509"/>
    <mergeCell ref="AI510:AJ510"/>
    <mergeCell ref="AL510:AM510"/>
    <mergeCell ref="AQ510:AR510"/>
    <mergeCell ref="AC511:AD511"/>
    <mergeCell ref="AF511:AG511"/>
    <mergeCell ref="AI511:AJ511"/>
    <mergeCell ref="H513:I513"/>
    <mergeCell ref="M513:N513"/>
    <mergeCell ref="P513:Q513"/>
    <mergeCell ref="H515:I515"/>
    <mergeCell ref="M515:N515"/>
    <mergeCell ref="P515:Q515"/>
    <mergeCell ref="U515:V515"/>
    <mergeCell ref="X515:Y515"/>
    <mergeCell ref="AA515:AB515"/>
    <mergeCell ref="AF515:AG515"/>
    <mergeCell ref="AI515:AJ515"/>
    <mergeCell ref="AQ515:AR515"/>
    <mergeCell ref="H516:I516"/>
    <mergeCell ref="M516:N516"/>
    <mergeCell ref="AV1006:AW1007"/>
    <mergeCell ref="AX1006:AY1006"/>
    <mergeCell ref="AZ1006:BA1006"/>
    <mergeCell ref="BB1006:BC1006"/>
    <mergeCell ref="BD1006:BE1006"/>
    <mergeCell ref="BF1006:BG1006"/>
    <mergeCell ref="BH1006:BI1006"/>
    <mergeCell ref="AX1007:AY1007"/>
    <mergeCell ref="AZ1007:BA1007"/>
    <mergeCell ref="BB1007:BC1007"/>
    <mergeCell ref="BD1007:BE1007"/>
    <mergeCell ref="BF1007:BG1007"/>
    <mergeCell ref="BH1007:BI1007"/>
    <mergeCell ref="AV1008:AW1008"/>
    <mergeCell ref="AX1008:AY1008"/>
    <mergeCell ref="AZ1008:BA1008"/>
    <mergeCell ref="BB1008:BC1008"/>
    <mergeCell ref="BD1008:BE1008"/>
    <mergeCell ref="BF1008:BG1008"/>
    <mergeCell ref="BH1008:BI1008"/>
    <mergeCell ref="AV1009:AW1009"/>
    <mergeCell ref="AX1009:AY1009"/>
    <mergeCell ref="AZ1009:BA1009"/>
    <mergeCell ref="BB1009:BC1009"/>
    <mergeCell ref="BD1009:BE1009"/>
    <mergeCell ref="BF1009:BG1009"/>
    <mergeCell ref="BH1009:BI1009"/>
    <mergeCell ref="G1010:G1012"/>
    <mergeCell ref="AC1010:AD1010"/>
    <mergeCell ref="AN1010:AN1012"/>
    <mergeCell ref="AV1010:AW1010"/>
    <mergeCell ref="AX1010:AY1010"/>
    <mergeCell ref="AZ1010:BA1010"/>
    <mergeCell ref="BB1010:BC1010"/>
    <mergeCell ref="BD1010:BE1010"/>
    <mergeCell ref="BF1010:BG1010"/>
    <mergeCell ref="BH1010:BI1010"/>
    <mergeCell ref="AV1011:AW1011"/>
    <mergeCell ref="AX1011:AY1011"/>
    <mergeCell ref="AZ1011:BA1011"/>
    <mergeCell ref="BB1011:BC1011"/>
    <mergeCell ref="BD1011:BE1011"/>
    <mergeCell ref="BF1011:BG1011"/>
    <mergeCell ref="BH1011:BI1011"/>
    <mergeCell ref="AV1012:AW1012"/>
    <mergeCell ref="AX1012:AY1012"/>
    <mergeCell ref="AZ1012:BA1012"/>
    <mergeCell ref="BB1012:BC1012"/>
    <mergeCell ref="BD1012:BE1012"/>
    <mergeCell ref="BF1012:BG1012"/>
    <mergeCell ref="BH1012:BI1012"/>
    <mergeCell ref="AV1013:AW1013"/>
    <mergeCell ref="AX1013:AY1013"/>
    <mergeCell ref="AZ1013:BA1013"/>
    <mergeCell ref="BB1013:BC1013"/>
    <mergeCell ref="BD1013:BE1013"/>
    <mergeCell ref="BF1013:BG1013"/>
    <mergeCell ref="BH1013:BI1013"/>
    <mergeCell ref="AP1014:AP1016"/>
    <mergeCell ref="AV1014:AW1014"/>
    <mergeCell ref="AX1014:AY1014"/>
    <mergeCell ref="AZ1014:BA1014"/>
    <mergeCell ref="BB1014:BC1014"/>
    <mergeCell ref="BD1014:BE1014"/>
    <mergeCell ref="BF1014:BG1014"/>
    <mergeCell ref="BH1014:BI1014"/>
    <mergeCell ref="AV1015:AW1015"/>
    <mergeCell ref="AX1015:AY1015"/>
    <mergeCell ref="AZ1015:BA1015"/>
    <mergeCell ref="BB1015:BC1015"/>
    <mergeCell ref="BD1015:BE1015"/>
    <mergeCell ref="BF1015:BG1015"/>
    <mergeCell ref="BH1015:BI1015"/>
    <mergeCell ref="AV1016:AW1016"/>
    <mergeCell ref="AX1016:AY1016"/>
    <mergeCell ref="AZ1016:BA1016"/>
    <mergeCell ref="BB1016:BC1016"/>
    <mergeCell ref="BD1016:BE1016"/>
    <mergeCell ref="BF1016:BG1016"/>
    <mergeCell ref="BH1016:BI1016"/>
    <mergeCell ref="AP1017:AP1018"/>
    <mergeCell ref="AV1017:AW1017"/>
    <mergeCell ref="AX1017:AY1017"/>
    <mergeCell ref="AZ1017:BA1017"/>
    <mergeCell ref="BB1017:BC1017"/>
    <mergeCell ref="BD1017:BE1017"/>
    <mergeCell ref="BF1017:BG1017"/>
    <mergeCell ref="BH1017:BI1017"/>
    <mergeCell ref="AV1018:AW1018"/>
    <mergeCell ref="AX1018:AY1018"/>
    <mergeCell ref="AZ1018:BA1018"/>
    <mergeCell ref="BB1018:BC1018"/>
    <mergeCell ref="BD1018:BE1018"/>
    <mergeCell ref="BF1018:BG1018"/>
    <mergeCell ref="BH1018:BI1018"/>
    <mergeCell ref="AV1019:AW1019"/>
    <mergeCell ref="AX1019:AY1019"/>
    <mergeCell ref="AZ1019:BA1019"/>
    <mergeCell ref="BB1019:BC1019"/>
    <mergeCell ref="BD1019:BE1019"/>
    <mergeCell ref="BF1019:BG1019"/>
    <mergeCell ref="BH1019:BI1019"/>
    <mergeCell ref="AV1020:AW1020"/>
    <mergeCell ref="AX1020:AY1020"/>
    <mergeCell ref="AZ1020:BA1020"/>
    <mergeCell ref="BB1020:BC1020"/>
    <mergeCell ref="BD1020:BE1020"/>
    <mergeCell ref="BF1020:BG1020"/>
    <mergeCell ref="BH1020:BI1020"/>
    <mergeCell ref="H1021:I1021"/>
    <mergeCell ref="AK1021:AL1021"/>
    <mergeCell ref="AV1021:AW1021"/>
    <mergeCell ref="AX1021:AY1021"/>
    <mergeCell ref="AZ1021:BA1021"/>
    <mergeCell ref="BB1021:BC1021"/>
    <mergeCell ref="BD1021:BE1021"/>
    <mergeCell ref="BF1021:BG1021"/>
    <mergeCell ref="BH1021:BI1021"/>
    <mergeCell ref="AV1022:AW1022"/>
    <mergeCell ref="AX1022:AY1022"/>
    <mergeCell ref="AZ1022:BA1022"/>
    <mergeCell ref="BB1022:BC1022"/>
    <mergeCell ref="BD1022:BE1022"/>
    <mergeCell ref="BF1022:BG1022"/>
    <mergeCell ref="BH1022:BI1022"/>
    <mergeCell ref="AV1023:AW1023"/>
    <mergeCell ref="AX1023:AY1023"/>
    <mergeCell ref="AZ1023:BA1023"/>
    <mergeCell ref="BB1023:BC1023"/>
    <mergeCell ref="BD1023:BE1023"/>
    <mergeCell ref="BF1023:BG1023"/>
    <mergeCell ref="BH1023:BI1023"/>
    <mergeCell ref="AV1024:AW1024"/>
    <mergeCell ref="AX1024:AY1024"/>
    <mergeCell ref="AZ1024:BA1024"/>
    <mergeCell ref="BB1024:BC1024"/>
    <mergeCell ref="BD1024:BE1024"/>
    <mergeCell ref="BF1024:BG1024"/>
    <mergeCell ref="BH1024:BI1024"/>
    <mergeCell ref="AV1025:AW1025"/>
    <mergeCell ref="AX1025:AY1025"/>
    <mergeCell ref="AZ1025:BA1025"/>
    <mergeCell ref="BB1025:BC1025"/>
    <mergeCell ref="BD1025:BE1025"/>
    <mergeCell ref="BF1025:BG1025"/>
    <mergeCell ref="BH1025:BI1025"/>
    <mergeCell ref="AV1026:AW1026"/>
    <mergeCell ref="AX1026:AY1026"/>
    <mergeCell ref="AZ1026:BA1026"/>
    <mergeCell ref="BB1026:BC1026"/>
    <mergeCell ref="BD1026:BE1026"/>
    <mergeCell ref="BF1026:BG1026"/>
    <mergeCell ref="BH1026:BI1026"/>
    <mergeCell ref="L1027:N1027"/>
    <mergeCell ref="R1027:T1027"/>
    <mergeCell ref="Y1027:Z1027"/>
    <mergeCell ref="AE1027:AF1027"/>
    <mergeCell ref="AV1027:AW1027"/>
    <mergeCell ref="AX1027:AY1027"/>
    <mergeCell ref="AZ1027:BA1027"/>
    <mergeCell ref="BB1027:BC1027"/>
    <mergeCell ref="BD1027:BE1027"/>
    <mergeCell ref="BF1027:BG1027"/>
    <mergeCell ref="BH1027:BI1027"/>
    <mergeCell ref="BB1032:BC1032"/>
    <mergeCell ref="BD1032:BE1032"/>
    <mergeCell ref="BF1032:BG1032"/>
    <mergeCell ref="BH1032:BI1032"/>
    <mergeCell ref="AV1028:AW1028"/>
    <mergeCell ref="AX1028:AY1028"/>
    <mergeCell ref="AZ1028:BA1028"/>
    <mergeCell ref="BB1028:BC1028"/>
    <mergeCell ref="BD1028:BE1028"/>
    <mergeCell ref="BF1028:BG1028"/>
    <mergeCell ref="BH1028:BI1028"/>
    <mergeCell ref="V1029:W1029"/>
    <mergeCell ref="AV1029:AW1029"/>
    <mergeCell ref="AX1029:AY1029"/>
    <mergeCell ref="AZ1029:BA1029"/>
    <mergeCell ref="BB1029:BC1029"/>
    <mergeCell ref="BD1029:BE1029"/>
    <mergeCell ref="BF1029:BG1029"/>
    <mergeCell ref="BH1029:BI1029"/>
    <mergeCell ref="AV1030:AW1030"/>
    <mergeCell ref="AX1030:AY1030"/>
    <mergeCell ref="AZ1030:BA1030"/>
    <mergeCell ref="BB1030:BC1030"/>
    <mergeCell ref="BD1030:BE1030"/>
    <mergeCell ref="BF1030:BG1030"/>
    <mergeCell ref="BH1030:BI1030"/>
    <mergeCell ref="AV1033:AW1033"/>
    <mergeCell ref="AX1033:AY1033"/>
    <mergeCell ref="AZ1033:BA1033"/>
    <mergeCell ref="BB1033:BC1033"/>
    <mergeCell ref="BD1033:BE1033"/>
    <mergeCell ref="BF1033:BG1033"/>
    <mergeCell ref="BH1033:BI1033"/>
    <mergeCell ref="G1034:H1034"/>
    <mergeCell ref="J1034:K1034"/>
    <mergeCell ref="AV1034:AW1034"/>
    <mergeCell ref="AX1034:AY1034"/>
    <mergeCell ref="AZ1034:BA1034"/>
    <mergeCell ref="BB1034:BC1034"/>
    <mergeCell ref="BD1034:BE1034"/>
    <mergeCell ref="BF1034:BG1034"/>
    <mergeCell ref="BH1034:BI1034"/>
    <mergeCell ref="AV1031:AW1031"/>
    <mergeCell ref="AX1031:AY1031"/>
    <mergeCell ref="AZ1031:BA1031"/>
    <mergeCell ref="BB1031:BC1031"/>
    <mergeCell ref="BD1031:BE1031"/>
    <mergeCell ref="BF1031:BG1031"/>
    <mergeCell ref="BH1031:BI1031"/>
    <mergeCell ref="G1032:H1032"/>
    <mergeCell ref="J1032:K1032"/>
    <mergeCell ref="M1032:N1032"/>
    <mergeCell ref="P1032:Q1032"/>
    <mergeCell ref="S1032:T1032"/>
    <mergeCell ref="V1032:W1032"/>
    <mergeCell ref="AV1032:AW1032"/>
    <mergeCell ref="AX1032:AY1032"/>
    <mergeCell ref="AZ1032:BA1032"/>
    <mergeCell ref="AV1038:AW1038"/>
    <mergeCell ref="AX1038:AY1038"/>
    <mergeCell ref="AZ1038:BA1038"/>
    <mergeCell ref="BB1038:BC1038"/>
    <mergeCell ref="BD1038:BE1038"/>
    <mergeCell ref="BF1038:BG1038"/>
    <mergeCell ref="BH1038:BI1038"/>
    <mergeCell ref="AV1035:AW1035"/>
    <mergeCell ref="AX1035:AY1035"/>
    <mergeCell ref="AZ1035:BA1035"/>
    <mergeCell ref="BB1035:BC1035"/>
    <mergeCell ref="BD1035:BE1035"/>
    <mergeCell ref="BF1035:BG1035"/>
    <mergeCell ref="BH1035:BI1035"/>
    <mergeCell ref="E1036:F1036"/>
    <mergeCell ref="H1036:I1036"/>
    <mergeCell ref="K1036:L1036"/>
    <mergeCell ref="N1036:O1036"/>
    <mergeCell ref="Z1036:AA1036"/>
    <mergeCell ref="AC1036:AD1036"/>
    <mergeCell ref="E1037:F1037"/>
    <mergeCell ref="AV1036:AW1036"/>
    <mergeCell ref="AX1036:AY1036"/>
    <mergeCell ref="AZ1036:BA1036"/>
    <mergeCell ref="BB1036:BC1036"/>
    <mergeCell ref="BD1036:BE1036"/>
    <mergeCell ref="BF1036:BG1036"/>
    <mergeCell ref="BH1036:BI1036"/>
    <mergeCell ref="N1038:O1038"/>
    <mergeCell ref="Q1038:R1038"/>
    <mergeCell ref="O1006:P1006"/>
    <mergeCell ref="AN515:AO515"/>
    <mergeCell ref="AV1039:AW1039"/>
    <mergeCell ref="AX1039:AY1039"/>
    <mergeCell ref="AZ1039:BA1039"/>
    <mergeCell ref="BB1039:BC1039"/>
    <mergeCell ref="BD1039:BE1039"/>
    <mergeCell ref="BF1039:BG1039"/>
    <mergeCell ref="BH1039:BI1039"/>
    <mergeCell ref="C1013:C1015"/>
    <mergeCell ref="C1016:C1018"/>
    <mergeCell ref="AF1036:AG1036"/>
    <mergeCell ref="AI1036:AJ1036"/>
    <mergeCell ref="AL1036:AM1036"/>
    <mergeCell ref="W1039:X1039"/>
    <mergeCell ref="Z1039:AA1039"/>
    <mergeCell ref="AC1039:AD1039"/>
    <mergeCell ref="E1038:F1038"/>
    <mergeCell ref="H1038:I1038"/>
    <mergeCell ref="K1038:L1038"/>
    <mergeCell ref="T1038:U1038"/>
    <mergeCell ref="AC1038:AD1038"/>
    <mergeCell ref="AV1037:AW1037"/>
    <mergeCell ref="AX1037:AY1037"/>
    <mergeCell ref="AZ1037:BA1037"/>
    <mergeCell ref="BB1037:BC1037"/>
    <mergeCell ref="BD1037:BE1037"/>
    <mergeCell ref="BF1037:BG1037"/>
    <mergeCell ref="BH1037:BI1037"/>
    <mergeCell ref="E1039:F1039"/>
    <mergeCell ref="H1039:I1039"/>
    <mergeCell ref="K1039:L1039"/>
    <mergeCell ref="E1040:F1040"/>
    <mergeCell ref="H1040:I1040"/>
    <mergeCell ref="K1040:L1040"/>
    <mergeCell ref="N1040:O1040"/>
    <mergeCell ref="Q1040:R1040"/>
    <mergeCell ref="T1040:U1040"/>
    <mergeCell ref="W1040:X1040"/>
    <mergeCell ref="Z1040:AA1040"/>
    <mergeCell ref="AI1040:AJ1040"/>
    <mergeCell ref="T1039:U1039"/>
    <mergeCell ref="M1033:N1033"/>
    <mergeCell ref="R1033:S1033"/>
    <mergeCell ref="W1033:X1033"/>
    <mergeCell ref="Z1033:AA1033"/>
    <mergeCell ref="AE1033:AF1033"/>
    <mergeCell ref="G1016:G1018"/>
    <mergeCell ref="AN1016:AN1018"/>
    <mergeCell ref="N1039:O1039"/>
    <mergeCell ref="Q1039:R1039"/>
    <mergeCell ref="J1026:K1026"/>
    <mergeCell ref="AG1026:AH1026"/>
    <mergeCell ref="AL1039:AM1039"/>
    <mergeCell ref="R146:S146"/>
    <mergeCell ref="AD146:AE146"/>
    <mergeCell ref="U146:V146"/>
    <mergeCell ref="I131:J131"/>
    <mergeCell ref="K136:L136"/>
    <mergeCell ref="AH136:AI136"/>
    <mergeCell ref="G123:H124"/>
    <mergeCell ref="H127:H129"/>
    <mergeCell ref="X129:Y129"/>
    <mergeCell ref="AL124:AL126"/>
    <mergeCell ref="AL128:AL130"/>
    <mergeCell ref="AN126:AN128"/>
    <mergeCell ref="M138:N138"/>
    <mergeCell ref="AG138:AH138"/>
    <mergeCell ref="W142:X142"/>
    <mergeCell ref="R138:S138"/>
    <mergeCell ref="AB138:AC138"/>
    <mergeCell ref="S136:T136"/>
    <mergeCell ref="AA136:AB136"/>
    <mergeCell ref="I123:I124"/>
    <mergeCell ref="AJ127:AJ129"/>
    <mergeCell ref="AI123:AJ124"/>
    <mergeCell ref="AK123:AK124"/>
    <mergeCell ref="U135:V135"/>
    <mergeCell ref="Z135:AA135"/>
    <mergeCell ref="U688:V688"/>
    <mergeCell ref="AV665:AW666"/>
    <mergeCell ref="AX665:AY665"/>
    <mergeCell ref="AZ665:BA665"/>
    <mergeCell ref="BB665:BC665"/>
    <mergeCell ref="BD665:BE665"/>
    <mergeCell ref="BF665:BG665"/>
    <mergeCell ref="I150:J150"/>
    <mergeCell ref="N150:O150"/>
    <mergeCell ref="Q150:R150"/>
    <mergeCell ref="V150:W150"/>
    <mergeCell ref="Y150:Z150"/>
    <mergeCell ref="AB150:AC150"/>
    <mergeCell ref="AG150:AH150"/>
    <mergeCell ref="AJ150:AK150"/>
    <mergeCell ref="Q119:R119"/>
    <mergeCell ref="AB118:AC118"/>
    <mergeCell ref="N140:O140"/>
    <mergeCell ref="AF140:AG140"/>
    <mergeCell ref="T140:U140"/>
    <mergeCell ref="Z140:AA140"/>
    <mergeCell ref="I145:J145"/>
    <mergeCell ref="L145:M145"/>
    <mergeCell ref="O145:P145"/>
    <mergeCell ref="R145:S145"/>
    <mergeCell ref="U145:V145"/>
    <mergeCell ref="X145:Y145"/>
    <mergeCell ref="AA145:AB145"/>
    <mergeCell ref="AJ145:AK145"/>
    <mergeCell ref="I146:J146"/>
    <mergeCell ref="L146:M146"/>
    <mergeCell ref="O146:P146"/>
    <mergeCell ref="I153:J153"/>
    <mergeCell ref="N153:O153"/>
    <mergeCell ref="Q153:R153"/>
    <mergeCell ref="V153:W153"/>
    <mergeCell ref="Y153:Z153"/>
    <mergeCell ref="AB153:AC153"/>
    <mergeCell ref="AG153:AH153"/>
    <mergeCell ref="AJ153:AK153"/>
    <mergeCell ref="I154:J154"/>
    <mergeCell ref="N154:O154"/>
    <mergeCell ref="Q154:R154"/>
    <mergeCell ref="V154:W154"/>
    <mergeCell ref="Y154:Z154"/>
    <mergeCell ref="AB154:AC154"/>
    <mergeCell ref="AG154:AH154"/>
    <mergeCell ref="AJ154:AK154"/>
    <mergeCell ref="I155:J155"/>
    <mergeCell ref="L155:M155"/>
    <mergeCell ref="O155:P155"/>
    <mergeCell ref="R155:S155"/>
    <mergeCell ref="U155:V155"/>
    <mergeCell ref="W743:X743"/>
    <mergeCell ref="O738:R738"/>
    <mergeCell ref="C721:D722"/>
    <mergeCell ref="E721:E722"/>
    <mergeCell ref="AH722:AH724"/>
    <mergeCell ref="AJ724:AJ726"/>
    <mergeCell ref="D725:D727"/>
    <mergeCell ref="AH726:AH728"/>
    <mergeCell ref="T727:U727"/>
    <mergeCell ref="E729:F729"/>
    <mergeCell ref="Q733:R733"/>
    <mergeCell ref="G734:H734"/>
    <mergeCell ref="O734:P734"/>
    <mergeCell ref="W734:X734"/>
    <mergeCell ref="AD734:AE734"/>
    <mergeCell ref="AV715:AW716"/>
    <mergeCell ref="AV720:AW720"/>
    <mergeCell ref="AV723:AW723"/>
    <mergeCell ref="AV726:AW726"/>
    <mergeCell ref="AV729:AW729"/>
    <mergeCell ref="AV732:AW732"/>
    <mergeCell ref="AV733:AW733"/>
    <mergeCell ref="AV734:AW734"/>
    <mergeCell ref="AV717:AW717"/>
    <mergeCell ref="AV722:AW722"/>
    <mergeCell ref="AV725:AW725"/>
    <mergeCell ref="AV728:AW728"/>
    <mergeCell ref="AV731:AW731"/>
    <mergeCell ref="AV738:AW738"/>
    <mergeCell ref="AV742:AW742"/>
    <mergeCell ref="BD719:BE719"/>
    <mergeCell ref="BF719:BG719"/>
    <mergeCell ref="BH719:BI719"/>
    <mergeCell ref="E744:F744"/>
    <mergeCell ref="H744:I744"/>
    <mergeCell ref="K744:L744"/>
    <mergeCell ref="N744:O744"/>
    <mergeCell ref="Q744:R744"/>
    <mergeCell ref="Z744:AA744"/>
    <mergeCell ref="E745:F745"/>
    <mergeCell ref="H745:I745"/>
    <mergeCell ref="K745:L745"/>
    <mergeCell ref="N745:O745"/>
    <mergeCell ref="Q745:R745"/>
    <mergeCell ref="T745:U745"/>
    <mergeCell ref="AC745:AD745"/>
    <mergeCell ref="I736:J736"/>
    <mergeCell ref="N736:O736"/>
    <mergeCell ref="X736:Y736"/>
    <mergeCell ref="AC736:AD736"/>
    <mergeCell ref="J738:K738"/>
    <mergeCell ref="Y738:Z738"/>
    <mergeCell ref="S740:T740"/>
    <mergeCell ref="E743:F743"/>
    <mergeCell ref="H743:I743"/>
    <mergeCell ref="K743:L743"/>
    <mergeCell ref="N743:O743"/>
    <mergeCell ref="Q743:R743"/>
    <mergeCell ref="T743:U743"/>
    <mergeCell ref="AX722:AY722"/>
    <mergeCell ref="AZ722:BA722"/>
    <mergeCell ref="BB722:BC722"/>
    <mergeCell ref="AZ716:BA716"/>
    <mergeCell ref="BB716:BC716"/>
    <mergeCell ref="BD716:BE716"/>
    <mergeCell ref="BF716:BG716"/>
    <mergeCell ref="AX716:AY716"/>
    <mergeCell ref="AX720:AY720"/>
    <mergeCell ref="AZ720:BA720"/>
    <mergeCell ref="BB720:BC720"/>
    <mergeCell ref="BD720:BE720"/>
    <mergeCell ref="BF720:BG720"/>
    <mergeCell ref="BH720:BI720"/>
    <mergeCell ref="AV721:AW721"/>
    <mergeCell ref="AX721:AY721"/>
    <mergeCell ref="AZ721:BA721"/>
    <mergeCell ref="BB721:BC721"/>
    <mergeCell ref="BD721:BE721"/>
    <mergeCell ref="BF721:BG721"/>
    <mergeCell ref="BH721:BI721"/>
    <mergeCell ref="AX717:AY717"/>
    <mergeCell ref="AZ717:BA717"/>
    <mergeCell ref="BB717:BC717"/>
    <mergeCell ref="BD717:BE717"/>
    <mergeCell ref="BF717:BG717"/>
    <mergeCell ref="BH717:BI717"/>
    <mergeCell ref="AV718:AW718"/>
    <mergeCell ref="AX718:AY718"/>
    <mergeCell ref="AZ718:BA718"/>
    <mergeCell ref="BB718:BC718"/>
    <mergeCell ref="BD718:BE718"/>
    <mergeCell ref="BF718:BG718"/>
    <mergeCell ref="BH718:BI718"/>
    <mergeCell ref="AV719:AW719"/>
    <mergeCell ref="BD722:BE722"/>
    <mergeCell ref="BF722:BG722"/>
    <mergeCell ref="BH722:BI722"/>
    <mergeCell ref="AX723:AY723"/>
    <mergeCell ref="AZ723:BA723"/>
    <mergeCell ref="BB723:BC723"/>
    <mergeCell ref="BD723:BE723"/>
    <mergeCell ref="BF723:BG723"/>
    <mergeCell ref="BH723:BI723"/>
    <mergeCell ref="AV724:AW724"/>
    <mergeCell ref="AX724:AY724"/>
    <mergeCell ref="AZ724:BA724"/>
    <mergeCell ref="BB724:BC724"/>
    <mergeCell ref="BD724:BE724"/>
    <mergeCell ref="BF724:BG724"/>
    <mergeCell ref="BH724:BI724"/>
    <mergeCell ref="AX725:AY725"/>
    <mergeCell ref="AZ725:BA725"/>
    <mergeCell ref="BB725:BC725"/>
    <mergeCell ref="BD725:BE725"/>
    <mergeCell ref="BF725:BG725"/>
    <mergeCell ref="BH725:BI725"/>
    <mergeCell ref="AX726:AY726"/>
    <mergeCell ref="AZ726:BA726"/>
    <mergeCell ref="BB726:BC726"/>
    <mergeCell ref="BD726:BE726"/>
    <mergeCell ref="BF726:BG726"/>
    <mergeCell ref="BH726:BI726"/>
    <mergeCell ref="AV727:AW727"/>
    <mergeCell ref="AX727:AY727"/>
    <mergeCell ref="AZ727:BA727"/>
    <mergeCell ref="BB727:BC727"/>
    <mergeCell ref="BD727:BE727"/>
    <mergeCell ref="BF727:BG727"/>
    <mergeCell ref="BH727:BI727"/>
    <mergeCell ref="AX728:AY728"/>
    <mergeCell ref="AZ728:BA728"/>
    <mergeCell ref="BB728:BC728"/>
    <mergeCell ref="BD728:BE728"/>
    <mergeCell ref="BF728:BG728"/>
    <mergeCell ref="BH728:BI728"/>
    <mergeCell ref="AX729:AY729"/>
    <mergeCell ref="AZ729:BA729"/>
    <mergeCell ref="BB729:BC729"/>
    <mergeCell ref="BD729:BE729"/>
    <mergeCell ref="BF729:BG729"/>
    <mergeCell ref="BH729:BI729"/>
    <mergeCell ref="AV730:AW730"/>
    <mergeCell ref="AX730:AY730"/>
    <mergeCell ref="AZ730:BA730"/>
    <mergeCell ref="BB730:BC730"/>
    <mergeCell ref="BD730:BE730"/>
    <mergeCell ref="BF730:BG730"/>
    <mergeCell ref="BH730:BI730"/>
    <mergeCell ref="AX731:AY731"/>
    <mergeCell ref="AZ731:BA731"/>
    <mergeCell ref="BB731:BC731"/>
    <mergeCell ref="BD731:BE731"/>
    <mergeCell ref="BF731:BG731"/>
    <mergeCell ref="BH731:BI731"/>
    <mergeCell ref="AX735:AY735"/>
    <mergeCell ref="AZ735:BA735"/>
    <mergeCell ref="BB735:BC735"/>
    <mergeCell ref="BD735:BE735"/>
    <mergeCell ref="BF735:BG735"/>
    <mergeCell ref="BH735:BI735"/>
    <mergeCell ref="AV736:AW736"/>
    <mergeCell ref="AX736:AY736"/>
    <mergeCell ref="AZ736:BA736"/>
    <mergeCell ref="BB736:BC736"/>
    <mergeCell ref="BD736:BE736"/>
    <mergeCell ref="BF736:BG736"/>
    <mergeCell ref="BH736:BI736"/>
    <mergeCell ref="AV737:AW737"/>
    <mergeCell ref="AX737:AY737"/>
    <mergeCell ref="AZ737:BA737"/>
    <mergeCell ref="BB737:BC737"/>
    <mergeCell ref="BD737:BE737"/>
    <mergeCell ref="BF737:BG737"/>
    <mergeCell ref="BH737:BI737"/>
    <mergeCell ref="AV735:AW735"/>
    <mergeCell ref="BB742:BC742"/>
    <mergeCell ref="BD742:BE742"/>
    <mergeCell ref="BF742:BG742"/>
    <mergeCell ref="BH742:BI742"/>
    <mergeCell ref="AV743:AW743"/>
    <mergeCell ref="AX743:AY743"/>
    <mergeCell ref="AZ743:BA743"/>
    <mergeCell ref="BB743:BC743"/>
    <mergeCell ref="BD743:BE743"/>
    <mergeCell ref="BF743:BG743"/>
    <mergeCell ref="BH743:BI743"/>
    <mergeCell ref="AX738:AY738"/>
    <mergeCell ref="AZ738:BA738"/>
    <mergeCell ref="BB738:BC738"/>
    <mergeCell ref="BD738:BE738"/>
    <mergeCell ref="BF738:BG738"/>
    <mergeCell ref="BH738:BI738"/>
    <mergeCell ref="AV739:AW739"/>
    <mergeCell ref="AX739:AY739"/>
    <mergeCell ref="AZ739:BA739"/>
    <mergeCell ref="BB739:BC739"/>
    <mergeCell ref="BD739:BE739"/>
    <mergeCell ref="BF739:BG739"/>
    <mergeCell ref="BH739:BI739"/>
    <mergeCell ref="AV740:AW740"/>
    <mergeCell ref="AX740:AY740"/>
    <mergeCell ref="AZ740:BA740"/>
    <mergeCell ref="BB740:BC740"/>
    <mergeCell ref="BD740:BE740"/>
    <mergeCell ref="AV748:AW748"/>
    <mergeCell ref="AX748:AY748"/>
    <mergeCell ref="AZ748:BA748"/>
    <mergeCell ref="BB748:BC748"/>
    <mergeCell ref="BD748:BE748"/>
    <mergeCell ref="BF748:BG748"/>
    <mergeCell ref="BH748:BI748"/>
    <mergeCell ref="AJ727:AJ728"/>
    <mergeCell ref="AV744:AW744"/>
    <mergeCell ref="AX744:AY744"/>
    <mergeCell ref="AZ744:BA744"/>
    <mergeCell ref="BB744:BC744"/>
    <mergeCell ref="BD744:BE744"/>
    <mergeCell ref="BF744:BG744"/>
    <mergeCell ref="BH744:BI744"/>
    <mergeCell ref="AV745:AW745"/>
    <mergeCell ref="AX745:AY745"/>
    <mergeCell ref="AZ745:BA745"/>
    <mergeCell ref="BB745:BC745"/>
    <mergeCell ref="BD745:BE745"/>
    <mergeCell ref="BF745:BG745"/>
    <mergeCell ref="BH745:BI745"/>
    <mergeCell ref="AV746:AW746"/>
    <mergeCell ref="AX746:AY746"/>
    <mergeCell ref="AZ746:BA746"/>
    <mergeCell ref="BB746:BC746"/>
    <mergeCell ref="BD746:BE746"/>
    <mergeCell ref="BF746:BG746"/>
    <mergeCell ref="BH746:BI746"/>
    <mergeCell ref="AV741:AW741"/>
    <mergeCell ref="AX741:AY741"/>
    <mergeCell ref="AZ741:BA741"/>
    <mergeCell ref="AB62:AC62"/>
    <mergeCell ref="Q63:R63"/>
    <mergeCell ref="J67:J69"/>
    <mergeCell ref="J72:J74"/>
    <mergeCell ref="Y71:Z71"/>
    <mergeCell ref="H70:H72"/>
    <mergeCell ref="U80:V80"/>
    <mergeCell ref="Y80:Z80"/>
    <mergeCell ref="W99:X99"/>
    <mergeCell ref="S97:T97"/>
    <mergeCell ref="M97:N97"/>
    <mergeCell ref="AF97:AG97"/>
    <mergeCell ref="Z97:AA97"/>
    <mergeCell ref="AK72:AK74"/>
    <mergeCell ref="AK67:AK69"/>
    <mergeCell ref="H82:H84"/>
    <mergeCell ref="AV747:AW747"/>
    <mergeCell ref="AF743:AG743"/>
    <mergeCell ref="X716:Y716"/>
    <mergeCell ref="M717:N717"/>
    <mergeCell ref="X155:Y155"/>
    <mergeCell ref="AA155:AB155"/>
    <mergeCell ref="AD155:AE155"/>
    <mergeCell ref="I151:J151"/>
    <mergeCell ref="N151:O151"/>
    <mergeCell ref="Q151:R151"/>
    <mergeCell ref="V151:W151"/>
    <mergeCell ref="Y151:Z151"/>
    <mergeCell ref="AB151:AC151"/>
    <mergeCell ref="AG151:AH151"/>
    <mergeCell ref="AJ151:AK151"/>
    <mergeCell ref="I152:J152"/>
    <mergeCell ref="E68:E70"/>
    <mergeCell ref="E71:E73"/>
    <mergeCell ref="D81:D83"/>
    <mergeCell ref="D84:D86"/>
    <mergeCell ref="E102:F102"/>
    <mergeCell ref="H102:I102"/>
    <mergeCell ref="K102:L102"/>
    <mergeCell ref="N102:O102"/>
    <mergeCell ref="Q102:R102"/>
    <mergeCell ref="T102:U102"/>
    <mergeCell ref="W102:X102"/>
    <mergeCell ref="AX102:AY102"/>
    <mergeCell ref="E103:F103"/>
    <mergeCell ref="H103:I103"/>
    <mergeCell ref="K103:L103"/>
    <mergeCell ref="N103:O103"/>
    <mergeCell ref="Z103:AA103"/>
    <mergeCell ref="I90:J90"/>
    <mergeCell ref="K95:L95"/>
    <mergeCell ref="AH95:AI95"/>
    <mergeCell ref="AL90:AM90"/>
    <mergeCell ref="Z102:AA102"/>
    <mergeCell ref="AC102:AD102"/>
    <mergeCell ref="AF102:AG102"/>
    <mergeCell ref="AI102:AJ102"/>
    <mergeCell ref="AL102:AM102"/>
    <mergeCell ref="AO102:AP102"/>
    <mergeCell ref="Q103:R103"/>
    <mergeCell ref="E104:F104"/>
    <mergeCell ref="H104:I104"/>
    <mergeCell ref="K104:L104"/>
    <mergeCell ref="N104:O104"/>
    <mergeCell ref="Q104:R104"/>
    <mergeCell ref="T104:U104"/>
    <mergeCell ref="W104:X104"/>
    <mergeCell ref="Z104:AA104"/>
    <mergeCell ref="AC104:AD104"/>
    <mergeCell ref="AU104:AV104"/>
    <mergeCell ref="E105:F105"/>
    <mergeCell ref="H105:I105"/>
    <mergeCell ref="K105:L105"/>
    <mergeCell ref="N105:O105"/>
    <mergeCell ref="Q105:R105"/>
    <mergeCell ref="T105:U105"/>
    <mergeCell ref="AC105:AD105"/>
    <mergeCell ref="AF104:AG104"/>
    <mergeCell ref="AI104:AJ104"/>
    <mergeCell ref="AL104:AM104"/>
    <mergeCell ref="BB107:BC107"/>
    <mergeCell ref="E108:F108"/>
    <mergeCell ref="J108:K108"/>
    <mergeCell ref="M108:N108"/>
    <mergeCell ref="R108:S108"/>
    <mergeCell ref="U108:V108"/>
    <mergeCell ref="X108:Y108"/>
    <mergeCell ref="AC108:AD108"/>
    <mergeCell ref="AF108:AG108"/>
    <mergeCell ref="AI108:AJ108"/>
    <mergeCell ref="AN108:AO108"/>
    <mergeCell ref="BB108:BC108"/>
    <mergeCell ref="AQ107:AR107"/>
    <mergeCell ref="AT107:AU107"/>
    <mergeCell ref="AY107:AZ107"/>
    <mergeCell ref="AQ108:AR108"/>
    <mergeCell ref="AT108:AU108"/>
    <mergeCell ref="AY108:AZ108"/>
    <mergeCell ref="AR109:AS109"/>
    <mergeCell ref="E110:F110"/>
    <mergeCell ref="J110:K110"/>
    <mergeCell ref="M110:N110"/>
    <mergeCell ref="R110:S110"/>
    <mergeCell ref="U110:V110"/>
    <mergeCell ref="X110:Y110"/>
    <mergeCell ref="AC110:AD110"/>
    <mergeCell ref="AF110:AG110"/>
    <mergeCell ref="AI109:AJ109"/>
    <mergeCell ref="AL109:AM109"/>
    <mergeCell ref="AO109:AP109"/>
    <mergeCell ref="E107:F107"/>
    <mergeCell ref="J107:K107"/>
    <mergeCell ref="M107:N107"/>
    <mergeCell ref="R107:S107"/>
    <mergeCell ref="U107:V107"/>
    <mergeCell ref="X107:Y107"/>
    <mergeCell ref="AC107:AD107"/>
    <mergeCell ref="AF107:AG107"/>
    <mergeCell ref="AI107:AJ107"/>
    <mergeCell ref="AN107:AO107"/>
    <mergeCell ref="E112:F112"/>
    <mergeCell ref="H112:I112"/>
    <mergeCell ref="K112:L112"/>
    <mergeCell ref="N112:O112"/>
    <mergeCell ref="Q112:R112"/>
    <mergeCell ref="AE114:AF114"/>
    <mergeCell ref="T112:U112"/>
    <mergeCell ref="W112:X112"/>
    <mergeCell ref="Z112:AA112"/>
    <mergeCell ref="E109:F109"/>
    <mergeCell ref="H109:I109"/>
    <mergeCell ref="K109:L109"/>
    <mergeCell ref="N109:O109"/>
    <mergeCell ref="Q109:R109"/>
    <mergeCell ref="T109:U109"/>
    <mergeCell ref="W109:X109"/>
    <mergeCell ref="Z109:AA109"/>
    <mergeCell ref="AC109:AD109"/>
    <mergeCell ref="AF109:AG109"/>
    <mergeCell ref="AB670:AC670"/>
    <mergeCell ref="Q671:R671"/>
    <mergeCell ref="J675:J677"/>
    <mergeCell ref="E676:E678"/>
    <mergeCell ref="H678:H680"/>
    <mergeCell ref="E679:E681"/>
    <mergeCell ref="Y679:Z679"/>
    <mergeCell ref="J680:J682"/>
    <mergeCell ref="AK114:AL114"/>
    <mergeCell ref="AN114:AO114"/>
    <mergeCell ref="E115:F115"/>
    <mergeCell ref="L152:M152"/>
    <mergeCell ref="O152:P152"/>
    <mergeCell ref="R152:S152"/>
    <mergeCell ref="U152:V152"/>
    <mergeCell ref="X152:Y152"/>
    <mergeCell ref="AA152:AB152"/>
    <mergeCell ref="AD152:AE152"/>
    <mergeCell ref="I147:J147"/>
    <mergeCell ref="L147:M147"/>
    <mergeCell ref="O147:P147"/>
    <mergeCell ref="R147:S147"/>
    <mergeCell ref="U147:V147"/>
    <mergeCell ref="X147:Y147"/>
    <mergeCell ref="AG147:AH147"/>
    <mergeCell ref="H681:H682"/>
    <mergeCell ref="E114:F114"/>
    <mergeCell ref="K114:L114"/>
    <mergeCell ref="N114:O114"/>
    <mergeCell ref="Q114:R114"/>
    <mergeCell ref="T114:U114"/>
    <mergeCell ref="AB114:AC114"/>
    <mergeCell ref="D689:D691"/>
    <mergeCell ref="H690:H692"/>
    <mergeCell ref="D692:D694"/>
    <mergeCell ref="I698:J698"/>
    <mergeCell ref="AL698:AM698"/>
    <mergeCell ref="K703:L703"/>
    <mergeCell ref="AH703:AI703"/>
    <mergeCell ref="AC705:AD705"/>
    <mergeCell ref="W707:X707"/>
    <mergeCell ref="E710:F710"/>
    <mergeCell ref="H710:I710"/>
    <mergeCell ref="K710:L710"/>
    <mergeCell ref="N710:O710"/>
    <mergeCell ref="Q710:R710"/>
    <mergeCell ref="T710:U710"/>
    <mergeCell ref="W710:X710"/>
    <mergeCell ref="Z710:AA710"/>
    <mergeCell ref="AC710:AD710"/>
    <mergeCell ref="AF710:AG710"/>
    <mergeCell ref="AI710:AJ710"/>
    <mergeCell ref="AL710:AM710"/>
    <mergeCell ref="M705:O705"/>
    <mergeCell ref="S705:U705"/>
    <mergeCell ref="E713:F713"/>
    <mergeCell ref="H713:I713"/>
    <mergeCell ref="K713:L713"/>
    <mergeCell ref="N713:O713"/>
    <mergeCell ref="Q713:R713"/>
    <mergeCell ref="T713:U713"/>
    <mergeCell ref="AC713:AD713"/>
    <mergeCell ref="AO710:AP710"/>
    <mergeCell ref="AX710:AY710"/>
    <mergeCell ref="E711:F711"/>
    <mergeCell ref="H711:I711"/>
    <mergeCell ref="K711:L711"/>
    <mergeCell ref="N711:O711"/>
    <mergeCell ref="Q711:R711"/>
    <mergeCell ref="Z711:AA711"/>
    <mergeCell ref="E712:F712"/>
    <mergeCell ref="H712:I712"/>
    <mergeCell ref="K712:L712"/>
    <mergeCell ref="N712:O712"/>
    <mergeCell ref="Q712:R712"/>
    <mergeCell ref="T712:U712"/>
    <mergeCell ref="W712:X712"/>
    <mergeCell ref="Z712:AA712"/>
    <mergeCell ref="AC712:AD712"/>
    <mergeCell ref="AF712:AG712"/>
    <mergeCell ref="AI712:AJ712"/>
    <mergeCell ref="AL712:AM712"/>
    <mergeCell ref="AU712:AV712"/>
    <mergeCell ref="BH665:BI665"/>
    <mergeCell ref="AX666:AY666"/>
    <mergeCell ref="AZ666:BA666"/>
    <mergeCell ref="BB666:BC666"/>
    <mergeCell ref="BD666:BE666"/>
    <mergeCell ref="BF666:BG666"/>
    <mergeCell ref="BH666:BI666"/>
    <mergeCell ref="AV667:AW667"/>
    <mergeCell ref="AX667:AY667"/>
    <mergeCell ref="AZ667:BA667"/>
    <mergeCell ref="BB667:BC667"/>
    <mergeCell ref="BD667:BE667"/>
    <mergeCell ref="BF667:BG667"/>
    <mergeCell ref="BH667:BI667"/>
    <mergeCell ref="BB668:BC668"/>
    <mergeCell ref="BD668:BE668"/>
    <mergeCell ref="BF668:BG668"/>
    <mergeCell ref="BH668:BI668"/>
    <mergeCell ref="AV669:AW669"/>
    <mergeCell ref="AX669:AY669"/>
    <mergeCell ref="AZ669:BA669"/>
    <mergeCell ref="BB669:BC669"/>
    <mergeCell ref="BD669:BE669"/>
    <mergeCell ref="BF669:BG669"/>
    <mergeCell ref="BH669:BI669"/>
    <mergeCell ref="AV670:AW670"/>
    <mergeCell ref="AX670:AY670"/>
    <mergeCell ref="AZ670:BA670"/>
    <mergeCell ref="BB670:BC670"/>
    <mergeCell ref="BD670:BE670"/>
    <mergeCell ref="BF670:BG670"/>
    <mergeCell ref="BH670:BI670"/>
    <mergeCell ref="AV668:AW668"/>
    <mergeCell ref="AX668:AY668"/>
    <mergeCell ref="AZ668:BA668"/>
    <mergeCell ref="AV671:AW671"/>
    <mergeCell ref="AX671:AY671"/>
    <mergeCell ref="AZ671:BA671"/>
    <mergeCell ref="BB671:BC671"/>
    <mergeCell ref="BD671:BE671"/>
    <mergeCell ref="BF671:BG671"/>
    <mergeCell ref="BH671:BI671"/>
    <mergeCell ref="AV672:AW672"/>
    <mergeCell ref="AX672:AY672"/>
    <mergeCell ref="AZ672:BA672"/>
    <mergeCell ref="BB672:BC672"/>
    <mergeCell ref="BD672:BE672"/>
    <mergeCell ref="BF672:BG672"/>
    <mergeCell ref="BH672:BI672"/>
    <mergeCell ref="AV673:AW673"/>
    <mergeCell ref="AX673:AY673"/>
    <mergeCell ref="AZ673:BA673"/>
    <mergeCell ref="BB673:BC673"/>
    <mergeCell ref="BD673:BE673"/>
    <mergeCell ref="BF673:BG673"/>
    <mergeCell ref="BH673:BI673"/>
    <mergeCell ref="AV674:AW674"/>
    <mergeCell ref="AX674:AY674"/>
    <mergeCell ref="AZ674:BA674"/>
    <mergeCell ref="BB674:BC674"/>
    <mergeCell ref="BD674:BE674"/>
    <mergeCell ref="BF674:BG674"/>
    <mergeCell ref="BH674:BI674"/>
    <mergeCell ref="AV675:AW675"/>
    <mergeCell ref="AX675:AY675"/>
    <mergeCell ref="AZ675:BA675"/>
    <mergeCell ref="BB675:BC675"/>
    <mergeCell ref="BD675:BE675"/>
    <mergeCell ref="BF675:BG675"/>
    <mergeCell ref="BH675:BI675"/>
    <mergeCell ref="AV676:AW676"/>
    <mergeCell ref="AX676:AY676"/>
    <mergeCell ref="AZ676:BA676"/>
    <mergeCell ref="BB676:BC676"/>
    <mergeCell ref="BD676:BE676"/>
    <mergeCell ref="BF676:BG676"/>
    <mergeCell ref="BH676:BI676"/>
    <mergeCell ref="AV677:AW677"/>
    <mergeCell ref="AX677:AY677"/>
    <mergeCell ref="AZ677:BA677"/>
    <mergeCell ref="BB677:BC677"/>
    <mergeCell ref="BD677:BE677"/>
    <mergeCell ref="BF677:BG677"/>
    <mergeCell ref="BH677:BI677"/>
    <mergeCell ref="AV678:AW678"/>
    <mergeCell ref="AX678:AY678"/>
    <mergeCell ref="AZ678:BA678"/>
    <mergeCell ref="BB678:BC678"/>
    <mergeCell ref="BD678:BE678"/>
    <mergeCell ref="BF678:BG678"/>
    <mergeCell ref="BH678:BI678"/>
    <mergeCell ref="AV679:AW679"/>
    <mergeCell ref="AX679:AY679"/>
    <mergeCell ref="AZ679:BA679"/>
    <mergeCell ref="BB679:BC679"/>
    <mergeCell ref="BD679:BE679"/>
    <mergeCell ref="BF679:BG679"/>
    <mergeCell ref="BH679:BI679"/>
    <mergeCell ref="AV680:AW680"/>
    <mergeCell ref="AX680:AY680"/>
    <mergeCell ref="AZ680:BA680"/>
    <mergeCell ref="BB680:BC680"/>
    <mergeCell ref="BD680:BE680"/>
    <mergeCell ref="BF680:BG680"/>
    <mergeCell ref="BH680:BI680"/>
    <mergeCell ref="AV681:AW681"/>
    <mergeCell ref="AX681:AY681"/>
    <mergeCell ref="AZ681:BA681"/>
    <mergeCell ref="BB681:BC681"/>
    <mergeCell ref="BD681:BE681"/>
    <mergeCell ref="BF681:BG681"/>
    <mergeCell ref="BH681:BI681"/>
    <mergeCell ref="AV682:AW682"/>
    <mergeCell ref="AX682:AY682"/>
    <mergeCell ref="AZ682:BA682"/>
    <mergeCell ref="BB682:BC682"/>
    <mergeCell ref="BD682:BE682"/>
    <mergeCell ref="BF682:BG682"/>
    <mergeCell ref="BH682:BI682"/>
    <mergeCell ref="AV683:AW683"/>
    <mergeCell ref="AX683:AY683"/>
    <mergeCell ref="AZ683:BA683"/>
    <mergeCell ref="BB683:BC683"/>
    <mergeCell ref="BD683:BE683"/>
    <mergeCell ref="BF683:BG683"/>
    <mergeCell ref="BH683:BI683"/>
    <mergeCell ref="AV684:AW684"/>
    <mergeCell ref="AX684:AY684"/>
    <mergeCell ref="AZ684:BA684"/>
    <mergeCell ref="BB684:BC684"/>
    <mergeCell ref="BD684:BE684"/>
    <mergeCell ref="BF684:BG684"/>
    <mergeCell ref="BH684:BI684"/>
    <mergeCell ref="AV685:AW685"/>
    <mergeCell ref="AX685:AY685"/>
    <mergeCell ref="AZ685:BA685"/>
    <mergeCell ref="BB685:BC685"/>
    <mergeCell ref="BD685:BE685"/>
    <mergeCell ref="BF685:BG685"/>
    <mergeCell ref="BH685:BI685"/>
    <mergeCell ref="AV686:AW686"/>
    <mergeCell ref="AX686:AY686"/>
    <mergeCell ref="AZ686:BA686"/>
    <mergeCell ref="BB686:BC686"/>
    <mergeCell ref="BD686:BE686"/>
    <mergeCell ref="BF686:BG686"/>
    <mergeCell ref="BH686:BI686"/>
    <mergeCell ref="AV687:AW687"/>
    <mergeCell ref="AX687:AY687"/>
    <mergeCell ref="AZ687:BA687"/>
    <mergeCell ref="BB687:BC687"/>
    <mergeCell ref="BD687:BE687"/>
    <mergeCell ref="BF687:BG687"/>
    <mergeCell ref="BH687:BI687"/>
    <mergeCell ref="AV688:AW688"/>
    <mergeCell ref="AX688:AY688"/>
    <mergeCell ref="AZ688:BA688"/>
    <mergeCell ref="BB688:BC688"/>
    <mergeCell ref="BD688:BE688"/>
    <mergeCell ref="BF688:BG688"/>
    <mergeCell ref="BH688:BI688"/>
    <mergeCell ref="AV689:AW689"/>
    <mergeCell ref="AX689:AY689"/>
    <mergeCell ref="AZ689:BA689"/>
    <mergeCell ref="BB689:BC689"/>
    <mergeCell ref="BD689:BE689"/>
    <mergeCell ref="BF689:BG689"/>
    <mergeCell ref="BH689:BI689"/>
    <mergeCell ref="AV690:AW690"/>
    <mergeCell ref="AX690:AY690"/>
    <mergeCell ref="AZ690:BA690"/>
    <mergeCell ref="BB690:BC690"/>
    <mergeCell ref="BD690:BE690"/>
    <mergeCell ref="BF690:BG690"/>
    <mergeCell ref="BH690:BI690"/>
    <mergeCell ref="AV691:AW691"/>
    <mergeCell ref="AX691:AY691"/>
    <mergeCell ref="AZ691:BA691"/>
    <mergeCell ref="BB691:BC691"/>
    <mergeCell ref="BD691:BE691"/>
    <mergeCell ref="BF691:BG691"/>
    <mergeCell ref="BH691:BI691"/>
    <mergeCell ref="AV692:AW692"/>
    <mergeCell ref="AX692:AY692"/>
    <mergeCell ref="AZ692:BA692"/>
    <mergeCell ref="BB692:BC692"/>
    <mergeCell ref="BD692:BE692"/>
    <mergeCell ref="BF692:BG692"/>
    <mergeCell ref="BH692:BI692"/>
    <mergeCell ref="AV693:AW693"/>
    <mergeCell ref="AX693:AY693"/>
    <mergeCell ref="AZ693:BA693"/>
    <mergeCell ref="BB693:BC693"/>
    <mergeCell ref="BD693:BE693"/>
    <mergeCell ref="BF693:BG693"/>
    <mergeCell ref="BH693:BI693"/>
    <mergeCell ref="AV694:AW694"/>
    <mergeCell ref="AX694:AY694"/>
    <mergeCell ref="AZ694:BA694"/>
    <mergeCell ref="BB694:BC694"/>
    <mergeCell ref="BD694:BE694"/>
    <mergeCell ref="BF694:BG694"/>
    <mergeCell ref="BH694:BI694"/>
    <mergeCell ref="BB695:BC695"/>
    <mergeCell ref="BD695:BE695"/>
    <mergeCell ref="BF695:BG695"/>
    <mergeCell ref="BH695:BI695"/>
    <mergeCell ref="AV696:AW696"/>
    <mergeCell ref="AX696:AY696"/>
    <mergeCell ref="AZ696:BA696"/>
    <mergeCell ref="BB696:BC696"/>
    <mergeCell ref="BD696:BE696"/>
    <mergeCell ref="BF696:BG696"/>
    <mergeCell ref="BH696:BI696"/>
    <mergeCell ref="AV697:AW697"/>
    <mergeCell ref="AX697:AY697"/>
    <mergeCell ref="AZ697:BA697"/>
    <mergeCell ref="BB697:BC697"/>
    <mergeCell ref="BD697:BE697"/>
    <mergeCell ref="BF697:BG697"/>
    <mergeCell ref="BH697:BI697"/>
    <mergeCell ref="AV695:AW695"/>
    <mergeCell ref="AX695:AY695"/>
    <mergeCell ref="AZ695:BA695"/>
    <mergeCell ref="BD705:BE705"/>
    <mergeCell ref="BF705:BG705"/>
    <mergeCell ref="BH705:BI705"/>
    <mergeCell ref="BB704:BC704"/>
    <mergeCell ref="BB705:BC705"/>
    <mergeCell ref="AV698:AW698"/>
    <mergeCell ref="AX698:AY698"/>
    <mergeCell ref="AZ698:BA698"/>
    <mergeCell ref="BB698:BC698"/>
    <mergeCell ref="BD698:BE698"/>
    <mergeCell ref="BF698:BG698"/>
    <mergeCell ref="BH698:BI698"/>
    <mergeCell ref="AZ702:BA702"/>
    <mergeCell ref="BB700:BC700"/>
    <mergeCell ref="BD702:BE702"/>
    <mergeCell ref="BF702:BG702"/>
    <mergeCell ref="BH702:BI702"/>
    <mergeCell ref="AY702:AY705"/>
    <mergeCell ref="AZ700:BA701"/>
    <mergeCell ref="BB702:BC702"/>
    <mergeCell ref="BB701:BC701"/>
    <mergeCell ref="BD700:BE700"/>
    <mergeCell ref="BF700:BG700"/>
    <mergeCell ref="BD701:BE701"/>
    <mergeCell ref="BF701:BG701"/>
    <mergeCell ref="BH700:BI700"/>
    <mergeCell ref="BH701:BI701"/>
    <mergeCell ref="AZ703:BA703"/>
    <mergeCell ref="BD703:BE703"/>
    <mergeCell ref="BF703:BG703"/>
    <mergeCell ref="BH703:BI703"/>
    <mergeCell ref="BB703:BC703"/>
    <mergeCell ref="AX747:AY747"/>
    <mergeCell ref="AZ747:BA747"/>
    <mergeCell ref="BB747:BC747"/>
    <mergeCell ref="BD747:BE747"/>
    <mergeCell ref="BF747:BG747"/>
    <mergeCell ref="BH747:BI747"/>
    <mergeCell ref="BB741:BC741"/>
    <mergeCell ref="BD741:BE741"/>
    <mergeCell ref="BF741:BG741"/>
    <mergeCell ref="BH741:BI741"/>
    <mergeCell ref="BF740:BG740"/>
    <mergeCell ref="BH740:BI740"/>
    <mergeCell ref="AX732:AY732"/>
    <mergeCell ref="AZ732:BA732"/>
    <mergeCell ref="BB732:BC732"/>
    <mergeCell ref="BD732:BE732"/>
    <mergeCell ref="BF732:BG732"/>
    <mergeCell ref="BH732:BI732"/>
    <mergeCell ref="AX733:AY733"/>
    <mergeCell ref="AZ733:BA733"/>
    <mergeCell ref="BB733:BC733"/>
    <mergeCell ref="BD733:BE733"/>
    <mergeCell ref="BF733:BG733"/>
    <mergeCell ref="BH733:BI733"/>
    <mergeCell ref="AX734:AY734"/>
    <mergeCell ref="AZ734:BA734"/>
    <mergeCell ref="BB734:BC734"/>
    <mergeCell ref="BD734:BE734"/>
    <mergeCell ref="BF734:BG734"/>
    <mergeCell ref="BH734:BI734"/>
    <mergeCell ref="AX742:AY742"/>
    <mergeCell ref="AZ742:BA742"/>
    <mergeCell ref="D23:D25"/>
    <mergeCell ref="H24:H26"/>
    <mergeCell ref="D26:D28"/>
    <mergeCell ref="I32:J32"/>
    <mergeCell ref="CA1015:CB1015"/>
    <mergeCell ref="AZ704:BA704"/>
    <mergeCell ref="BD704:BE704"/>
    <mergeCell ref="BF704:BG704"/>
    <mergeCell ref="BH704:BI704"/>
    <mergeCell ref="AZ705:BA705"/>
    <mergeCell ref="BT787:BV787"/>
    <mergeCell ref="AY706:AY709"/>
    <mergeCell ref="AZ706:BA706"/>
    <mergeCell ref="BD706:BE706"/>
    <mergeCell ref="BF706:BG706"/>
    <mergeCell ref="BH706:BI706"/>
    <mergeCell ref="AZ707:BA707"/>
    <mergeCell ref="BD707:BE707"/>
    <mergeCell ref="BF707:BG707"/>
    <mergeCell ref="BH707:BI707"/>
    <mergeCell ref="AZ708:BA708"/>
    <mergeCell ref="BB706:BC706"/>
    <mergeCell ref="BD708:BE708"/>
    <mergeCell ref="BF708:BG708"/>
    <mergeCell ref="BH708:BI708"/>
    <mergeCell ref="AZ709:BA709"/>
    <mergeCell ref="BB707:BC707"/>
    <mergeCell ref="BD709:BE709"/>
    <mergeCell ref="BF709:BG709"/>
    <mergeCell ref="BH709:BI709"/>
    <mergeCell ref="BB708:BC708"/>
    <mergeCell ref="BB709:BC709"/>
    <mergeCell ref="O47:P47"/>
    <mergeCell ref="AB4:AC4"/>
    <mergeCell ref="Q5:R5"/>
    <mergeCell ref="J9:J11"/>
    <mergeCell ref="AK9:AK11"/>
    <mergeCell ref="E10:E12"/>
    <mergeCell ref="H12:H14"/>
    <mergeCell ref="E13:E15"/>
    <mergeCell ref="Y13:Z13"/>
    <mergeCell ref="J14:J16"/>
    <mergeCell ref="AK14:AK16"/>
    <mergeCell ref="U22:V22"/>
    <mergeCell ref="Y22:Z22"/>
    <mergeCell ref="E46:F46"/>
    <mergeCell ref="H46:I46"/>
    <mergeCell ref="K46:L46"/>
    <mergeCell ref="N46:O46"/>
    <mergeCell ref="W46:X46"/>
    <mergeCell ref="AR47:AS47"/>
    <mergeCell ref="BA47:BB47"/>
    <mergeCell ref="K37:L37"/>
    <mergeCell ref="AH37:AI37"/>
    <mergeCell ref="M39:N39"/>
    <mergeCell ref="S39:T39"/>
    <mergeCell ref="Z39:AA39"/>
    <mergeCell ref="AF39:AG39"/>
    <mergeCell ref="W41:X41"/>
    <mergeCell ref="E44:F44"/>
    <mergeCell ref="H44:I44"/>
    <mergeCell ref="K44:L44"/>
    <mergeCell ref="N44:O44"/>
    <mergeCell ref="Q44:R44"/>
    <mergeCell ref="T44:U44"/>
    <mergeCell ref="W44:X44"/>
    <mergeCell ref="Z44:AA44"/>
    <mergeCell ref="AC44:AD44"/>
    <mergeCell ref="AF44:AG44"/>
    <mergeCell ref="AI44:AJ44"/>
    <mergeCell ref="AL44:AM44"/>
    <mergeCell ref="AO44:AP44"/>
    <mergeCell ref="AX44:AY44"/>
    <mergeCell ref="E45:F45"/>
    <mergeCell ref="H45:I45"/>
    <mergeCell ref="K45:L45"/>
    <mergeCell ref="N45:O45"/>
    <mergeCell ref="Q45:R45"/>
    <mergeCell ref="Z45:AA45"/>
    <mergeCell ref="F47:G47"/>
    <mergeCell ref="I47:J47"/>
    <mergeCell ref="L47:M47"/>
    <mergeCell ref="C47:D47"/>
    <mergeCell ref="E49:F49"/>
    <mergeCell ref="J49:K49"/>
    <mergeCell ref="M49:N49"/>
    <mergeCell ref="R49:S49"/>
    <mergeCell ref="U49:V49"/>
    <mergeCell ref="X49:Y49"/>
    <mergeCell ref="AC49:AD49"/>
    <mergeCell ref="AF49:AG49"/>
    <mergeCell ref="AI49:AJ49"/>
    <mergeCell ref="AN49:AO49"/>
    <mergeCell ref="E56:F56"/>
    <mergeCell ref="H56:I56"/>
    <mergeCell ref="K56:L56"/>
    <mergeCell ref="N56:O56"/>
    <mergeCell ref="Q56:R56"/>
    <mergeCell ref="T56:U56"/>
    <mergeCell ref="W56:X56"/>
    <mergeCell ref="Z56:AA56"/>
    <mergeCell ref="R47:S47"/>
    <mergeCell ref="U47:V47"/>
    <mergeCell ref="X47:Y47"/>
    <mergeCell ref="AA47:AB47"/>
    <mergeCell ref="AD47:AE47"/>
    <mergeCell ref="AG47:AH47"/>
    <mergeCell ref="AJ47:AK47"/>
    <mergeCell ref="AM47:AN47"/>
    <mergeCell ref="X51:Y51"/>
    <mergeCell ref="AC51:AD51"/>
    <mergeCell ref="AF51:AG51"/>
    <mergeCell ref="AI51:AJ51"/>
    <mergeCell ref="AN51:AO51"/>
    <mergeCell ref="E58:F58"/>
    <mergeCell ref="K58:L58"/>
    <mergeCell ref="N58:O58"/>
    <mergeCell ref="Q58:R58"/>
    <mergeCell ref="T58:U58"/>
    <mergeCell ref="AB58:AC58"/>
    <mergeCell ref="AE58:AF58"/>
    <mergeCell ref="E53:F53"/>
    <mergeCell ref="H53:I53"/>
    <mergeCell ref="K53:L53"/>
    <mergeCell ref="N53:O53"/>
    <mergeCell ref="Q53:R53"/>
    <mergeCell ref="T53:U53"/>
    <mergeCell ref="W53:X53"/>
    <mergeCell ref="Z53:AA53"/>
    <mergeCell ref="AC53:AD53"/>
    <mergeCell ref="AF53:AG53"/>
    <mergeCell ref="E54:F54"/>
    <mergeCell ref="J54:K54"/>
    <mergeCell ref="M54:N54"/>
    <mergeCell ref="P54:Q54"/>
    <mergeCell ref="U54:V54"/>
    <mergeCell ref="AF54:AG54"/>
    <mergeCell ref="BB49:BC49"/>
    <mergeCell ref="BF49:BG49"/>
    <mergeCell ref="BB51:BC51"/>
    <mergeCell ref="BG51:BH51"/>
    <mergeCell ref="AR53:AS53"/>
    <mergeCell ref="AU53:AV53"/>
    <mergeCell ref="X55:Y55"/>
    <mergeCell ref="AC55:AD55"/>
    <mergeCell ref="E55:F55"/>
    <mergeCell ref="J55:K55"/>
    <mergeCell ref="M55:N55"/>
    <mergeCell ref="P55:Q55"/>
    <mergeCell ref="U55:V55"/>
    <mergeCell ref="AF55:AG55"/>
    <mergeCell ref="AI53:AJ53"/>
    <mergeCell ref="AL53:AM53"/>
    <mergeCell ref="AO53:AP53"/>
    <mergeCell ref="AX53:AY53"/>
    <mergeCell ref="AQ49:AR49"/>
    <mergeCell ref="AT49:AU49"/>
    <mergeCell ref="AY49:AZ49"/>
    <mergeCell ref="E50:F50"/>
    <mergeCell ref="E51:F51"/>
    <mergeCell ref="J51:K51"/>
    <mergeCell ref="M51:N51"/>
    <mergeCell ref="R51:S51"/>
    <mergeCell ref="U51:V51"/>
    <mergeCell ref="AQ51:AR51"/>
    <mergeCell ref="AT51:AU51"/>
    <mergeCell ref="AY51:AZ51"/>
    <mergeCell ref="E52:F52"/>
    <mergeCell ref="AV619:AW619"/>
    <mergeCell ref="AX619:AY619"/>
    <mergeCell ref="AZ619:BA619"/>
    <mergeCell ref="BB619:BC619"/>
    <mergeCell ref="BD619:BE619"/>
    <mergeCell ref="BF619:BG619"/>
    <mergeCell ref="BH619:BI619"/>
    <mergeCell ref="AV620:AW620"/>
    <mergeCell ref="AX620:AY620"/>
    <mergeCell ref="AZ620:BA620"/>
    <mergeCell ref="BB620:BC620"/>
    <mergeCell ref="AH58:AI58"/>
    <mergeCell ref="AK58:AL58"/>
    <mergeCell ref="AN58:AO58"/>
    <mergeCell ref="AQ58:AR58"/>
    <mergeCell ref="E59:F59"/>
    <mergeCell ref="K59:L59"/>
    <mergeCell ref="Q59:R59"/>
    <mergeCell ref="AH114:AI114"/>
    <mergeCell ref="AQ114:AR114"/>
    <mergeCell ref="K115:L115"/>
    <mergeCell ref="Q115:R115"/>
    <mergeCell ref="T115:U115"/>
    <mergeCell ref="W115:X115"/>
    <mergeCell ref="E111:F111"/>
    <mergeCell ref="J111:K111"/>
    <mergeCell ref="M111:N111"/>
    <mergeCell ref="R111:S111"/>
    <mergeCell ref="U111:V111"/>
    <mergeCell ref="X111:Y111"/>
    <mergeCell ref="AC111:AD111"/>
    <mergeCell ref="AF111:AG111"/>
    <mergeCell ref="AX616:AY616"/>
    <mergeCell ref="AZ616:BA616"/>
    <mergeCell ref="BB616:BC616"/>
    <mergeCell ref="BD616:BE616"/>
    <mergeCell ref="BF616:BG616"/>
    <mergeCell ref="BH616:BI616"/>
    <mergeCell ref="AX617:AY617"/>
    <mergeCell ref="AZ617:BA617"/>
    <mergeCell ref="BB617:BC617"/>
    <mergeCell ref="BD617:BE617"/>
    <mergeCell ref="BF617:BG617"/>
    <mergeCell ref="BH617:BI617"/>
    <mergeCell ref="AV618:AW618"/>
    <mergeCell ref="AX618:AY618"/>
    <mergeCell ref="AZ618:BA618"/>
    <mergeCell ref="BB618:BC618"/>
    <mergeCell ref="BD618:BE618"/>
    <mergeCell ref="BF618:BG618"/>
    <mergeCell ref="BH618:BI618"/>
    <mergeCell ref="AV615:AW616"/>
    <mergeCell ref="AX615:AY615"/>
    <mergeCell ref="AZ615:BA615"/>
    <mergeCell ref="BB615:BC615"/>
    <mergeCell ref="BD615:BE615"/>
    <mergeCell ref="BF615:BG615"/>
    <mergeCell ref="BH615:BI615"/>
    <mergeCell ref="BD620:BE620"/>
    <mergeCell ref="BF620:BG620"/>
    <mergeCell ref="BH620:BI620"/>
    <mergeCell ref="AV621:AW621"/>
    <mergeCell ref="AX621:AY621"/>
    <mergeCell ref="AZ621:BA621"/>
    <mergeCell ref="BB621:BC621"/>
    <mergeCell ref="BD621:BE621"/>
    <mergeCell ref="BF621:BG621"/>
    <mergeCell ref="BH621:BI621"/>
    <mergeCell ref="AV622:AW622"/>
    <mergeCell ref="AX622:AY622"/>
    <mergeCell ref="AZ622:BA622"/>
    <mergeCell ref="BB622:BC622"/>
    <mergeCell ref="BD622:BE622"/>
    <mergeCell ref="BF622:BG622"/>
    <mergeCell ref="BH622:BI622"/>
    <mergeCell ref="BD629:BE629"/>
    <mergeCell ref="BF629:BG629"/>
    <mergeCell ref="BH629:BI629"/>
    <mergeCell ref="AV623:AW623"/>
    <mergeCell ref="AX623:AY623"/>
    <mergeCell ref="AZ623:BA623"/>
    <mergeCell ref="BB623:BC623"/>
    <mergeCell ref="BD623:BE623"/>
    <mergeCell ref="BF623:BG623"/>
    <mergeCell ref="BH623:BI623"/>
    <mergeCell ref="AV624:AW624"/>
    <mergeCell ref="AX624:AY624"/>
    <mergeCell ref="AZ624:BA624"/>
    <mergeCell ref="BB624:BC624"/>
    <mergeCell ref="BD624:BE624"/>
    <mergeCell ref="BF624:BG624"/>
    <mergeCell ref="BH624:BI624"/>
    <mergeCell ref="AV625:AW625"/>
    <mergeCell ref="AX625:AY625"/>
    <mergeCell ref="AZ625:BA625"/>
    <mergeCell ref="BB625:BC625"/>
    <mergeCell ref="BD625:BE625"/>
    <mergeCell ref="BF625:BG625"/>
    <mergeCell ref="BH625:BI625"/>
    <mergeCell ref="AV633:AW633"/>
    <mergeCell ref="AX633:AY633"/>
    <mergeCell ref="AZ633:BA633"/>
    <mergeCell ref="BB633:BC633"/>
    <mergeCell ref="BD633:BE633"/>
    <mergeCell ref="BF633:BG633"/>
    <mergeCell ref="BH633:BI633"/>
    <mergeCell ref="AV626:AW626"/>
    <mergeCell ref="AX626:AY626"/>
    <mergeCell ref="AZ626:BA626"/>
    <mergeCell ref="BB626:BC626"/>
    <mergeCell ref="BD626:BE626"/>
    <mergeCell ref="BF626:BG626"/>
    <mergeCell ref="BH626:BI626"/>
    <mergeCell ref="AV627:AW627"/>
    <mergeCell ref="AX627:AY627"/>
    <mergeCell ref="AZ627:BA627"/>
    <mergeCell ref="BB627:BC627"/>
    <mergeCell ref="BD627:BE627"/>
    <mergeCell ref="BF627:BG627"/>
    <mergeCell ref="BH627:BI627"/>
    <mergeCell ref="AV628:AW628"/>
    <mergeCell ref="AX628:AY628"/>
    <mergeCell ref="AZ628:BA628"/>
    <mergeCell ref="BB628:BC628"/>
    <mergeCell ref="BD628:BE628"/>
    <mergeCell ref="BF628:BG628"/>
    <mergeCell ref="BH628:BI628"/>
    <mergeCell ref="AV629:AW629"/>
    <mergeCell ref="AX629:AY629"/>
    <mergeCell ref="AZ629:BA629"/>
    <mergeCell ref="BB629:BC629"/>
    <mergeCell ref="AV630:AW630"/>
    <mergeCell ref="AX630:AY630"/>
    <mergeCell ref="AZ630:BA630"/>
    <mergeCell ref="BB630:BC630"/>
    <mergeCell ref="BD630:BE630"/>
    <mergeCell ref="BF630:BG630"/>
    <mergeCell ref="BH630:BI630"/>
    <mergeCell ref="AV631:AW631"/>
    <mergeCell ref="AX631:AY631"/>
    <mergeCell ref="AZ631:BA631"/>
    <mergeCell ref="BB631:BC631"/>
    <mergeCell ref="BD631:BE631"/>
    <mergeCell ref="BF631:BG631"/>
    <mergeCell ref="BH631:BI631"/>
    <mergeCell ref="AV632:AW632"/>
    <mergeCell ref="AX632:AY632"/>
    <mergeCell ref="AZ632:BA632"/>
    <mergeCell ref="BB632:BC632"/>
    <mergeCell ref="BD632:BE632"/>
    <mergeCell ref="BF632:BG632"/>
    <mergeCell ref="BH632:BI632"/>
    <mergeCell ref="AV634:AW634"/>
    <mergeCell ref="AX634:AY634"/>
    <mergeCell ref="AZ634:BA634"/>
    <mergeCell ref="BB634:BC634"/>
    <mergeCell ref="BD634:BE634"/>
    <mergeCell ref="BF634:BG634"/>
    <mergeCell ref="BH634:BI634"/>
    <mergeCell ref="AV635:AW635"/>
    <mergeCell ref="AX635:AY635"/>
    <mergeCell ref="AZ635:BA635"/>
    <mergeCell ref="BB635:BC635"/>
    <mergeCell ref="BD635:BE635"/>
    <mergeCell ref="BF635:BG635"/>
    <mergeCell ref="BH635:BI635"/>
    <mergeCell ref="AV636:AW636"/>
    <mergeCell ref="AX636:AY636"/>
    <mergeCell ref="AZ636:BA636"/>
    <mergeCell ref="BB636:BC636"/>
    <mergeCell ref="BD636:BE636"/>
    <mergeCell ref="BF636:BG636"/>
    <mergeCell ref="BH636:BI636"/>
    <mergeCell ref="BF637:BG637"/>
    <mergeCell ref="BH637:BI637"/>
    <mergeCell ref="AV638:AW638"/>
    <mergeCell ref="AX638:AY638"/>
    <mergeCell ref="AZ638:BA638"/>
    <mergeCell ref="BB638:BC638"/>
    <mergeCell ref="BD638:BE638"/>
    <mergeCell ref="BF638:BG638"/>
    <mergeCell ref="BH638:BI638"/>
    <mergeCell ref="AV639:AW639"/>
    <mergeCell ref="AX639:AY639"/>
    <mergeCell ref="AZ639:BA639"/>
    <mergeCell ref="BB639:BC639"/>
    <mergeCell ref="BD639:BE639"/>
    <mergeCell ref="BF639:BG639"/>
    <mergeCell ref="BH639:BI639"/>
    <mergeCell ref="BH644:BI644"/>
    <mergeCell ref="BH646:BI646"/>
    <mergeCell ref="AV640:AW640"/>
    <mergeCell ref="AX640:AY640"/>
    <mergeCell ref="AZ640:BA640"/>
    <mergeCell ref="BB640:BC640"/>
    <mergeCell ref="BD640:BE640"/>
    <mergeCell ref="BF640:BG640"/>
    <mergeCell ref="BH640:BI640"/>
    <mergeCell ref="AV641:AW641"/>
    <mergeCell ref="AX641:AY641"/>
    <mergeCell ref="AZ641:BA641"/>
    <mergeCell ref="BB641:BC641"/>
    <mergeCell ref="BD641:BE641"/>
    <mergeCell ref="BF641:BG641"/>
    <mergeCell ref="BH641:BI641"/>
    <mergeCell ref="AV642:AW642"/>
    <mergeCell ref="AX642:AY642"/>
    <mergeCell ref="AZ642:BA642"/>
    <mergeCell ref="BB642:BC642"/>
    <mergeCell ref="BD642:BE642"/>
    <mergeCell ref="BF642:BG642"/>
    <mergeCell ref="BH642:BI642"/>
    <mergeCell ref="AV643:AW643"/>
    <mergeCell ref="AX643:AY643"/>
    <mergeCell ref="AZ643:BA643"/>
    <mergeCell ref="BB643:BC643"/>
    <mergeCell ref="BD643:BE643"/>
    <mergeCell ref="BF643:BG643"/>
    <mergeCell ref="BH643:BI643"/>
    <mergeCell ref="AV644:AW644"/>
    <mergeCell ref="BH645:BI645"/>
    <mergeCell ref="BH653:BI653"/>
    <mergeCell ref="AV647:AW647"/>
    <mergeCell ref="AX647:AY647"/>
    <mergeCell ref="AZ647:BA647"/>
    <mergeCell ref="BB647:BC647"/>
    <mergeCell ref="BD647:BE647"/>
    <mergeCell ref="BF647:BG647"/>
    <mergeCell ref="BH647:BI647"/>
    <mergeCell ref="AV648:AW648"/>
    <mergeCell ref="AX648:AY648"/>
    <mergeCell ref="AZ648:BA648"/>
    <mergeCell ref="BB648:BC648"/>
    <mergeCell ref="BD648:BE648"/>
    <mergeCell ref="BF648:BG648"/>
    <mergeCell ref="BH648:BI648"/>
    <mergeCell ref="AV649:AW649"/>
    <mergeCell ref="AX649:AY649"/>
    <mergeCell ref="AZ649:BA649"/>
    <mergeCell ref="BB649:BC649"/>
    <mergeCell ref="BD649:BE649"/>
    <mergeCell ref="BF649:BG649"/>
    <mergeCell ref="BH649:BI649"/>
    <mergeCell ref="AY652:AY655"/>
    <mergeCell ref="AZ652:BA652"/>
    <mergeCell ref="BN625:BR625"/>
    <mergeCell ref="AZ654:BA654"/>
    <mergeCell ref="BB654:BC654"/>
    <mergeCell ref="BD654:BE654"/>
    <mergeCell ref="BF654:BG654"/>
    <mergeCell ref="BH654:BI654"/>
    <mergeCell ref="AZ655:BA655"/>
    <mergeCell ref="BB655:BC655"/>
    <mergeCell ref="BD655:BE655"/>
    <mergeCell ref="BF655:BG655"/>
    <mergeCell ref="BH655:BI655"/>
    <mergeCell ref="AZ656:BA656"/>
    <mergeCell ref="BB656:BC656"/>
    <mergeCell ref="BD656:BE656"/>
    <mergeCell ref="BF656:BG656"/>
    <mergeCell ref="BH656:BI656"/>
    <mergeCell ref="BB650:BC650"/>
    <mergeCell ref="BD650:BE650"/>
    <mergeCell ref="BF650:BG650"/>
    <mergeCell ref="BH650:BI650"/>
    <mergeCell ref="BB651:BC651"/>
    <mergeCell ref="BD651:BE651"/>
    <mergeCell ref="BF651:BG651"/>
    <mergeCell ref="BH651:BI651"/>
    <mergeCell ref="BB652:BC652"/>
    <mergeCell ref="BD652:BE652"/>
    <mergeCell ref="BF652:BG652"/>
    <mergeCell ref="BH652:BI652"/>
    <mergeCell ref="AZ653:BA653"/>
    <mergeCell ref="BB653:BC653"/>
    <mergeCell ref="BD653:BE653"/>
    <mergeCell ref="BF653:BG653"/>
    <mergeCell ref="E662:F662"/>
    <mergeCell ref="H662:I662"/>
    <mergeCell ref="K662:L662"/>
    <mergeCell ref="N662:O662"/>
    <mergeCell ref="W662:X662"/>
    <mergeCell ref="AZ657:BA657"/>
    <mergeCell ref="BB657:BC657"/>
    <mergeCell ref="BD657:BE657"/>
    <mergeCell ref="BF657:BG657"/>
    <mergeCell ref="BH657:BI657"/>
    <mergeCell ref="AZ658:BA658"/>
    <mergeCell ref="BB658:BC658"/>
    <mergeCell ref="BD658:BE658"/>
    <mergeCell ref="BF658:BG658"/>
    <mergeCell ref="BH658:BI658"/>
    <mergeCell ref="AZ659:BA659"/>
    <mergeCell ref="BB659:BC659"/>
    <mergeCell ref="BD659:BE659"/>
    <mergeCell ref="BF659:BG659"/>
    <mergeCell ref="BH659:BI659"/>
    <mergeCell ref="Y629:Z629"/>
    <mergeCell ref="J630:J632"/>
    <mergeCell ref="H631:H632"/>
    <mergeCell ref="U638:V638"/>
    <mergeCell ref="AX644:AY644"/>
    <mergeCell ref="AZ644:BA644"/>
    <mergeCell ref="BB644:BC644"/>
    <mergeCell ref="BD644:BE644"/>
    <mergeCell ref="BF644:BG644"/>
    <mergeCell ref="AV645:AW645"/>
    <mergeCell ref="AX645:AY645"/>
    <mergeCell ref="AZ645:BA645"/>
    <mergeCell ref="BB645:BC645"/>
    <mergeCell ref="BD645:BE645"/>
    <mergeCell ref="BF645:BG645"/>
    <mergeCell ref="E661:F661"/>
    <mergeCell ref="H661:I661"/>
    <mergeCell ref="K661:L661"/>
    <mergeCell ref="N661:O661"/>
    <mergeCell ref="Q661:R661"/>
    <mergeCell ref="Z661:AA661"/>
    <mergeCell ref="AV646:AW646"/>
    <mergeCell ref="AX646:AY646"/>
    <mergeCell ref="AZ646:BA646"/>
    <mergeCell ref="BB646:BC646"/>
    <mergeCell ref="BD646:BE646"/>
    <mergeCell ref="BF646:BG646"/>
    <mergeCell ref="AV637:AW637"/>
    <mergeCell ref="AX637:AY637"/>
    <mergeCell ref="AZ637:BA637"/>
    <mergeCell ref="BB637:BC637"/>
    <mergeCell ref="BD637:BE637"/>
    <mergeCell ref="K653:L653"/>
    <mergeCell ref="AH653:AI653"/>
    <mergeCell ref="M655:O655"/>
    <mergeCell ref="S655:U655"/>
    <mergeCell ref="AC655:AD655"/>
    <mergeCell ref="AY656:AY659"/>
    <mergeCell ref="W657:X657"/>
    <mergeCell ref="E660:F660"/>
    <mergeCell ref="H660:I660"/>
    <mergeCell ref="K660:L660"/>
    <mergeCell ref="N660:O660"/>
    <mergeCell ref="Q660:R660"/>
    <mergeCell ref="T660:U660"/>
    <mergeCell ref="W660:X660"/>
    <mergeCell ref="Z660:AA660"/>
    <mergeCell ref="AC660:AD660"/>
    <mergeCell ref="AF660:AG660"/>
    <mergeCell ref="AI660:AJ660"/>
    <mergeCell ref="AL660:AM660"/>
    <mergeCell ref="AO660:AP660"/>
    <mergeCell ref="AX660:AY660"/>
    <mergeCell ref="AU617:AU649"/>
    <mergeCell ref="AV617:AW617"/>
    <mergeCell ref="AB620:AC620"/>
    <mergeCell ref="Q621:R621"/>
    <mergeCell ref="J625:J627"/>
    <mergeCell ref="E626:E628"/>
    <mergeCell ref="H628:H630"/>
    <mergeCell ref="E629:E631"/>
    <mergeCell ref="BM54:BN54"/>
    <mergeCell ref="BO54:BP54"/>
    <mergeCell ref="BQ54:BR54"/>
    <mergeCell ref="BS54:BT54"/>
    <mergeCell ref="BU54:BV54"/>
    <mergeCell ref="BW54:BX54"/>
    <mergeCell ref="BO53:BP53"/>
    <mergeCell ref="BQ53:BR53"/>
    <mergeCell ref="BS53:BT53"/>
    <mergeCell ref="X54:Y54"/>
    <mergeCell ref="AC54:AD54"/>
    <mergeCell ref="H431:H433"/>
    <mergeCell ref="AM431:AM433"/>
    <mergeCell ref="AO432:AO433"/>
    <mergeCell ref="I436:J436"/>
    <mergeCell ref="K441:L441"/>
    <mergeCell ref="AH441:AI441"/>
    <mergeCell ref="M444:N444"/>
    <mergeCell ref="T444:U444"/>
    <mergeCell ref="Z444:AA444"/>
    <mergeCell ref="AF444:AG444"/>
    <mergeCell ref="W446:X446"/>
    <mergeCell ref="H449:I449"/>
    <mergeCell ref="K449:L449"/>
    <mergeCell ref="CA49:CB49"/>
    <mergeCell ref="C663:D663"/>
    <mergeCell ref="F663:G663"/>
    <mergeCell ref="I663:J663"/>
    <mergeCell ref="L663:M663"/>
    <mergeCell ref="O663:P663"/>
    <mergeCell ref="R663:S663"/>
    <mergeCell ref="U663:V663"/>
    <mergeCell ref="X663:Y663"/>
    <mergeCell ref="AA663:AB663"/>
    <mergeCell ref="AD663:AE663"/>
    <mergeCell ref="AG663:AH663"/>
    <mergeCell ref="AJ663:AK663"/>
    <mergeCell ref="AM663:AN663"/>
    <mergeCell ref="AR663:AS663"/>
    <mergeCell ref="BA663:BB663"/>
    <mergeCell ref="D639:D641"/>
    <mergeCell ref="H640:H642"/>
    <mergeCell ref="D642:D644"/>
    <mergeCell ref="I648:J648"/>
    <mergeCell ref="AZ650:BA651"/>
    <mergeCell ref="X452:Y452"/>
    <mergeCell ref="AA452:AB452"/>
    <mergeCell ref="AF452:AG452"/>
    <mergeCell ref="H453:I453"/>
    <mergeCell ref="K453:L453"/>
    <mergeCell ref="P421:Q421"/>
    <mergeCell ref="H425:H427"/>
    <mergeCell ref="AM425:AM427"/>
    <mergeCell ref="D427:D429"/>
    <mergeCell ref="AO429:AO431"/>
    <mergeCell ref="D430:D432"/>
    <mergeCell ref="AP457:AQ457"/>
    <mergeCell ref="F458:G458"/>
    <mergeCell ref="I458:J458"/>
    <mergeCell ref="L458:M458"/>
    <mergeCell ref="AA458:AB458"/>
    <mergeCell ref="F459:G459"/>
    <mergeCell ref="I459:J459"/>
    <mergeCell ref="R459:S459"/>
    <mergeCell ref="G454:H454"/>
    <mergeCell ref="J454:K454"/>
    <mergeCell ref="O454:P454"/>
    <mergeCell ref="R454:S454"/>
    <mergeCell ref="Y454:Z454"/>
    <mergeCell ref="G455:H455"/>
    <mergeCell ref="J455:K455"/>
    <mergeCell ref="O455:P455"/>
    <mergeCell ref="R455:S455"/>
    <mergeCell ref="Y455:Z455"/>
    <mergeCell ref="F457:G457"/>
    <mergeCell ref="I457:J457"/>
    <mergeCell ref="L457:M457"/>
    <mergeCell ref="O457:P457"/>
    <mergeCell ref="AA457:AB457"/>
    <mergeCell ref="AR462:AS462"/>
    <mergeCell ref="AW462:AX462"/>
    <mergeCell ref="AR463:AS463"/>
    <mergeCell ref="AW463:AX463"/>
    <mergeCell ref="F460:G460"/>
    <mergeCell ref="I460:J460"/>
    <mergeCell ref="L460:M460"/>
    <mergeCell ref="O460:P460"/>
    <mergeCell ref="R460:S460"/>
    <mergeCell ref="U460:V460"/>
    <mergeCell ref="AD460:AE460"/>
    <mergeCell ref="F462:G462"/>
    <mergeCell ref="K462:L462"/>
    <mergeCell ref="N462:O462"/>
    <mergeCell ref="S462:T462"/>
    <mergeCell ref="V462:W462"/>
    <mergeCell ref="Y462:Z462"/>
    <mergeCell ref="AD462:AE462"/>
    <mergeCell ref="AG462:AH462"/>
    <mergeCell ref="AJ462:AK462"/>
    <mergeCell ref="F467:G467"/>
    <mergeCell ref="I467:J467"/>
    <mergeCell ref="L467:M467"/>
    <mergeCell ref="O467:P467"/>
    <mergeCell ref="R467:S467"/>
    <mergeCell ref="U467:V467"/>
    <mergeCell ref="X467:Y467"/>
    <mergeCell ref="AA467:AB467"/>
    <mergeCell ref="AO462:AP462"/>
    <mergeCell ref="AZ462:BA462"/>
    <mergeCell ref="F463:G463"/>
    <mergeCell ref="K463:L463"/>
    <mergeCell ref="N463:O463"/>
    <mergeCell ref="S463:T463"/>
    <mergeCell ref="V463:W463"/>
    <mergeCell ref="Y463:Z463"/>
    <mergeCell ref="AD463:AE463"/>
    <mergeCell ref="AG463:AH463"/>
    <mergeCell ref="AJ463:AK463"/>
    <mergeCell ref="AO463:AP463"/>
    <mergeCell ref="AZ463:BA463"/>
    <mergeCell ref="F464:G464"/>
    <mergeCell ref="I464:J464"/>
    <mergeCell ref="L464:M464"/>
    <mergeCell ref="O464:P464"/>
    <mergeCell ref="R464:S464"/>
    <mergeCell ref="U464:V464"/>
    <mergeCell ref="X464:Y464"/>
    <mergeCell ref="AA464:AB464"/>
    <mergeCell ref="AD464:AE464"/>
    <mergeCell ref="AG464:AH464"/>
    <mergeCell ref="AP464:AQ464"/>
    <mergeCell ref="AJ464:AK464"/>
    <mergeCell ref="AM464:AN464"/>
    <mergeCell ref="F465:G465"/>
    <mergeCell ref="K465:L465"/>
    <mergeCell ref="N465:O465"/>
    <mergeCell ref="S465:T465"/>
    <mergeCell ref="V465:W465"/>
    <mergeCell ref="Y465:Z465"/>
    <mergeCell ref="AD465:AE465"/>
    <mergeCell ref="AG465:AH465"/>
    <mergeCell ref="F466:G466"/>
    <mergeCell ref="K466:L466"/>
    <mergeCell ref="N466:O466"/>
    <mergeCell ref="S466:T466"/>
    <mergeCell ref="V466:W466"/>
    <mergeCell ref="Y466:Z466"/>
    <mergeCell ref="AD466:AE466"/>
    <mergeCell ref="AG466:AH466"/>
    <mergeCell ref="AK427:AK429"/>
    <mergeCell ref="AK433:AK435"/>
    <mergeCell ref="AB421:AC421"/>
    <mergeCell ref="M442:N442"/>
    <mergeCell ref="AG442:AH442"/>
    <mergeCell ref="R442:S442"/>
    <mergeCell ref="AA442:AB442"/>
    <mergeCell ref="H451:I451"/>
    <mergeCell ref="K451:L451"/>
    <mergeCell ref="N451:O451"/>
    <mergeCell ref="Q451:R451"/>
    <mergeCell ref="T451:U451"/>
    <mergeCell ref="W451:X451"/>
    <mergeCell ref="R457:S457"/>
    <mergeCell ref="U457:V457"/>
    <mergeCell ref="X457:Y457"/>
    <mergeCell ref="O458:P458"/>
    <mergeCell ref="R458:S458"/>
    <mergeCell ref="AD457:AE457"/>
    <mergeCell ref="AG457:AH457"/>
    <mergeCell ref="N449:O449"/>
    <mergeCell ref="Q449:R449"/>
    <mergeCell ref="T449:U449"/>
    <mergeCell ref="W449:X449"/>
    <mergeCell ref="H450:I450"/>
    <mergeCell ref="K450:L450"/>
    <mergeCell ref="N450:O450"/>
    <mergeCell ref="Q450:R450"/>
    <mergeCell ref="T450:U450"/>
    <mergeCell ref="W450:X450"/>
    <mergeCell ref="N452:O452"/>
    <mergeCell ref="S452:T452"/>
    <mergeCell ref="AB990:AC990"/>
    <mergeCell ref="W992:X992"/>
    <mergeCell ref="M990:O990"/>
    <mergeCell ref="S990:U990"/>
    <mergeCell ref="P967:Q967"/>
    <mergeCell ref="AB967:AC967"/>
    <mergeCell ref="H971:H973"/>
    <mergeCell ref="D973:D975"/>
    <mergeCell ref="AK973:AK975"/>
    <mergeCell ref="AM975:AM977"/>
    <mergeCell ref="D976:D978"/>
    <mergeCell ref="H977:H979"/>
    <mergeCell ref="AM978:AM979"/>
    <mergeCell ref="AK979:AK981"/>
    <mergeCell ref="I982:J982"/>
    <mergeCell ref="K987:L987"/>
    <mergeCell ref="AH987:AI987"/>
    <mergeCell ref="M988:N988"/>
    <mergeCell ref="R988:S988"/>
    <mergeCell ref="AA988:AB988"/>
    <mergeCell ref="AG988:AH988"/>
    <mergeCell ref="AG999:AH999"/>
    <mergeCell ref="AP999:AQ999"/>
    <mergeCell ref="F1000:G1000"/>
    <mergeCell ref="I1000:J1000"/>
    <mergeCell ref="L1000:M1000"/>
    <mergeCell ref="O1000:P1000"/>
    <mergeCell ref="R1000:S1000"/>
    <mergeCell ref="AA1000:AB1000"/>
    <mergeCell ref="H995:I995"/>
    <mergeCell ref="K995:L995"/>
    <mergeCell ref="N995:O995"/>
    <mergeCell ref="Q995:R995"/>
    <mergeCell ref="T995:U995"/>
    <mergeCell ref="W995:X995"/>
    <mergeCell ref="N996:O996"/>
    <mergeCell ref="S996:T996"/>
    <mergeCell ref="X996:Y996"/>
    <mergeCell ref="AA996:AB996"/>
    <mergeCell ref="AF996:AG996"/>
    <mergeCell ref="H997:I997"/>
    <mergeCell ref="K997:L997"/>
    <mergeCell ref="F1001:G1001"/>
    <mergeCell ref="I1001:J1001"/>
    <mergeCell ref="R1001:S1001"/>
    <mergeCell ref="F1002:G1002"/>
    <mergeCell ref="I1002:J1002"/>
    <mergeCell ref="L1002:M1002"/>
    <mergeCell ref="O1002:P1002"/>
    <mergeCell ref="R1002:S1002"/>
    <mergeCell ref="U1002:V1002"/>
    <mergeCell ref="AD1002:AE1002"/>
    <mergeCell ref="F999:G999"/>
    <mergeCell ref="I999:J999"/>
    <mergeCell ref="L999:M999"/>
    <mergeCell ref="O999:P999"/>
    <mergeCell ref="R999:S999"/>
    <mergeCell ref="U999:V999"/>
    <mergeCell ref="X999:Y999"/>
    <mergeCell ref="AA999:AB999"/>
    <mergeCell ref="AD999:AE999"/>
    <mergeCell ref="AX968:AY968"/>
    <mergeCell ref="AZ968:BA968"/>
    <mergeCell ref="BB968:BC968"/>
    <mergeCell ref="BD968:BE968"/>
    <mergeCell ref="BF968:BG968"/>
    <mergeCell ref="BH968:BI968"/>
    <mergeCell ref="AX969:AY969"/>
    <mergeCell ref="AZ969:BA969"/>
    <mergeCell ref="BB969:BC969"/>
    <mergeCell ref="BD969:BE969"/>
    <mergeCell ref="BF969:BG969"/>
    <mergeCell ref="BH969:BI969"/>
    <mergeCell ref="AV970:AW970"/>
    <mergeCell ref="AX970:AY970"/>
    <mergeCell ref="AZ970:BA970"/>
    <mergeCell ref="BB970:BC970"/>
    <mergeCell ref="BD970:BE970"/>
    <mergeCell ref="BF970:BG970"/>
    <mergeCell ref="BH970:BI970"/>
    <mergeCell ref="AV968:AW969"/>
    <mergeCell ref="AX971:AY971"/>
    <mergeCell ref="AZ971:BA971"/>
    <mergeCell ref="BB971:BC971"/>
    <mergeCell ref="BD971:BE971"/>
    <mergeCell ref="BF971:BG971"/>
    <mergeCell ref="BH971:BI971"/>
    <mergeCell ref="AV972:AW972"/>
    <mergeCell ref="AX972:AY972"/>
    <mergeCell ref="AZ972:BA972"/>
    <mergeCell ref="BB972:BC972"/>
    <mergeCell ref="BD972:BE972"/>
    <mergeCell ref="BF972:BG972"/>
    <mergeCell ref="BH972:BI972"/>
    <mergeCell ref="AV973:AW973"/>
    <mergeCell ref="AX973:AY973"/>
    <mergeCell ref="AZ973:BA973"/>
    <mergeCell ref="BB973:BC973"/>
    <mergeCell ref="BD973:BE973"/>
    <mergeCell ref="BF973:BG973"/>
    <mergeCell ref="BH973:BI973"/>
    <mergeCell ref="AV971:AW971"/>
    <mergeCell ref="AX974:AY974"/>
    <mergeCell ref="AZ974:BA974"/>
    <mergeCell ref="BB974:BC974"/>
    <mergeCell ref="BD974:BE974"/>
    <mergeCell ref="BF974:BG974"/>
    <mergeCell ref="BH974:BI974"/>
    <mergeCell ref="AV975:AW975"/>
    <mergeCell ref="AX975:AY975"/>
    <mergeCell ref="AZ975:BA975"/>
    <mergeCell ref="BB975:BC975"/>
    <mergeCell ref="BD975:BE975"/>
    <mergeCell ref="BF975:BG975"/>
    <mergeCell ref="BH975:BI975"/>
    <mergeCell ref="AV976:AW976"/>
    <mergeCell ref="AX976:AY976"/>
    <mergeCell ref="AZ976:BA976"/>
    <mergeCell ref="BB976:BC976"/>
    <mergeCell ref="BD976:BE976"/>
    <mergeCell ref="BF976:BG976"/>
    <mergeCell ref="BH976:BI976"/>
    <mergeCell ref="AV974:AW974"/>
    <mergeCell ref="AX977:AY977"/>
    <mergeCell ref="AZ977:BA977"/>
    <mergeCell ref="BB977:BC977"/>
    <mergeCell ref="BD977:BE977"/>
    <mergeCell ref="BF977:BG977"/>
    <mergeCell ref="BH977:BI977"/>
    <mergeCell ref="AV978:AW978"/>
    <mergeCell ref="AX978:AY978"/>
    <mergeCell ref="AZ978:BA978"/>
    <mergeCell ref="BB978:BC978"/>
    <mergeCell ref="BD978:BE978"/>
    <mergeCell ref="BF978:BG978"/>
    <mergeCell ref="BH978:BI978"/>
    <mergeCell ref="AV979:AW979"/>
    <mergeCell ref="AX979:AY979"/>
    <mergeCell ref="AZ979:BA979"/>
    <mergeCell ref="BB979:BC979"/>
    <mergeCell ref="BD979:BE979"/>
    <mergeCell ref="BF979:BG979"/>
    <mergeCell ref="BH979:BI979"/>
    <mergeCell ref="AV977:AW977"/>
    <mergeCell ref="AX980:AY980"/>
    <mergeCell ref="AZ980:BA980"/>
    <mergeCell ref="BB980:BC980"/>
    <mergeCell ref="BD980:BE980"/>
    <mergeCell ref="BF980:BG980"/>
    <mergeCell ref="BH980:BI980"/>
    <mergeCell ref="AV981:AW981"/>
    <mergeCell ref="AX981:AY981"/>
    <mergeCell ref="AZ981:BA981"/>
    <mergeCell ref="BB981:BC981"/>
    <mergeCell ref="BD981:BE981"/>
    <mergeCell ref="BF981:BG981"/>
    <mergeCell ref="BH981:BI981"/>
    <mergeCell ref="AV982:AW982"/>
    <mergeCell ref="AX982:AY982"/>
    <mergeCell ref="AZ982:BA982"/>
    <mergeCell ref="BB982:BC982"/>
    <mergeCell ref="BD982:BE982"/>
    <mergeCell ref="BF982:BG982"/>
    <mergeCell ref="BH982:BI982"/>
    <mergeCell ref="AV980:AW980"/>
    <mergeCell ref="AX983:AY983"/>
    <mergeCell ref="AZ983:BA983"/>
    <mergeCell ref="BB983:BC983"/>
    <mergeCell ref="BD983:BE983"/>
    <mergeCell ref="BF983:BG983"/>
    <mergeCell ref="BH983:BI983"/>
    <mergeCell ref="AV984:AW984"/>
    <mergeCell ref="AX984:AY984"/>
    <mergeCell ref="AZ984:BA984"/>
    <mergeCell ref="BB984:BC984"/>
    <mergeCell ref="BD984:BE984"/>
    <mergeCell ref="BF984:BG984"/>
    <mergeCell ref="BH984:BI984"/>
    <mergeCell ref="AV985:AW985"/>
    <mergeCell ref="AX985:AY985"/>
    <mergeCell ref="AZ985:BA985"/>
    <mergeCell ref="BB985:BC985"/>
    <mergeCell ref="BD985:BE985"/>
    <mergeCell ref="BF985:BG985"/>
    <mergeCell ref="BH985:BI985"/>
    <mergeCell ref="AV983:AW983"/>
    <mergeCell ref="AX986:AY986"/>
    <mergeCell ref="AZ986:BA986"/>
    <mergeCell ref="BB986:BC986"/>
    <mergeCell ref="BD986:BE986"/>
    <mergeCell ref="BF986:BG986"/>
    <mergeCell ref="BH986:BI986"/>
    <mergeCell ref="AV987:AW987"/>
    <mergeCell ref="AX987:AY987"/>
    <mergeCell ref="AZ987:BA987"/>
    <mergeCell ref="BB987:BC987"/>
    <mergeCell ref="BD987:BE987"/>
    <mergeCell ref="BF987:BG987"/>
    <mergeCell ref="BH987:BI987"/>
    <mergeCell ref="AV988:AW988"/>
    <mergeCell ref="AX988:AY988"/>
    <mergeCell ref="AZ988:BA988"/>
    <mergeCell ref="BB988:BC988"/>
    <mergeCell ref="BD988:BE988"/>
    <mergeCell ref="BF988:BG988"/>
    <mergeCell ref="BH988:BI988"/>
    <mergeCell ref="AV986:AW986"/>
    <mergeCell ref="AX989:AY989"/>
    <mergeCell ref="AZ989:BA989"/>
    <mergeCell ref="BB989:BC989"/>
    <mergeCell ref="BD989:BE989"/>
    <mergeCell ref="BF989:BG989"/>
    <mergeCell ref="BH989:BI989"/>
    <mergeCell ref="AV990:AW990"/>
    <mergeCell ref="AX990:AY990"/>
    <mergeCell ref="AZ990:BA990"/>
    <mergeCell ref="BB990:BC990"/>
    <mergeCell ref="BD990:BE990"/>
    <mergeCell ref="BF990:BG990"/>
    <mergeCell ref="BH990:BI990"/>
    <mergeCell ref="AV991:AW991"/>
    <mergeCell ref="AX991:AY991"/>
    <mergeCell ref="AZ991:BA991"/>
    <mergeCell ref="BB991:BC991"/>
    <mergeCell ref="BD991:BE991"/>
    <mergeCell ref="BF991:BG991"/>
    <mergeCell ref="BH991:BI991"/>
    <mergeCell ref="AV989:AW989"/>
    <mergeCell ref="AX992:AY992"/>
    <mergeCell ref="AZ992:BA992"/>
    <mergeCell ref="BB992:BC992"/>
    <mergeCell ref="BD992:BE992"/>
    <mergeCell ref="BF992:BG992"/>
    <mergeCell ref="BH992:BI992"/>
    <mergeCell ref="AV993:AW993"/>
    <mergeCell ref="AX993:AY993"/>
    <mergeCell ref="AZ993:BA993"/>
    <mergeCell ref="BB993:BC993"/>
    <mergeCell ref="BD993:BE993"/>
    <mergeCell ref="BF993:BG993"/>
    <mergeCell ref="BH993:BI993"/>
    <mergeCell ref="AV994:AW994"/>
    <mergeCell ref="AX994:AY994"/>
    <mergeCell ref="AZ994:BA994"/>
    <mergeCell ref="BB994:BC994"/>
    <mergeCell ref="BD994:BE994"/>
    <mergeCell ref="BF994:BG994"/>
    <mergeCell ref="BH994:BI994"/>
    <mergeCell ref="AV992:AW992"/>
    <mergeCell ref="BD995:BE995"/>
    <mergeCell ref="BF995:BG995"/>
    <mergeCell ref="BH995:BI995"/>
    <mergeCell ref="AV996:AW996"/>
    <mergeCell ref="AX996:AY996"/>
    <mergeCell ref="AZ996:BA996"/>
    <mergeCell ref="BB996:BC996"/>
    <mergeCell ref="BD996:BE996"/>
    <mergeCell ref="BF996:BG996"/>
    <mergeCell ref="BH996:BI996"/>
    <mergeCell ref="AV997:AW997"/>
    <mergeCell ref="AX997:AY997"/>
    <mergeCell ref="AZ997:BA997"/>
    <mergeCell ref="BB997:BC997"/>
    <mergeCell ref="BD997:BE997"/>
    <mergeCell ref="BF997:BG997"/>
    <mergeCell ref="BH997:BI997"/>
    <mergeCell ref="AX995:AY995"/>
    <mergeCell ref="AZ995:BA995"/>
    <mergeCell ref="BB995:BC995"/>
    <mergeCell ref="AV995:AW995"/>
    <mergeCell ref="AX1001:AY1001"/>
    <mergeCell ref="AZ1001:BA1001"/>
    <mergeCell ref="BB1001:BC1001"/>
    <mergeCell ref="BD1001:BE1001"/>
    <mergeCell ref="BF1001:BG1001"/>
    <mergeCell ref="BH1001:BI1001"/>
    <mergeCell ref="AX998:AY998"/>
    <mergeCell ref="AZ998:BA998"/>
    <mergeCell ref="BB998:BC998"/>
    <mergeCell ref="BD998:BE998"/>
    <mergeCell ref="BF998:BG998"/>
    <mergeCell ref="BH998:BI998"/>
    <mergeCell ref="AV999:AW999"/>
    <mergeCell ref="AX999:AY999"/>
    <mergeCell ref="AZ999:BA999"/>
    <mergeCell ref="BB999:BC999"/>
    <mergeCell ref="BD999:BE999"/>
    <mergeCell ref="BF999:BG999"/>
    <mergeCell ref="BH999:BI999"/>
    <mergeCell ref="AV1000:AW1000"/>
    <mergeCell ref="AX1000:AY1000"/>
    <mergeCell ref="AZ1000:BA1000"/>
    <mergeCell ref="BB1000:BC1000"/>
    <mergeCell ref="BD1000:BE1000"/>
    <mergeCell ref="BF1000:BG1000"/>
    <mergeCell ref="BH1000:BI1000"/>
    <mergeCell ref="AV998:AW998"/>
    <mergeCell ref="AV1001:AW1001"/>
    <mergeCell ref="AV751:AW752"/>
    <mergeCell ref="AX751:AY751"/>
    <mergeCell ref="AZ751:BA751"/>
    <mergeCell ref="BB751:BC751"/>
    <mergeCell ref="BD751:BE751"/>
    <mergeCell ref="BF751:BG751"/>
    <mergeCell ref="BH751:BI751"/>
    <mergeCell ref="O752:P752"/>
    <mergeCell ref="AA752:AB752"/>
    <mergeCell ref="AX752:AY752"/>
    <mergeCell ref="AZ752:BA752"/>
    <mergeCell ref="BB752:BC752"/>
    <mergeCell ref="BD752:BE752"/>
    <mergeCell ref="BF752:BG752"/>
    <mergeCell ref="BH752:BI752"/>
    <mergeCell ref="AV753:AW753"/>
    <mergeCell ref="AX753:AY753"/>
    <mergeCell ref="AZ753:BA753"/>
    <mergeCell ref="BB753:BC753"/>
    <mergeCell ref="BD753:BE753"/>
    <mergeCell ref="BF753:BG753"/>
    <mergeCell ref="BH753:BI753"/>
    <mergeCell ref="AV754:AW754"/>
    <mergeCell ref="AX754:AY754"/>
    <mergeCell ref="AZ754:BA754"/>
    <mergeCell ref="BB754:BC754"/>
    <mergeCell ref="BD754:BE754"/>
    <mergeCell ref="BF754:BG754"/>
    <mergeCell ref="BH754:BI754"/>
    <mergeCell ref="AV755:AW755"/>
    <mergeCell ref="AX755:AY755"/>
    <mergeCell ref="AZ755:BA755"/>
    <mergeCell ref="BB755:BC755"/>
    <mergeCell ref="BD755:BE755"/>
    <mergeCell ref="BF755:BG755"/>
    <mergeCell ref="BH755:BI755"/>
    <mergeCell ref="G756:G758"/>
    <mergeCell ref="AD756:AE756"/>
    <mergeCell ref="AJ756:AJ758"/>
    <mergeCell ref="AV756:AW756"/>
    <mergeCell ref="AX756:AY756"/>
    <mergeCell ref="AZ756:BA756"/>
    <mergeCell ref="BB756:BC756"/>
    <mergeCell ref="BD756:BE756"/>
    <mergeCell ref="BF756:BG756"/>
    <mergeCell ref="BH756:BI756"/>
    <mergeCell ref="AV757:AW757"/>
    <mergeCell ref="AX757:AY757"/>
    <mergeCell ref="AZ757:BA757"/>
    <mergeCell ref="BB757:BC757"/>
    <mergeCell ref="BD757:BE757"/>
    <mergeCell ref="BF757:BG757"/>
    <mergeCell ref="BH757:BI757"/>
    <mergeCell ref="AV758:AW758"/>
    <mergeCell ref="AX758:AY758"/>
    <mergeCell ref="AZ758:BA758"/>
    <mergeCell ref="BB758:BC758"/>
    <mergeCell ref="BD758:BE758"/>
    <mergeCell ref="BF758:BG758"/>
    <mergeCell ref="BH758:BI758"/>
    <mergeCell ref="C759:C761"/>
    <mergeCell ref="AV759:AW759"/>
    <mergeCell ref="AX759:AY759"/>
    <mergeCell ref="AZ759:BA759"/>
    <mergeCell ref="BB759:BC759"/>
    <mergeCell ref="BD759:BE759"/>
    <mergeCell ref="BF759:BG759"/>
    <mergeCell ref="BH759:BI759"/>
    <mergeCell ref="AV760:AW760"/>
    <mergeCell ref="AX760:AY760"/>
    <mergeCell ref="AZ760:BA760"/>
    <mergeCell ref="BB760:BC760"/>
    <mergeCell ref="BD760:BE760"/>
    <mergeCell ref="BF760:BG760"/>
    <mergeCell ref="BH760:BI760"/>
    <mergeCell ref="AL761:AL763"/>
    <mergeCell ref="AV761:AW761"/>
    <mergeCell ref="AX761:AY761"/>
    <mergeCell ref="AZ761:BA761"/>
    <mergeCell ref="BB761:BC761"/>
    <mergeCell ref="BD761:BE761"/>
    <mergeCell ref="BF761:BG761"/>
    <mergeCell ref="BH761:BI761"/>
    <mergeCell ref="C762:C764"/>
    <mergeCell ref="Y762:Z762"/>
    <mergeCell ref="AV762:AW762"/>
    <mergeCell ref="AX762:AY762"/>
    <mergeCell ref="AZ762:BA762"/>
    <mergeCell ref="BB762:BC762"/>
    <mergeCell ref="BD762:BE762"/>
    <mergeCell ref="BF762:BG762"/>
    <mergeCell ref="BH762:BI762"/>
    <mergeCell ref="G763:G765"/>
    <mergeCell ref="AJ763:AJ765"/>
    <mergeCell ref="AV763:AW763"/>
    <mergeCell ref="AX763:AY763"/>
    <mergeCell ref="AZ763:BA763"/>
    <mergeCell ref="BB763:BC763"/>
    <mergeCell ref="BD763:BE763"/>
    <mergeCell ref="BF763:BG763"/>
    <mergeCell ref="BH763:BI763"/>
    <mergeCell ref="AV764:AW764"/>
    <mergeCell ref="AX764:AY764"/>
    <mergeCell ref="AZ764:BA764"/>
    <mergeCell ref="BB764:BC764"/>
    <mergeCell ref="BD764:BE764"/>
    <mergeCell ref="BF764:BG764"/>
    <mergeCell ref="BH764:BI764"/>
    <mergeCell ref="AV765:AW765"/>
    <mergeCell ref="AX765:AY765"/>
    <mergeCell ref="AZ765:BA765"/>
    <mergeCell ref="BB765:BC765"/>
    <mergeCell ref="BD765:BE765"/>
    <mergeCell ref="BF765:BG765"/>
    <mergeCell ref="BH765:BI765"/>
    <mergeCell ref="AV766:AW766"/>
    <mergeCell ref="AX766:AY766"/>
    <mergeCell ref="AZ766:BA766"/>
    <mergeCell ref="BB766:BC766"/>
    <mergeCell ref="BD766:BE766"/>
    <mergeCell ref="BF766:BG766"/>
    <mergeCell ref="BH766:BI766"/>
    <mergeCell ref="AV767:AW767"/>
    <mergeCell ref="AX767:AY767"/>
    <mergeCell ref="AZ767:BA767"/>
    <mergeCell ref="BB767:BC767"/>
    <mergeCell ref="BD767:BE767"/>
    <mergeCell ref="BF767:BG767"/>
    <mergeCell ref="BH767:BI767"/>
    <mergeCell ref="H768:I768"/>
    <mergeCell ref="S768:T768"/>
    <mergeCell ref="Y768:Z768"/>
    <mergeCell ref="AV768:AW768"/>
    <mergeCell ref="AX768:AY768"/>
    <mergeCell ref="AZ768:BA768"/>
    <mergeCell ref="BB768:BC768"/>
    <mergeCell ref="BD768:BE768"/>
    <mergeCell ref="BF768:BG768"/>
    <mergeCell ref="BH768:BI768"/>
    <mergeCell ref="AV769:AW769"/>
    <mergeCell ref="AX769:AY769"/>
    <mergeCell ref="AZ769:BA769"/>
    <mergeCell ref="BB769:BC769"/>
    <mergeCell ref="BD769:BE769"/>
    <mergeCell ref="BF769:BG769"/>
    <mergeCell ref="BH769:BI769"/>
    <mergeCell ref="AV770:AW770"/>
    <mergeCell ref="AX770:AY770"/>
    <mergeCell ref="AZ770:BA770"/>
    <mergeCell ref="BB770:BC770"/>
    <mergeCell ref="BD770:BE770"/>
    <mergeCell ref="BF770:BG770"/>
    <mergeCell ref="BH770:BI770"/>
    <mergeCell ref="AV771:AW771"/>
    <mergeCell ref="AX771:AY771"/>
    <mergeCell ref="AZ771:BA771"/>
    <mergeCell ref="BB771:BC771"/>
    <mergeCell ref="BD771:BE771"/>
    <mergeCell ref="BF771:BG771"/>
    <mergeCell ref="BH771:BI771"/>
    <mergeCell ref="AV772:AW772"/>
    <mergeCell ref="AX772:AY772"/>
    <mergeCell ref="AZ772:BA772"/>
    <mergeCell ref="BB772:BC772"/>
    <mergeCell ref="BD772:BE772"/>
    <mergeCell ref="BF772:BG772"/>
    <mergeCell ref="BH772:BI772"/>
    <mergeCell ref="J773:K773"/>
    <mergeCell ref="AG773:AH773"/>
    <mergeCell ref="AV773:AW773"/>
    <mergeCell ref="AX773:AY773"/>
    <mergeCell ref="AZ773:BA773"/>
    <mergeCell ref="BB773:BC773"/>
    <mergeCell ref="BD773:BE773"/>
    <mergeCell ref="BF773:BG773"/>
    <mergeCell ref="BH773:BI773"/>
    <mergeCell ref="L774:M774"/>
    <mergeCell ref="R774:S774"/>
    <mergeCell ref="Y774:Z774"/>
    <mergeCell ref="AE774:AF774"/>
    <mergeCell ref="AV774:AW774"/>
    <mergeCell ref="AX774:AY774"/>
    <mergeCell ref="AZ774:BA774"/>
    <mergeCell ref="BB774:BC774"/>
    <mergeCell ref="BD774:BE774"/>
    <mergeCell ref="BF774:BG774"/>
    <mergeCell ref="BH774:BI774"/>
    <mergeCell ref="AV775:AW775"/>
    <mergeCell ref="AX775:AY775"/>
    <mergeCell ref="AZ775:BA775"/>
    <mergeCell ref="BB775:BC775"/>
    <mergeCell ref="BD775:BE775"/>
    <mergeCell ref="BF775:BG775"/>
    <mergeCell ref="BH775:BI775"/>
    <mergeCell ref="V776:W776"/>
    <mergeCell ref="AV776:AW776"/>
    <mergeCell ref="AX776:AY776"/>
    <mergeCell ref="AZ776:BA776"/>
    <mergeCell ref="BB776:BC776"/>
    <mergeCell ref="BD776:BE776"/>
    <mergeCell ref="BF776:BG776"/>
    <mergeCell ref="BH776:BI776"/>
    <mergeCell ref="AV777:AW777"/>
    <mergeCell ref="AX777:AY777"/>
    <mergeCell ref="AZ777:BA777"/>
    <mergeCell ref="BB777:BC777"/>
    <mergeCell ref="BD777:BE777"/>
    <mergeCell ref="BF777:BG777"/>
    <mergeCell ref="BH777:BI777"/>
    <mergeCell ref="H782:I782"/>
    <mergeCell ref="AV778:AW778"/>
    <mergeCell ref="AX778:AY778"/>
    <mergeCell ref="AZ778:BA778"/>
    <mergeCell ref="BB778:BC778"/>
    <mergeCell ref="BD778:BE778"/>
    <mergeCell ref="BF778:BG778"/>
    <mergeCell ref="BH778:BI778"/>
    <mergeCell ref="E779:F779"/>
    <mergeCell ref="H779:I779"/>
    <mergeCell ref="K779:L779"/>
    <mergeCell ref="N779:O779"/>
    <mergeCell ref="Q779:R779"/>
    <mergeCell ref="T779:U779"/>
    <mergeCell ref="W779:X779"/>
    <mergeCell ref="Z779:AA779"/>
    <mergeCell ref="AC779:AD779"/>
    <mergeCell ref="AF779:AG779"/>
    <mergeCell ref="AI779:AJ779"/>
    <mergeCell ref="AL779:AM779"/>
    <mergeCell ref="AV779:AW779"/>
    <mergeCell ref="AX779:AY779"/>
    <mergeCell ref="AZ779:BA779"/>
    <mergeCell ref="BB779:BC779"/>
    <mergeCell ref="BD779:BE779"/>
    <mergeCell ref="BF779:BG779"/>
    <mergeCell ref="BH779:BI779"/>
    <mergeCell ref="E780:F780"/>
    <mergeCell ref="AV780:AW780"/>
    <mergeCell ref="AX780:AY780"/>
    <mergeCell ref="AZ780:BA780"/>
    <mergeCell ref="BB780:BC780"/>
    <mergeCell ref="BD780:BE780"/>
    <mergeCell ref="BF780:BG780"/>
    <mergeCell ref="BH780:BI780"/>
    <mergeCell ref="E781:F781"/>
    <mergeCell ref="H781:I781"/>
    <mergeCell ref="K781:L781"/>
    <mergeCell ref="N781:O781"/>
    <mergeCell ref="Q781:R781"/>
    <mergeCell ref="T781:U781"/>
    <mergeCell ref="AC781:AD781"/>
    <mergeCell ref="AV781:AW781"/>
    <mergeCell ref="AX781:AY781"/>
    <mergeCell ref="AZ781:BA781"/>
    <mergeCell ref="BB781:BC781"/>
    <mergeCell ref="BD781:BE781"/>
    <mergeCell ref="BF781:BG781"/>
    <mergeCell ref="BH781:BI781"/>
    <mergeCell ref="E783:F783"/>
    <mergeCell ref="H783:I783"/>
    <mergeCell ref="AI782:AJ782"/>
    <mergeCell ref="K782:L782"/>
    <mergeCell ref="N782:O782"/>
    <mergeCell ref="Q782:R782"/>
    <mergeCell ref="T782:U782"/>
    <mergeCell ref="W782:X782"/>
    <mergeCell ref="Z782:AA782"/>
    <mergeCell ref="AV783:AW783"/>
    <mergeCell ref="AX783:AY783"/>
    <mergeCell ref="AZ783:BA783"/>
    <mergeCell ref="BB783:BC783"/>
    <mergeCell ref="BD783:BE783"/>
    <mergeCell ref="BF783:BG783"/>
    <mergeCell ref="BH783:BI783"/>
    <mergeCell ref="AV784:AW784"/>
    <mergeCell ref="AX784:AY784"/>
    <mergeCell ref="AZ784:BA784"/>
    <mergeCell ref="BB784:BC784"/>
    <mergeCell ref="BD784:BE784"/>
    <mergeCell ref="BF784:BG784"/>
    <mergeCell ref="BH784:BI784"/>
    <mergeCell ref="Q783:R783"/>
    <mergeCell ref="AV782:AW782"/>
    <mergeCell ref="AX782:AY782"/>
    <mergeCell ref="AZ782:BA782"/>
    <mergeCell ref="BB782:BC782"/>
    <mergeCell ref="BD782:BE782"/>
    <mergeCell ref="BF782:BG782"/>
    <mergeCell ref="BH782:BI782"/>
    <mergeCell ref="E782:F782"/>
  </mergeCells>
  <pageMargins left="0.7" right="0.7" top="0.75" bottom="0.75" header="0.3" footer="0.3"/>
  <pageSetup paperSize="9" orientation="portrait" horizontalDpi="4294967294" verticalDpi="0" r:id="rId1"/>
  <ignoredErrors>
    <ignoredError sqref="BD656 BD70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2025-02-02T14:10:59Z</dcterms:created>
  <dcterms:modified xsi:type="dcterms:W3CDTF">2025-02-16T08:24:25Z</dcterms:modified>
</cp:coreProperties>
</file>