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rca\Documents\ozel\gurcanweby\images\"/>
    </mc:Choice>
  </mc:AlternateContent>
  <xr:revisionPtr revIDLastSave="0" documentId="13_ncr:1_{4FAB37CF-65D5-4B30-88E1-D5332EF9E243}" xr6:coauthVersionLast="46" xr6:coauthVersionMax="46" xr10:uidLastSave="{00000000-0000-0000-0000-000000000000}"/>
  <bookViews>
    <workbookView xWindow="-120" yWindow="-120" windowWidth="29040" windowHeight="15840" xr2:uid="{FE664624-5EB3-4AE8-910D-CE90651ECA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91" i="1" l="1"/>
  <c r="G209" i="1" s="1"/>
  <c r="AE203" i="1" s="1"/>
  <c r="AJ203" i="1" s="1"/>
  <c r="M167" i="1"/>
  <c r="Y167" i="1"/>
  <c r="AM167" i="1"/>
  <c r="O169" i="1"/>
  <c r="AO169" i="1"/>
  <c r="M171" i="1"/>
  <c r="AO171" i="1"/>
  <c r="C175" i="1"/>
  <c r="O190" i="1"/>
  <c r="U194" i="1"/>
  <c r="L195" i="1"/>
  <c r="AG197" i="1"/>
  <c r="AI197" i="1" s="1"/>
  <c r="J199" i="1"/>
  <c r="AM199" i="1"/>
  <c r="AY199" i="1"/>
  <c r="E200" i="1"/>
  <c r="G200" i="1"/>
  <c r="E202" i="1"/>
  <c r="H202" i="1"/>
  <c r="K202" i="1"/>
  <c r="F203" i="1"/>
  <c r="I203" i="1"/>
  <c r="L204" i="1"/>
  <c r="N204" i="1" s="1"/>
  <c r="H205" i="1" s="1"/>
  <c r="N205" i="1" s="1"/>
  <c r="AM204" i="1"/>
  <c r="AY204" i="1"/>
  <c r="K205" i="1"/>
  <c r="Z171" i="1" l="1"/>
  <c r="L203" i="1"/>
  <c r="J200" i="1"/>
  <c r="AV204" i="1"/>
  <c r="AV199" i="1"/>
  <c r="I164" i="1"/>
  <c r="AP199" i="1"/>
  <c r="BB199" i="1" s="1"/>
  <c r="AP204" i="1"/>
  <c r="BB204" i="1" s="1"/>
  <c r="AF205" i="1" s="1"/>
  <c r="AE196" i="1"/>
  <c r="AJ196" i="1" s="1"/>
  <c r="AN181" i="1"/>
  <c r="L181" i="1"/>
  <c r="P91" i="1"/>
  <c r="AL37" i="1"/>
  <c r="AA167" i="1" l="1"/>
  <c r="X167" i="1"/>
  <c r="AF200" i="1"/>
  <c r="O167" i="1" l="1"/>
  <c r="AO167" i="1" s="1"/>
  <c r="L167" i="1"/>
  <c r="AL167" i="1" s="1"/>
  <c r="Q131" i="1"/>
  <c r="V131" i="1" s="1"/>
  <c r="Q128" i="1"/>
  <c r="V128" i="1" s="1"/>
  <c r="K134" i="1" s="1"/>
  <c r="T125" i="1"/>
  <c r="Q125" i="1"/>
  <c r="Y117" i="1"/>
  <c r="G122" i="1"/>
  <c r="T94" i="1"/>
  <c r="Q94" i="1"/>
  <c r="Q97" i="1"/>
  <c r="N97" i="1"/>
  <c r="N100" i="1" s="1"/>
  <c r="O94" i="1"/>
  <c r="X87" i="1"/>
  <c r="I91" i="1"/>
  <c r="C78" i="1"/>
  <c r="AB125" i="1" l="1"/>
  <c r="K135" i="1"/>
  <c r="K137" i="1"/>
  <c r="K136" i="1"/>
  <c r="T97" i="1"/>
  <c r="K105" i="1" s="1"/>
  <c r="Q100" i="1"/>
  <c r="T100" i="1" s="1"/>
  <c r="Z94" i="1"/>
  <c r="K103" i="1" l="1"/>
  <c r="K106" i="1"/>
  <c r="K104" i="1"/>
  <c r="G9" i="1"/>
  <c r="S62" i="1"/>
  <c r="AF28" i="1" l="1"/>
  <c r="AH28" i="1" s="1"/>
  <c r="AE40" i="1"/>
  <c r="AJ40" i="1" s="1"/>
  <c r="AC41" i="1" s="1"/>
  <c r="AF34" i="1"/>
  <c r="AK34" i="1" s="1"/>
  <c r="AD35" i="1" s="1"/>
  <c r="AE21" i="1"/>
  <c r="AJ21" i="1" s="1"/>
  <c r="AI20" i="1"/>
  <c r="AL20" i="1" s="1"/>
  <c r="AC23" i="1" s="1"/>
  <c r="AE27" i="1"/>
  <c r="AJ27" i="1" s="1"/>
  <c r="AC30" i="1" l="1"/>
  <c r="AO15" i="1"/>
  <c r="AH14" i="1"/>
  <c r="AI13" i="1"/>
  <c r="AK13" i="1" s="1"/>
  <c r="AE14" i="1" s="1"/>
  <c r="AE12" i="1"/>
  <c r="AB12" i="1"/>
  <c r="AD10" i="1"/>
  <c r="AB10" i="1"/>
  <c r="AH6" i="1"/>
  <c r="AF16" i="1" l="1"/>
  <c r="AH16" i="1" s="1"/>
  <c r="AC17" i="1" s="1"/>
  <c r="S35" i="1" s="1"/>
  <c r="AG10" i="1"/>
  <c r="AH12" i="1"/>
  <c r="AL15" i="1" s="1"/>
  <c r="AK14" i="1"/>
  <c r="AQ15" i="1" s="1"/>
  <c r="AT15" i="1" s="1"/>
  <c r="H36" i="1" l="1"/>
  <c r="I36" i="1"/>
  <c r="H20" i="1"/>
  <c r="U23" i="1"/>
  <c r="U49" i="1" s="1"/>
  <c r="U29" i="1" s="1"/>
  <c r="G38" i="1" l="1"/>
  <c r="I23" i="1"/>
  <c r="I52" i="1" s="1"/>
  <c r="H48" i="1"/>
  <c r="F33" i="1" s="1"/>
  <c r="H29" i="1" s="1"/>
  <c r="W46" i="1" l="1"/>
  <c r="W47" i="1"/>
  <c r="U43" i="1"/>
  <c r="G31" i="1" s="1"/>
  <c r="AJ47" i="1"/>
  <c r="AH47" i="1"/>
  <c r="AT46" i="1"/>
  <c r="AR46" i="1"/>
  <c r="AV46" i="1"/>
  <c r="H43" i="1"/>
  <c r="G44" i="1" l="1"/>
</calcChain>
</file>

<file path=xl/sharedStrings.xml><?xml version="1.0" encoding="utf-8"?>
<sst xmlns="http://schemas.openxmlformats.org/spreadsheetml/2006/main" count="371" uniqueCount="172">
  <si>
    <t>sarılma bölgesi</t>
  </si>
  <si>
    <t>Lc =</t>
  </si>
  <si>
    <t>m</t>
  </si>
  <si>
    <t>orta bölge</t>
  </si>
  <si>
    <t>Ln =</t>
  </si>
  <si>
    <t>ek bölgesi</t>
  </si>
  <si>
    <t>sc &gt;= 50mm</t>
  </si>
  <si>
    <t>sc =&lt; 150</t>
  </si>
  <si>
    <t>b1=</t>
  </si>
  <si>
    <t>b2 =</t>
  </si>
  <si>
    <t>sc =</t>
  </si>
  <si>
    <t>mm</t>
  </si>
  <si>
    <t>Lc &gt;= 500mm</t>
  </si>
  <si>
    <t>so =</t>
  </si>
  <si>
    <t>so =&lt; 200mm</t>
  </si>
  <si>
    <t>adet etriye</t>
  </si>
  <si>
    <t>Lb = 20 * Ø =</t>
  </si>
  <si>
    <t>Lb = ( 0,12 * fyd * Ø / fctd ) =(</t>
  </si>
  <si>
    <t>*</t>
  </si>
  <si>
    <t>Beton ve donatı şartları :</t>
  </si>
  <si>
    <t xml:space="preserve">fck = C = </t>
  </si>
  <si>
    <t>N/mm² (Mpa.) (beton silindirik karakteristik mukavemeti)</t>
  </si>
  <si>
    <t xml:space="preserve">fyk = S = </t>
  </si>
  <si>
    <t>N/mm² (Mpa.) (boyuna donatı çelik akma mukavemeti)</t>
  </si>
  <si>
    <r>
      <t>g</t>
    </r>
    <r>
      <rPr>
        <vertAlign val="subscript"/>
        <sz val="8"/>
        <rFont val="Arial"/>
        <family val="2"/>
        <charset val="162"/>
      </rPr>
      <t>mc</t>
    </r>
    <r>
      <rPr>
        <sz val="8"/>
        <rFont val="Arial"/>
        <family val="2"/>
        <charset val="162"/>
      </rPr>
      <t xml:space="preserve"> =</t>
    </r>
  </si>
  <si>
    <t>fcd =</t>
  </si>
  <si>
    <t xml:space="preserve"> / </t>
  </si>
  <si>
    <t>=</t>
  </si>
  <si>
    <t>N/mm²</t>
  </si>
  <si>
    <r>
      <t>g</t>
    </r>
    <r>
      <rPr>
        <vertAlign val="subscript"/>
        <sz val="8"/>
        <rFont val="Arial"/>
        <family val="2"/>
        <charset val="162"/>
      </rPr>
      <t>ms</t>
    </r>
    <r>
      <rPr>
        <sz val="8"/>
        <rFont val="Arial"/>
        <family val="2"/>
        <charset val="162"/>
      </rPr>
      <t xml:space="preserve"> =</t>
    </r>
  </si>
  <si>
    <t>fyd =</t>
  </si>
  <si>
    <r>
      <t xml:space="preserve">fctk = 0.35 * </t>
    </r>
    <r>
      <rPr>
        <sz val="8"/>
        <rFont val="Symbol"/>
        <family val="1"/>
        <charset val="2"/>
      </rPr>
      <t>Ö</t>
    </r>
    <r>
      <rPr>
        <sz val="8"/>
        <rFont val="Arial"/>
        <family val="2"/>
        <charset val="162"/>
      </rPr>
      <t xml:space="preserve"> fck =</t>
    </r>
  </si>
  <si>
    <r>
      <t>*</t>
    </r>
    <r>
      <rPr>
        <sz val="8"/>
        <rFont val="Symbol"/>
        <family val="1"/>
        <charset val="2"/>
      </rPr>
      <t>Ö</t>
    </r>
  </si>
  <si>
    <r>
      <t xml:space="preserve">fctd = fctk / </t>
    </r>
    <r>
      <rPr>
        <sz val="8"/>
        <rFont val="Symbol"/>
        <family val="1"/>
        <charset val="2"/>
      </rPr>
      <t>g</t>
    </r>
    <r>
      <rPr>
        <vertAlign val="subscript"/>
        <sz val="8"/>
        <rFont val="Arial"/>
        <family val="2"/>
        <charset val="162"/>
      </rPr>
      <t>mc</t>
    </r>
    <r>
      <rPr>
        <sz val="8"/>
        <rFont val="Arial"/>
        <family val="2"/>
        <charset val="162"/>
      </rPr>
      <t xml:space="preserve"> =</t>
    </r>
  </si>
  <si>
    <t xml:space="preserve"> /</t>
  </si>
  <si>
    <t>)=</t>
  </si>
  <si>
    <t>Lbmax =</t>
  </si>
  <si>
    <t>Lek=</t>
  </si>
  <si>
    <t>scek =&lt; 150mm</t>
  </si>
  <si>
    <t>scek</t>
  </si>
  <si>
    <t>sarılma bölgesi etriye aralığı</t>
  </si>
  <si>
    <t>sarılma bölgesi uzunluğu</t>
  </si>
  <si>
    <t>ek bölgesi etriye aralığı</t>
  </si>
  <si>
    <t>orta bölge etriye aralığı</t>
  </si>
  <si>
    <t xml:space="preserve">sc =&lt; bmin / 3 = </t>
  </si>
  <si>
    <t>Lc &gt;= 1,5 * bmax =</t>
  </si>
  <si>
    <t>Lc &gt;= Ln / 6 =</t>
  </si>
  <si>
    <t>Lcmax =</t>
  </si>
  <si>
    <t>scek =&lt; bmin / 3 =</t>
  </si>
  <si>
    <t>scek min =</t>
  </si>
  <si>
    <t>so =&lt; bmin / 2 =</t>
  </si>
  <si>
    <t>so min =</t>
  </si>
  <si>
    <t>sc min =</t>
  </si>
  <si>
    <t>sc =&lt; 6 * Øl =</t>
  </si>
  <si>
    <t>kiriş bölgesi</t>
  </si>
  <si>
    <t>Lor=</t>
  </si>
  <si>
    <t>Dikkat sadece sarı hücrelere data girilecek.</t>
  </si>
  <si>
    <t>kolon kesiti</t>
  </si>
  <si>
    <t>kiriş bölgesi etriye aralığı</t>
  </si>
  <si>
    <t>sj =&lt; 150mm</t>
  </si>
  <si>
    <t>Türkiye Bina Deprem Yönetmeliği 2018 şekil 7.3 uyarınca</t>
  </si>
  <si>
    <t>( 32 &lt; Ø =&lt; 40 ise 100 / ( 132 - Ø ) ile çarpılır. )</t>
  </si>
  <si>
    <t>toplam donatı Ast</t>
  </si>
  <si>
    <t>TBDY-2018 madde  7.3.1.1 uyarınca 300mm den küçük kesit kullanılmayacaktır.</t>
  </si>
  <si>
    <t>TBDY-2018 madde  7.3.1.2 uyarınca G+Q+E yük etkisinde Ac &gt;= Ndm / ( 0,40 * fck ) olmalı.</t>
  </si>
  <si>
    <t>TBDY-2018 madde  7.3.2.1 uyarınca kolon max donatı yüzdesi brüt kesitin %4 'ü ; minimum donatı yüzdesi %1 'i olmalı.</t>
  </si>
  <si>
    <t>KN</t>
  </si>
  <si>
    <t>Astmin = 0,01 * b * h =</t>
  </si>
  <si>
    <t>mm²</t>
  </si>
  <si>
    <t>TBDY-2018 madde 7.3.1.2 uyarınca max taşıma yükü</t>
  </si>
  <si>
    <t>TBDY-2018 madde  7.3.2.1 uyarınca minmum donatı miktarı</t>
  </si>
  <si>
    <t>TBDY-2018 madde  7.3.2.1 uyarınca maksimum donatı miktarı</t>
  </si>
  <si>
    <t>+</t>
  </si>
  <si>
    <t>( tek çeşit donatı ise )</t>
  </si>
  <si>
    <t>( iki çeşit donatı ise )</t>
  </si>
  <si>
    <t>( üç çeşit donatı ise )</t>
  </si>
  <si>
    <t>( dört çeşit donatı ise )</t>
  </si>
  <si>
    <t xml:space="preserve">seçilen minimum toplam donatı miktarı Ast </t>
  </si>
  <si>
    <t>TBDY-2018 madde  7.3.1.1 uyarınca 350mm den küçük kesit kullanılmayacaktır.</t>
  </si>
  <si>
    <t>TBDY-2018 madde  7.3.2.1 uyarınca 6 adet donatıdan az donatı kullanılmayacak.</t>
  </si>
  <si>
    <t>²/</t>
  </si>
  <si>
    <r>
      <t xml:space="preserve">*  </t>
    </r>
    <r>
      <rPr>
        <sz val="8"/>
        <color theme="1"/>
        <rFont val="Symbol"/>
        <family val="1"/>
        <charset val="2"/>
      </rPr>
      <t xml:space="preserve">p </t>
    </r>
    <r>
      <rPr>
        <sz val="8"/>
        <color theme="1"/>
        <rFont val="Arial"/>
        <family val="2"/>
        <charset val="162"/>
      </rPr>
      <t xml:space="preserve"> *</t>
    </r>
  </si>
  <si>
    <r>
      <t xml:space="preserve">Astmin = 0,01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do² / 4 =</t>
    </r>
  </si>
  <si>
    <r>
      <t xml:space="preserve">Astmax = 0,04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do² / 4 =</t>
    </r>
  </si>
  <si>
    <t>Astmax = 0,04 * b * h =</t>
  </si>
  <si>
    <t>do =</t>
  </si>
  <si>
    <t>DAİRESEL KOLON İSE</t>
  </si>
  <si>
    <t>DİKDÖRTGEN &amp; KARE KOLON İSE</t>
  </si>
  <si>
    <t>so=</t>
  </si>
  <si>
    <r>
      <rPr>
        <b/>
        <sz val="12"/>
        <color theme="7" tint="-0.499984740745262"/>
        <rFont val="Arial"/>
        <family val="2"/>
        <charset val="162"/>
      </rPr>
      <t>TBDY-2018 KOLON MİNİMUM ETRİYE VE BOYUNA DONATI FİLİZ DÜZENLEMESİ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                                                                                                       </t>
    </r>
  </si>
  <si>
    <r>
      <t xml:space="preserve">Ndmax = 0,40 * fck * </t>
    </r>
    <r>
      <rPr>
        <sz val="8"/>
        <color theme="1"/>
        <rFont val="Symbol"/>
        <family val="1"/>
        <charset val="2"/>
      </rPr>
      <t>p</t>
    </r>
    <r>
      <rPr>
        <sz val="8"/>
        <color theme="1"/>
        <rFont val="Arial"/>
        <family val="2"/>
        <charset val="162"/>
      </rPr>
      <t xml:space="preserve"> * do² / 4 =</t>
    </r>
  </si>
  <si>
    <t>Ndmax = 0,40 * fck * Ac =</t>
  </si>
  <si>
    <t>max boyuna donatı çapı</t>
  </si>
  <si>
    <r>
      <rPr>
        <b/>
        <sz val="12"/>
        <color theme="7" tint="-0.499984740745262"/>
        <rFont val="Arial"/>
        <family val="2"/>
        <charset val="162"/>
      </rPr>
      <t>TBDY-2018 KOLON MİNİMUM &amp; MAKSİMUM BOYUNA DONATI VE MAX TAŞIMA YÜKÜ HESABI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                                                                                                       </t>
    </r>
  </si>
  <si>
    <t>d = h - d' =</t>
  </si>
  <si>
    <t>Lbmax</t>
  </si>
  <si>
    <t>Lb = 20 * Ø</t>
  </si>
  <si>
    <t>Lb = ( 0,12 * fyd * Ø / fctd )</t>
  </si>
  <si>
    <t>seçilecek   sc =</t>
  </si>
  <si>
    <t xml:space="preserve"> /(</t>
  </si>
  <si>
    <t>sc = Asw * fywd / ( 0,3 * fctd * bw ) =</t>
  </si>
  <si>
    <t>fywd =</t>
  </si>
  <si>
    <t>sc = 150 mm</t>
  </si>
  <si>
    <t>N/mm² (Mpa.) (enine (etriye) donatı çelik akma mukavemeti)</t>
  </si>
  <si>
    <t xml:space="preserve">fywk = S = </t>
  </si>
  <si>
    <t>sc = 8 * Øl =</t>
  </si>
  <si>
    <t>sc = d / 4 =</t>
  </si>
  <si>
    <t>bw =</t>
  </si>
  <si>
    <t>d' =</t>
  </si>
  <si>
    <t>h=</t>
  </si>
  <si>
    <t>hf =</t>
  </si>
  <si>
    <t>&gt;= Lb</t>
  </si>
  <si>
    <t>dış kiriş</t>
  </si>
  <si>
    <t>kiriş =</t>
  </si>
  <si>
    <t>&gt;= 50 * Ø</t>
  </si>
  <si>
    <t>Lb2 =</t>
  </si>
  <si>
    <t>50mm</t>
  </si>
  <si>
    <t>2 * h =</t>
  </si>
  <si>
    <t>Ln / 4 =</t>
  </si>
  <si>
    <t>sarılma böl.etriye</t>
  </si>
  <si>
    <t>orta böl.etriye</t>
  </si>
  <si>
    <t>Lb1 =</t>
  </si>
  <si>
    <t>20 mm ( iç )  ;  25 mm ( dış )</t>
  </si>
  <si>
    <t>beton örtüsü</t>
  </si>
  <si>
    <t>8 mm</t>
  </si>
  <si>
    <t>min Øh</t>
  </si>
  <si>
    <t>12 mm</t>
  </si>
  <si>
    <t>min Øl</t>
  </si>
  <si>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1 / 4</t>
    </r>
  </si>
  <si>
    <r>
      <t xml:space="preserve">min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2'</t>
    </r>
  </si>
  <si>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 xml:space="preserve"> / 3</t>
    </r>
  </si>
  <si>
    <r>
      <t xml:space="preserve">min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1'</t>
    </r>
  </si>
  <si>
    <r>
      <t xml:space="preserve">0,85 *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b  ;  0,02</t>
    </r>
  </si>
  <si>
    <r>
      <t xml:space="preserve">max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 xml:space="preserve">1 ; max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2</t>
    </r>
  </si>
  <si>
    <t>0,8 * fctd / fyd</t>
  </si>
  <si>
    <r>
      <t xml:space="preserve">min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2</t>
    </r>
  </si>
  <si>
    <r>
      <t xml:space="preserve">min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1</t>
    </r>
  </si>
  <si>
    <t>d / 4 ; 8 * Øl ; 150 mm</t>
  </si>
  <si>
    <t>max sc</t>
  </si>
  <si>
    <t>d / 2</t>
  </si>
  <si>
    <t>max so</t>
  </si>
  <si>
    <t>( 0,40 * Lb + 12 * Ø ) ; ( Lb ; 50 * Ø  (Lb2 = 0 ise))</t>
  </si>
  <si>
    <t>min ( Lb1 + Lb2 )</t>
  </si>
  <si>
    <t>Ln / 4</t>
  </si>
  <si>
    <t>min L2</t>
  </si>
  <si>
    <t>2 * h</t>
  </si>
  <si>
    <t>min Lc</t>
  </si>
  <si>
    <t>3,5 * bw</t>
  </si>
  <si>
    <t>max h</t>
  </si>
  <si>
    <t>L / 10 ( basit ) ; L / 12 (kenar) ; L / 15 ( iç ) ; L / 5 ( konsol )</t>
  </si>
  <si>
    <t>min h (sehim hesabı gerektirmeyen)</t>
  </si>
  <si>
    <t>300mm ; 3 * hf</t>
  </si>
  <si>
    <t>min h</t>
  </si>
  <si>
    <r>
      <t xml:space="preserve">b </t>
    </r>
    <r>
      <rPr>
        <vertAlign val="subscript"/>
        <sz val="8"/>
        <color theme="1"/>
        <rFont val="Arial"/>
        <family val="2"/>
        <charset val="162"/>
      </rPr>
      <t>kolon</t>
    </r>
    <r>
      <rPr>
        <sz val="8"/>
        <color theme="1"/>
        <rFont val="Arial"/>
        <family val="2"/>
        <charset val="162"/>
      </rPr>
      <t xml:space="preserve"> + h </t>
    </r>
    <r>
      <rPr>
        <vertAlign val="subscript"/>
        <sz val="8"/>
        <color theme="1"/>
        <rFont val="Arial"/>
        <family val="2"/>
        <charset val="162"/>
      </rPr>
      <t>kiriş</t>
    </r>
  </si>
  <si>
    <t>max bw</t>
  </si>
  <si>
    <t>250mm</t>
  </si>
  <si>
    <t>200 mm</t>
  </si>
  <si>
    <t>min bw</t>
  </si>
  <si>
    <t>TBDY-2018</t>
  </si>
  <si>
    <t>TS 500</t>
  </si>
  <si>
    <t>Tanım</t>
  </si>
  <si>
    <r>
      <rPr>
        <b/>
        <sz val="12"/>
        <color theme="7" tint="-0.499984740745262"/>
        <rFont val="Arial"/>
        <family val="2"/>
        <charset val="162"/>
      </rPr>
      <t>TBDY-2018 KİRİŞ ETRİYE VE BOYUNA DONATI DÜZENLEMESİ</t>
    </r>
    <r>
      <rPr>
        <b/>
        <sz val="8"/>
        <color theme="7" tint="-0.499984740745262"/>
        <rFont val="Arial"/>
        <family val="2"/>
        <charset val="162"/>
      </rPr>
      <t xml:space="preserve">
(inş.müh. Gürcan BERBEROĞLU tel:0532 366 02 04   www.betoncelik.com )                                                                                                                                                                     </t>
    </r>
  </si>
  <si>
    <t>Øl =</t>
  </si>
  <si>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2'</t>
    </r>
  </si>
  <si>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2</t>
    </r>
  </si>
  <si>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1'</t>
    </r>
  </si>
  <si>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1</t>
    </r>
  </si>
  <si>
    <r>
      <t xml:space="preserve">0,3 *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 xml:space="preserve">1  ; ( 0,5 *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"/>
        <family val="2"/>
        <charset val="162"/>
      </rPr>
      <t>1 ( DTS = 1 , 1a , 2  ve 2a ))</t>
    </r>
  </si>
  <si>
    <t>sarılma bölgesi dışında orta bölge etriye aralığı</t>
  </si>
  <si>
    <t>so = d / 2 =</t>
  </si>
  <si>
    <t>so = Asw * fywd / ( 0,3 * fctd * bw ) =</t>
  </si>
  <si>
    <t>seçilecek   so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</si>
</sst>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Ø&quot;#,##0"/>
    <numFmt numFmtId="165" formatCode="&quot;Ø&quot;#,##0&quot;/&quot;"/>
  </numFmts>
  <fonts count="16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u/>
      <sz val="8"/>
      <name val="Arial"/>
      <family val="2"/>
      <charset val="162"/>
    </font>
    <font>
      <sz val="8"/>
      <name val="Arial"/>
      <family val="2"/>
      <charset val="162"/>
    </font>
    <font>
      <b/>
      <sz val="8"/>
      <color rgb="FFFF0000"/>
      <name val="Arial"/>
      <family val="2"/>
      <charset val="162"/>
    </font>
    <font>
      <sz val="8"/>
      <name val="Symbol"/>
      <family val="1"/>
      <charset val="2"/>
    </font>
    <font>
      <vertAlign val="subscript"/>
      <sz val="8"/>
      <name val="Arial"/>
      <family val="2"/>
      <charset val="162"/>
    </font>
    <font>
      <b/>
      <sz val="8"/>
      <color rgb="FF0070C0"/>
      <name val="Arial"/>
      <family val="2"/>
      <charset val="162"/>
    </font>
    <font>
      <u/>
      <sz val="8"/>
      <color theme="1"/>
      <name val="Arial"/>
      <family val="2"/>
      <charset val="162"/>
    </font>
    <font>
      <b/>
      <sz val="8"/>
      <color theme="8" tint="-0.249977111117893"/>
      <name val="Arial"/>
      <family val="2"/>
      <charset val="162"/>
    </font>
    <font>
      <b/>
      <sz val="8"/>
      <color theme="7" tint="-0.499984740745262"/>
      <name val="Arial"/>
      <family val="2"/>
      <charset val="162"/>
    </font>
    <font>
      <b/>
      <sz val="12"/>
      <color theme="7" tint="-0.499984740745262"/>
      <name val="Arial"/>
      <family val="2"/>
      <charset val="162"/>
    </font>
    <font>
      <sz val="8"/>
      <color theme="1"/>
      <name val="Symbol"/>
      <family val="1"/>
      <charset val="2"/>
    </font>
    <font>
      <b/>
      <u/>
      <sz val="8"/>
      <color theme="1"/>
      <name val="Arial"/>
      <family val="2"/>
      <charset val="162"/>
    </font>
    <font>
      <sz val="8"/>
      <color theme="1"/>
      <name val="Arial"/>
      <family val="1"/>
      <charset val="2"/>
    </font>
    <font>
      <vertAlign val="subscript"/>
      <sz val="8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4" borderId="0" xfId="0" applyFont="1" applyFill="1" applyBorder="1" applyProtection="1">
      <protection locked="0"/>
    </xf>
    <xf numFmtId="0" fontId="0" fillId="0" borderId="0" xfId="0" applyBorder="1" applyAlignment="1" applyProtection="1">
      <alignment vertical="center"/>
      <protection hidden="1"/>
    </xf>
    <xf numFmtId="0" fontId="5" fillId="0" borderId="0" xfId="0" applyFont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0" fontId="1" fillId="0" borderId="5" xfId="0" applyFont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textRotation="90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protection hidden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Protection="1">
      <protection hidden="1"/>
    </xf>
    <xf numFmtId="0" fontId="0" fillId="0" borderId="0" xfId="0" applyNumberForma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2" borderId="0" xfId="0" applyFill="1" applyBorder="1" applyAlignment="1" applyProtection="1">
      <alignment horizontal="right" vertical="center"/>
      <protection locked="0"/>
    </xf>
    <xf numFmtId="164" fontId="0" fillId="2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10" fillId="5" borderId="2" xfId="0" applyFont="1" applyFill="1" applyBorder="1" applyAlignment="1" applyProtection="1">
      <alignment horizontal="center" vertical="center"/>
      <protection hidden="1"/>
    </xf>
    <xf numFmtId="0" fontId="10" fillId="5" borderId="3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 textRotation="90"/>
      <protection locked="0"/>
    </xf>
    <xf numFmtId="0" fontId="0" fillId="0" borderId="0" xfId="0" applyBorder="1" applyAlignment="1" applyProtection="1">
      <alignment horizontal="center" vertical="center" textRotation="90"/>
      <protection hidden="1"/>
    </xf>
    <xf numFmtId="0" fontId="4" fillId="0" borderId="0" xfId="0" applyFont="1" applyBorder="1" applyAlignment="1" applyProtection="1">
      <alignment horizontal="center" vertical="center" textRotation="90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 textRotation="90"/>
      <protection hidden="1"/>
    </xf>
    <xf numFmtId="0" fontId="0" fillId="0" borderId="0" xfId="0" applyBorder="1" applyAlignment="1" applyProtection="1">
      <alignment horizontal="center" vertical="top" textRotation="90"/>
      <protection hidden="1"/>
    </xf>
    <xf numFmtId="0" fontId="0" fillId="0" borderId="0" xfId="0" applyFill="1" applyBorder="1" applyAlignment="1" applyProtection="1">
      <alignment horizontal="center" vertical="center" textRotation="90"/>
      <protection hidden="1"/>
    </xf>
    <xf numFmtId="0" fontId="0" fillId="0" borderId="0" xfId="0" applyBorder="1" applyAlignment="1" applyProtection="1">
      <alignment horizontal="center" textRotation="90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" fontId="0" fillId="0" borderId="0" xfId="0" applyNumberFormat="1" applyFill="1" applyBorder="1" applyAlignment="1" applyProtection="1">
      <alignment horizontal="center" vertical="center" textRotation="90"/>
      <protection hidden="1"/>
    </xf>
    <xf numFmtId="0" fontId="3" fillId="4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 textRotation="90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165" fontId="0" fillId="0" borderId="0" xfId="0" applyNumberForma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0" borderId="0" xfId="0" applyFill="1" applyBorder="1" applyAlignment="1">
      <alignment horizontal="center" vertical="center"/>
    </xf>
    <xf numFmtId="0" fontId="10" fillId="5" borderId="2" xfId="0" applyFont="1" applyFill="1" applyBorder="1" applyAlignment="1" applyProtection="1">
      <alignment horizontal="center" vertical="center" wrapText="1"/>
      <protection hidden="1"/>
    </xf>
    <xf numFmtId="0" fontId="10" fillId="5" borderId="3" xfId="0" applyFont="1" applyFill="1" applyBorder="1" applyAlignment="1" applyProtection="1">
      <alignment horizontal="center" vertical="center" wrapText="1"/>
      <protection hidden="1"/>
    </xf>
    <xf numFmtId="1" fontId="0" fillId="0" borderId="0" xfId="0" applyNumberFormat="1" applyBorder="1" applyAlignment="1">
      <alignment horizontal="center" vertical="center" textRotation="90"/>
    </xf>
    <xf numFmtId="164" fontId="0" fillId="2" borderId="4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85725</xdr:colOff>
      <xdr:row>23</xdr:row>
      <xdr:rowOff>47625</xdr:rowOff>
    </xdr:from>
    <xdr:to>
      <xdr:col>49</xdr:col>
      <xdr:colOff>80963</xdr:colOff>
      <xdr:row>35</xdr:row>
      <xdr:rowOff>90488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F8CAEB3-D319-43B1-8356-8099C226706D}"/>
            </a:ext>
          </a:extLst>
        </xdr:cNvPr>
        <xdr:cNvGrpSpPr/>
      </xdr:nvGrpSpPr>
      <xdr:grpSpPr>
        <a:xfrm>
          <a:off x="6886575" y="3676650"/>
          <a:ext cx="1128713" cy="1757363"/>
          <a:chOff x="6886575" y="3676650"/>
          <a:chExt cx="1128713" cy="1757363"/>
        </a:xfrm>
      </xdr:grpSpPr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A49B91DC-6199-4E55-902E-819373834B43}"/>
              </a:ext>
            </a:extLst>
          </xdr:cNvPr>
          <xdr:cNvSpPr/>
        </xdr:nvSpPr>
        <xdr:spPr>
          <a:xfrm>
            <a:off x="6962775" y="3771900"/>
            <a:ext cx="647700" cy="1276350"/>
          </a:xfrm>
          <a:prstGeom prst="rect">
            <a:avLst/>
          </a:prstGeom>
          <a:solidFill>
            <a:schemeClr val="bg1">
              <a:lumMod val="8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49B08CCA-2048-48C9-96D0-0D1A7731721D}"/>
              </a:ext>
            </a:extLst>
          </xdr:cNvPr>
          <xdr:cNvSpPr/>
        </xdr:nvSpPr>
        <xdr:spPr>
          <a:xfrm>
            <a:off x="7038975" y="3867150"/>
            <a:ext cx="504825" cy="11049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90" name="Straight Connector 89">
            <a:extLst>
              <a:ext uri="{FF2B5EF4-FFF2-40B4-BE49-F238E27FC236}">
                <a16:creationId xmlns:a16="http://schemas.microsoft.com/office/drawing/2014/main" id="{75FC81F9-07AE-4571-8728-9605FB9D667A}"/>
              </a:ext>
            </a:extLst>
          </xdr:cNvPr>
          <xdr:cNvCxnSpPr/>
        </xdr:nvCxnSpPr>
        <xdr:spPr>
          <a:xfrm>
            <a:off x="7243762" y="3871912"/>
            <a:ext cx="0" cy="1100138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" name="Oval 92">
            <a:extLst>
              <a:ext uri="{FF2B5EF4-FFF2-40B4-BE49-F238E27FC236}">
                <a16:creationId xmlns:a16="http://schemas.microsoft.com/office/drawing/2014/main" id="{530A0CE3-9D9F-47DF-A18F-B0703AC029A2}"/>
              </a:ext>
            </a:extLst>
          </xdr:cNvPr>
          <xdr:cNvSpPr/>
        </xdr:nvSpPr>
        <xdr:spPr>
          <a:xfrm>
            <a:off x="7053263" y="3886200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5" name="Oval 94">
            <a:extLst>
              <a:ext uri="{FF2B5EF4-FFF2-40B4-BE49-F238E27FC236}">
                <a16:creationId xmlns:a16="http://schemas.microsoft.com/office/drawing/2014/main" id="{5C009D85-3294-4C2A-8128-F61BAEA4F836}"/>
              </a:ext>
            </a:extLst>
          </xdr:cNvPr>
          <xdr:cNvSpPr/>
        </xdr:nvSpPr>
        <xdr:spPr>
          <a:xfrm>
            <a:off x="7248525" y="3881437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6" name="Oval 95">
            <a:extLst>
              <a:ext uri="{FF2B5EF4-FFF2-40B4-BE49-F238E27FC236}">
                <a16:creationId xmlns:a16="http://schemas.microsoft.com/office/drawing/2014/main" id="{515C0642-5914-4BA6-9ACA-51EB1DCE6381}"/>
              </a:ext>
            </a:extLst>
          </xdr:cNvPr>
          <xdr:cNvSpPr/>
        </xdr:nvSpPr>
        <xdr:spPr>
          <a:xfrm>
            <a:off x="7443788" y="3881437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7" name="Oval 96">
            <a:extLst>
              <a:ext uri="{FF2B5EF4-FFF2-40B4-BE49-F238E27FC236}">
                <a16:creationId xmlns:a16="http://schemas.microsoft.com/office/drawing/2014/main" id="{7C04D0EA-6B42-4577-B9F7-EF7980AEBC38}"/>
              </a:ext>
            </a:extLst>
          </xdr:cNvPr>
          <xdr:cNvSpPr/>
        </xdr:nvSpPr>
        <xdr:spPr>
          <a:xfrm>
            <a:off x="7058025" y="4876800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8" name="Oval 97">
            <a:extLst>
              <a:ext uri="{FF2B5EF4-FFF2-40B4-BE49-F238E27FC236}">
                <a16:creationId xmlns:a16="http://schemas.microsoft.com/office/drawing/2014/main" id="{C54E19F5-4376-4328-96EE-EBEB9E1C164C}"/>
              </a:ext>
            </a:extLst>
          </xdr:cNvPr>
          <xdr:cNvSpPr/>
        </xdr:nvSpPr>
        <xdr:spPr>
          <a:xfrm>
            <a:off x="7248524" y="4872037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99" name="Oval 98">
            <a:extLst>
              <a:ext uri="{FF2B5EF4-FFF2-40B4-BE49-F238E27FC236}">
                <a16:creationId xmlns:a16="http://schemas.microsoft.com/office/drawing/2014/main" id="{C45BDA13-2C72-407C-8B00-9B22309C71EC}"/>
              </a:ext>
            </a:extLst>
          </xdr:cNvPr>
          <xdr:cNvSpPr/>
        </xdr:nvSpPr>
        <xdr:spPr>
          <a:xfrm>
            <a:off x="7448550" y="4872037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0" name="Oval 99">
            <a:extLst>
              <a:ext uri="{FF2B5EF4-FFF2-40B4-BE49-F238E27FC236}">
                <a16:creationId xmlns:a16="http://schemas.microsoft.com/office/drawing/2014/main" id="{2CAA1D14-6DDF-4312-8781-178A193C3693}"/>
              </a:ext>
            </a:extLst>
          </xdr:cNvPr>
          <xdr:cNvSpPr/>
        </xdr:nvSpPr>
        <xdr:spPr>
          <a:xfrm>
            <a:off x="7053263" y="4219575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1" name="Oval 100">
            <a:extLst>
              <a:ext uri="{FF2B5EF4-FFF2-40B4-BE49-F238E27FC236}">
                <a16:creationId xmlns:a16="http://schemas.microsoft.com/office/drawing/2014/main" id="{54074424-51ED-4E1E-BE52-84347C233B6F}"/>
              </a:ext>
            </a:extLst>
          </xdr:cNvPr>
          <xdr:cNvSpPr/>
        </xdr:nvSpPr>
        <xdr:spPr>
          <a:xfrm>
            <a:off x="7443788" y="4214812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2" name="Oval 101">
            <a:extLst>
              <a:ext uri="{FF2B5EF4-FFF2-40B4-BE49-F238E27FC236}">
                <a16:creationId xmlns:a16="http://schemas.microsoft.com/office/drawing/2014/main" id="{6A16C504-20E9-4034-A321-AD2BF3D62B68}"/>
              </a:ext>
            </a:extLst>
          </xdr:cNvPr>
          <xdr:cNvSpPr/>
        </xdr:nvSpPr>
        <xdr:spPr>
          <a:xfrm>
            <a:off x="7058025" y="4567238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03" name="Oval 102">
            <a:extLst>
              <a:ext uri="{FF2B5EF4-FFF2-40B4-BE49-F238E27FC236}">
                <a16:creationId xmlns:a16="http://schemas.microsoft.com/office/drawing/2014/main" id="{C1037C99-C767-44B7-B8CB-026F1167B79C}"/>
              </a:ext>
            </a:extLst>
          </xdr:cNvPr>
          <xdr:cNvSpPr/>
        </xdr:nvSpPr>
        <xdr:spPr>
          <a:xfrm>
            <a:off x="7448550" y="4562475"/>
            <a:ext cx="76200" cy="7620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6" name="Straight Connector 105">
            <a:extLst>
              <a:ext uri="{FF2B5EF4-FFF2-40B4-BE49-F238E27FC236}">
                <a16:creationId xmlns:a16="http://schemas.microsoft.com/office/drawing/2014/main" id="{904BEB0B-7F8A-43CA-A9B9-1F07E0E41965}"/>
              </a:ext>
            </a:extLst>
          </xdr:cNvPr>
          <xdr:cNvCxnSpPr/>
        </xdr:nvCxnSpPr>
        <xdr:spPr>
          <a:xfrm>
            <a:off x="7038975" y="4205287"/>
            <a:ext cx="50958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" name="Straight Connector 107">
            <a:extLst>
              <a:ext uri="{FF2B5EF4-FFF2-40B4-BE49-F238E27FC236}">
                <a16:creationId xmlns:a16="http://schemas.microsoft.com/office/drawing/2014/main" id="{56FCAA29-BBB0-4235-A022-2AFD894C4206}"/>
              </a:ext>
            </a:extLst>
          </xdr:cNvPr>
          <xdr:cNvCxnSpPr/>
        </xdr:nvCxnSpPr>
        <xdr:spPr>
          <a:xfrm>
            <a:off x="7034213" y="4657725"/>
            <a:ext cx="509588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" name="Straight Connector 109">
            <a:extLst>
              <a:ext uri="{FF2B5EF4-FFF2-40B4-BE49-F238E27FC236}">
                <a16:creationId xmlns:a16="http://schemas.microsoft.com/office/drawing/2014/main" id="{E83580A5-3443-4D24-BB5A-E125B42BADB0}"/>
              </a:ext>
            </a:extLst>
          </xdr:cNvPr>
          <xdr:cNvCxnSpPr/>
        </xdr:nvCxnSpPr>
        <xdr:spPr>
          <a:xfrm>
            <a:off x="6958013" y="5095875"/>
            <a:ext cx="0" cy="338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" name="Straight Connector 111">
            <a:extLst>
              <a:ext uri="{FF2B5EF4-FFF2-40B4-BE49-F238E27FC236}">
                <a16:creationId xmlns:a16="http://schemas.microsoft.com/office/drawing/2014/main" id="{8F713E08-0866-484D-B39A-7A8D9E5EFE74}"/>
              </a:ext>
            </a:extLst>
          </xdr:cNvPr>
          <xdr:cNvCxnSpPr/>
        </xdr:nvCxnSpPr>
        <xdr:spPr>
          <a:xfrm>
            <a:off x="6910388" y="5343525"/>
            <a:ext cx="77152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" name="Straight Connector 113">
            <a:extLst>
              <a:ext uri="{FF2B5EF4-FFF2-40B4-BE49-F238E27FC236}">
                <a16:creationId xmlns:a16="http://schemas.microsoft.com/office/drawing/2014/main" id="{8511F52F-81F3-4FCC-878C-4AC74C4CFDE8}"/>
              </a:ext>
            </a:extLst>
          </xdr:cNvPr>
          <xdr:cNvCxnSpPr/>
        </xdr:nvCxnSpPr>
        <xdr:spPr>
          <a:xfrm flipH="1">
            <a:off x="6915150" y="5305425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" name="Straight Connector 115">
            <a:extLst>
              <a:ext uri="{FF2B5EF4-FFF2-40B4-BE49-F238E27FC236}">
                <a16:creationId xmlns:a16="http://schemas.microsoft.com/office/drawing/2014/main" id="{685E5BBF-9505-4702-8D10-2B6B4A2A707D}"/>
              </a:ext>
            </a:extLst>
          </xdr:cNvPr>
          <xdr:cNvCxnSpPr/>
        </xdr:nvCxnSpPr>
        <xdr:spPr>
          <a:xfrm>
            <a:off x="7605713" y="5091113"/>
            <a:ext cx="0" cy="3381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" name="Straight Connector 116">
            <a:extLst>
              <a:ext uri="{FF2B5EF4-FFF2-40B4-BE49-F238E27FC236}">
                <a16:creationId xmlns:a16="http://schemas.microsoft.com/office/drawing/2014/main" id="{AA484438-2008-43B0-805D-CE060F8502A7}"/>
              </a:ext>
            </a:extLst>
          </xdr:cNvPr>
          <xdr:cNvCxnSpPr/>
        </xdr:nvCxnSpPr>
        <xdr:spPr>
          <a:xfrm flipH="1">
            <a:off x="7562850" y="5300663"/>
            <a:ext cx="85725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Straight Connector 119">
            <a:extLst>
              <a:ext uri="{FF2B5EF4-FFF2-40B4-BE49-F238E27FC236}">
                <a16:creationId xmlns:a16="http://schemas.microsoft.com/office/drawing/2014/main" id="{AF0FF093-41CD-49D7-847E-21DAFE82020D}"/>
              </a:ext>
            </a:extLst>
          </xdr:cNvPr>
          <xdr:cNvCxnSpPr/>
        </xdr:nvCxnSpPr>
        <xdr:spPr>
          <a:xfrm>
            <a:off x="7710488" y="377190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2" name="Straight Connector 121">
            <a:extLst>
              <a:ext uri="{FF2B5EF4-FFF2-40B4-BE49-F238E27FC236}">
                <a16:creationId xmlns:a16="http://schemas.microsoft.com/office/drawing/2014/main" id="{354DDDBD-961E-4B0C-BC52-73ED76B1A69B}"/>
              </a:ext>
            </a:extLst>
          </xdr:cNvPr>
          <xdr:cNvCxnSpPr/>
        </xdr:nvCxnSpPr>
        <xdr:spPr>
          <a:xfrm>
            <a:off x="7934325" y="3714750"/>
            <a:ext cx="0" cy="140493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4" name="Straight Connector 123">
            <a:extLst>
              <a:ext uri="{FF2B5EF4-FFF2-40B4-BE49-F238E27FC236}">
                <a16:creationId xmlns:a16="http://schemas.microsoft.com/office/drawing/2014/main" id="{59331B34-F426-4BAD-BD2B-A2400F938867}"/>
              </a:ext>
            </a:extLst>
          </xdr:cNvPr>
          <xdr:cNvCxnSpPr/>
        </xdr:nvCxnSpPr>
        <xdr:spPr>
          <a:xfrm flipH="1">
            <a:off x="7886701" y="3724276"/>
            <a:ext cx="90487" cy="952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" name="Straight Connector 126">
            <a:extLst>
              <a:ext uri="{FF2B5EF4-FFF2-40B4-BE49-F238E27FC236}">
                <a16:creationId xmlns:a16="http://schemas.microsoft.com/office/drawing/2014/main" id="{6CBC0D9C-3C6A-4DE8-930E-C57614D3CA04}"/>
              </a:ext>
            </a:extLst>
          </xdr:cNvPr>
          <xdr:cNvCxnSpPr/>
        </xdr:nvCxnSpPr>
        <xdr:spPr>
          <a:xfrm>
            <a:off x="7710488" y="5048250"/>
            <a:ext cx="304800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" name="Straight Connector 127">
            <a:extLst>
              <a:ext uri="{FF2B5EF4-FFF2-40B4-BE49-F238E27FC236}">
                <a16:creationId xmlns:a16="http://schemas.microsoft.com/office/drawing/2014/main" id="{E98F82B0-0E84-4EC6-A799-3D73231FE3DB}"/>
              </a:ext>
            </a:extLst>
          </xdr:cNvPr>
          <xdr:cNvCxnSpPr/>
        </xdr:nvCxnSpPr>
        <xdr:spPr>
          <a:xfrm flipH="1">
            <a:off x="7886701" y="5000626"/>
            <a:ext cx="90487" cy="952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Straight Connector 122">
            <a:extLst>
              <a:ext uri="{FF2B5EF4-FFF2-40B4-BE49-F238E27FC236}">
                <a16:creationId xmlns:a16="http://schemas.microsoft.com/office/drawing/2014/main" id="{EA0F2585-DB24-4863-8DBB-21EC406F569B}"/>
              </a:ext>
            </a:extLst>
          </xdr:cNvPr>
          <xdr:cNvCxnSpPr/>
        </xdr:nvCxnSpPr>
        <xdr:spPr>
          <a:xfrm>
            <a:off x="6886575" y="4438650"/>
            <a:ext cx="819150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" name="Straight Connector 124">
            <a:extLst>
              <a:ext uri="{FF2B5EF4-FFF2-40B4-BE49-F238E27FC236}">
                <a16:creationId xmlns:a16="http://schemas.microsoft.com/office/drawing/2014/main" id="{8132799C-A80B-42CA-A9AB-C0A3483DD18C}"/>
              </a:ext>
            </a:extLst>
          </xdr:cNvPr>
          <xdr:cNvCxnSpPr/>
        </xdr:nvCxnSpPr>
        <xdr:spPr>
          <a:xfrm>
            <a:off x="6886575" y="4467225"/>
            <a:ext cx="819150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96858926-C6DC-4863-8C9B-BDD12FF29E8F}"/>
              </a:ext>
            </a:extLst>
          </xdr:cNvPr>
          <xdr:cNvCxnSpPr/>
        </xdr:nvCxnSpPr>
        <xdr:spPr>
          <a:xfrm>
            <a:off x="7353301" y="3676650"/>
            <a:ext cx="0" cy="1452563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" name="Straight Connector 128">
            <a:extLst>
              <a:ext uri="{FF2B5EF4-FFF2-40B4-BE49-F238E27FC236}">
                <a16:creationId xmlns:a16="http://schemas.microsoft.com/office/drawing/2014/main" id="{4C5AFB7F-BB64-4C55-BC0C-5023367DBDF9}"/>
              </a:ext>
            </a:extLst>
          </xdr:cNvPr>
          <xdr:cNvCxnSpPr/>
        </xdr:nvCxnSpPr>
        <xdr:spPr>
          <a:xfrm>
            <a:off x="7386638" y="3676650"/>
            <a:ext cx="0" cy="1452563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71438</xdr:colOff>
      <xdr:row>75</xdr:row>
      <xdr:rowOff>9525</xdr:rowOff>
    </xdr:from>
    <xdr:to>
      <xdr:col>14</xdr:col>
      <xdr:colOff>9526</xdr:colOff>
      <xdr:row>90</xdr:row>
      <xdr:rowOff>80963</xdr:rowOff>
    </xdr:to>
    <xdr:grpSp>
      <xdr:nvGrpSpPr>
        <xdr:cNvPr id="250" name="Group 249">
          <a:extLst>
            <a:ext uri="{FF2B5EF4-FFF2-40B4-BE49-F238E27FC236}">
              <a16:creationId xmlns:a16="http://schemas.microsoft.com/office/drawing/2014/main" id="{BCA5AD95-DBBA-4592-9980-C07051D0218C}"/>
            </a:ext>
          </a:extLst>
        </xdr:cNvPr>
        <xdr:cNvGrpSpPr/>
      </xdr:nvGrpSpPr>
      <xdr:grpSpPr>
        <a:xfrm>
          <a:off x="557213" y="11439525"/>
          <a:ext cx="1719263" cy="2214563"/>
          <a:chOff x="557213" y="11439525"/>
          <a:chExt cx="1719263" cy="221456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1D97BBDF-2768-4A01-A3A0-3573F28C64C8}"/>
              </a:ext>
            </a:extLst>
          </xdr:cNvPr>
          <xdr:cNvSpPr/>
        </xdr:nvSpPr>
        <xdr:spPr>
          <a:xfrm>
            <a:off x="981075" y="11582400"/>
            <a:ext cx="962025" cy="1704975"/>
          </a:xfrm>
          <a:prstGeom prst="rect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7BA8843-6716-4518-AF74-1A106D5AC304}"/>
              </a:ext>
            </a:extLst>
          </xdr:cNvPr>
          <xdr:cNvSpPr/>
        </xdr:nvSpPr>
        <xdr:spPr>
          <a:xfrm>
            <a:off x="1076325" y="11696700"/>
            <a:ext cx="781050" cy="1485900"/>
          </a:xfrm>
          <a:prstGeom prst="rect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5" name="Oval 24">
            <a:extLst>
              <a:ext uri="{FF2B5EF4-FFF2-40B4-BE49-F238E27FC236}">
                <a16:creationId xmlns:a16="http://schemas.microsoft.com/office/drawing/2014/main" id="{4DC9500A-571D-416B-B166-66E0020402CC}"/>
              </a:ext>
            </a:extLst>
          </xdr:cNvPr>
          <xdr:cNvSpPr/>
        </xdr:nvSpPr>
        <xdr:spPr>
          <a:xfrm>
            <a:off x="1095375" y="11715750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82" name="Oval 181">
            <a:extLst>
              <a:ext uri="{FF2B5EF4-FFF2-40B4-BE49-F238E27FC236}">
                <a16:creationId xmlns:a16="http://schemas.microsoft.com/office/drawing/2014/main" id="{EE5A9990-01DE-40A7-A1E8-90F7853656B8}"/>
              </a:ext>
            </a:extLst>
          </xdr:cNvPr>
          <xdr:cNvSpPr/>
        </xdr:nvSpPr>
        <xdr:spPr>
          <a:xfrm>
            <a:off x="1414462" y="11715750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0" name="Oval 189">
            <a:extLst>
              <a:ext uri="{FF2B5EF4-FFF2-40B4-BE49-F238E27FC236}">
                <a16:creationId xmlns:a16="http://schemas.microsoft.com/office/drawing/2014/main" id="{FF5B3F1E-A0CA-48EE-A7EC-F8BF1D3A5ACC}"/>
              </a:ext>
            </a:extLst>
          </xdr:cNvPr>
          <xdr:cNvSpPr/>
        </xdr:nvSpPr>
        <xdr:spPr>
          <a:xfrm>
            <a:off x="1738312" y="11715751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198" name="Oval 197">
            <a:extLst>
              <a:ext uri="{FF2B5EF4-FFF2-40B4-BE49-F238E27FC236}">
                <a16:creationId xmlns:a16="http://schemas.microsoft.com/office/drawing/2014/main" id="{6E884D84-A67B-4821-841D-B576A949DDEA}"/>
              </a:ext>
            </a:extLst>
          </xdr:cNvPr>
          <xdr:cNvSpPr/>
        </xdr:nvSpPr>
        <xdr:spPr>
          <a:xfrm>
            <a:off x="1095375" y="13063537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0" name="Oval 199">
            <a:extLst>
              <a:ext uri="{FF2B5EF4-FFF2-40B4-BE49-F238E27FC236}">
                <a16:creationId xmlns:a16="http://schemas.microsoft.com/office/drawing/2014/main" id="{F954946E-6D4F-4217-98C6-972048E26B90}"/>
              </a:ext>
            </a:extLst>
          </xdr:cNvPr>
          <xdr:cNvSpPr/>
        </xdr:nvSpPr>
        <xdr:spPr>
          <a:xfrm>
            <a:off x="1414462" y="13063537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2" name="Oval 201">
            <a:extLst>
              <a:ext uri="{FF2B5EF4-FFF2-40B4-BE49-F238E27FC236}">
                <a16:creationId xmlns:a16="http://schemas.microsoft.com/office/drawing/2014/main" id="{2B642014-34C7-4BC2-9BCE-AAF8CC2EC9D0}"/>
              </a:ext>
            </a:extLst>
          </xdr:cNvPr>
          <xdr:cNvSpPr/>
        </xdr:nvSpPr>
        <xdr:spPr>
          <a:xfrm>
            <a:off x="1738312" y="13058775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3" name="Oval 202">
            <a:extLst>
              <a:ext uri="{FF2B5EF4-FFF2-40B4-BE49-F238E27FC236}">
                <a16:creationId xmlns:a16="http://schemas.microsoft.com/office/drawing/2014/main" id="{671FB6B5-D252-4A58-8910-040C7E0BC442}"/>
              </a:ext>
            </a:extLst>
          </xdr:cNvPr>
          <xdr:cNvSpPr/>
        </xdr:nvSpPr>
        <xdr:spPr>
          <a:xfrm>
            <a:off x="1095375" y="12382500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04" name="Oval 203">
            <a:extLst>
              <a:ext uri="{FF2B5EF4-FFF2-40B4-BE49-F238E27FC236}">
                <a16:creationId xmlns:a16="http://schemas.microsoft.com/office/drawing/2014/main" id="{9441DBE1-9F6A-4242-86D5-3BEE19F88413}"/>
              </a:ext>
            </a:extLst>
          </xdr:cNvPr>
          <xdr:cNvSpPr/>
        </xdr:nvSpPr>
        <xdr:spPr>
          <a:xfrm>
            <a:off x="1738312" y="12382501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45" name="Straight Connector 44">
            <a:extLst>
              <a:ext uri="{FF2B5EF4-FFF2-40B4-BE49-F238E27FC236}">
                <a16:creationId xmlns:a16="http://schemas.microsoft.com/office/drawing/2014/main" id="{5CFD6C3E-6B57-418A-B3B1-B88B232938D9}"/>
              </a:ext>
            </a:extLst>
          </xdr:cNvPr>
          <xdr:cNvCxnSpPr/>
        </xdr:nvCxnSpPr>
        <xdr:spPr>
          <a:xfrm>
            <a:off x="1147763" y="11772901"/>
            <a:ext cx="1128713" cy="376238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" name="Straight Connector 204">
            <a:extLst>
              <a:ext uri="{FF2B5EF4-FFF2-40B4-BE49-F238E27FC236}">
                <a16:creationId xmlns:a16="http://schemas.microsoft.com/office/drawing/2014/main" id="{565CD3C5-272C-47FF-9D86-AD6D60E01C62}"/>
              </a:ext>
            </a:extLst>
          </xdr:cNvPr>
          <xdr:cNvCxnSpPr/>
        </xdr:nvCxnSpPr>
        <xdr:spPr>
          <a:xfrm flipV="1">
            <a:off x="1147763" y="12149138"/>
            <a:ext cx="1128712" cy="280988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Straight Connector 205">
            <a:extLst>
              <a:ext uri="{FF2B5EF4-FFF2-40B4-BE49-F238E27FC236}">
                <a16:creationId xmlns:a16="http://schemas.microsoft.com/office/drawing/2014/main" id="{BA747A5A-8C7F-4888-97A6-18CA8353F41F}"/>
              </a:ext>
            </a:extLst>
          </xdr:cNvPr>
          <xdr:cNvCxnSpPr/>
        </xdr:nvCxnSpPr>
        <xdr:spPr>
          <a:xfrm>
            <a:off x="1471613" y="11758613"/>
            <a:ext cx="804862" cy="390525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" name="Straight Connector 206">
            <a:extLst>
              <a:ext uri="{FF2B5EF4-FFF2-40B4-BE49-F238E27FC236}">
                <a16:creationId xmlns:a16="http://schemas.microsoft.com/office/drawing/2014/main" id="{6CB03C75-AE50-407E-B54A-FDCB42993B34}"/>
              </a:ext>
            </a:extLst>
          </xdr:cNvPr>
          <xdr:cNvCxnSpPr/>
        </xdr:nvCxnSpPr>
        <xdr:spPr>
          <a:xfrm flipV="1">
            <a:off x="1795463" y="12149138"/>
            <a:ext cx="471487" cy="285751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Straight Connector 207">
            <a:extLst>
              <a:ext uri="{FF2B5EF4-FFF2-40B4-BE49-F238E27FC236}">
                <a16:creationId xmlns:a16="http://schemas.microsoft.com/office/drawing/2014/main" id="{AE1573F3-D209-41AE-B95E-52036566D837}"/>
              </a:ext>
            </a:extLst>
          </xdr:cNvPr>
          <xdr:cNvCxnSpPr/>
        </xdr:nvCxnSpPr>
        <xdr:spPr>
          <a:xfrm flipV="1">
            <a:off x="1790700" y="12149138"/>
            <a:ext cx="476250" cy="962025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" name="Straight Connector 208">
            <a:extLst>
              <a:ext uri="{FF2B5EF4-FFF2-40B4-BE49-F238E27FC236}">
                <a16:creationId xmlns:a16="http://schemas.microsoft.com/office/drawing/2014/main" id="{B864CA71-FA68-4413-9D24-817BADE97E39}"/>
              </a:ext>
            </a:extLst>
          </xdr:cNvPr>
          <xdr:cNvCxnSpPr/>
        </xdr:nvCxnSpPr>
        <xdr:spPr>
          <a:xfrm flipV="1">
            <a:off x="1147763" y="12158663"/>
            <a:ext cx="1123950" cy="962025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" name="Straight Connector 209">
            <a:extLst>
              <a:ext uri="{FF2B5EF4-FFF2-40B4-BE49-F238E27FC236}">
                <a16:creationId xmlns:a16="http://schemas.microsoft.com/office/drawing/2014/main" id="{12F8A074-3891-4052-B96C-D2FE24851A18}"/>
              </a:ext>
            </a:extLst>
          </xdr:cNvPr>
          <xdr:cNvCxnSpPr/>
        </xdr:nvCxnSpPr>
        <xdr:spPr>
          <a:xfrm>
            <a:off x="1790701" y="11768138"/>
            <a:ext cx="476249" cy="385762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Straight Connector 60">
            <a:extLst>
              <a:ext uri="{FF2B5EF4-FFF2-40B4-BE49-F238E27FC236}">
                <a16:creationId xmlns:a16="http://schemas.microsoft.com/office/drawing/2014/main" id="{57B3607E-6A28-4E49-9880-C31114C6D0E7}"/>
              </a:ext>
            </a:extLst>
          </xdr:cNvPr>
          <xdr:cNvCxnSpPr/>
        </xdr:nvCxnSpPr>
        <xdr:spPr>
          <a:xfrm>
            <a:off x="966788" y="13368338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8885BA58-D722-41E1-B668-01B8956497B9}"/>
              </a:ext>
            </a:extLst>
          </xdr:cNvPr>
          <xdr:cNvCxnSpPr/>
        </xdr:nvCxnSpPr>
        <xdr:spPr>
          <a:xfrm>
            <a:off x="900113" y="13573125"/>
            <a:ext cx="11001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6971FEC4-842E-4664-8B22-37FE74246EF3}"/>
              </a:ext>
            </a:extLst>
          </xdr:cNvPr>
          <xdr:cNvCxnSpPr/>
        </xdr:nvCxnSpPr>
        <xdr:spPr>
          <a:xfrm flipH="1">
            <a:off x="919162" y="13525499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" name="Straight Connector 210">
            <a:extLst>
              <a:ext uri="{FF2B5EF4-FFF2-40B4-BE49-F238E27FC236}">
                <a16:creationId xmlns:a16="http://schemas.microsoft.com/office/drawing/2014/main" id="{300A0B15-5ACD-4207-9632-B67434FA8976}"/>
              </a:ext>
            </a:extLst>
          </xdr:cNvPr>
          <xdr:cNvCxnSpPr/>
        </xdr:nvCxnSpPr>
        <xdr:spPr>
          <a:xfrm>
            <a:off x="1938338" y="13368338"/>
            <a:ext cx="0" cy="2857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Straight Connector 211">
            <a:extLst>
              <a:ext uri="{FF2B5EF4-FFF2-40B4-BE49-F238E27FC236}">
                <a16:creationId xmlns:a16="http://schemas.microsoft.com/office/drawing/2014/main" id="{52DFB099-8454-4FE8-98AC-E4F9A52AD6DF}"/>
              </a:ext>
            </a:extLst>
          </xdr:cNvPr>
          <xdr:cNvCxnSpPr/>
        </xdr:nvCxnSpPr>
        <xdr:spPr>
          <a:xfrm flipH="1">
            <a:off x="1890712" y="13525499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Straight Connector 81">
            <a:extLst>
              <a:ext uri="{FF2B5EF4-FFF2-40B4-BE49-F238E27FC236}">
                <a16:creationId xmlns:a16="http://schemas.microsoft.com/office/drawing/2014/main" id="{C5A06591-2EB5-4E59-A07B-2486DF18B3CA}"/>
              </a:ext>
            </a:extLst>
          </xdr:cNvPr>
          <xdr:cNvCxnSpPr/>
        </xdr:nvCxnSpPr>
        <xdr:spPr>
          <a:xfrm flipH="1">
            <a:off x="557213" y="11577639"/>
            <a:ext cx="37147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Straight Connector 84">
            <a:extLst>
              <a:ext uri="{FF2B5EF4-FFF2-40B4-BE49-F238E27FC236}">
                <a16:creationId xmlns:a16="http://schemas.microsoft.com/office/drawing/2014/main" id="{C99110BD-11DC-4ED3-BC34-D0CEBF7403AB}"/>
              </a:ext>
            </a:extLst>
          </xdr:cNvPr>
          <xdr:cNvCxnSpPr/>
        </xdr:nvCxnSpPr>
        <xdr:spPr>
          <a:xfrm>
            <a:off x="647700" y="11506200"/>
            <a:ext cx="0" cy="1866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Straight Connector 90">
            <a:extLst>
              <a:ext uri="{FF2B5EF4-FFF2-40B4-BE49-F238E27FC236}">
                <a16:creationId xmlns:a16="http://schemas.microsoft.com/office/drawing/2014/main" id="{2BDB6E8F-F94A-4E93-8834-8CF9983C950D}"/>
              </a:ext>
            </a:extLst>
          </xdr:cNvPr>
          <xdr:cNvCxnSpPr/>
        </xdr:nvCxnSpPr>
        <xdr:spPr>
          <a:xfrm flipH="1">
            <a:off x="566738" y="13287375"/>
            <a:ext cx="36671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191A00C9-6032-4CC0-AFFE-82D146537007}"/>
              </a:ext>
            </a:extLst>
          </xdr:cNvPr>
          <xdr:cNvCxnSpPr/>
        </xdr:nvCxnSpPr>
        <xdr:spPr>
          <a:xfrm flipH="1">
            <a:off x="604838" y="11539538"/>
            <a:ext cx="80962" cy="9048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Straight Connector 104">
            <a:extLst>
              <a:ext uri="{FF2B5EF4-FFF2-40B4-BE49-F238E27FC236}">
                <a16:creationId xmlns:a16="http://schemas.microsoft.com/office/drawing/2014/main" id="{4928132B-B4EC-4E50-A96F-5103F1D47434}"/>
              </a:ext>
            </a:extLst>
          </xdr:cNvPr>
          <xdr:cNvCxnSpPr/>
        </xdr:nvCxnSpPr>
        <xdr:spPr>
          <a:xfrm flipH="1">
            <a:off x="600075" y="13249275"/>
            <a:ext cx="90488" cy="952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Straight Connector 114">
            <a:extLst>
              <a:ext uri="{FF2B5EF4-FFF2-40B4-BE49-F238E27FC236}">
                <a16:creationId xmlns:a16="http://schemas.microsoft.com/office/drawing/2014/main" id="{AC3BFFE3-CA6E-410D-8401-DB04B0399B52}"/>
              </a:ext>
            </a:extLst>
          </xdr:cNvPr>
          <xdr:cNvCxnSpPr/>
        </xdr:nvCxnSpPr>
        <xdr:spPr>
          <a:xfrm>
            <a:off x="866775" y="12696825"/>
            <a:ext cx="1262063" cy="0"/>
          </a:xfrm>
          <a:prstGeom prst="line">
            <a:avLst/>
          </a:prstGeom>
          <a:ln w="12700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" name="Straight Connector 221">
            <a:extLst>
              <a:ext uri="{FF2B5EF4-FFF2-40B4-BE49-F238E27FC236}">
                <a16:creationId xmlns:a16="http://schemas.microsoft.com/office/drawing/2014/main" id="{C74D85CF-88CC-484A-A7AB-BB9FD540F2A5}"/>
              </a:ext>
            </a:extLst>
          </xdr:cNvPr>
          <xdr:cNvCxnSpPr/>
        </xdr:nvCxnSpPr>
        <xdr:spPr>
          <a:xfrm>
            <a:off x="866775" y="12658725"/>
            <a:ext cx="1262063" cy="0"/>
          </a:xfrm>
          <a:prstGeom prst="line">
            <a:avLst/>
          </a:prstGeom>
          <a:ln w="12700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Straight Connector 118">
            <a:extLst>
              <a:ext uri="{FF2B5EF4-FFF2-40B4-BE49-F238E27FC236}">
                <a16:creationId xmlns:a16="http://schemas.microsoft.com/office/drawing/2014/main" id="{FDE9DC75-E85D-4F61-A952-291550277722}"/>
              </a:ext>
            </a:extLst>
          </xdr:cNvPr>
          <xdr:cNvCxnSpPr/>
        </xdr:nvCxnSpPr>
        <xdr:spPr>
          <a:xfrm>
            <a:off x="1309688" y="11439525"/>
            <a:ext cx="0" cy="1943100"/>
          </a:xfrm>
          <a:prstGeom prst="line">
            <a:avLst/>
          </a:prstGeom>
          <a:ln w="12700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Straight Connector 222">
            <a:extLst>
              <a:ext uri="{FF2B5EF4-FFF2-40B4-BE49-F238E27FC236}">
                <a16:creationId xmlns:a16="http://schemas.microsoft.com/office/drawing/2014/main" id="{43E651FB-7408-4BBB-81FC-578A0B494340}"/>
              </a:ext>
            </a:extLst>
          </xdr:cNvPr>
          <xdr:cNvCxnSpPr/>
        </xdr:nvCxnSpPr>
        <xdr:spPr>
          <a:xfrm>
            <a:off x="1343026" y="11439525"/>
            <a:ext cx="0" cy="1943100"/>
          </a:xfrm>
          <a:prstGeom prst="line">
            <a:avLst/>
          </a:prstGeom>
          <a:ln w="12700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19050</xdr:colOff>
      <xdr:row>4</xdr:row>
      <xdr:rowOff>23813</xdr:rowOff>
    </xdr:from>
    <xdr:to>
      <xdr:col>23</xdr:col>
      <xdr:colOff>90487</xdr:colOff>
      <xdr:row>67</xdr:row>
      <xdr:rowOff>109537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83568F63-FF50-487F-8454-E565643B6EC1}"/>
            </a:ext>
          </a:extLst>
        </xdr:cNvPr>
        <xdr:cNvGrpSpPr/>
      </xdr:nvGrpSpPr>
      <xdr:grpSpPr>
        <a:xfrm>
          <a:off x="342900" y="938213"/>
          <a:ext cx="3471862" cy="9086849"/>
          <a:chOff x="349250" y="938213"/>
          <a:chExt cx="3538537" cy="8886824"/>
        </a:xfrm>
      </xdr:grpSpPr>
      <xdr:sp macro="" textlink="">
        <xdr:nvSpPr>
          <xdr:cNvPr id="2" name="Freeform: Shape 1">
            <a:extLst>
              <a:ext uri="{FF2B5EF4-FFF2-40B4-BE49-F238E27FC236}">
                <a16:creationId xmlns:a16="http://schemas.microsoft.com/office/drawing/2014/main" id="{52117F37-A735-4C86-A015-27AA00890090}"/>
              </a:ext>
            </a:extLst>
          </xdr:cNvPr>
          <xdr:cNvSpPr/>
        </xdr:nvSpPr>
        <xdr:spPr>
          <a:xfrm>
            <a:off x="801070" y="1063273"/>
            <a:ext cx="1015966" cy="831452"/>
          </a:xfrm>
          <a:custGeom>
            <a:avLst/>
            <a:gdLst>
              <a:gd name="connsiteX0" fmla="*/ 0 w 990600"/>
              <a:gd name="connsiteY0" fmla="*/ 847725 h 847725"/>
              <a:gd name="connsiteX1" fmla="*/ 990600 w 990600"/>
              <a:gd name="connsiteY1" fmla="*/ 847725 h 847725"/>
              <a:gd name="connsiteX2" fmla="*/ 990600 w 990600"/>
              <a:gd name="connsiteY2" fmla="*/ 0 h 8477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90600" h="847725">
                <a:moveTo>
                  <a:pt x="0" y="847725"/>
                </a:moveTo>
                <a:lnTo>
                  <a:pt x="990600" y="847725"/>
                </a:lnTo>
                <a:lnTo>
                  <a:pt x="990600" y="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4" name="Freeform: Shape 3">
            <a:extLst>
              <a:ext uri="{FF2B5EF4-FFF2-40B4-BE49-F238E27FC236}">
                <a16:creationId xmlns:a16="http://schemas.microsoft.com/office/drawing/2014/main" id="{9D4787BF-93F8-4A66-BB38-E545C253719A}"/>
              </a:ext>
            </a:extLst>
          </xdr:cNvPr>
          <xdr:cNvSpPr/>
        </xdr:nvSpPr>
        <xdr:spPr>
          <a:xfrm>
            <a:off x="2808020" y="1056708"/>
            <a:ext cx="1000330" cy="838016"/>
          </a:xfrm>
          <a:custGeom>
            <a:avLst/>
            <a:gdLst>
              <a:gd name="connsiteX0" fmla="*/ 0 w 981075"/>
              <a:gd name="connsiteY0" fmla="*/ 0 h 857250"/>
              <a:gd name="connsiteX1" fmla="*/ 0 w 981075"/>
              <a:gd name="connsiteY1" fmla="*/ 857250 h 857250"/>
              <a:gd name="connsiteX2" fmla="*/ 981075 w 981075"/>
              <a:gd name="connsiteY2" fmla="*/ 857250 h 857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81075" h="857250">
                <a:moveTo>
                  <a:pt x="0" y="0"/>
                </a:moveTo>
                <a:lnTo>
                  <a:pt x="0" y="857250"/>
                </a:lnTo>
                <a:lnTo>
                  <a:pt x="981075" y="85725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71D92F0D-AD8D-44AF-876F-375561EDB907}"/>
              </a:ext>
            </a:extLst>
          </xdr:cNvPr>
          <xdr:cNvSpPr/>
        </xdr:nvSpPr>
        <xdr:spPr>
          <a:xfrm>
            <a:off x="810416" y="2732811"/>
            <a:ext cx="1006620" cy="5167767"/>
          </a:xfrm>
          <a:custGeom>
            <a:avLst/>
            <a:gdLst>
              <a:gd name="connsiteX0" fmla="*/ 0 w 981075"/>
              <a:gd name="connsiteY0" fmla="*/ 0 h 4705350"/>
              <a:gd name="connsiteX1" fmla="*/ 981075 w 981075"/>
              <a:gd name="connsiteY1" fmla="*/ 0 h 4705350"/>
              <a:gd name="connsiteX2" fmla="*/ 981075 w 981075"/>
              <a:gd name="connsiteY2" fmla="*/ 4705350 h 4705350"/>
              <a:gd name="connsiteX3" fmla="*/ 0 w 981075"/>
              <a:gd name="connsiteY3" fmla="*/ 4705350 h 47053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1075" h="4705350">
                <a:moveTo>
                  <a:pt x="0" y="0"/>
                </a:moveTo>
                <a:lnTo>
                  <a:pt x="981075" y="0"/>
                </a:lnTo>
                <a:lnTo>
                  <a:pt x="981075" y="4705350"/>
                </a:lnTo>
                <a:lnTo>
                  <a:pt x="0" y="470535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6" name="Freeform: Shape 5">
            <a:extLst>
              <a:ext uri="{FF2B5EF4-FFF2-40B4-BE49-F238E27FC236}">
                <a16:creationId xmlns:a16="http://schemas.microsoft.com/office/drawing/2014/main" id="{DF648B40-CB22-416D-9086-D09B851BF001}"/>
              </a:ext>
            </a:extLst>
          </xdr:cNvPr>
          <xdr:cNvSpPr/>
        </xdr:nvSpPr>
        <xdr:spPr>
          <a:xfrm rot="10800000">
            <a:off x="2808020" y="2732741"/>
            <a:ext cx="1000330" cy="5167767"/>
          </a:xfrm>
          <a:custGeom>
            <a:avLst/>
            <a:gdLst>
              <a:gd name="connsiteX0" fmla="*/ 0 w 981075"/>
              <a:gd name="connsiteY0" fmla="*/ 0 h 4705350"/>
              <a:gd name="connsiteX1" fmla="*/ 981075 w 981075"/>
              <a:gd name="connsiteY1" fmla="*/ 0 h 4705350"/>
              <a:gd name="connsiteX2" fmla="*/ 981075 w 981075"/>
              <a:gd name="connsiteY2" fmla="*/ 4705350 h 4705350"/>
              <a:gd name="connsiteX3" fmla="*/ 0 w 981075"/>
              <a:gd name="connsiteY3" fmla="*/ 4705350 h 47053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981075" h="4705350">
                <a:moveTo>
                  <a:pt x="0" y="0"/>
                </a:moveTo>
                <a:lnTo>
                  <a:pt x="981075" y="0"/>
                </a:lnTo>
                <a:lnTo>
                  <a:pt x="981075" y="4705350"/>
                </a:lnTo>
                <a:lnTo>
                  <a:pt x="0" y="470535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Freeform: Shape 6">
            <a:extLst>
              <a:ext uri="{FF2B5EF4-FFF2-40B4-BE49-F238E27FC236}">
                <a16:creationId xmlns:a16="http://schemas.microsoft.com/office/drawing/2014/main" id="{5EB89853-6DB6-4DFB-9575-C9D1DCF51ACF}"/>
              </a:ext>
            </a:extLst>
          </xdr:cNvPr>
          <xdr:cNvSpPr/>
        </xdr:nvSpPr>
        <xdr:spPr>
          <a:xfrm rot="16200000">
            <a:off x="834194" y="8728762"/>
            <a:ext cx="979380" cy="995656"/>
          </a:xfrm>
          <a:custGeom>
            <a:avLst/>
            <a:gdLst>
              <a:gd name="connsiteX0" fmla="*/ 0 w 990600"/>
              <a:gd name="connsiteY0" fmla="*/ 847725 h 847725"/>
              <a:gd name="connsiteX1" fmla="*/ 990600 w 990600"/>
              <a:gd name="connsiteY1" fmla="*/ 847725 h 847725"/>
              <a:gd name="connsiteX2" fmla="*/ 990600 w 990600"/>
              <a:gd name="connsiteY2" fmla="*/ 0 h 8477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90600" h="847725">
                <a:moveTo>
                  <a:pt x="0" y="847725"/>
                </a:moveTo>
                <a:lnTo>
                  <a:pt x="990600" y="847725"/>
                </a:lnTo>
                <a:lnTo>
                  <a:pt x="990600" y="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8" name="Freeform: Shape 7">
            <a:extLst>
              <a:ext uri="{FF2B5EF4-FFF2-40B4-BE49-F238E27FC236}">
                <a16:creationId xmlns:a16="http://schemas.microsoft.com/office/drawing/2014/main" id="{95B6225F-04C7-4E93-9FF2-C3BDFAA693E1}"/>
              </a:ext>
            </a:extLst>
          </xdr:cNvPr>
          <xdr:cNvSpPr/>
        </xdr:nvSpPr>
        <xdr:spPr>
          <a:xfrm rot="10800000">
            <a:off x="2810358" y="8739336"/>
            <a:ext cx="1009676" cy="976944"/>
          </a:xfrm>
          <a:custGeom>
            <a:avLst/>
            <a:gdLst>
              <a:gd name="connsiteX0" fmla="*/ 0 w 990600"/>
              <a:gd name="connsiteY0" fmla="*/ 847725 h 847725"/>
              <a:gd name="connsiteX1" fmla="*/ 990600 w 990600"/>
              <a:gd name="connsiteY1" fmla="*/ 847725 h 847725"/>
              <a:gd name="connsiteX2" fmla="*/ 990600 w 990600"/>
              <a:gd name="connsiteY2" fmla="*/ 0 h 8477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990600" h="847725">
                <a:moveTo>
                  <a:pt x="0" y="847725"/>
                </a:moveTo>
                <a:lnTo>
                  <a:pt x="990600" y="847725"/>
                </a:lnTo>
                <a:lnTo>
                  <a:pt x="990600" y="0"/>
                </a:lnTo>
              </a:path>
            </a:pathLst>
          </a:cu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F2589F10-897A-43B0-A9B5-68C332B1EF36}"/>
              </a:ext>
            </a:extLst>
          </xdr:cNvPr>
          <xdr:cNvCxnSpPr/>
        </xdr:nvCxnSpPr>
        <xdr:spPr>
          <a:xfrm flipV="1">
            <a:off x="2726966" y="1058404"/>
            <a:ext cx="0" cy="4650969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Freeform: Shape 10">
            <a:extLst>
              <a:ext uri="{FF2B5EF4-FFF2-40B4-BE49-F238E27FC236}">
                <a16:creationId xmlns:a16="http://schemas.microsoft.com/office/drawing/2014/main" id="{697713C3-1340-4503-9669-A3F145B1C2DA}"/>
              </a:ext>
            </a:extLst>
          </xdr:cNvPr>
          <xdr:cNvSpPr/>
        </xdr:nvSpPr>
        <xdr:spPr>
          <a:xfrm>
            <a:off x="2674632" y="4827781"/>
            <a:ext cx="59811" cy="4888428"/>
          </a:xfrm>
          <a:custGeom>
            <a:avLst/>
            <a:gdLst>
              <a:gd name="connsiteX0" fmla="*/ 0 w 60960"/>
              <a:gd name="connsiteY0" fmla="*/ 0 h 5067300"/>
              <a:gd name="connsiteX1" fmla="*/ 0 w 60960"/>
              <a:gd name="connsiteY1" fmla="*/ 868680 h 5067300"/>
              <a:gd name="connsiteX2" fmla="*/ 60960 w 60960"/>
              <a:gd name="connsiteY2" fmla="*/ 975360 h 5067300"/>
              <a:gd name="connsiteX3" fmla="*/ 60960 w 60960"/>
              <a:gd name="connsiteY3" fmla="*/ 5067300 h 50673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0960" h="5067300">
                <a:moveTo>
                  <a:pt x="0" y="0"/>
                </a:moveTo>
                <a:lnTo>
                  <a:pt x="0" y="868680"/>
                </a:lnTo>
                <a:lnTo>
                  <a:pt x="60960" y="975360"/>
                </a:lnTo>
                <a:lnTo>
                  <a:pt x="60960" y="5067300"/>
                </a:lnTo>
              </a:path>
            </a:pathLst>
          </a:cu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428A4F8E-93E1-43CF-884B-65EC39590DC1}"/>
              </a:ext>
            </a:extLst>
          </xdr:cNvPr>
          <xdr:cNvCxnSpPr/>
        </xdr:nvCxnSpPr>
        <xdr:spPr>
          <a:xfrm flipV="1">
            <a:off x="1891800" y="1054111"/>
            <a:ext cx="0" cy="4686427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Freeform: Shape 12">
            <a:extLst>
              <a:ext uri="{FF2B5EF4-FFF2-40B4-BE49-F238E27FC236}">
                <a16:creationId xmlns:a16="http://schemas.microsoft.com/office/drawing/2014/main" id="{5E939091-FBDE-496C-AF2E-1749DA1D0B45}"/>
              </a:ext>
            </a:extLst>
          </xdr:cNvPr>
          <xdr:cNvSpPr/>
        </xdr:nvSpPr>
        <xdr:spPr>
          <a:xfrm>
            <a:off x="1889930" y="4827781"/>
            <a:ext cx="59811" cy="4893045"/>
          </a:xfrm>
          <a:custGeom>
            <a:avLst/>
            <a:gdLst>
              <a:gd name="connsiteX0" fmla="*/ 60960 w 60960"/>
              <a:gd name="connsiteY0" fmla="*/ 0 h 5074920"/>
              <a:gd name="connsiteX1" fmla="*/ 60960 w 60960"/>
              <a:gd name="connsiteY1" fmla="*/ 868680 h 5074920"/>
              <a:gd name="connsiteX2" fmla="*/ 0 w 60960"/>
              <a:gd name="connsiteY2" fmla="*/ 998220 h 5074920"/>
              <a:gd name="connsiteX3" fmla="*/ 0 w 60960"/>
              <a:gd name="connsiteY3" fmla="*/ 5074920 h 50749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60960" h="5074920">
                <a:moveTo>
                  <a:pt x="60960" y="0"/>
                </a:moveTo>
                <a:lnTo>
                  <a:pt x="60960" y="868680"/>
                </a:lnTo>
                <a:lnTo>
                  <a:pt x="0" y="998220"/>
                </a:lnTo>
                <a:lnTo>
                  <a:pt x="0" y="5074920"/>
                </a:lnTo>
              </a:path>
            </a:pathLst>
          </a:cu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575FC705-198A-43A4-AA44-5027D2144201}"/>
              </a:ext>
            </a:extLst>
          </xdr:cNvPr>
          <xdr:cNvCxnSpPr/>
        </xdr:nvCxnSpPr>
        <xdr:spPr>
          <a:xfrm>
            <a:off x="1882455" y="2778263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BFE5CBA9-D106-4FF4-B1CC-E0A9987FD746}"/>
              </a:ext>
            </a:extLst>
          </xdr:cNvPr>
          <xdr:cNvCxnSpPr/>
        </xdr:nvCxnSpPr>
        <xdr:spPr>
          <a:xfrm>
            <a:off x="1887127" y="2981238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2B3C9654-2CAD-4A29-B959-DC7B40D230F7}"/>
              </a:ext>
            </a:extLst>
          </xdr:cNvPr>
          <xdr:cNvCxnSpPr/>
        </xdr:nvCxnSpPr>
        <xdr:spPr>
          <a:xfrm>
            <a:off x="1887127" y="3163184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CA2D715E-8736-4DDB-94AE-66B0BC4FB7AD}"/>
              </a:ext>
            </a:extLst>
          </xdr:cNvPr>
          <xdr:cNvCxnSpPr/>
        </xdr:nvCxnSpPr>
        <xdr:spPr>
          <a:xfrm>
            <a:off x="1891799" y="3366158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A93380CC-0D1A-4282-B802-9D05A32DE3BA}"/>
              </a:ext>
            </a:extLst>
          </xdr:cNvPr>
          <xdr:cNvCxnSpPr/>
        </xdr:nvCxnSpPr>
        <xdr:spPr>
          <a:xfrm>
            <a:off x="1877781" y="3559395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611C7E15-1D74-40E9-AD52-F211DFA80F8A}"/>
              </a:ext>
            </a:extLst>
          </xdr:cNvPr>
          <xdr:cNvCxnSpPr/>
        </xdr:nvCxnSpPr>
        <xdr:spPr>
          <a:xfrm>
            <a:off x="1882454" y="3755948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Connector 23">
            <a:extLst>
              <a:ext uri="{FF2B5EF4-FFF2-40B4-BE49-F238E27FC236}">
                <a16:creationId xmlns:a16="http://schemas.microsoft.com/office/drawing/2014/main" id="{A5372759-2BA2-41A6-B762-4BC549461E7B}"/>
              </a:ext>
            </a:extLst>
          </xdr:cNvPr>
          <xdr:cNvCxnSpPr/>
        </xdr:nvCxnSpPr>
        <xdr:spPr>
          <a:xfrm>
            <a:off x="1882454" y="3944316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8C97D159-C019-4748-9BBD-F13BBD205700}"/>
              </a:ext>
            </a:extLst>
          </xdr:cNvPr>
          <xdr:cNvCxnSpPr/>
        </xdr:nvCxnSpPr>
        <xdr:spPr>
          <a:xfrm>
            <a:off x="1896473" y="6684135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55E3018C-4ECF-4244-B00B-96870478E6BB}"/>
              </a:ext>
            </a:extLst>
          </xdr:cNvPr>
          <xdr:cNvCxnSpPr/>
        </xdr:nvCxnSpPr>
        <xdr:spPr>
          <a:xfrm>
            <a:off x="1896473" y="6872502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CBF09257-BB87-4579-BDD7-0A616ABAB118}"/>
              </a:ext>
            </a:extLst>
          </xdr:cNvPr>
          <xdr:cNvCxnSpPr/>
        </xdr:nvCxnSpPr>
        <xdr:spPr>
          <a:xfrm>
            <a:off x="1901146" y="7069056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28D3796B-5B52-4E04-A52F-06A31A8ABB2C}"/>
              </a:ext>
            </a:extLst>
          </xdr:cNvPr>
          <xdr:cNvCxnSpPr/>
        </xdr:nvCxnSpPr>
        <xdr:spPr>
          <a:xfrm>
            <a:off x="1887128" y="7262292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90E28CE8-054B-4937-8B48-517E754F35B9}"/>
              </a:ext>
            </a:extLst>
          </xdr:cNvPr>
          <xdr:cNvCxnSpPr/>
        </xdr:nvCxnSpPr>
        <xdr:spPr>
          <a:xfrm>
            <a:off x="1891800" y="7465267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Connector 31">
            <a:extLst>
              <a:ext uri="{FF2B5EF4-FFF2-40B4-BE49-F238E27FC236}">
                <a16:creationId xmlns:a16="http://schemas.microsoft.com/office/drawing/2014/main" id="{EA248143-46F6-431B-9597-6E662D5449BD}"/>
              </a:ext>
            </a:extLst>
          </xdr:cNvPr>
          <xdr:cNvCxnSpPr/>
        </xdr:nvCxnSpPr>
        <xdr:spPr>
          <a:xfrm>
            <a:off x="1891800" y="7647213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id="{FB1636C5-FE76-4334-9FA6-5C23B04FE0E3}"/>
              </a:ext>
            </a:extLst>
          </xdr:cNvPr>
          <xdr:cNvCxnSpPr/>
        </xdr:nvCxnSpPr>
        <xdr:spPr>
          <a:xfrm>
            <a:off x="1896472" y="7850188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Connector 33">
            <a:extLst>
              <a:ext uri="{FF2B5EF4-FFF2-40B4-BE49-F238E27FC236}">
                <a16:creationId xmlns:a16="http://schemas.microsoft.com/office/drawing/2014/main" id="{05A81B40-5F3E-4E70-8AB1-F69FFFB5F426}"/>
              </a:ext>
            </a:extLst>
          </xdr:cNvPr>
          <xdr:cNvCxnSpPr/>
        </xdr:nvCxnSpPr>
        <xdr:spPr>
          <a:xfrm>
            <a:off x="1896472" y="4844085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FF6D0288-B016-49F1-9C2E-158B10431E35}"/>
              </a:ext>
            </a:extLst>
          </xdr:cNvPr>
          <xdr:cNvCxnSpPr/>
        </xdr:nvCxnSpPr>
        <xdr:spPr>
          <a:xfrm>
            <a:off x="1901145" y="5047060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Connector 35">
            <a:extLst>
              <a:ext uri="{FF2B5EF4-FFF2-40B4-BE49-F238E27FC236}">
                <a16:creationId xmlns:a16="http://schemas.microsoft.com/office/drawing/2014/main" id="{1FFFC2B9-2A71-412B-AE4B-2EFB8738DC02}"/>
              </a:ext>
            </a:extLst>
          </xdr:cNvPr>
          <xdr:cNvCxnSpPr/>
        </xdr:nvCxnSpPr>
        <xdr:spPr>
          <a:xfrm>
            <a:off x="1887127" y="5240297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Straight Connector 36">
            <a:extLst>
              <a:ext uri="{FF2B5EF4-FFF2-40B4-BE49-F238E27FC236}">
                <a16:creationId xmlns:a16="http://schemas.microsoft.com/office/drawing/2014/main" id="{71F7D7CE-0779-4CBA-9005-A2870F44351C}"/>
              </a:ext>
            </a:extLst>
          </xdr:cNvPr>
          <xdr:cNvCxnSpPr/>
        </xdr:nvCxnSpPr>
        <xdr:spPr>
          <a:xfrm>
            <a:off x="1891799" y="5436850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6374BDE0-B638-4DFA-BC43-9BD6022F9107}"/>
              </a:ext>
            </a:extLst>
          </xdr:cNvPr>
          <xdr:cNvCxnSpPr/>
        </xdr:nvCxnSpPr>
        <xdr:spPr>
          <a:xfrm>
            <a:off x="1891799" y="5625217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id="{881CF6F6-A17C-4E0F-97BF-5389AC15CBB1}"/>
              </a:ext>
            </a:extLst>
          </xdr:cNvPr>
          <xdr:cNvCxnSpPr/>
        </xdr:nvCxnSpPr>
        <xdr:spPr>
          <a:xfrm>
            <a:off x="1896473" y="5794104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id="{7346C316-32B5-4AFC-8327-F94053D64137}"/>
              </a:ext>
            </a:extLst>
          </xdr:cNvPr>
          <xdr:cNvCxnSpPr/>
        </xdr:nvCxnSpPr>
        <xdr:spPr>
          <a:xfrm>
            <a:off x="1887127" y="4252873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1644C31C-F4F2-4018-956F-DA8B5FE85B67}"/>
              </a:ext>
            </a:extLst>
          </xdr:cNvPr>
          <xdr:cNvCxnSpPr/>
        </xdr:nvCxnSpPr>
        <xdr:spPr>
          <a:xfrm>
            <a:off x="1887127" y="4527342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id="{5E0D30D3-0A05-4B4D-866C-0A03990FFF1D}"/>
              </a:ext>
            </a:extLst>
          </xdr:cNvPr>
          <xdr:cNvCxnSpPr/>
        </xdr:nvCxnSpPr>
        <xdr:spPr>
          <a:xfrm>
            <a:off x="1901146" y="6084806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72A4918E-83C5-4220-84D3-446A52EB996A}"/>
              </a:ext>
            </a:extLst>
          </xdr:cNvPr>
          <xdr:cNvCxnSpPr/>
        </xdr:nvCxnSpPr>
        <xdr:spPr>
          <a:xfrm>
            <a:off x="1887128" y="6399927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Connector 46">
            <a:extLst>
              <a:ext uri="{FF2B5EF4-FFF2-40B4-BE49-F238E27FC236}">
                <a16:creationId xmlns:a16="http://schemas.microsoft.com/office/drawing/2014/main" id="{442AE1B5-B224-4AF0-906A-33E17EC88750}"/>
              </a:ext>
            </a:extLst>
          </xdr:cNvPr>
          <xdr:cNvCxnSpPr/>
        </xdr:nvCxnSpPr>
        <xdr:spPr>
          <a:xfrm>
            <a:off x="1321544" y="1776229"/>
            <a:ext cx="0" cy="698346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id="{7BA601CB-E1B2-4BA9-90D3-9F4C1E3D5B9E}"/>
              </a:ext>
            </a:extLst>
          </xdr:cNvPr>
          <xdr:cNvCxnSpPr/>
        </xdr:nvCxnSpPr>
        <xdr:spPr>
          <a:xfrm flipH="1">
            <a:off x="1273199" y="8697944"/>
            <a:ext cx="85727" cy="812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Straight Connector 52">
            <a:extLst>
              <a:ext uri="{FF2B5EF4-FFF2-40B4-BE49-F238E27FC236}">
                <a16:creationId xmlns:a16="http://schemas.microsoft.com/office/drawing/2014/main" id="{1E7488CE-43D3-467C-88A1-5C14DC346AAB}"/>
              </a:ext>
            </a:extLst>
          </xdr:cNvPr>
          <xdr:cNvCxnSpPr/>
        </xdr:nvCxnSpPr>
        <xdr:spPr>
          <a:xfrm flipH="1">
            <a:off x="1282545" y="7864797"/>
            <a:ext cx="76381" cy="7149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Straight Connector 54">
            <a:extLst>
              <a:ext uri="{FF2B5EF4-FFF2-40B4-BE49-F238E27FC236}">
                <a16:creationId xmlns:a16="http://schemas.microsoft.com/office/drawing/2014/main" id="{28A34223-18DA-4A1F-B364-F2DD0AED3EF9}"/>
              </a:ext>
            </a:extLst>
          </xdr:cNvPr>
          <xdr:cNvCxnSpPr/>
        </xdr:nvCxnSpPr>
        <xdr:spPr>
          <a:xfrm flipH="1">
            <a:off x="1277871" y="1859014"/>
            <a:ext cx="81054" cy="6662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9AAACBC7-30D6-44CF-9219-61B9ECC42EE6}"/>
              </a:ext>
            </a:extLst>
          </xdr:cNvPr>
          <xdr:cNvCxnSpPr/>
        </xdr:nvCxnSpPr>
        <xdr:spPr>
          <a:xfrm flipH="1">
            <a:off x="1277871" y="2697030"/>
            <a:ext cx="81054" cy="7149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Straight Connector 58">
            <a:extLst>
              <a:ext uri="{FF2B5EF4-FFF2-40B4-BE49-F238E27FC236}">
                <a16:creationId xmlns:a16="http://schemas.microsoft.com/office/drawing/2014/main" id="{D6417827-ED8A-4B1B-BFFD-157D1A8721E3}"/>
              </a:ext>
            </a:extLst>
          </xdr:cNvPr>
          <xdr:cNvCxnSpPr/>
        </xdr:nvCxnSpPr>
        <xdr:spPr>
          <a:xfrm>
            <a:off x="900815" y="3954054"/>
            <a:ext cx="92556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Straight Connector 61">
            <a:extLst>
              <a:ext uri="{FF2B5EF4-FFF2-40B4-BE49-F238E27FC236}">
                <a16:creationId xmlns:a16="http://schemas.microsoft.com/office/drawing/2014/main" id="{F858EE75-7C8F-4A7C-85CA-EEA74878551A}"/>
              </a:ext>
            </a:extLst>
          </xdr:cNvPr>
          <xdr:cNvCxnSpPr/>
        </xdr:nvCxnSpPr>
        <xdr:spPr>
          <a:xfrm flipH="1">
            <a:off x="1273199" y="3905356"/>
            <a:ext cx="85727" cy="844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Straight Connector 62">
            <a:extLst>
              <a:ext uri="{FF2B5EF4-FFF2-40B4-BE49-F238E27FC236}">
                <a16:creationId xmlns:a16="http://schemas.microsoft.com/office/drawing/2014/main" id="{43771AC0-0687-4825-A00D-2ED1ED872905}"/>
              </a:ext>
            </a:extLst>
          </xdr:cNvPr>
          <xdr:cNvCxnSpPr/>
        </xdr:nvCxnSpPr>
        <xdr:spPr>
          <a:xfrm>
            <a:off x="900815" y="6679267"/>
            <a:ext cx="953601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Straight Connector 63">
            <a:extLst>
              <a:ext uri="{FF2B5EF4-FFF2-40B4-BE49-F238E27FC236}">
                <a16:creationId xmlns:a16="http://schemas.microsoft.com/office/drawing/2014/main" id="{F9A9CA5A-4D73-4C1A-964A-A73505CA48BE}"/>
              </a:ext>
            </a:extLst>
          </xdr:cNvPr>
          <xdr:cNvCxnSpPr/>
        </xdr:nvCxnSpPr>
        <xdr:spPr>
          <a:xfrm flipH="1">
            <a:off x="1273197" y="6643483"/>
            <a:ext cx="85727" cy="8448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6" name="Straight Connector 65">
            <a:extLst>
              <a:ext uri="{FF2B5EF4-FFF2-40B4-BE49-F238E27FC236}">
                <a16:creationId xmlns:a16="http://schemas.microsoft.com/office/drawing/2014/main" id="{9E55603D-F16E-4C5D-B175-3ACFC9DC4AA4}"/>
              </a:ext>
            </a:extLst>
          </xdr:cNvPr>
          <xdr:cNvCxnSpPr/>
        </xdr:nvCxnSpPr>
        <xdr:spPr>
          <a:xfrm>
            <a:off x="495723" y="2643464"/>
            <a:ext cx="0" cy="53317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Straight Connector 68">
            <a:extLst>
              <a:ext uri="{FF2B5EF4-FFF2-40B4-BE49-F238E27FC236}">
                <a16:creationId xmlns:a16="http://schemas.microsoft.com/office/drawing/2014/main" id="{99C66EF7-7F2A-46FD-A768-1BB7DD82E80E}"/>
              </a:ext>
            </a:extLst>
          </xdr:cNvPr>
          <xdr:cNvCxnSpPr/>
        </xdr:nvCxnSpPr>
        <xdr:spPr>
          <a:xfrm flipH="1">
            <a:off x="447377" y="7864797"/>
            <a:ext cx="85728" cy="8610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Straight Connector 70">
            <a:extLst>
              <a:ext uri="{FF2B5EF4-FFF2-40B4-BE49-F238E27FC236}">
                <a16:creationId xmlns:a16="http://schemas.microsoft.com/office/drawing/2014/main" id="{6E176F04-7944-435F-B908-A077CF6F9152}"/>
              </a:ext>
            </a:extLst>
          </xdr:cNvPr>
          <xdr:cNvCxnSpPr/>
        </xdr:nvCxnSpPr>
        <xdr:spPr>
          <a:xfrm flipH="1">
            <a:off x="452050" y="2697030"/>
            <a:ext cx="81054" cy="7149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" name="Straight Connector 74">
            <a:extLst>
              <a:ext uri="{FF2B5EF4-FFF2-40B4-BE49-F238E27FC236}">
                <a16:creationId xmlns:a16="http://schemas.microsoft.com/office/drawing/2014/main" id="{6D00717C-8441-4A7B-9C86-7179AE50BC0D}"/>
              </a:ext>
            </a:extLst>
          </xdr:cNvPr>
          <xdr:cNvCxnSpPr/>
        </xdr:nvCxnSpPr>
        <xdr:spPr>
          <a:xfrm>
            <a:off x="2773695" y="5769756"/>
            <a:ext cx="4534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Straight Connector 76">
            <a:extLst>
              <a:ext uri="{FF2B5EF4-FFF2-40B4-BE49-F238E27FC236}">
                <a16:creationId xmlns:a16="http://schemas.microsoft.com/office/drawing/2014/main" id="{3A28620C-66F5-4ED8-81B8-36BED5C6A70B}"/>
              </a:ext>
            </a:extLst>
          </xdr:cNvPr>
          <xdr:cNvCxnSpPr/>
        </xdr:nvCxnSpPr>
        <xdr:spPr>
          <a:xfrm>
            <a:off x="2854748" y="4826159"/>
            <a:ext cx="363038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Straight Connector 78">
            <a:extLst>
              <a:ext uri="{FF2B5EF4-FFF2-40B4-BE49-F238E27FC236}">
                <a16:creationId xmlns:a16="http://schemas.microsoft.com/office/drawing/2014/main" id="{AFC16E83-2AFC-4AC8-BCF9-D98AF9BDF1D7}"/>
              </a:ext>
            </a:extLst>
          </xdr:cNvPr>
          <xdr:cNvCxnSpPr/>
        </xdr:nvCxnSpPr>
        <xdr:spPr>
          <a:xfrm>
            <a:off x="3127386" y="4753113"/>
            <a:ext cx="0" cy="108326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Straight Connector 80">
            <a:extLst>
              <a:ext uri="{FF2B5EF4-FFF2-40B4-BE49-F238E27FC236}">
                <a16:creationId xmlns:a16="http://schemas.microsoft.com/office/drawing/2014/main" id="{7DF492EB-B30E-45DA-9C89-15D95191C86A}"/>
              </a:ext>
            </a:extLst>
          </xdr:cNvPr>
          <xdr:cNvCxnSpPr/>
        </xdr:nvCxnSpPr>
        <xdr:spPr>
          <a:xfrm flipH="1">
            <a:off x="3090004" y="4787200"/>
            <a:ext cx="85728" cy="7149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Connector 83">
            <a:extLst>
              <a:ext uri="{FF2B5EF4-FFF2-40B4-BE49-F238E27FC236}">
                <a16:creationId xmlns:a16="http://schemas.microsoft.com/office/drawing/2014/main" id="{213C81DD-9F7D-445D-B151-D84B0D2E4FE2}"/>
              </a:ext>
            </a:extLst>
          </xdr:cNvPr>
          <xdr:cNvCxnSpPr/>
        </xdr:nvCxnSpPr>
        <xdr:spPr>
          <a:xfrm flipH="1">
            <a:off x="3085331" y="5730798"/>
            <a:ext cx="85728" cy="7466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Straight Connector 85">
            <a:extLst>
              <a:ext uri="{FF2B5EF4-FFF2-40B4-BE49-F238E27FC236}">
                <a16:creationId xmlns:a16="http://schemas.microsoft.com/office/drawing/2014/main" id="{33E056F8-0861-42A9-92C2-E3E32ED81DB4}"/>
              </a:ext>
            </a:extLst>
          </xdr:cNvPr>
          <xdr:cNvCxnSpPr/>
        </xdr:nvCxnSpPr>
        <xdr:spPr>
          <a:xfrm flipV="1">
            <a:off x="2726966" y="3952875"/>
            <a:ext cx="428984" cy="14084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Straight Connector 129">
            <a:extLst>
              <a:ext uri="{FF2B5EF4-FFF2-40B4-BE49-F238E27FC236}">
                <a16:creationId xmlns:a16="http://schemas.microsoft.com/office/drawing/2014/main" id="{C2E61AB8-B241-4222-B30A-F0C10B090D9E}"/>
              </a:ext>
            </a:extLst>
          </xdr:cNvPr>
          <xdr:cNvCxnSpPr/>
        </xdr:nvCxnSpPr>
        <xdr:spPr>
          <a:xfrm>
            <a:off x="2755003" y="3361289"/>
            <a:ext cx="60925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Straight Connector 131">
            <a:extLst>
              <a:ext uri="{FF2B5EF4-FFF2-40B4-BE49-F238E27FC236}">
                <a16:creationId xmlns:a16="http://schemas.microsoft.com/office/drawing/2014/main" id="{61616DCF-2E10-4FE9-B3BE-76EFEE1390EC}"/>
              </a:ext>
            </a:extLst>
          </xdr:cNvPr>
          <xdr:cNvCxnSpPr/>
        </xdr:nvCxnSpPr>
        <xdr:spPr>
          <a:xfrm>
            <a:off x="2750330" y="3559394"/>
            <a:ext cx="62794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C39CCE5F-103F-4D4E-9DB7-E238F93F1860}"/>
              </a:ext>
            </a:extLst>
          </xdr:cNvPr>
          <xdr:cNvCxnSpPr/>
        </xdr:nvCxnSpPr>
        <xdr:spPr>
          <a:xfrm>
            <a:off x="3303513" y="3312592"/>
            <a:ext cx="0" cy="3134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" name="Straight Connector 136">
            <a:extLst>
              <a:ext uri="{FF2B5EF4-FFF2-40B4-BE49-F238E27FC236}">
                <a16:creationId xmlns:a16="http://schemas.microsoft.com/office/drawing/2014/main" id="{16D74F1B-2BCD-4FD4-B913-C624A04B18B9}"/>
              </a:ext>
            </a:extLst>
          </xdr:cNvPr>
          <xdr:cNvCxnSpPr/>
        </xdr:nvCxnSpPr>
        <xdr:spPr>
          <a:xfrm flipH="1">
            <a:off x="3259840" y="3332072"/>
            <a:ext cx="76382" cy="681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Connector 138">
            <a:extLst>
              <a:ext uri="{FF2B5EF4-FFF2-40B4-BE49-F238E27FC236}">
                <a16:creationId xmlns:a16="http://schemas.microsoft.com/office/drawing/2014/main" id="{A918B7D0-3367-4507-9384-AE54C5E3E6F3}"/>
              </a:ext>
            </a:extLst>
          </xdr:cNvPr>
          <xdr:cNvCxnSpPr/>
        </xdr:nvCxnSpPr>
        <xdr:spPr>
          <a:xfrm flipH="1">
            <a:off x="3259751" y="3530070"/>
            <a:ext cx="76382" cy="617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Connector 141">
            <a:extLst>
              <a:ext uri="{FF2B5EF4-FFF2-40B4-BE49-F238E27FC236}">
                <a16:creationId xmlns:a16="http://schemas.microsoft.com/office/drawing/2014/main" id="{B0799F7D-DBBB-4081-9437-A924FA015AFE}"/>
              </a:ext>
            </a:extLst>
          </xdr:cNvPr>
          <xdr:cNvCxnSpPr/>
        </xdr:nvCxnSpPr>
        <xdr:spPr>
          <a:xfrm>
            <a:off x="1651872" y="4983755"/>
            <a:ext cx="0" cy="54237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Straight Connector 143">
            <a:extLst>
              <a:ext uri="{FF2B5EF4-FFF2-40B4-BE49-F238E27FC236}">
                <a16:creationId xmlns:a16="http://schemas.microsoft.com/office/drawing/2014/main" id="{C8A62155-4689-4D46-A360-9998299AD79D}"/>
              </a:ext>
            </a:extLst>
          </xdr:cNvPr>
          <xdr:cNvCxnSpPr/>
        </xdr:nvCxnSpPr>
        <xdr:spPr>
          <a:xfrm>
            <a:off x="1570817" y="5047061"/>
            <a:ext cx="28827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Straight Connector 146">
            <a:extLst>
              <a:ext uri="{FF2B5EF4-FFF2-40B4-BE49-F238E27FC236}">
                <a16:creationId xmlns:a16="http://schemas.microsoft.com/office/drawing/2014/main" id="{30A49C5D-C74B-42EA-90A4-C0964440652A}"/>
              </a:ext>
            </a:extLst>
          </xdr:cNvPr>
          <xdr:cNvCxnSpPr/>
        </xdr:nvCxnSpPr>
        <xdr:spPr>
          <a:xfrm flipH="1">
            <a:off x="1608199" y="5017841"/>
            <a:ext cx="81054" cy="779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Straight Connector 147">
            <a:extLst>
              <a:ext uri="{FF2B5EF4-FFF2-40B4-BE49-F238E27FC236}">
                <a16:creationId xmlns:a16="http://schemas.microsoft.com/office/drawing/2014/main" id="{2B23B2CA-5299-4F14-934C-3A534F0A397D}"/>
              </a:ext>
            </a:extLst>
          </xdr:cNvPr>
          <xdr:cNvCxnSpPr/>
        </xdr:nvCxnSpPr>
        <xdr:spPr>
          <a:xfrm>
            <a:off x="1570817" y="5240298"/>
            <a:ext cx="28827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" name="Straight Connector 148">
            <a:extLst>
              <a:ext uri="{FF2B5EF4-FFF2-40B4-BE49-F238E27FC236}">
                <a16:creationId xmlns:a16="http://schemas.microsoft.com/office/drawing/2014/main" id="{C70A9D3A-4EE0-4473-99E7-80FBC6779652}"/>
              </a:ext>
            </a:extLst>
          </xdr:cNvPr>
          <xdr:cNvCxnSpPr/>
        </xdr:nvCxnSpPr>
        <xdr:spPr>
          <a:xfrm flipH="1">
            <a:off x="1608199" y="5201338"/>
            <a:ext cx="81054" cy="7149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Straight Connector 150">
            <a:extLst>
              <a:ext uri="{FF2B5EF4-FFF2-40B4-BE49-F238E27FC236}">
                <a16:creationId xmlns:a16="http://schemas.microsoft.com/office/drawing/2014/main" id="{2BC3CFCA-A27C-42FE-9D6E-179FB48774DE}"/>
              </a:ext>
            </a:extLst>
          </xdr:cNvPr>
          <xdr:cNvCxnSpPr/>
        </xdr:nvCxnSpPr>
        <xdr:spPr>
          <a:xfrm>
            <a:off x="1570817" y="5431982"/>
            <a:ext cx="288274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Straight Connector 151">
            <a:extLst>
              <a:ext uri="{FF2B5EF4-FFF2-40B4-BE49-F238E27FC236}">
                <a16:creationId xmlns:a16="http://schemas.microsoft.com/office/drawing/2014/main" id="{4156E416-A052-4612-A28D-9BC6A3D6DC18}"/>
              </a:ext>
            </a:extLst>
          </xdr:cNvPr>
          <xdr:cNvCxnSpPr/>
        </xdr:nvCxnSpPr>
        <xdr:spPr>
          <a:xfrm flipH="1">
            <a:off x="1608199" y="5393022"/>
            <a:ext cx="81054" cy="779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Straight Connector 152">
            <a:extLst>
              <a:ext uri="{FF2B5EF4-FFF2-40B4-BE49-F238E27FC236}">
                <a16:creationId xmlns:a16="http://schemas.microsoft.com/office/drawing/2014/main" id="{7129AC0C-C1C5-44EF-8D2C-2E2DAC82AE24}"/>
              </a:ext>
            </a:extLst>
          </xdr:cNvPr>
          <xdr:cNvCxnSpPr/>
        </xdr:nvCxnSpPr>
        <xdr:spPr>
          <a:xfrm>
            <a:off x="2774950" y="6084876"/>
            <a:ext cx="58463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Straight Connector 153">
            <a:extLst>
              <a:ext uri="{FF2B5EF4-FFF2-40B4-BE49-F238E27FC236}">
                <a16:creationId xmlns:a16="http://schemas.microsoft.com/office/drawing/2014/main" id="{044F9AB9-7BD1-4296-9E3C-893FD333FDB7}"/>
              </a:ext>
            </a:extLst>
          </xdr:cNvPr>
          <xdr:cNvCxnSpPr/>
        </xdr:nvCxnSpPr>
        <xdr:spPr>
          <a:xfrm>
            <a:off x="2765425" y="6390192"/>
            <a:ext cx="60817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5" name="Straight Connector 154">
            <a:extLst>
              <a:ext uri="{FF2B5EF4-FFF2-40B4-BE49-F238E27FC236}">
                <a16:creationId xmlns:a16="http://schemas.microsoft.com/office/drawing/2014/main" id="{1154F1F1-A042-46E6-8BFA-67B601C0D28C}"/>
              </a:ext>
            </a:extLst>
          </xdr:cNvPr>
          <xdr:cNvCxnSpPr/>
        </xdr:nvCxnSpPr>
        <xdr:spPr>
          <a:xfrm flipH="1">
            <a:off x="3259930" y="6054071"/>
            <a:ext cx="76382" cy="617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6" name="Straight Connector 155">
            <a:extLst>
              <a:ext uri="{FF2B5EF4-FFF2-40B4-BE49-F238E27FC236}">
                <a16:creationId xmlns:a16="http://schemas.microsoft.com/office/drawing/2014/main" id="{54DAA8C6-0785-4AAA-B977-64753D9EE72B}"/>
              </a:ext>
            </a:extLst>
          </xdr:cNvPr>
          <xdr:cNvCxnSpPr/>
        </xdr:nvCxnSpPr>
        <xdr:spPr>
          <a:xfrm flipH="1">
            <a:off x="3259840" y="6362527"/>
            <a:ext cx="76382" cy="617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Straight Connector 157">
            <a:extLst>
              <a:ext uri="{FF2B5EF4-FFF2-40B4-BE49-F238E27FC236}">
                <a16:creationId xmlns:a16="http://schemas.microsoft.com/office/drawing/2014/main" id="{25CD0584-B58F-4538-B4D9-1FDDF0232E01}"/>
              </a:ext>
            </a:extLst>
          </xdr:cNvPr>
          <xdr:cNvCxnSpPr/>
        </xdr:nvCxnSpPr>
        <xdr:spPr>
          <a:xfrm>
            <a:off x="3303513" y="6019878"/>
            <a:ext cx="0" cy="4482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Straight Connector 158">
            <a:extLst>
              <a:ext uri="{FF2B5EF4-FFF2-40B4-BE49-F238E27FC236}">
                <a16:creationId xmlns:a16="http://schemas.microsoft.com/office/drawing/2014/main" id="{68C0301B-7721-480C-A4AD-6377E91C274D}"/>
              </a:ext>
            </a:extLst>
          </xdr:cNvPr>
          <xdr:cNvCxnSpPr/>
        </xdr:nvCxnSpPr>
        <xdr:spPr>
          <a:xfrm>
            <a:off x="3303513" y="7017038"/>
            <a:ext cx="0" cy="31342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" name="Straight Connector 159">
            <a:extLst>
              <a:ext uri="{FF2B5EF4-FFF2-40B4-BE49-F238E27FC236}">
                <a16:creationId xmlns:a16="http://schemas.microsoft.com/office/drawing/2014/main" id="{6E51E887-D88C-446A-87E9-6990322D73E6}"/>
              </a:ext>
            </a:extLst>
          </xdr:cNvPr>
          <xdr:cNvCxnSpPr/>
        </xdr:nvCxnSpPr>
        <xdr:spPr>
          <a:xfrm flipH="1">
            <a:off x="3259840" y="7036623"/>
            <a:ext cx="76382" cy="617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Straight Connector 160">
            <a:extLst>
              <a:ext uri="{FF2B5EF4-FFF2-40B4-BE49-F238E27FC236}">
                <a16:creationId xmlns:a16="http://schemas.microsoft.com/office/drawing/2014/main" id="{07BA2319-8E7C-4F33-B6B3-4221EE442CC8}"/>
              </a:ext>
            </a:extLst>
          </xdr:cNvPr>
          <xdr:cNvCxnSpPr/>
        </xdr:nvCxnSpPr>
        <xdr:spPr>
          <a:xfrm flipH="1">
            <a:off x="3264514" y="7228199"/>
            <a:ext cx="76382" cy="6817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Connector 161">
            <a:extLst>
              <a:ext uri="{FF2B5EF4-FFF2-40B4-BE49-F238E27FC236}">
                <a16:creationId xmlns:a16="http://schemas.microsoft.com/office/drawing/2014/main" id="{0DF95B9F-6762-42A8-BF14-F6A364CE4E50}"/>
              </a:ext>
            </a:extLst>
          </xdr:cNvPr>
          <xdr:cNvCxnSpPr/>
        </xdr:nvCxnSpPr>
        <xdr:spPr>
          <a:xfrm>
            <a:off x="2759675" y="7064181"/>
            <a:ext cx="609256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" name="Straight Connector 162">
            <a:extLst>
              <a:ext uri="{FF2B5EF4-FFF2-40B4-BE49-F238E27FC236}">
                <a16:creationId xmlns:a16="http://schemas.microsoft.com/office/drawing/2014/main" id="{BCB0DE63-D97A-44E5-86A5-505D759A59EB}"/>
              </a:ext>
            </a:extLst>
          </xdr:cNvPr>
          <xdr:cNvCxnSpPr/>
        </xdr:nvCxnSpPr>
        <xdr:spPr>
          <a:xfrm>
            <a:off x="2755003" y="7262285"/>
            <a:ext cx="62794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Straight Connector 170">
            <a:extLst>
              <a:ext uri="{FF2B5EF4-FFF2-40B4-BE49-F238E27FC236}">
                <a16:creationId xmlns:a16="http://schemas.microsoft.com/office/drawing/2014/main" id="{EE055BBA-F416-4900-8183-CB91F75DA7C9}"/>
              </a:ext>
            </a:extLst>
          </xdr:cNvPr>
          <xdr:cNvCxnSpPr/>
        </xdr:nvCxnSpPr>
        <xdr:spPr>
          <a:xfrm>
            <a:off x="991215" y="3876139"/>
            <a:ext cx="0" cy="289078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" name="Straight Connector 172">
            <a:extLst>
              <a:ext uri="{FF2B5EF4-FFF2-40B4-BE49-F238E27FC236}">
                <a16:creationId xmlns:a16="http://schemas.microsoft.com/office/drawing/2014/main" id="{BA93E9EC-1B19-442E-8AF0-73C12C29985D}"/>
              </a:ext>
            </a:extLst>
          </xdr:cNvPr>
          <xdr:cNvCxnSpPr/>
        </xdr:nvCxnSpPr>
        <xdr:spPr>
          <a:xfrm flipH="1">
            <a:off x="942871" y="6641860"/>
            <a:ext cx="85727" cy="8123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4" name="Straight Connector 173">
            <a:extLst>
              <a:ext uri="{FF2B5EF4-FFF2-40B4-BE49-F238E27FC236}">
                <a16:creationId xmlns:a16="http://schemas.microsoft.com/office/drawing/2014/main" id="{D025376C-0CDA-428A-8863-6EB20DCD6A9C}"/>
              </a:ext>
            </a:extLst>
          </xdr:cNvPr>
          <xdr:cNvCxnSpPr/>
        </xdr:nvCxnSpPr>
        <xdr:spPr>
          <a:xfrm flipH="1">
            <a:off x="947543" y="3905357"/>
            <a:ext cx="85727" cy="8440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" name="Straight Connector 175">
            <a:extLst>
              <a:ext uri="{FF2B5EF4-FFF2-40B4-BE49-F238E27FC236}">
                <a16:creationId xmlns:a16="http://schemas.microsoft.com/office/drawing/2014/main" id="{07EF8C2A-CFB6-4CC7-A17E-4D8D54101059}"/>
              </a:ext>
            </a:extLst>
          </xdr:cNvPr>
          <xdr:cNvCxnSpPr/>
        </xdr:nvCxnSpPr>
        <xdr:spPr>
          <a:xfrm>
            <a:off x="1254508" y="4826159"/>
            <a:ext cx="49549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Straight Connector 177">
            <a:extLst>
              <a:ext uri="{FF2B5EF4-FFF2-40B4-BE49-F238E27FC236}">
                <a16:creationId xmlns:a16="http://schemas.microsoft.com/office/drawing/2014/main" id="{5EE7D9C0-8266-4FD1-A8CF-EFC84D293BD0}"/>
              </a:ext>
            </a:extLst>
          </xdr:cNvPr>
          <xdr:cNvCxnSpPr/>
        </xdr:nvCxnSpPr>
        <xdr:spPr>
          <a:xfrm flipH="1">
            <a:off x="1277871" y="4777460"/>
            <a:ext cx="85728" cy="9097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" name="Straight Connector 178">
            <a:extLst>
              <a:ext uri="{FF2B5EF4-FFF2-40B4-BE49-F238E27FC236}">
                <a16:creationId xmlns:a16="http://schemas.microsoft.com/office/drawing/2014/main" id="{4C8B7048-1879-4B74-B5DA-65F5D237F836}"/>
              </a:ext>
            </a:extLst>
          </xdr:cNvPr>
          <xdr:cNvCxnSpPr/>
        </xdr:nvCxnSpPr>
        <xdr:spPr>
          <a:xfrm>
            <a:off x="1249835" y="5807162"/>
            <a:ext cx="495492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" name="Straight Connector 179">
            <a:extLst>
              <a:ext uri="{FF2B5EF4-FFF2-40B4-BE49-F238E27FC236}">
                <a16:creationId xmlns:a16="http://schemas.microsoft.com/office/drawing/2014/main" id="{C9754EC7-9C59-4E22-BC8A-4343D4F85B0C}"/>
              </a:ext>
            </a:extLst>
          </xdr:cNvPr>
          <xdr:cNvCxnSpPr/>
        </xdr:nvCxnSpPr>
        <xdr:spPr>
          <a:xfrm flipH="1">
            <a:off x="1273198" y="5764885"/>
            <a:ext cx="85728" cy="9097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Straight Connector 184">
            <a:extLst>
              <a:ext uri="{FF2B5EF4-FFF2-40B4-BE49-F238E27FC236}">
                <a16:creationId xmlns:a16="http://schemas.microsoft.com/office/drawing/2014/main" id="{35404BA9-A01F-460A-B719-2BD6EB683CAE}"/>
              </a:ext>
            </a:extLst>
          </xdr:cNvPr>
          <xdr:cNvCxnSpPr/>
        </xdr:nvCxnSpPr>
        <xdr:spPr>
          <a:xfrm>
            <a:off x="367941" y="2732741"/>
            <a:ext cx="38770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" name="Straight Connector 186">
            <a:extLst>
              <a:ext uri="{FF2B5EF4-FFF2-40B4-BE49-F238E27FC236}">
                <a16:creationId xmlns:a16="http://schemas.microsoft.com/office/drawing/2014/main" id="{9FC2FE47-0A65-4A12-9939-DD4A95A09690}"/>
              </a:ext>
            </a:extLst>
          </xdr:cNvPr>
          <xdr:cNvCxnSpPr/>
        </xdr:nvCxnSpPr>
        <xdr:spPr>
          <a:xfrm>
            <a:off x="349250" y="7900508"/>
            <a:ext cx="43312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Connector 188">
            <a:extLst>
              <a:ext uri="{FF2B5EF4-FFF2-40B4-BE49-F238E27FC236}">
                <a16:creationId xmlns:a16="http://schemas.microsoft.com/office/drawing/2014/main" id="{38B8725E-F568-4907-97E1-06871ECF7B75}"/>
              </a:ext>
            </a:extLst>
          </xdr:cNvPr>
          <xdr:cNvCxnSpPr/>
        </xdr:nvCxnSpPr>
        <xdr:spPr>
          <a:xfrm>
            <a:off x="1689254" y="3047862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Straight Connector 190">
            <a:extLst>
              <a:ext uri="{FF2B5EF4-FFF2-40B4-BE49-F238E27FC236}">
                <a16:creationId xmlns:a16="http://schemas.microsoft.com/office/drawing/2014/main" id="{B701582A-F20B-49E8-B278-D0245FFCF4DA}"/>
              </a:ext>
            </a:extLst>
          </xdr:cNvPr>
          <xdr:cNvCxnSpPr/>
        </xdr:nvCxnSpPr>
        <xdr:spPr>
          <a:xfrm>
            <a:off x="1689254" y="3096559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" name="Straight Connector 191">
            <a:extLst>
              <a:ext uri="{FF2B5EF4-FFF2-40B4-BE49-F238E27FC236}">
                <a16:creationId xmlns:a16="http://schemas.microsoft.com/office/drawing/2014/main" id="{E428AAA1-8A41-4B56-98B1-16F008403DEB}"/>
              </a:ext>
            </a:extLst>
          </xdr:cNvPr>
          <xdr:cNvCxnSpPr/>
        </xdr:nvCxnSpPr>
        <xdr:spPr>
          <a:xfrm>
            <a:off x="1661217" y="4392541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Straight Connector 192">
            <a:extLst>
              <a:ext uri="{FF2B5EF4-FFF2-40B4-BE49-F238E27FC236}">
                <a16:creationId xmlns:a16="http://schemas.microsoft.com/office/drawing/2014/main" id="{6B0E0012-FC5B-4BE6-87C4-ED4D6218F30E}"/>
              </a:ext>
            </a:extLst>
          </xdr:cNvPr>
          <xdr:cNvCxnSpPr/>
        </xdr:nvCxnSpPr>
        <xdr:spPr>
          <a:xfrm>
            <a:off x="1661217" y="4434817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" name="Straight Connector 193">
            <a:extLst>
              <a:ext uri="{FF2B5EF4-FFF2-40B4-BE49-F238E27FC236}">
                <a16:creationId xmlns:a16="http://schemas.microsoft.com/office/drawing/2014/main" id="{B9FDB918-9401-4FE4-80E5-31B550BE6E26}"/>
              </a:ext>
            </a:extLst>
          </xdr:cNvPr>
          <xdr:cNvCxnSpPr/>
        </xdr:nvCxnSpPr>
        <xdr:spPr>
          <a:xfrm>
            <a:off x="1636236" y="6217982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Straight Connector 194">
            <a:extLst>
              <a:ext uri="{FF2B5EF4-FFF2-40B4-BE49-F238E27FC236}">
                <a16:creationId xmlns:a16="http://schemas.microsoft.com/office/drawing/2014/main" id="{B37ECE14-32D1-46CB-AACD-4C76E366D81B}"/>
              </a:ext>
            </a:extLst>
          </xdr:cNvPr>
          <xdr:cNvCxnSpPr/>
        </xdr:nvCxnSpPr>
        <xdr:spPr>
          <a:xfrm>
            <a:off x="1636236" y="6260258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Straight Connector 195">
            <a:extLst>
              <a:ext uri="{FF2B5EF4-FFF2-40B4-BE49-F238E27FC236}">
                <a16:creationId xmlns:a16="http://schemas.microsoft.com/office/drawing/2014/main" id="{36CEFBD2-31CA-4405-8A2A-108B247537A2}"/>
              </a:ext>
            </a:extLst>
          </xdr:cNvPr>
          <xdr:cNvCxnSpPr/>
        </xdr:nvCxnSpPr>
        <xdr:spPr>
          <a:xfrm>
            <a:off x="1670563" y="7341830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" name="Straight Connector 196">
            <a:extLst>
              <a:ext uri="{FF2B5EF4-FFF2-40B4-BE49-F238E27FC236}">
                <a16:creationId xmlns:a16="http://schemas.microsoft.com/office/drawing/2014/main" id="{B9A8490A-4E83-4D75-9F09-8DA2092D3323}"/>
              </a:ext>
            </a:extLst>
          </xdr:cNvPr>
          <xdr:cNvCxnSpPr/>
        </xdr:nvCxnSpPr>
        <xdr:spPr>
          <a:xfrm>
            <a:off x="1670563" y="7387352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Straight Connector 198">
            <a:extLst>
              <a:ext uri="{FF2B5EF4-FFF2-40B4-BE49-F238E27FC236}">
                <a16:creationId xmlns:a16="http://schemas.microsoft.com/office/drawing/2014/main" id="{3EB31CF3-142A-44E2-A280-1413F21F2218}"/>
              </a:ext>
            </a:extLst>
          </xdr:cNvPr>
          <xdr:cNvCxnSpPr/>
        </xdr:nvCxnSpPr>
        <xdr:spPr>
          <a:xfrm>
            <a:off x="1707945" y="5123424"/>
            <a:ext cx="1249604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Straight Connector 200">
            <a:extLst>
              <a:ext uri="{FF2B5EF4-FFF2-40B4-BE49-F238E27FC236}">
                <a16:creationId xmlns:a16="http://schemas.microsoft.com/office/drawing/2014/main" id="{14A31827-82B9-4AA7-8223-4F1B9A3B8941}"/>
              </a:ext>
            </a:extLst>
          </xdr:cNvPr>
          <xdr:cNvCxnSpPr/>
        </xdr:nvCxnSpPr>
        <xdr:spPr>
          <a:xfrm>
            <a:off x="1707945" y="5162382"/>
            <a:ext cx="1249604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" name="Straight Connector 130">
            <a:extLst>
              <a:ext uri="{FF2B5EF4-FFF2-40B4-BE49-F238E27FC236}">
                <a16:creationId xmlns:a16="http://schemas.microsoft.com/office/drawing/2014/main" id="{299AA2C6-061E-40A9-9D40-0E97B7BF2E92}"/>
              </a:ext>
            </a:extLst>
          </xdr:cNvPr>
          <xdr:cNvCxnSpPr/>
        </xdr:nvCxnSpPr>
        <xdr:spPr>
          <a:xfrm>
            <a:off x="1896472" y="8139264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Straight Connector 132">
            <a:extLst>
              <a:ext uri="{FF2B5EF4-FFF2-40B4-BE49-F238E27FC236}">
                <a16:creationId xmlns:a16="http://schemas.microsoft.com/office/drawing/2014/main" id="{63F7ABF7-2D29-4E9B-9776-E7D9F67BB50D}"/>
              </a:ext>
            </a:extLst>
          </xdr:cNvPr>
          <xdr:cNvCxnSpPr/>
        </xdr:nvCxnSpPr>
        <xdr:spPr>
          <a:xfrm>
            <a:off x="1882455" y="8490101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BB1E9ECE-059C-467B-AD83-F4FFB2445C1C}"/>
              </a:ext>
            </a:extLst>
          </xdr:cNvPr>
          <xdr:cNvCxnSpPr/>
        </xdr:nvCxnSpPr>
        <xdr:spPr>
          <a:xfrm>
            <a:off x="2773694" y="8129525"/>
            <a:ext cx="59056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364F61DC-B148-407B-8B17-D5A0EC785FD8}"/>
              </a:ext>
            </a:extLst>
          </xdr:cNvPr>
          <xdr:cNvCxnSpPr/>
        </xdr:nvCxnSpPr>
        <xdr:spPr>
          <a:xfrm>
            <a:off x="3303514" y="8071090"/>
            <a:ext cx="0" cy="47257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Straight Connector 48">
            <a:extLst>
              <a:ext uri="{FF2B5EF4-FFF2-40B4-BE49-F238E27FC236}">
                <a16:creationId xmlns:a16="http://schemas.microsoft.com/office/drawing/2014/main" id="{D0A676A8-75A4-4C21-A7E3-EF4C617A34F7}"/>
              </a:ext>
            </a:extLst>
          </xdr:cNvPr>
          <xdr:cNvCxnSpPr/>
        </xdr:nvCxnSpPr>
        <xdr:spPr>
          <a:xfrm flipH="1">
            <a:off x="3259840" y="8095437"/>
            <a:ext cx="81054" cy="779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1B8634AC-8E00-4BCF-AABE-D2CF7BD1958D}"/>
              </a:ext>
            </a:extLst>
          </xdr:cNvPr>
          <xdr:cNvCxnSpPr/>
        </xdr:nvCxnSpPr>
        <xdr:spPr>
          <a:xfrm>
            <a:off x="2773694" y="8485231"/>
            <a:ext cx="59056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Straight Connector 140">
            <a:extLst>
              <a:ext uri="{FF2B5EF4-FFF2-40B4-BE49-F238E27FC236}">
                <a16:creationId xmlns:a16="http://schemas.microsoft.com/office/drawing/2014/main" id="{4D1F0443-D9E8-4AFD-8700-A0EBF41617B5}"/>
              </a:ext>
            </a:extLst>
          </xdr:cNvPr>
          <xdr:cNvCxnSpPr/>
        </xdr:nvCxnSpPr>
        <xdr:spPr>
          <a:xfrm flipH="1">
            <a:off x="3259840" y="8457566"/>
            <a:ext cx="81054" cy="7149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Straight Connector 142">
            <a:extLst>
              <a:ext uri="{FF2B5EF4-FFF2-40B4-BE49-F238E27FC236}">
                <a16:creationId xmlns:a16="http://schemas.microsoft.com/office/drawing/2014/main" id="{9F731495-89B1-4B66-BC83-2A1D992C2665}"/>
              </a:ext>
            </a:extLst>
          </xdr:cNvPr>
          <xdr:cNvCxnSpPr/>
        </xdr:nvCxnSpPr>
        <xdr:spPr>
          <a:xfrm>
            <a:off x="1670563" y="8298416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Straight Connector 144">
            <a:extLst>
              <a:ext uri="{FF2B5EF4-FFF2-40B4-BE49-F238E27FC236}">
                <a16:creationId xmlns:a16="http://schemas.microsoft.com/office/drawing/2014/main" id="{A2B22C16-D5AD-4253-9C2A-B7B30E610333}"/>
              </a:ext>
            </a:extLst>
          </xdr:cNvPr>
          <xdr:cNvCxnSpPr/>
        </xdr:nvCxnSpPr>
        <xdr:spPr>
          <a:xfrm>
            <a:off x="1670563" y="8340692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Straight Connector 57">
            <a:extLst>
              <a:ext uri="{FF2B5EF4-FFF2-40B4-BE49-F238E27FC236}">
                <a16:creationId xmlns:a16="http://schemas.microsoft.com/office/drawing/2014/main" id="{A5A6B83E-0A9C-4B6F-812C-0208E402342B}"/>
              </a:ext>
            </a:extLst>
          </xdr:cNvPr>
          <xdr:cNvCxnSpPr/>
        </xdr:nvCxnSpPr>
        <xdr:spPr>
          <a:xfrm>
            <a:off x="2491352" y="8485657"/>
            <a:ext cx="500165" cy="40926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" name="Straight Connector 163">
            <a:extLst>
              <a:ext uri="{FF2B5EF4-FFF2-40B4-BE49-F238E27FC236}">
                <a16:creationId xmlns:a16="http://schemas.microsoft.com/office/drawing/2014/main" id="{BA5FEA03-10AC-4837-B0F1-6B4307CB2889}"/>
              </a:ext>
            </a:extLst>
          </xdr:cNvPr>
          <xdr:cNvCxnSpPr/>
        </xdr:nvCxnSpPr>
        <xdr:spPr>
          <a:xfrm>
            <a:off x="1882455" y="8759698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Connector 164">
            <a:extLst>
              <a:ext uri="{FF2B5EF4-FFF2-40B4-BE49-F238E27FC236}">
                <a16:creationId xmlns:a16="http://schemas.microsoft.com/office/drawing/2014/main" id="{9CC98790-7608-4DBE-BC69-F720E429C2C0}"/>
              </a:ext>
            </a:extLst>
          </xdr:cNvPr>
          <xdr:cNvCxnSpPr/>
        </xdr:nvCxnSpPr>
        <xdr:spPr>
          <a:xfrm>
            <a:off x="1891799" y="2128611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" name="Straight Connector 165">
            <a:extLst>
              <a:ext uri="{FF2B5EF4-FFF2-40B4-BE49-F238E27FC236}">
                <a16:creationId xmlns:a16="http://schemas.microsoft.com/office/drawing/2014/main" id="{CEBC84B9-49D1-4AAB-A1E9-3610EBC7BA52}"/>
              </a:ext>
            </a:extLst>
          </xdr:cNvPr>
          <xdr:cNvCxnSpPr/>
        </xdr:nvCxnSpPr>
        <xdr:spPr>
          <a:xfrm>
            <a:off x="1882455" y="2479447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Straight Connector 166">
            <a:extLst>
              <a:ext uri="{FF2B5EF4-FFF2-40B4-BE49-F238E27FC236}">
                <a16:creationId xmlns:a16="http://schemas.microsoft.com/office/drawing/2014/main" id="{2AC5A2D2-2F46-44FB-ADA5-C240D3D48687}"/>
              </a:ext>
            </a:extLst>
          </xdr:cNvPr>
          <xdr:cNvCxnSpPr/>
        </xdr:nvCxnSpPr>
        <xdr:spPr>
          <a:xfrm>
            <a:off x="2769020" y="2118871"/>
            <a:ext cx="59056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Straight Connector 167">
            <a:extLst>
              <a:ext uri="{FF2B5EF4-FFF2-40B4-BE49-F238E27FC236}">
                <a16:creationId xmlns:a16="http://schemas.microsoft.com/office/drawing/2014/main" id="{618CFF75-02B1-48A3-B66A-6991C179CDFC}"/>
              </a:ext>
            </a:extLst>
          </xdr:cNvPr>
          <xdr:cNvCxnSpPr/>
        </xdr:nvCxnSpPr>
        <xdr:spPr>
          <a:xfrm>
            <a:off x="3292550" y="2060437"/>
            <a:ext cx="0" cy="47257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" name="Straight Connector 168">
            <a:extLst>
              <a:ext uri="{FF2B5EF4-FFF2-40B4-BE49-F238E27FC236}">
                <a16:creationId xmlns:a16="http://schemas.microsoft.com/office/drawing/2014/main" id="{4B91E617-A824-49E4-A61B-4CF042E56847}"/>
              </a:ext>
            </a:extLst>
          </xdr:cNvPr>
          <xdr:cNvCxnSpPr/>
        </xdr:nvCxnSpPr>
        <xdr:spPr>
          <a:xfrm flipH="1">
            <a:off x="3255167" y="2084784"/>
            <a:ext cx="81054" cy="779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" name="Straight Connector 169">
            <a:extLst>
              <a:ext uri="{FF2B5EF4-FFF2-40B4-BE49-F238E27FC236}">
                <a16:creationId xmlns:a16="http://schemas.microsoft.com/office/drawing/2014/main" id="{621B51CD-3D43-461D-AE2D-9634185F90AA}"/>
              </a:ext>
            </a:extLst>
          </xdr:cNvPr>
          <xdr:cNvCxnSpPr/>
        </xdr:nvCxnSpPr>
        <xdr:spPr>
          <a:xfrm>
            <a:off x="2769020" y="2474578"/>
            <a:ext cx="59056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" name="Straight Connector 171">
            <a:extLst>
              <a:ext uri="{FF2B5EF4-FFF2-40B4-BE49-F238E27FC236}">
                <a16:creationId xmlns:a16="http://schemas.microsoft.com/office/drawing/2014/main" id="{A994EDE2-9B57-4D03-B0A9-579347B2BF48}"/>
              </a:ext>
            </a:extLst>
          </xdr:cNvPr>
          <xdr:cNvCxnSpPr/>
        </xdr:nvCxnSpPr>
        <xdr:spPr>
          <a:xfrm flipH="1">
            <a:off x="3255167" y="2446912"/>
            <a:ext cx="81054" cy="7149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Connector 174">
            <a:extLst>
              <a:ext uri="{FF2B5EF4-FFF2-40B4-BE49-F238E27FC236}">
                <a16:creationId xmlns:a16="http://schemas.microsoft.com/office/drawing/2014/main" id="{DF551E01-F45D-4B35-A0C1-52E19CE418E3}"/>
              </a:ext>
            </a:extLst>
          </xdr:cNvPr>
          <xdr:cNvCxnSpPr/>
        </xdr:nvCxnSpPr>
        <xdr:spPr>
          <a:xfrm>
            <a:off x="1665890" y="2287763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Straight Connector 176">
            <a:extLst>
              <a:ext uri="{FF2B5EF4-FFF2-40B4-BE49-F238E27FC236}">
                <a16:creationId xmlns:a16="http://schemas.microsoft.com/office/drawing/2014/main" id="{F1C54DA7-E4C8-4E1B-BE80-785E960D69CA}"/>
              </a:ext>
            </a:extLst>
          </xdr:cNvPr>
          <xdr:cNvCxnSpPr/>
        </xdr:nvCxnSpPr>
        <xdr:spPr>
          <a:xfrm>
            <a:off x="1665890" y="2330039"/>
            <a:ext cx="1321313" cy="0"/>
          </a:xfrm>
          <a:prstGeom prst="line">
            <a:avLst/>
          </a:prstGeom>
          <a:ln w="1587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Straight Connector 67">
            <a:extLst>
              <a:ext uri="{FF2B5EF4-FFF2-40B4-BE49-F238E27FC236}">
                <a16:creationId xmlns:a16="http://schemas.microsoft.com/office/drawing/2014/main" id="{5CEF3104-7464-4E94-A7DF-A52F3653C37E}"/>
              </a:ext>
            </a:extLst>
          </xdr:cNvPr>
          <xdr:cNvCxnSpPr/>
        </xdr:nvCxnSpPr>
        <xdr:spPr>
          <a:xfrm flipH="1" flipV="1">
            <a:off x="1396308" y="1615386"/>
            <a:ext cx="665330" cy="51322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Straight Connector 180">
            <a:extLst>
              <a:ext uri="{FF2B5EF4-FFF2-40B4-BE49-F238E27FC236}">
                <a16:creationId xmlns:a16="http://schemas.microsoft.com/office/drawing/2014/main" id="{4306181E-346A-4A04-81BA-677BDC18FEFD}"/>
              </a:ext>
            </a:extLst>
          </xdr:cNvPr>
          <xdr:cNvCxnSpPr/>
        </xdr:nvCxnSpPr>
        <xdr:spPr>
          <a:xfrm>
            <a:off x="1891800" y="1859014"/>
            <a:ext cx="844512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" name="Freeform: Shape 69">
            <a:extLst>
              <a:ext uri="{FF2B5EF4-FFF2-40B4-BE49-F238E27FC236}">
                <a16:creationId xmlns:a16="http://schemas.microsoft.com/office/drawing/2014/main" id="{F34BD0FC-93E8-42FF-8BE9-516AB3D3F876}"/>
              </a:ext>
            </a:extLst>
          </xdr:cNvPr>
          <xdr:cNvSpPr/>
        </xdr:nvSpPr>
        <xdr:spPr>
          <a:xfrm>
            <a:off x="1617545" y="938213"/>
            <a:ext cx="1302622" cy="232193"/>
          </a:xfrm>
          <a:custGeom>
            <a:avLst/>
            <a:gdLst>
              <a:gd name="connsiteX0" fmla="*/ 0 w 1276350"/>
              <a:gd name="connsiteY0" fmla="*/ 119062 h 233362"/>
              <a:gd name="connsiteX1" fmla="*/ 504825 w 1276350"/>
              <a:gd name="connsiteY1" fmla="*/ 119062 h 233362"/>
              <a:gd name="connsiteX2" fmla="*/ 561975 w 1276350"/>
              <a:gd name="connsiteY2" fmla="*/ 233362 h 233362"/>
              <a:gd name="connsiteX3" fmla="*/ 614363 w 1276350"/>
              <a:gd name="connsiteY3" fmla="*/ 0 h 233362"/>
              <a:gd name="connsiteX4" fmla="*/ 676275 w 1276350"/>
              <a:gd name="connsiteY4" fmla="*/ 123825 h 233362"/>
              <a:gd name="connsiteX5" fmla="*/ 1276350 w 1276350"/>
              <a:gd name="connsiteY5" fmla="*/ 123825 h 2333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276350" h="233362">
                <a:moveTo>
                  <a:pt x="0" y="119062"/>
                </a:moveTo>
                <a:lnTo>
                  <a:pt x="504825" y="119062"/>
                </a:lnTo>
                <a:lnTo>
                  <a:pt x="561975" y="233362"/>
                </a:lnTo>
                <a:lnTo>
                  <a:pt x="614363" y="0"/>
                </a:lnTo>
                <a:lnTo>
                  <a:pt x="676275" y="123825"/>
                </a:lnTo>
                <a:lnTo>
                  <a:pt x="1276350" y="12382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73" name="Freeform: Shape 72">
            <a:extLst>
              <a:ext uri="{FF2B5EF4-FFF2-40B4-BE49-F238E27FC236}">
                <a16:creationId xmlns:a16="http://schemas.microsoft.com/office/drawing/2014/main" id="{A53DD687-3007-47D2-B45B-0115D0E88598}"/>
              </a:ext>
            </a:extLst>
          </xdr:cNvPr>
          <xdr:cNvSpPr/>
        </xdr:nvSpPr>
        <xdr:spPr>
          <a:xfrm>
            <a:off x="693596" y="1755056"/>
            <a:ext cx="202546" cy="1076774"/>
          </a:xfrm>
          <a:custGeom>
            <a:avLst/>
            <a:gdLst>
              <a:gd name="connsiteX0" fmla="*/ 119063 w 200025"/>
              <a:gd name="connsiteY0" fmla="*/ 0 h 1100137"/>
              <a:gd name="connsiteX1" fmla="*/ 119063 w 200025"/>
              <a:gd name="connsiteY1" fmla="*/ 423862 h 1100137"/>
              <a:gd name="connsiteX2" fmla="*/ 200025 w 200025"/>
              <a:gd name="connsiteY2" fmla="*/ 500062 h 1100137"/>
              <a:gd name="connsiteX3" fmla="*/ 0 w 200025"/>
              <a:gd name="connsiteY3" fmla="*/ 552450 h 1100137"/>
              <a:gd name="connsiteX4" fmla="*/ 119063 w 200025"/>
              <a:gd name="connsiteY4" fmla="*/ 595312 h 1100137"/>
              <a:gd name="connsiteX5" fmla="*/ 119063 w 200025"/>
              <a:gd name="connsiteY5" fmla="*/ 1100137 h 11001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00025" h="1100137">
                <a:moveTo>
                  <a:pt x="119063" y="0"/>
                </a:moveTo>
                <a:lnTo>
                  <a:pt x="119063" y="423862"/>
                </a:lnTo>
                <a:lnTo>
                  <a:pt x="200025" y="500062"/>
                </a:lnTo>
                <a:lnTo>
                  <a:pt x="0" y="552450"/>
                </a:lnTo>
                <a:lnTo>
                  <a:pt x="119063" y="595312"/>
                </a:lnTo>
                <a:lnTo>
                  <a:pt x="119063" y="110013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3" name="Freeform: Shape 182">
            <a:extLst>
              <a:ext uri="{FF2B5EF4-FFF2-40B4-BE49-F238E27FC236}">
                <a16:creationId xmlns:a16="http://schemas.microsoft.com/office/drawing/2014/main" id="{C6DD9822-2642-4A42-BC99-3CE8C9D518CC}"/>
              </a:ext>
            </a:extLst>
          </xdr:cNvPr>
          <xdr:cNvSpPr/>
        </xdr:nvSpPr>
        <xdr:spPr>
          <a:xfrm>
            <a:off x="3675895" y="1753433"/>
            <a:ext cx="202546" cy="1073527"/>
          </a:xfrm>
          <a:custGeom>
            <a:avLst/>
            <a:gdLst>
              <a:gd name="connsiteX0" fmla="*/ 119063 w 200025"/>
              <a:gd name="connsiteY0" fmla="*/ 0 h 1100137"/>
              <a:gd name="connsiteX1" fmla="*/ 119063 w 200025"/>
              <a:gd name="connsiteY1" fmla="*/ 423862 h 1100137"/>
              <a:gd name="connsiteX2" fmla="*/ 200025 w 200025"/>
              <a:gd name="connsiteY2" fmla="*/ 500062 h 1100137"/>
              <a:gd name="connsiteX3" fmla="*/ 0 w 200025"/>
              <a:gd name="connsiteY3" fmla="*/ 552450 h 1100137"/>
              <a:gd name="connsiteX4" fmla="*/ 119063 w 200025"/>
              <a:gd name="connsiteY4" fmla="*/ 595312 h 1100137"/>
              <a:gd name="connsiteX5" fmla="*/ 119063 w 200025"/>
              <a:gd name="connsiteY5" fmla="*/ 1100137 h 11001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00025" h="1100137">
                <a:moveTo>
                  <a:pt x="119063" y="0"/>
                </a:moveTo>
                <a:lnTo>
                  <a:pt x="119063" y="423862"/>
                </a:lnTo>
                <a:lnTo>
                  <a:pt x="200025" y="500062"/>
                </a:lnTo>
                <a:lnTo>
                  <a:pt x="0" y="552450"/>
                </a:lnTo>
                <a:lnTo>
                  <a:pt x="119063" y="595312"/>
                </a:lnTo>
                <a:lnTo>
                  <a:pt x="119063" y="110013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4" name="Freeform: Shape 183">
            <a:extLst>
              <a:ext uri="{FF2B5EF4-FFF2-40B4-BE49-F238E27FC236}">
                <a16:creationId xmlns:a16="http://schemas.microsoft.com/office/drawing/2014/main" id="{FD16B4BC-4CA6-44B0-9178-185134C16870}"/>
              </a:ext>
            </a:extLst>
          </xdr:cNvPr>
          <xdr:cNvSpPr/>
        </xdr:nvSpPr>
        <xdr:spPr>
          <a:xfrm>
            <a:off x="702942" y="7767403"/>
            <a:ext cx="202546" cy="1079949"/>
          </a:xfrm>
          <a:custGeom>
            <a:avLst/>
            <a:gdLst>
              <a:gd name="connsiteX0" fmla="*/ 119063 w 200025"/>
              <a:gd name="connsiteY0" fmla="*/ 0 h 1100137"/>
              <a:gd name="connsiteX1" fmla="*/ 119063 w 200025"/>
              <a:gd name="connsiteY1" fmla="*/ 423862 h 1100137"/>
              <a:gd name="connsiteX2" fmla="*/ 200025 w 200025"/>
              <a:gd name="connsiteY2" fmla="*/ 500062 h 1100137"/>
              <a:gd name="connsiteX3" fmla="*/ 0 w 200025"/>
              <a:gd name="connsiteY3" fmla="*/ 552450 h 1100137"/>
              <a:gd name="connsiteX4" fmla="*/ 119063 w 200025"/>
              <a:gd name="connsiteY4" fmla="*/ 595312 h 1100137"/>
              <a:gd name="connsiteX5" fmla="*/ 119063 w 200025"/>
              <a:gd name="connsiteY5" fmla="*/ 1100137 h 11001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00025" h="1100137">
                <a:moveTo>
                  <a:pt x="119063" y="0"/>
                </a:moveTo>
                <a:lnTo>
                  <a:pt x="119063" y="423862"/>
                </a:lnTo>
                <a:lnTo>
                  <a:pt x="200025" y="500062"/>
                </a:lnTo>
                <a:lnTo>
                  <a:pt x="0" y="552450"/>
                </a:lnTo>
                <a:lnTo>
                  <a:pt x="119063" y="595312"/>
                </a:lnTo>
                <a:lnTo>
                  <a:pt x="119063" y="110013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6" name="Freeform: Shape 185">
            <a:extLst>
              <a:ext uri="{FF2B5EF4-FFF2-40B4-BE49-F238E27FC236}">
                <a16:creationId xmlns:a16="http://schemas.microsoft.com/office/drawing/2014/main" id="{1C33C1C5-2013-4F2A-8938-A9FEF2CD4F91}"/>
              </a:ext>
            </a:extLst>
          </xdr:cNvPr>
          <xdr:cNvSpPr/>
        </xdr:nvSpPr>
        <xdr:spPr>
          <a:xfrm>
            <a:off x="3685241" y="7762532"/>
            <a:ext cx="202546" cy="1079949"/>
          </a:xfrm>
          <a:custGeom>
            <a:avLst/>
            <a:gdLst>
              <a:gd name="connsiteX0" fmla="*/ 119063 w 200025"/>
              <a:gd name="connsiteY0" fmla="*/ 0 h 1100137"/>
              <a:gd name="connsiteX1" fmla="*/ 119063 w 200025"/>
              <a:gd name="connsiteY1" fmla="*/ 423862 h 1100137"/>
              <a:gd name="connsiteX2" fmla="*/ 200025 w 200025"/>
              <a:gd name="connsiteY2" fmla="*/ 500062 h 1100137"/>
              <a:gd name="connsiteX3" fmla="*/ 0 w 200025"/>
              <a:gd name="connsiteY3" fmla="*/ 552450 h 1100137"/>
              <a:gd name="connsiteX4" fmla="*/ 119063 w 200025"/>
              <a:gd name="connsiteY4" fmla="*/ 595312 h 1100137"/>
              <a:gd name="connsiteX5" fmla="*/ 119063 w 200025"/>
              <a:gd name="connsiteY5" fmla="*/ 1100137 h 11001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00025" h="1100137">
                <a:moveTo>
                  <a:pt x="119063" y="0"/>
                </a:moveTo>
                <a:lnTo>
                  <a:pt x="119063" y="423862"/>
                </a:lnTo>
                <a:lnTo>
                  <a:pt x="200025" y="500062"/>
                </a:lnTo>
                <a:lnTo>
                  <a:pt x="0" y="552450"/>
                </a:lnTo>
                <a:lnTo>
                  <a:pt x="119063" y="595312"/>
                </a:lnTo>
                <a:lnTo>
                  <a:pt x="119063" y="1100137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88" name="Freeform: Shape 187">
            <a:extLst>
              <a:ext uri="{FF2B5EF4-FFF2-40B4-BE49-F238E27FC236}">
                <a16:creationId xmlns:a16="http://schemas.microsoft.com/office/drawing/2014/main" id="{77E957E7-5DC5-4740-8585-8CB06BB67C2D}"/>
              </a:ext>
            </a:extLst>
          </xdr:cNvPr>
          <xdr:cNvSpPr/>
        </xdr:nvSpPr>
        <xdr:spPr>
          <a:xfrm>
            <a:off x="1684582" y="9592844"/>
            <a:ext cx="1302622" cy="232193"/>
          </a:xfrm>
          <a:custGeom>
            <a:avLst/>
            <a:gdLst>
              <a:gd name="connsiteX0" fmla="*/ 0 w 1276350"/>
              <a:gd name="connsiteY0" fmla="*/ 119062 h 233362"/>
              <a:gd name="connsiteX1" fmla="*/ 504825 w 1276350"/>
              <a:gd name="connsiteY1" fmla="*/ 119062 h 233362"/>
              <a:gd name="connsiteX2" fmla="*/ 561975 w 1276350"/>
              <a:gd name="connsiteY2" fmla="*/ 233362 h 233362"/>
              <a:gd name="connsiteX3" fmla="*/ 614363 w 1276350"/>
              <a:gd name="connsiteY3" fmla="*/ 0 h 233362"/>
              <a:gd name="connsiteX4" fmla="*/ 676275 w 1276350"/>
              <a:gd name="connsiteY4" fmla="*/ 123825 h 233362"/>
              <a:gd name="connsiteX5" fmla="*/ 1276350 w 1276350"/>
              <a:gd name="connsiteY5" fmla="*/ 123825 h 2333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1276350" h="233362">
                <a:moveTo>
                  <a:pt x="0" y="119062"/>
                </a:moveTo>
                <a:lnTo>
                  <a:pt x="504825" y="119062"/>
                </a:lnTo>
                <a:lnTo>
                  <a:pt x="561975" y="233362"/>
                </a:lnTo>
                <a:lnTo>
                  <a:pt x="614363" y="0"/>
                </a:lnTo>
                <a:lnTo>
                  <a:pt x="676275" y="123825"/>
                </a:lnTo>
                <a:lnTo>
                  <a:pt x="1276350" y="123825"/>
                </a:lnTo>
              </a:path>
            </a:pathLst>
          </a:cu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61F17940-5A78-45FB-90A2-DF12A9C84C9F}"/>
              </a:ext>
            </a:extLst>
          </xdr:cNvPr>
          <xdr:cNvCxnSpPr/>
        </xdr:nvCxnSpPr>
        <xdr:spPr>
          <a:xfrm>
            <a:off x="2331219" y="1056708"/>
            <a:ext cx="0" cy="8675805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3" name="Straight Connector 212">
            <a:extLst>
              <a:ext uri="{FF2B5EF4-FFF2-40B4-BE49-F238E27FC236}">
                <a16:creationId xmlns:a16="http://schemas.microsoft.com/office/drawing/2014/main" id="{415B7ECC-21EC-41AA-9684-A354A10E28FA}"/>
              </a:ext>
            </a:extLst>
          </xdr:cNvPr>
          <xdr:cNvCxnSpPr/>
        </xdr:nvCxnSpPr>
        <xdr:spPr>
          <a:xfrm>
            <a:off x="2746375" y="4252823"/>
            <a:ext cx="584635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" name="Straight Connector 229">
            <a:extLst>
              <a:ext uri="{FF2B5EF4-FFF2-40B4-BE49-F238E27FC236}">
                <a16:creationId xmlns:a16="http://schemas.microsoft.com/office/drawing/2014/main" id="{8A9737DC-FDC3-4715-9BD8-ADEDBDABD829}"/>
              </a:ext>
            </a:extLst>
          </xdr:cNvPr>
          <xdr:cNvCxnSpPr/>
        </xdr:nvCxnSpPr>
        <xdr:spPr>
          <a:xfrm>
            <a:off x="2736850" y="4529564"/>
            <a:ext cx="608179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Connector 235">
            <a:extLst>
              <a:ext uri="{FF2B5EF4-FFF2-40B4-BE49-F238E27FC236}">
                <a16:creationId xmlns:a16="http://schemas.microsoft.com/office/drawing/2014/main" id="{ED39A127-3704-4068-A7EA-9BF19DF0FF2D}"/>
              </a:ext>
            </a:extLst>
          </xdr:cNvPr>
          <xdr:cNvCxnSpPr/>
        </xdr:nvCxnSpPr>
        <xdr:spPr>
          <a:xfrm flipH="1">
            <a:off x="3231355" y="4218843"/>
            <a:ext cx="76382" cy="617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" name="Straight Connector 236">
            <a:extLst>
              <a:ext uri="{FF2B5EF4-FFF2-40B4-BE49-F238E27FC236}">
                <a16:creationId xmlns:a16="http://schemas.microsoft.com/office/drawing/2014/main" id="{29D440F5-B348-443D-A6FB-CD347EE1CD9B}"/>
              </a:ext>
            </a:extLst>
          </xdr:cNvPr>
          <xdr:cNvCxnSpPr/>
        </xdr:nvCxnSpPr>
        <xdr:spPr>
          <a:xfrm flipH="1">
            <a:off x="3231265" y="4498724"/>
            <a:ext cx="76382" cy="6175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" name="Straight Connector 237">
            <a:extLst>
              <a:ext uri="{FF2B5EF4-FFF2-40B4-BE49-F238E27FC236}">
                <a16:creationId xmlns:a16="http://schemas.microsoft.com/office/drawing/2014/main" id="{BA41EED6-0FF9-491A-8951-A2BF6477A44C}"/>
              </a:ext>
            </a:extLst>
          </xdr:cNvPr>
          <xdr:cNvCxnSpPr/>
        </xdr:nvCxnSpPr>
        <xdr:spPr>
          <a:xfrm>
            <a:off x="3271763" y="4194175"/>
            <a:ext cx="0" cy="4191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52388</xdr:colOff>
      <xdr:row>109</xdr:row>
      <xdr:rowOff>38100</xdr:rowOff>
    </xdr:from>
    <xdr:to>
      <xdr:col>13</xdr:col>
      <xdr:colOff>157163</xdr:colOff>
      <xdr:row>121</xdr:row>
      <xdr:rowOff>104775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65B56260-8DB2-4C65-A42A-0A4EE01B225A}"/>
            </a:ext>
          </a:extLst>
        </xdr:cNvPr>
        <xdr:cNvGrpSpPr/>
      </xdr:nvGrpSpPr>
      <xdr:grpSpPr>
        <a:xfrm>
          <a:off x="700088" y="16325850"/>
          <a:ext cx="1562100" cy="1781175"/>
          <a:chOff x="700088" y="16325850"/>
          <a:chExt cx="1562100" cy="1781175"/>
        </a:xfrm>
      </xdr:grpSpPr>
      <xdr:sp macro="" textlink="">
        <xdr:nvSpPr>
          <xdr:cNvPr id="109" name="Oval 108">
            <a:extLst>
              <a:ext uri="{FF2B5EF4-FFF2-40B4-BE49-F238E27FC236}">
                <a16:creationId xmlns:a16="http://schemas.microsoft.com/office/drawing/2014/main" id="{A5139040-7A94-42A7-A4A7-83A5AFBBED5E}"/>
              </a:ext>
            </a:extLst>
          </xdr:cNvPr>
          <xdr:cNvSpPr/>
        </xdr:nvSpPr>
        <xdr:spPr>
          <a:xfrm>
            <a:off x="781050" y="16325850"/>
            <a:ext cx="1352550" cy="1352550"/>
          </a:xfrm>
          <a:prstGeom prst="ellipse">
            <a:avLst/>
          </a:prstGeom>
          <a:blipFill>
            <a:blip xmlns:r="http://schemas.openxmlformats.org/officeDocument/2006/relationships" r:embed="rId1"/>
            <a:tile tx="0" ty="0" sx="100000" sy="100000" flip="none" algn="tl"/>
          </a:blip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Oval 110">
            <a:extLst>
              <a:ext uri="{FF2B5EF4-FFF2-40B4-BE49-F238E27FC236}">
                <a16:creationId xmlns:a16="http://schemas.microsoft.com/office/drawing/2014/main" id="{7F9F9C7F-E714-40B1-A824-267CDDF5D8B7}"/>
              </a:ext>
            </a:extLst>
          </xdr:cNvPr>
          <xdr:cNvSpPr/>
        </xdr:nvSpPr>
        <xdr:spPr>
          <a:xfrm>
            <a:off x="876297" y="16416338"/>
            <a:ext cx="1171578" cy="1171578"/>
          </a:xfrm>
          <a:prstGeom prst="ellipse">
            <a:avLst/>
          </a:pr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tr-TR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14" name="Oval 213">
            <a:extLst>
              <a:ext uri="{FF2B5EF4-FFF2-40B4-BE49-F238E27FC236}">
                <a16:creationId xmlns:a16="http://schemas.microsoft.com/office/drawing/2014/main" id="{675AC55D-A6E1-413A-B4D3-B8062369D3E5}"/>
              </a:ext>
            </a:extLst>
          </xdr:cNvPr>
          <xdr:cNvSpPr/>
        </xdr:nvSpPr>
        <xdr:spPr>
          <a:xfrm>
            <a:off x="1781176" y="16583025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5" name="Oval 214">
            <a:extLst>
              <a:ext uri="{FF2B5EF4-FFF2-40B4-BE49-F238E27FC236}">
                <a16:creationId xmlns:a16="http://schemas.microsoft.com/office/drawing/2014/main" id="{E1602375-33FE-4375-B011-EDF2DF133851}"/>
              </a:ext>
            </a:extLst>
          </xdr:cNvPr>
          <xdr:cNvSpPr/>
        </xdr:nvSpPr>
        <xdr:spPr>
          <a:xfrm>
            <a:off x="1409700" y="17473613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6" name="Oval 215">
            <a:extLst>
              <a:ext uri="{FF2B5EF4-FFF2-40B4-BE49-F238E27FC236}">
                <a16:creationId xmlns:a16="http://schemas.microsoft.com/office/drawing/2014/main" id="{5EF24FA9-DBEE-4D16-B90F-8A6F36B07D6C}"/>
              </a:ext>
            </a:extLst>
          </xdr:cNvPr>
          <xdr:cNvSpPr/>
        </xdr:nvSpPr>
        <xdr:spPr>
          <a:xfrm>
            <a:off x="895350" y="16954500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7" name="Oval 216">
            <a:extLst>
              <a:ext uri="{FF2B5EF4-FFF2-40B4-BE49-F238E27FC236}">
                <a16:creationId xmlns:a16="http://schemas.microsoft.com/office/drawing/2014/main" id="{5967DEA4-AE32-4917-AC64-CF217F6D050C}"/>
              </a:ext>
            </a:extLst>
          </xdr:cNvPr>
          <xdr:cNvSpPr/>
        </xdr:nvSpPr>
        <xdr:spPr>
          <a:xfrm>
            <a:off x="1933575" y="16959262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8" name="Oval 217">
            <a:extLst>
              <a:ext uri="{FF2B5EF4-FFF2-40B4-BE49-F238E27FC236}">
                <a16:creationId xmlns:a16="http://schemas.microsoft.com/office/drawing/2014/main" id="{C50FBBF6-2D46-41CA-8799-A057FD698BB2}"/>
              </a:ext>
            </a:extLst>
          </xdr:cNvPr>
          <xdr:cNvSpPr/>
        </xdr:nvSpPr>
        <xdr:spPr>
          <a:xfrm>
            <a:off x="1409700" y="16430625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19" name="Oval 218">
            <a:extLst>
              <a:ext uri="{FF2B5EF4-FFF2-40B4-BE49-F238E27FC236}">
                <a16:creationId xmlns:a16="http://schemas.microsoft.com/office/drawing/2014/main" id="{F18E7743-E7D0-48A3-84C4-AC26C33DA0A3}"/>
              </a:ext>
            </a:extLst>
          </xdr:cNvPr>
          <xdr:cNvSpPr/>
        </xdr:nvSpPr>
        <xdr:spPr>
          <a:xfrm>
            <a:off x="1009650" y="16621125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0" name="Oval 219">
            <a:extLst>
              <a:ext uri="{FF2B5EF4-FFF2-40B4-BE49-F238E27FC236}">
                <a16:creationId xmlns:a16="http://schemas.microsoft.com/office/drawing/2014/main" id="{91A4B2E7-3A7E-4343-8200-F839FF28FD56}"/>
              </a:ext>
            </a:extLst>
          </xdr:cNvPr>
          <xdr:cNvSpPr/>
        </xdr:nvSpPr>
        <xdr:spPr>
          <a:xfrm>
            <a:off x="1052512" y="17325975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21" name="Oval 220">
            <a:extLst>
              <a:ext uri="{FF2B5EF4-FFF2-40B4-BE49-F238E27FC236}">
                <a16:creationId xmlns:a16="http://schemas.microsoft.com/office/drawing/2014/main" id="{B26A22B8-6D2F-4D44-9073-5A241E69E535}"/>
              </a:ext>
            </a:extLst>
          </xdr:cNvPr>
          <xdr:cNvSpPr/>
        </xdr:nvSpPr>
        <xdr:spPr>
          <a:xfrm>
            <a:off x="1747837" y="17349787"/>
            <a:ext cx="95250" cy="95250"/>
          </a:xfrm>
          <a:prstGeom prst="ellips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24" name="Straight Connector 223">
            <a:extLst>
              <a:ext uri="{FF2B5EF4-FFF2-40B4-BE49-F238E27FC236}">
                <a16:creationId xmlns:a16="http://schemas.microsoft.com/office/drawing/2014/main" id="{37289012-638E-4965-88AC-65A5C7154105}"/>
              </a:ext>
            </a:extLst>
          </xdr:cNvPr>
          <xdr:cNvCxnSpPr/>
        </xdr:nvCxnSpPr>
        <xdr:spPr>
          <a:xfrm>
            <a:off x="704850" y="16821150"/>
            <a:ext cx="1519238" cy="0"/>
          </a:xfrm>
          <a:prstGeom prst="line">
            <a:avLst/>
          </a:prstGeom>
          <a:ln w="12700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" name="Straight Connector 224">
            <a:extLst>
              <a:ext uri="{FF2B5EF4-FFF2-40B4-BE49-F238E27FC236}">
                <a16:creationId xmlns:a16="http://schemas.microsoft.com/office/drawing/2014/main" id="{3D6B1569-4D6A-4214-9BEB-93A79168DBC1}"/>
              </a:ext>
            </a:extLst>
          </xdr:cNvPr>
          <xdr:cNvCxnSpPr/>
        </xdr:nvCxnSpPr>
        <xdr:spPr>
          <a:xfrm>
            <a:off x="704850" y="16854487"/>
            <a:ext cx="1519238" cy="0"/>
          </a:xfrm>
          <a:prstGeom prst="line">
            <a:avLst/>
          </a:prstGeom>
          <a:ln w="12700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Connector 135">
            <a:extLst>
              <a:ext uri="{FF2B5EF4-FFF2-40B4-BE49-F238E27FC236}">
                <a16:creationId xmlns:a16="http://schemas.microsoft.com/office/drawing/2014/main" id="{F04DCA80-4C6D-4FA0-BB8F-CCC4151AD7D1}"/>
              </a:ext>
            </a:extLst>
          </xdr:cNvPr>
          <xdr:cNvCxnSpPr/>
        </xdr:nvCxnSpPr>
        <xdr:spPr>
          <a:xfrm>
            <a:off x="776288" y="17211675"/>
            <a:ext cx="0" cy="8953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Straight Connector 149">
            <a:extLst>
              <a:ext uri="{FF2B5EF4-FFF2-40B4-BE49-F238E27FC236}">
                <a16:creationId xmlns:a16="http://schemas.microsoft.com/office/drawing/2014/main" id="{5FAFD72F-A717-4979-81F9-BB6624E7E189}"/>
              </a:ext>
            </a:extLst>
          </xdr:cNvPr>
          <xdr:cNvCxnSpPr/>
        </xdr:nvCxnSpPr>
        <xdr:spPr>
          <a:xfrm>
            <a:off x="700088" y="18002250"/>
            <a:ext cx="1519237" cy="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Connector 225">
            <a:extLst>
              <a:ext uri="{FF2B5EF4-FFF2-40B4-BE49-F238E27FC236}">
                <a16:creationId xmlns:a16="http://schemas.microsoft.com/office/drawing/2014/main" id="{780AE3BB-2281-466B-957C-1877F116097B}"/>
              </a:ext>
            </a:extLst>
          </xdr:cNvPr>
          <xdr:cNvCxnSpPr/>
        </xdr:nvCxnSpPr>
        <xdr:spPr>
          <a:xfrm flipH="1">
            <a:off x="733425" y="179593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" name="Straight Connector 226">
            <a:extLst>
              <a:ext uri="{FF2B5EF4-FFF2-40B4-BE49-F238E27FC236}">
                <a16:creationId xmlns:a16="http://schemas.microsoft.com/office/drawing/2014/main" id="{004AA463-48B4-4081-9036-E69DC66C51CA}"/>
              </a:ext>
            </a:extLst>
          </xdr:cNvPr>
          <xdr:cNvCxnSpPr/>
        </xdr:nvCxnSpPr>
        <xdr:spPr>
          <a:xfrm>
            <a:off x="2138363" y="17111663"/>
            <a:ext cx="0" cy="985837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" name="Straight Connector 227">
            <a:extLst>
              <a:ext uri="{FF2B5EF4-FFF2-40B4-BE49-F238E27FC236}">
                <a16:creationId xmlns:a16="http://schemas.microsoft.com/office/drawing/2014/main" id="{461600E9-E89F-4826-A844-626592C964D3}"/>
              </a:ext>
            </a:extLst>
          </xdr:cNvPr>
          <xdr:cNvCxnSpPr/>
        </xdr:nvCxnSpPr>
        <xdr:spPr>
          <a:xfrm flipH="1">
            <a:off x="2095500" y="17959388"/>
            <a:ext cx="85725" cy="857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Connector 228">
            <a:extLst>
              <a:ext uri="{FF2B5EF4-FFF2-40B4-BE49-F238E27FC236}">
                <a16:creationId xmlns:a16="http://schemas.microsoft.com/office/drawing/2014/main" id="{828F195E-9A35-43C2-95D7-2149CF37FFA1}"/>
              </a:ext>
            </a:extLst>
          </xdr:cNvPr>
          <xdr:cNvCxnSpPr/>
        </xdr:nvCxnSpPr>
        <xdr:spPr>
          <a:xfrm flipV="1">
            <a:off x="1466850" y="16363950"/>
            <a:ext cx="790575" cy="1162051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Straight Connector 230">
            <a:extLst>
              <a:ext uri="{FF2B5EF4-FFF2-40B4-BE49-F238E27FC236}">
                <a16:creationId xmlns:a16="http://schemas.microsoft.com/office/drawing/2014/main" id="{06BB149A-75E8-46DE-BFE5-592233C7910B}"/>
              </a:ext>
            </a:extLst>
          </xdr:cNvPr>
          <xdr:cNvCxnSpPr/>
        </xdr:nvCxnSpPr>
        <xdr:spPr>
          <a:xfrm flipV="1">
            <a:off x="1800225" y="16383000"/>
            <a:ext cx="447675" cy="1023939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Straight Connector 231">
            <a:extLst>
              <a:ext uri="{FF2B5EF4-FFF2-40B4-BE49-F238E27FC236}">
                <a16:creationId xmlns:a16="http://schemas.microsoft.com/office/drawing/2014/main" id="{18C9133A-87FA-4517-94A6-0916DD8D0AAA}"/>
              </a:ext>
            </a:extLst>
          </xdr:cNvPr>
          <xdr:cNvCxnSpPr/>
        </xdr:nvCxnSpPr>
        <xdr:spPr>
          <a:xfrm flipV="1">
            <a:off x="1995488" y="16373475"/>
            <a:ext cx="242887" cy="638176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Straight Connector 232">
            <a:extLst>
              <a:ext uri="{FF2B5EF4-FFF2-40B4-BE49-F238E27FC236}">
                <a16:creationId xmlns:a16="http://schemas.microsoft.com/office/drawing/2014/main" id="{5E4AB315-907B-45C8-A620-BAD83DF18180}"/>
              </a:ext>
            </a:extLst>
          </xdr:cNvPr>
          <xdr:cNvCxnSpPr/>
        </xdr:nvCxnSpPr>
        <xdr:spPr>
          <a:xfrm flipV="1">
            <a:off x="947737" y="16359188"/>
            <a:ext cx="1304926" cy="647701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" name="Straight Connector 233">
            <a:extLst>
              <a:ext uri="{FF2B5EF4-FFF2-40B4-BE49-F238E27FC236}">
                <a16:creationId xmlns:a16="http://schemas.microsoft.com/office/drawing/2014/main" id="{180EA114-49CA-499B-9649-4FE905CAF389}"/>
              </a:ext>
            </a:extLst>
          </xdr:cNvPr>
          <xdr:cNvCxnSpPr/>
        </xdr:nvCxnSpPr>
        <xdr:spPr>
          <a:xfrm flipV="1">
            <a:off x="1457325" y="16359188"/>
            <a:ext cx="804863" cy="123826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" name="Straight Connector 234">
            <a:extLst>
              <a:ext uri="{FF2B5EF4-FFF2-40B4-BE49-F238E27FC236}">
                <a16:creationId xmlns:a16="http://schemas.microsoft.com/office/drawing/2014/main" id="{44191919-8575-442F-B6EB-49E28F75C3D2}"/>
              </a:ext>
            </a:extLst>
          </xdr:cNvPr>
          <xdr:cNvCxnSpPr/>
        </xdr:nvCxnSpPr>
        <xdr:spPr>
          <a:xfrm flipV="1">
            <a:off x="1104900" y="16354425"/>
            <a:ext cx="1157288" cy="1009651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Connector 243">
            <a:extLst>
              <a:ext uri="{FF2B5EF4-FFF2-40B4-BE49-F238E27FC236}">
                <a16:creationId xmlns:a16="http://schemas.microsoft.com/office/drawing/2014/main" id="{8D264CC9-E2CE-4426-A613-73034A84B409}"/>
              </a:ext>
            </a:extLst>
          </xdr:cNvPr>
          <xdr:cNvCxnSpPr/>
        </xdr:nvCxnSpPr>
        <xdr:spPr>
          <a:xfrm flipV="1">
            <a:off x="1066800" y="16363950"/>
            <a:ext cx="1181100" cy="304801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Connector 238">
            <a:extLst>
              <a:ext uri="{FF2B5EF4-FFF2-40B4-BE49-F238E27FC236}">
                <a16:creationId xmlns:a16="http://schemas.microsoft.com/office/drawing/2014/main" id="{160C6129-CE80-4FCE-AACC-84150F1E8E11}"/>
              </a:ext>
            </a:extLst>
          </xdr:cNvPr>
          <xdr:cNvCxnSpPr/>
        </xdr:nvCxnSpPr>
        <xdr:spPr>
          <a:xfrm flipV="1">
            <a:off x="1833562" y="16373475"/>
            <a:ext cx="409576" cy="26194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85725</xdr:colOff>
      <xdr:row>163</xdr:row>
      <xdr:rowOff>38100</xdr:rowOff>
    </xdr:from>
    <xdr:to>
      <xdr:col>56</xdr:col>
      <xdr:colOff>85725</xdr:colOff>
      <xdr:row>193</xdr:row>
      <xdr:rowOff>90488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EE7EFD76-9F31-4552-9658-1FAE6CE7B507}"/>
            </a:ext>
          </a:extLst>
        </xdr:cNvPr>
        <xdr:cNvGrpSpPr/>
      </xdr:nvGrpSpPr>
      <xdr:grpSpPr>
        <a:xfrm>
          <a:off x="409575" y="24364950"/>
          <a:ext cx="8743950" cy="4338638"/>
          <a:chOff x="409575" y="24364950"/>
          <a:chExt cx="8743950" cy="4338638"/>
        </a:xfrm>
      </xdr:grpSpPr>
      <xdr:sp macro="" textlink="">
        <xdr:nvSpPr>
          <xdr:cNvPr id="240" name="Freeform: Shape 239">
            <a:extLst>
              <a:ext uri="{FF2B5EF4-FFF2-40B4-BE49-F238E27FC236}">
                <a16:creationId xmlns:a16="http://schemas.microsoft.com/office/drawing/2014/main" id="{78572B40-CA1C-4CE7-88C4-983B100ACD8B}"/>
              </a:ext>
            </a:extLst>
          </xdr:cNvPr>
          <xdr:cNvSpPr/>
        </xdr:nvSpPr>
        <xdr:spPr>
          <a:xfrm>
            <a:off x="800100" y="24469725"/>
            <a:ext cx="8353425" cy="3400425"/>
          </a:xfrm>
          <a:custGeom>
            <a:avLst/>
            <a:gdLst>
              <a:gd name="connsiteX0" fmla="*/ 6648450 w 8353425"/>
              <a:gd name="connsiteY0" fmla="*/ 3400425 h 3400425"/>
              <a:gd name="connsiteX1" fmla="*/ 6581775 w 8353425"/>
              <a:gd name="connsiteY1" fmla="*/ 3286125 h 3400425"/>
              <a:gd name="connsiteX2" fmla="*/ 6315075 w 8353425"/>
              <a:gd name="connsiteY2" fmla="*/ 3286125 h 3400425"/>
              <a:gd name="connsiteX3" fmla="*/ 6315075 w 8353425"/>
              <a:gd name="connsiteY3" fmla="*/ 2152650 h 3400425"/>
              <a:gd name="connsiteX4" fmla="*/ 819150 w 8353425"/>
              <a:gd name="connsiteY4" fmla="*/ 2152650 h 3400425"/>
              <a:gd name="connsiteX5" fmla="*/ 819150 w 8353425"/>
              <a:gd name="connsiteY5" fmla="*/ 3305175 h 3400425"/>
              <a:gd name="connsiteX6" fmla="*/ 504825 w 8353425"/>
              <a:gd name="connsiteY6" fmla="*/ 3305175 h 3400425"/>
              <a:gd name="connsiteX7" fmla="*/ 447675 w 8353425"/>
              <a:gd name="connsiteY7" fmla="*/ 3200400 h 3400425"/>
              <a:gd name="connsiteX8" fmla="*/ 371475 w 8353425"/>
              <a:gd name="connsiteY8" fmla="*/ 3390900 h 3400425"/>
              <a:gd name="connsiteX9" fmla="*/ 314325 w 8353425"/>
              <a:gd name="connsiteY9" fmla="*/ 3305175 h 3400425"/>
              <a:gd name="connsiteX10" fmla="*/ 0 w 8353425"/>
              <a:gd name="connsiteY10" fmla="*/ 3305175 h 3400425"/>
              <a:gd name="connsiteX11" fmla="*/ 0 w 8353425"/>
              <a:gd name="connsiteY11" fmla="*/ 142875 h 3400425"/>
              <a:gd name="connsiteX12" fmla="*/ 323850 w 8353425"/>
              <a:gd name="connsiteY12" fmla="*/ 142875 h 3400425"/>
              <a:gd name="connsiteX13" fmla="*/ 361950 w 8353425"/>
              <a:gd name="connsiteY13" fmla="*/ 266700 h 3400425"/>
              <a:gd name="connsiteX14" fmla="*/ 438150 w 8353425"/>
              <a:gd name="connsiteY14" fmla="*/ 0 h 3400425"/>
              <a:gd name="connsiteX15" fmla="*/ 504825 w 8353425"/>
              <a:gd name="connsiteY15" fmla="*/ 161925 h 3400425"/>
              <a:gd name="connsiteX16" fmla="*/ 800100 w 8353425"/>
              <a:gd name="connsiteY16" fmla="*/ 161925 h 3400425"/>
              <a:gd name="connsiteX17" fmla="*/ 800100 w 8353425"/>
              <a:gd name="connsiteY17" fmla="*/ 1285875 h 3400425"/>
              <a:gd name="connsiteX18" fmla="*/ 6315075 w 8353425"/>
              <a:gd name="connsiteY18" fmla="*/ 1285875 h 3400425"/>
              <a:gd name="connsiteX19" fmla="*/ 6315075 w 8353425"/>
              <a:gd name="connsiteY19" fmla="*/ 161925 h 3400425"/>
              <a:gd name="connsiteX20" fmla="*/ 6572250 w 8353425"/>
              <a:gd name="connsiteY20" fmla="*/ 161925 h 3400425"/>
              <a:gd name="connsiteX21" fmla="*/ 6648450 w 8353425"/>
              <a:gd name="connsiteY21" fmla="*/ 276225 h 3400425"/>
              <a:gd name="connsiteX22" fmla="*/ 6715125 w 8353425"/>
              <a:gd name="connsiteY22" fmla="*/ 28575 h 3400425"/>
              <a:gd name="connsiteX23" fmla="*/ 6781800 w 8353425"/>
              <a:gd name="connsiteY23" fmla="*/ 152400 h 3400425"/>
              <a:gd name="connsiteX24" fmla="*/ 7115175 w 8353425"/>
              <a:gd name="connsiteY24" fmla="*/ 152400 h 3400425"/>
              <a:gd name="connsiteX25" fmla="*/ 7115175 w 8353425"/>
              <a:gd name="connsiteY25" fmla="*/ 1295400 h 3400425"/>
              <a:gd name="connsiteX26" fmla="*/ 8248650 w 8353425"/>
              <a:gd name="connsiteY26" fmla="*/ 1295400 h 3400425"/>
              <a:gd name="connsiteX27" fmla="*/ 8248650 w 8353425"/>
              <a:gd name="connsiteY27" fmla="*/ 1514475 h 3400425"/>
              <a:gd name="connsiteX28" fmla="*/ 8153400 w 8353425"/>
              <a:gd name="connsiteY28" fmla="*/ 1609725 h 3400425"/>
              <a:gd name="connsiteX29" fmla="*/ 8353425 w 8353425"/>
              <a:gd name="connsiteY29" fmla="*/ 1676400 h 3400425"/>
              <a:gd name="connsiteX30" fmla="*/ 8248650 w 8353425"/>
              <a:gd name="connsiteY30" fmla="*/ 1733550 h 3400425"/>
              <a:gd name="connsiteX31" fmla="*/ 8248650 w 8353425"/>
              <a:gd name="connsiteY31" fmla="*/ 2162175 h 3400425"/>
              <a:gd name="connsiteX32" fmla="*/ 7115175 w 8353425"/>
              <a:gd name="connsiteY32" fmla="*/ 2162175 h 3400425"/>
              <a:gd name="connsiteX33" fmla="*/ 7115175 w 8353425"/>
              <a:gd name="connsiteY33" fmla="*/ 3295650 h 3400425"/>
              <a:gd name="connsiteX34" fmla="*/ 6791325 w 8353425"/>
              <a:gd name="connsiteY34" fmla="*/ 3295650 h 3400425"/>
              <a:gd name="connsiteX35" fmla="*/ 6743700 w 8353425"/>
              <a:gd name="connsiteY35" fmla="*/ 3181350 h 3400425"/>
              <a:gd name="connsiteX36" fmla="*/ 6648450 w 8353425"/>
              <a:gd name="connsiteY36" fmla="*/ 3400425 h 34004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</a:cxnLst>
            <a:rect l="l" t="t" r="r" b="b"/>
            <a:pathLst>
              <a:path w="8353425" h="3400425">
                <a:moveTo>
                  <a:pt x="6648450" y="3400425"/>
                </a:moveTo>
                <a:lnTo>
                  <a:pt x="6581775" y="3286125"/>
                </a:lnTo>
                <a:lnTo>
                  <a:pt x="6315075" y="3286125"/>
                </a:lnTo>
                <a:lnTo>
                  <a:pt x="6315075" y="2152650"/>
                </a:lnTo>
                <a:lnTo>
                  <a:pt x="819150" y="2152650"/>
                </a:lnTo>
                <a:lnTo>
                  <a:pt x="819150" y="3305175"/>
                </a:lnTo>
                <a:lnTo>
                  <a:pt x="504825" y="3305175"/>
                </a:lnTo>
                <a:lnTo>
                  <a:pt x="447675" y="3200400"/>
                </a:lnTo>
                <a:lnTo>
                  <a:pt x="371475" y="3390900"/>
                </a:lnTo>
                <a:lnTo>
                  <a:pt x="314325" y="3305175"/>
                </a:lnTo>
                <a:lnTo>
                  <a:pt x="0" y="3305175"/>
                </a:lnTo>
                <a:lnTo>
                  <a:pt x="0" y="142875"/>
                </a:lnTo>
                <a:lnTo>
                  <a:pt x="323850" y="142875"/>
                </a:lnTo>
                <a:lnTo>
                  <a:pt x="361950" y="266700"/>
                </a:lnTo>
                <a:lnTo>
                  <a:pt x="438150" y="0"/>
                </a:lnTo>
                <a:lnTo>
                  <a:pt x="504825" y="161925"/>
                </a:lnTo>
                <a:lnTo>
                  <a:pt x="800100" y="161925"/>
                </a:lnTo>
                <a:lnTo>
                  <a:pt x="800100" y="1285875"/>
                </a:lnTo>
                <a:lnTo>
                  <a:pt x="6315075" y="1285875"/>
                </a:lnTo>
                <a:lnTo>
                  <a:pt x="6315075" y="161925"/>
                </a:lnTo>
                <a:lnTo>
                  <a:pt x="6572250" y="161925"/>
                </a:lnTo>
                <a:lnTo>
                  <a:pt x="6648450" y="276225"/>
                </a:lnTo>
                <a:lnTo>
                  <a:pt x="6715125" y="28575"/>
                </a:lnTo>
                <a:lnTo>
                  <a:pt x="6781800" y="152400"/>
                </a:lnTo>
                <a:lnTo>
                  <a:pt x="7115175" y="152400"/>
                </a:lnTo>
                <a:lnTo>
                  <a:pt x="7115175" y="1295400"/>
                </a:lnTo>
                <a:lnTo>
                  <a:pt x="8248650" y="1295400"/>
                </a:lnTo>
                <a:lnTo>
                  <a:pt x="8248650" y="1514475"/>
                </a:lnTo>
                <a:lnTo>
                  <a:pt x="8153400" y="1609725"/>
                </a:lnTo>
                <a:lnTo>
                  <a:pt x="8353425" y="1676400"/>
                </a:lnTo>
                <a:lnTo>
                  <a:pt x="8248650" y="1733550"/>
                </a:lnTo>
                <a:lnTo>
                  <a:pt x="8248650" y="2162175"/>
                </a:lnTo>
                <a:lnTo>
                  <a:pt x="7115175" y="2162175"/>
                </a:lnTo>
                <a:lnTo>
                  <a:pt x="7115175" y="3295650"/>
                </a:lnTo>
                <a:lnTo>
                  <a:pt x="6791325" y="3295650"/>
                </a:lnTo>
                <a:lnTo>
                  <a:pt x="6743700" y="3181350"/>
                </a:lnTo>
                <a:lnTo>
                  <a:pt x="6648450" y="3400425"/>
                </a:lnTo>
                <a:close/>
              </a:path>
            </a:pathLst>
          </a:custGeom>
          <a:solidFill>
            <a:schemeClr val="bg1">
              <a:lumMod val="75000"/>
            </a:schemeClr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cxnSp macro="">
        <xdr:nvCxnSpPr>
          <xdr:cNvPr id="241" name="Straight Connector 240">
            <a:extLst>
              <a:ext uri="{FF2B5EF4-FFF2-40B4-BE49-F238E27FC236}">
                <a16:creationId xmlns:a16="http://schemas.microsoft.com/office/drawing/2014/main" id="{8AB5B977-8321-4FC5-B8AE-35BE34377401}"/>
              </a:ext>
            </a:extLst>
          </xdr:cNvPr>
          <xdr:cNvCxnSpPr/>
        </xdr:nvCxnSpPr>
        <xdr:spPr>
          <a:xfrm>
            <a:off x="5853113" y="25827037"/>
            <a:ext cx="319087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2" name="Freeform: Shape 241">
            <a:extLst>
              <a:ext uri="{FF2B5EF4-FFF2-40B4-BE49-F238E27FC236}">
                <a16:creationId xmlns:a16="http://schemas.microsoft.com/office/drawing/2014/main" id="{8144B629-7F00-4F33-B416-F781014D5428}"/>
              </a:ext>
            </a:extLst>
          </xdr:cNvPr>
          <xdr:cNvSpPr/>
        </xdr:nvSpPr>
        <xdr:spPr>
          <a:xfrm>
            <a:off x="914400" y="25888950"/>
            <a:ext cx="8143875" cy="400050"/>
          </a:xfrm>
          <a:custGeom>
            <a:avLst/>
            <a:gdLst>
              <a:gd name="connsiteX0" fmla="*/ 8143875 w 8143875"/>
              <a:gd name="connsiteY0" fmla="*/ 0 h 400050"/>
              <a:gd name="connsiteX1" fmla="*/ 0 w 8143875"/>
              <a:gd name="connsiteY1" fmla="*/ 0 h 400050"/>
              <a:gd name="connsiteX2" fmla="*/ 0 w 8143875"/>
              <a:gd name="connsiteY2" fmla="*/ 400050 h 4000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143875" h="400050">
                <a:moveTo>
                  <a:pt x="8143875" y="0"/>
                </a:moveTo>
                <a:lnTo>
                  <a:pt x="0" y="0"/>
                </a:lnTo>
                <a:lnTo>
                  <a:pt x="0" y="400050"/>
                </a:lnTo>
              </a:path>
            </a:pathLst>
          </a:cu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3" name="Freeform: Shape 242">
            <a:extLst>
              <a:ext uri="{FF2B5EF4-FFF2-40B4-BE49-F238E27FC236}">
                <a16:creationId xmlns:a16="http://schemas.microsoft.com/office/drawing/2014/main" id="{5297F651-ED66-407B-95BE-38FE7EE1D55A}"/>
              </a:ext>
            </a:extLst>
          </xdr:cNvPr>
          <xdr:cNvSpPr/>
        </xdr:nvSpPr>
        <xdr:spPr>
          <a:xfrm>
            <a:off x="942975" y="26069925"/>
            <a:ext cx="8115300" cy="447675"/>
          </a:xfrm>
          <a:custGeom>
            <a:avLst/>
            <a:gdLst>
              <a:gd name="connsiteX0" fmla="*/ 8115300 w 8115300"/>
              <a:gd name="connsiteY0" fmla="*/ 447675 h 447675"/>
              <a:gd name="connsiteX1" fmla="*/ 0 w 8115300"/>
              <a:gd name="connsiteY1" fmla="*/ 447675 h 447675"/>
              <a:gd name="connsiteX2" fmla="*/ 0 w 8115300"/>
              <a:gd name="connsiteY2" fmla="*/ 0 h 4476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115300" h="447675">
                <a:moveTo>
                  <a:pt x="8115300" y="447675"/>
                </a:moveTo>
                <a:lnTo>
                  <a:pt x="0" y="447675"/>
                </a:lnTo>
                <a:lnTo>
                  <a:pt x="0" y="0"/>
                </a:lnTo>
              </a:path>
            </a:pathLst>
          </a:cu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5" name="Freeform: Shape 244">
            <a:extLst>
              <a:ext uri="{FF2B5EF4-FFF2-40B4-BE49-F238E27FC236}">
                <a16:creationId xmlns:a16="http://schemas.microsoft.com/office/drawing/2014/main" id="{4D989C6A-A6B9-4CB8-886F-44AE28486194}"/>
              </a:ext>
            </a:extLst>
          </xdr:cNvPr>
          <xdr:cNvSpPr/>
        </xdr:nvSpPr>
        <xdr:spPr>
          <a:xfrm>
            <a:off x="838198" y="25831800"/>
            <a:ext cx="2057400" cy="419100"/>
          </a:xfrm>
          <a:custGeom>
            <a:avLst/>
            <a:gdLst>
              <a:gd name="connsiteX0" fmla="*/ 2057400 w 2057400"/>
              <a:gd name="connsiteY0" fmla="*/ 0 h 304800"/>
              <a:gd name="connsiteX1" fmla="*/ 0 w 2057400"/>
              <a:gd name="connsiteY1" fmla="*/ 0 h 304800"/>
              <a:gd name="connsiteX2" fmla="*/ 0 w 2057400"/>
              <a:gd name="connsiteY2" fmla="*/ 304800 h 3048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057400" h="304800">
                <a:moveTo>
                  <a:pt x="2057400" y="0"/>
                </a:moveTo>
                <a:lnTo>
                  <a:pt x="0" y="0"/>
                </a:lnTo>
                <a:lnTo>
                  <a:pt x="0" y="304800"/>
                </a:lnTo>
              </a:path>
            </a:pathLst>
          </a:cu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sp macro="" textlink="">
        <xdr:nvSpPr>
          <xdr:cNvPr id="246" name="Freeform: Shape 245">
            <a:extLst>
              <a:ext uri="{FF2B5EF4-FFF2-40B4-BE49-F238E27FC236}">
                <a16:creationId xmlns:a16="http://schemas.microsoft.com/office/drawing/2014/main" id="{9EB3F656-3718-448D-9C5C-9010B1D1E304}"/>
              </a:ext>
            </a:extLst>
          </xdr:cNvPr>
          <xdr:cNvSpPr/>
        </xdr:nvSpPr>
        <xdr:spPr>
          <a:xfrm>
            <a:off x="871539" y="26141362"/>
            <a:ext cx="1724025" cy="428625"/>
          </a:xfrm>
          <a:custGeom>
            <a:avLst/>
            <a:gdLst>
              <a:gd name="connsiteX0" fmla="*/ 1724025 w 1724025"/>
              <a:gd name="connsiteY0" fmla="*/ 323850 h 323850"/>
              <a:gd name="connsiteX1" fmla="*/ 0 w 1724025"/>
              <a:gd name="connsiteY1" fmla="*/ 323850 h 323850"/>
              <a:gd name="connsiteX2" fmla="*/ 0 w 1724025"/>
              <a:gd name="connsiteY2" fmla="*/ 0 h 3238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724025" h="323850">
                <a:moveTo>
                  <a:pt x="1724025" y="323850"/>
                </a:moveTo>
                <a:lnTo>
                  <a:pt x="0" y="323850"/>
                </a:lnTo>
                <a:lnTo>
                  <a:pt x="0" y="0"/>
                </a:lnTo>
              </a:path>
            </a:pathLst>
          </a:cu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247" name="Straight Connector 246">
            <a:extLst>
              <a:ext uri="{FF2B5EF4-FFF2-40B4-BE49-F238E27FC236}">
                <a16:creationId xmlns:a16="http://schemas.microsoft.com/office/drawing/2014/main" id="{36C5FD86-1F52-4EBE-A977-D0F93FD4E87A}"/>
              </a:ext>
            </a:extLst>
          </xdr:cNvPr>
          <xdr:cNvCxnSpPr/>
        </xdr:nvCxnSpPr>
        <xdr:spPr>
          <a:xfrm>
            <a:off x="6162675" y="26569988"/>
            <a:ext cx="2881312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8" name="Straight Connector 247">
            <a:extLst>
              <a:ext uri="{FF2B5EF4-FFF2-40B4-BE49-F238E27FC236}">
                <a16:creationId xmlns:a16="http://schemas.microsoft.com/office/drawing/2014/main" id="{AC02215E-AC3F-44C5-BC1E-79C3CAC3F5B8}"/>
              </a:ext>
            </a:extLst>
          </xdr:cNvPr>
          <xdr:cNvCxnSpPr/>
        </xdr:nvCxnSpPr>
        <xdr:spPr>
          <a:xfrm>
            <a:off x="1652588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Straight Connector 248">
            <a:extLst>
              <a:ext uri="{FF2B5EF4-FFF2-40B4-BE49-F238E27FC236}">
                <a16:creationId xmlns:a16="http://schemas.microsoft.com/office/drawing/2014/main" id="{135361FB-4C95-4DC4-8D21-2440D1792AEE}"/>
              </a:ext>
            </a:extLst>
          </xdr:cNvPr>
          <xdr:cNvCxnSpPr/>
        </xdr:nvCxnSpPr>
        <xdr:spPr>
          <a:xfrm>
            <a:off x="1781176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1" name="Straight Connector 250">
            <a:extLst>
              <a:ext uri="{FF2B5EF4-FFF2-40B4-BE49-F238E27FC236}">
                <a16:creationId xmlns:a16="http://schemas.microsoft.com/office/drawing/2014/main" id="{BA44ADB9-AA88-4891-A3C8-08A995FC31CF}"/>
              </a:ext>
            </a:extLst>
          </xdr:cNvPr>
          <xdr:cNvCxnSpPr/>
        </xdr:nvCxnSpPr>
        <xdr:spPr>
          <a:xfrm>
            <a:off x="1914525" y="25888950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2" name="Straight Connector 251">
            <a:extLst>
              <a:ext uri="{FF2B5EF4-FFF2-40B4-BE49-F238E27FC236}">
                <a16:creationId xmlns:a16="http://schemas.microsoft.com/office/drawing/2014/main" id="{72410F26-BA04-4D42-8B33-39ED4CFCEEFF}"/>
              </a:ext>
            </a:extLst>
          </xdr:cNvPr>
          <xdr:cNvCxnSpPr/>
        </xdr:nvCxnSpPr>
        <xdr:spPr>
          <a:xfrm>
            <a:off x="2043113" y="25888950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Connector 252">
            <a:extLst>
              <a:ext uri="{FF2B5EF4-FFF2-40B4-BE49-F238E27FC236}">
                <a16:creationId xmlns:a16="http://schemas.microsoft.com/office/drawing/2014/main" id="{A1F7FCF0-B5F1-4FDB-8183-99615F6D23C0}"/>
              </a:ext>
            </a:extLst>
          </xdr:cNvPr>
          <xdr:cNvCxnSpPr/>
        </xdr:nvCxnSpPr>
        <xdr:spPr>
          <a:xfrm>
            <a:off x="2176463" y="25888950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4" name="Straight Connector 253">
            <a:extLst>
              <a:ext uri="{FF2B5EF4-FFF2-40B4-BE49-F238E27FC236}">
                <a16:creationId xmlns:a16="http://schemas.microsoft.com/office/drawing/2014/main" id="{A68483CF-91D3-4DDE-B36D-7BAEA0B9D5C3}"/>
              </a:ext>
            </a:extLst>
          </xdr:cNvPr>
          <xdr:cNvCxnSpPr/>
        </xdr:nvCxnSpPr>
        <xdr:spPr>
          <a:xfrm>
            <a:off x="2305051" y="25888950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5" name="Straight Connector 254">
            <a:extLst>
              <a:ext uri="{FF2B5EF4-FFF2-40B4-BE49-F238E27FC236}">
                <a16:creationId xmlns:a16="http://schemas.microsoft.com/office/drawing/2014/main" id="{AB87D08D-DCDB-4EF9-BD4D-03859CB9B146}"/>
              </a:ext>
            </a:extLst>
          </xdr:cNvPr>
          <xdr:cNvCxnSpPr/>
        </xdr:nvCxnSpPr>
        <xdr:spPr>
          <a:xfrm>
            <a:off x="2438400" y="25888949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6" name="Straight Connector 255">
            <a:extLst>
              <a:ext uri="{FF2B5EF4-FFF2-40B4-BE49-F238E27FC236}">
                <a16:creationId xmlns:a16="http://schemas.microsoft.com/office/drawing/2014/main" id="{45C4B3BD-4114-4E4A-A4DF-393E5E8295E7}"/>
              </a:ext>
            </a:extLst>
          </xdr:cNvPr>
          <xdr:cNvCxnSpPr/>
        </xdr:nvCxnSpPr>
        <xdr:spPr>
          <a:xfrm>
            <a:off x="2566988" y="25888949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7" name="Straight Connector 256">
            <a:extLst>
              <a:ext uri="{FF2B5EF4-FFF2-40B4-BE49-F238E27FC236}">
                <a16:creationId xmlns:a16="http://schemas.microsoft.com/office/drawing/2014/main" id="{6A89E5E1-BB59-4AE7-B96A-A832866CF280}"/>
              </a:ext>
            </a:extLst>
          </xdr:cNvPr>
          <xdr:cNvCxnSpPr/>
        </xdr:nvCxnSpPr>
        <xdr:spPr>
          <a:xfrm>
            <a:off x="2705100" y="25888950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8" name="Straight Connector 257">
            <a:extLst>
              <a:ext uri="{FF2B5EF4-FFF2-40B4-BE49-F238E27FC236}">
                <a16:creationId xmlns:a16="http://schemas.microsoft.com/office/drawing/2014/main" id="{1981A09B-734A-456D-9017-B811FCD69CFC}"/>
              </a:ext>
            </a:extLst>
          </xdr:cNvPr>
          <xdr:cNvCxnSpPr/>
        </xdr:nvCxnSpPr>
        <xdr:spPr>
          <a:xfrm>
            <a:off x="6010274" y="25884186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Straight Connector 258">
            <a:extLst>
              <a:ext uri="{FF2B5EF4-FFF2-40B4-BE49-F238E27FC236}">
                <a16:creationId xmlns:a16="http://schemas.microsoft.com/office/drawing/2014/main" id="{D43AC4FA-2FEC-4CF0-86BA-DC1B4A77737B}"/>
              </a:ext>
            </a:extLst>
          </xdr:cNvPr>
          <xdr:cNvCxnSpPr/>
        </xdr:nvCxnSpPr>
        <xdr:spPr>
          <a:xfrm>
            <a:off x="6138862" y="25884186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Straight Connector 259">
            <a:extLst>
              <a:ext uri="{FF2B5EF4-FFF2-40B4-BE49-F238E27FC236}">
                <a16:creationId xmlns:a16="http://schemas.microsoft.com/office/drawing/2014/main" id="{AB426705-E8B4-47E8-8FCD-9110F9867017}"/>
              </a:ext>
            </a:extLst>
          </xdr:cNvPr>
          <xdr:cNvCxnSpPr/>
        </xdr:nvCxnSpPr>
        <xdr:spPr>
          <a:xfrm>
            <a:off x="6272211" y="25884185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Connector 260">
            <a:extLst>
              <a:ext uri="{FF2B5EF4-FFF2-40B4-BE49-F238E27FC236}">
                <a16:creationId xmlns:a16="http://schemas.microsoft.com/office/drawing/2014/main" id="{130BB786-DAAA-4D85-8719-B1332F05E429}"/>
              </a:ext>
            </a:extLst>
          </xdr:cNvPr>
          <xdr:cNvCxnSpPr/>
        </xdr:nvCxnSpPr>
        <xdr:spPr>
          <a:xfrm>
            <a:off x="6400799" y="25884185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2" name="Straight Connector 261">
            <a:extLst>
              <a:ext uri="{FF2B5EF4-FFF2-40B4-BE49-F238E27FC236}">
                <a16:creationId xmlns:a16="http://schemas.microsoft.com/office/drawing/2014/main" id="{DD08AC2F-15DE-4CF4-9245-525914690AC7}"/>
              </a:ext>
            </a:extLst>
          </xdr:cNvPr>
          <xdr:cNvCxnSpPr/>
        </xdr:nvCxnSpPr>
        <xdr:spPr>
          <a:xfrm>
            <a:off x="6534149" y="25884185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3" name="Straight Connector 262">
            <a:extLst>
              <a:ext uri="{FF2B5EF4-FFF2-40B4-BE49-F238E27FC236}">
                <a16:creationId xmlns:a16="http://schemas.microsoft.com/office/drawing/2014/main" id="{349B7942-206D-46D1-9575-DF9024DF9B26}"/>
              </a:ext>
            </a:extLst>
          </xdr:cNvPr>
          <xdr:cNvCxnSpPr/>
        </xdr:nvCxnSpPr>
        <xdr:spPr>
          <a:xfrm>
            <a:off x="6662737" y="25884185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Connector 263">
            <a:extLst>
              <a:ext uri="{FF2B5EF4-FFF2-40B4-BE49-F238E27FC236}">
                <a16:creationId xmlns:a16="http://schemas.microsoft.com/office/drawing/2014/main" id="{578E59E0-1AC5-40E4-A562-89ADCF2B0028}"/>
              </a:ext>
            </a:extLst>
          </xdr:cNvPr>
          <xdr:cNvCxnSpPr/>
        </xdr:nvCxnSpPr>
        <xdr:spPr>
          <a:xfrm>
            <a:off x="6796086" y="25884184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5" name="Straight Connector 264">
            <a:extLst>
              <a:ext uri="{FF2B5EF4-FFF2-40B4-BE49-F238E27FC236}">
                <a16:creationId xmlns:a16="http://schemas.microsoft.com/office/drawing/2014/main" id="{863BFD52-BFD4-4AAB-A6DE-78F6FA288278}"/>
              </a:ext>
            </a:extLst>
          </xdr:cNvPr>
          <xdr:cNvCxnSpPr/>
        </xdr:nvCxnSpPr>
        <xdr:spPr>
          <a:xfrm>
            <a:off x="6924674" y="25884184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Straight Connector 265">
            <a:extLst>
              <a:ext uri="{FF2B5EF4-FFF2-40B4-BE49-F238E27FC236}">
                <a16:creationId xmlns:a16="http://schemas.microsoft.com/office/drawing/2014/main" id="{56BFE0D7-7142-4BB7-8F49-451E7A9406E5}"/>
              </a:ext>
            </a:extLst>
          </xdr:cNvPr>
          <xdr:cNvCxnSpPr/>
        </xdr:nvCxnSpPr>
        <xdr:spPr>
          <a:xfrm>
            <a:off x="7062786" y="25884185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Connector 266">
            <a:extLst>
              <a:ext uri="{FF2B5EF4-FFF2-40B4-BE49-F238E27FC236}">
                <a16:creationId xmlns:a16="http://schemas.microsoft.com/office/drawing/2014/main" id="{85FFA88E-C609-44C4-886C-B2B236F08B72}"/>
              </a:ext>
            </a:extLst>
          </xdr:cNvPr>
          <xdr:cNvCxnSpPr/>
        </xdr:nvCxnSpPr>
        <xdr:spPr>
          <a:xfrm>
            <a:off x="2952750" y="25888950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8" name="Straight Connector 267">
            <a:extLst>
              <a:ext uri="{FF2B5EF4-FFF2-40B4-BE49-F238E27FC236}">
                <a16:creationId xmlns:a16="http://schemas.microsoft.com/office/drawing/2014/main" id="{A78199BD-8C64-4A39-89C9-6DD8E4783731}"/>
              </a:ext>
            </a:extLst>
          </xdr:cNvPr>
          <xdr:cNvCxnSpPr/>
        </xdr:nvCxnSpPr>
        <xdr:spPr>
          <a:xfrm>
            <a:off x="3205164" y="25884187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9" name="Straight Connector 268">
            <a:extLst>
              <a:ext uri="{FF2B5EF4-FFF2-40B4-BE49-F238E27FC236}">
                <a16:creationId xmlns:a16="http://schemas.microsoft.com/office/drawing/2014/main" id="{BC5FD877-7D90-46B6-B73C-76E75C4E366B}"/>
              </a:ext>
            </a:extLst>
          </xdr:cNvPr>
          <xdr:cNvCxnSpPr/>
        </xdr:nvCxnSpPr>
        <xdr:spPr>
          <a:xfrm>
            <a:off x="3467102" y="25888950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Connector 269">
            <a:extLst>
              <a:ext uri="{FF2B5EF4-FFF2-40B4-BE49-F238E27FC236}">
                <a16:creationId xmlns:a16="http://schemas.microsoft.com/office/drawing/2014/main" id="{4518CB21-C25C-403B-96CC-2977F923CD41}"/>
              </a:ext>
            </a:extLst>
          </xdr:cNvPr>
          <xdr:cNvCxnSpPr/>
        </xdr:nvCxnSpPr>
        <xdr:spPr>
          <a:xfrm>
            <a:off x="3709990" y="25884187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1" name="Straight Connector 270">
            <a:extLst>
              <a:ext uri="{FF2B5EF4-FFF2-40B4-BE49-F238E27FC236}">
                <a16:creationId xmlns:a16="http://schemas.microsoft.com/office/drawing/2014/main" id="{F5C378A0-7AED-43E8-B6A7-A296E4CABB70}"/>
              </a:ext>
            </a:extLst>
          </xdr:cNvPr>
          <xdr:cNvCxnSpPr/>
        </xdr:nvCxnSpPr>
        <xdr:spPr>
          <a:xfrm>
            <a:off x="3967161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2" name="Straight Connector 271">
            <a:extLst>
              <a:ext uri="{FF2B5EF4-FFF2-40B4-BE49-F238E27FC236}">
                <a16:creationId xmlns:a16="http://schemas.microsoft.com/office/drawing/2014/main" id="{9F3005EA-1173-47CC-8D4D-7BCAAA8A35E4}"/>
              </a:ext>
            </a:extLst>
          </xdr:cNvPr>
          <xdr:cNvCxnSpPr/>
        </xdr:nvCxnSpPr>
        <xdr:spPr>
          <a:xfrm>
            <a:off x="4214811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Straight Connector 272">
            <a:extLst>
              <a:ext uri="{FF2B5EF4-FFF2-40B4-BE49-F238E27FC236}">
                <a16:creationId xmlns:a16="http://schemas.microsoft.com/office/drawing/2014/main" id="{B2025616-ACFE-4320-8C3E-A9E907BA8F7A}"/>
              </a:ext>
            </a:extLst>
          </xdr:cNvPr>
          <xdr:cNvCxnSpPr/>
        </xdr:nvCxnSpPr>
        <xdr:spPr>
          <a:xfrm>
            <a:off x="4467225" y="25879425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Straight Connector 273">
            <a:extLst>
              <a:ext uri="{FF2B5EF4-FFF2-40B4-BE49-F238E27FC236}">
                <a16:creationId xmlns:a16="http://schemas.microsoft.com/office/drawing/2014/main" id="{8319F29E-F88D-413D-93F3-A94011BA9A84}"/>
              </a:ext>
            </a:extLst>
          </xdr:cNvPr>
          <xdr:cNvCxnSpPr/>
        </xdr:nvCxnSpPr>
        <xdr:spPr>
          <a:xfrm>
            <a:off x="4729163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Straight Connector 274">
            <a:extLst>
              <a:ext uri="{FF2B5EF4-FFF2-40B4-BE49-F238E27FC236}">
                <a16:creationId xmlns:a16="http://schemas.microsoft.com/office/drawing/2014/main" id="{5BA80E06-3D27-4194-9CDE-51C6072A473A}"/>
              </a:ext>
            </a:extLst>
          </xdr:cNvPr>
          <xdr:cNvCxnSpPr/>
        </xdr:nvCxnSpPr>
        <xdr:spPr>
          <a:xfrm>
            <a:off x="4972051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6" name="Straight Connector 275">
            <a:extLst>
              <a:ext uri="{FF2B5EF4-FFF2-40B4-BE49-F238E27FC236}">
                <a16:creationId xmlns:a16="http://schemas.microsoft.com/office/drawing/2014/main" id="{90FD3EEB-5347-4458-A37A-E4651C0611E7}"/>
              </a:ext>
            </a:extLst>
          </xdr:cNvPr>
          <xdr:cNvCxnSpPr/>
        </xdr:nvCxnSpPr>
        <xdr:spPr>
          <a:xfrm>
            <a:off x="5243512" y="25888951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7" name="Straight Connector 276">
            <a:extLst>
              <a:ext uri="{FF2B5EF4-FFF2-40B4-BE49-F238E27FC236}">
                <a16:creationId xmlns:a16="http://schemas.microsoft.com/office/drawing/2014/main" id="{70B6FD11-6BDE-43FA-AF72-2D5673251101}"/>
              </a:ext>
            </a:extLst>
          </xdr:cNvPr>
          <xdr:cNvCxnSpPr/>
        </xdr:nvCxnSpPr>
        <xdr:spPr>
          <a:xfrm>
            <a:off x="5495926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Straight Connector 277">
            <a:extLst>
              <a:ext uri="{FF2B5EF4-FFF2-40B4-BE49-F238E27FC236}">
                <a16:creationId xmlns:a16="http://schemas.microsoft.com/office/drawing/2014/main" id="{B2AAA146-4546-46E9-A9AF-8C31DA799D35}"/>
              </a:ext>
            </a:extLst>
          </xdr:cNvPr>
          <xdr:cNvCxnSpPr/>
        </xdr:nvCxnSpPr>
        <xdr:spPr>
          <a:xfrm>
            <a:off x="5757864" y="25888951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9" name="Straight Connector 278">
            <a:extLst>
              <a:ext uri="{FF2B5EF4-FFF2-40B4-BE49-F238E27FC236}">
                <a16:creationId xmlns:a16="http://schemas.microsoft.com/office/drawing/2014/main" id="{C9DE6AA9-3DC4-473C-93D0-CBF43788351C}"/>
              </a:ext>
            </a:extLst>
          </xdr:cNvPr>
          <xdr:cNvCxnSpPr/>
        </xdr:nvCxnSpPr>
        <xdr:spPr>
          <a:xfrm>
            <a:off x="1543050" y="25469851"/>
            <a:ext cx="5634038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0" name="Straight Connector 279">
            <a:extLst>
              <a:ext uri="{FF2B5EF4-FFF2-40B4-BE49-F238E27FC236}">
                <a16:creationId xmlns:a16="http://schemas.microsoft.com/office/drawing/2014/main" id="{2D5F29D2-E81C-4B19-B984-F471249FAAC2}"/>
              </a:ext>
            </a:extLst>
          </xdr:cNvPr>
          <xdr:cNvCxnSpPr/>
        </xdr:nvCxnSpPr>
        <xdr:spPr>
          <a:xfrm flipV="1">
            <a:off x="2705101" y="25388888"/>
            <a:ext cx="0" cy="476249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1" name="Straight Connector 280">
            <a:extLst>
              <a:ext uri="{FF2B5EF4-FFF2-40B4-BE49-F238E27FC236}">
                <a16:creationId xmlns:a16="http://schemas.microsoft.com/office/drawing/2014/main" id="{733E4D24-AFF4-452E-9869-BE2BC5535A2F}"/>
              </a:ext>
            </a:extLst>
          </xdr:cNvPr>
          <xdr:cNvCxnSpPr/>
        </xdr:nvCxnSpPr>
        <xdr:spPr>
          <a:xfrm flipH="1">
            <a:off x="1557338" y="25422226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2" name="Straight Connector 281">
            <a:extLst>
              <a:ext uri="{FF2B5EF4-FFF2-40B4-BE49-F238E27FC236}">
                <a16:creationId xmlns:a16="http://schemas.microsoft.com/office/drawing/2014/main" id="{6511E1BA-14B2-48DA-815C-C0F92018B0EB}"/>
              </a:ext>
            </a:extLst>
          </xdr:cNvPr>
          <xdr:cNvCxnSpPr/>
        </xdr:nvCxnSpPr>
        <xdr:spPr>
          <a:xfrm flipH="1">
            <a:off x="2667000" y="25422225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3" name="Straight Connector 282">
            <a:extLst>
              <a:ext uri="{FF2B5EF4-FFF2-40B4-BE49-F238E27FC236}">
                <a16:creationId xmlns:a16="http://schemas.microsoft.com/office/drawing/2014/main" id="{80B001C0-D093-42CB-8E09-D17E6E4649FD}"/>
              </a:ext>
            </a:extLst>
          </xdr:cNvPr>
          <xdr:cNvCxnSpPr/>
        </xdr:nvCxnSpPr>
        <xdr:spPr>
          <a:xfrm flipV="1">
            <a:off x="6000752" y="25393650"/>
            <a:ext cx="0" cy="476249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" name="Straight Connector 283">
            <a:extLst>
              <a:ext uri="{FF2B5EF4-FFF2-40B4-BE49-F238E27FC236}">
                <a16:creationId xmlns:a16="http://schemas.microsoft.com/office/drawing/2014/main" id="{621B6A73-D811-45B7-ACD4-FE24C47C0885}"/>
              </a:ext>
            </a:extLst>
          </xdr:cNvPr>
          <xdr:cNvCxnSpPr/>
        </xdr:nvCxnSpPr>
        <xdr:spPr>
          <a:xfrm flipH="1">
            <a:off x="5962651" y="25426987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5" name="Straight Connector 284">
            <a:extLst>
              <a:ext uri="{FF2B5EF4-FFF2-40B4-BE49-F238E27FC236}">
                <a16:creationId xmlns:a16="http://schemas.microsoft.com/office/drawing/2014/main" id="{AF46F07E-6FCA-4803-AE44-6EAFE783550D}"/>
              </a:ext>
            </a:extLst>
          </xdr:cNvPr>
          <xdr:cNvCxnSpPr/>
        </xdr:nvCxnSpPr>
        <xdr:spPr>
          <a:xfrm flipH="1">
            <a:off x="7067549" y="25426987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6" name="Straight Connector 285">
            <a:extLst>
              <a:ext uri="{FF2B5EF4-FFF2-40B4-BE49-F238E27FC236}">
                <a16:creationId xmlns:a16="http://schemas.microsoft.com/office/drawing/2014/main" id="{B25F6559-AA8E-48D2-B273-8BBFFD225811}"/>
              </a:ext>
            </a:extLst>
          </xdr:cNvPr>
          <xdr:cNvCxnSpPr/>
        </xdr:nvCxnSpPr>
        <xdr:spPr>
          <a:xfrm>
            <a:off x="757238" y="24469725"/>
            <a:ext cx="6419850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7" name="Straight Connector 286">
            <a:extLst>
              <a:ext uri="{FF2B5EF4-FFF2-40B4-BE49-F238E27FC236}">
                <a16:creationId xmlns:a16="http://schemas.microsoft.com/office/drawing/2014/main" id="{F3C891D0-FAE6-4637-9548-15F6066242B6}"/>
              </a:ext>
            </a:extLst>
          </xdr:cNvPr>
          <xdr:cNvCxnSpPr/>
        </xdr:nvCxnSpPr>
        <xdr:spPr>
          <a:xfrm flipH="1">
            <a:off x="1557338" y="24422100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8" name="Straight Connector 287">
            <a:extLst>
              <a:ext uri="{FF2B5EF4-FFF2-40B4-BE49-F238E27FC236}">
                <a16:creationId xmlns:a16="http://schemas.microsoft.com/office/drawing/2014/main" id="{94531027-B4C4-4AE2-B2D9-ACD357B2E47A}"/>
              </a:ext>
            </a:extLst>
          </xdr:cNvPr>
          <xdr:cNvCxnSpPr/>
        </xdr:nvCxnSpPr>
        <xdr:spPr>
          <a:xfrm flipH="1">
            <a:off x="7077074" y="24436386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9" name="Straight Connector 288">
            <a:extLst>
              <a:ext uri="{FF2B5EF4-FFF2-40B4-BE49-F238E27FC236}">
                <a16:creationId xmlns:a16="http://schemas.microsoft.com/office/drawing/2014/main" id="{89D74918-CEDD-424B-A1F7-19D9D8BC671E}"/>
              </a:ext>
            </a:extLst>
          </xdr:cNvPr>
          <xdr:cNvCxnSpPr/>
        </xdr:nvCxnSpPr>
        <xdr:spPr>
          <a:xfrm>
            <a:off x="1524000" y="25184100"/>
            <a:ext cx="1433513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0" name="Straight Connector 289">
            <a:extLst>
              <a:ext uri="{FF2B5EF4-FFF2-40B4-BE49-F238E27FC236}">
                <a16:creationId xmlns:a16="http://schemas.microsoft.com/office/drawing/2014/main" id="{A89C7816-0DDC-4AD7-9912-C1509807C321}"/>
              </a:ext>
            </a:extLst>
          </xdr:cNvPr>
          <xdr:cNvCxnSpPr/>
        </xdr:nvCxnSpPr>
        <xdr:spPr>
          <a:xfrm flipH="1">
            <a:off x="1562100" y="25141238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" name="Straight Connector 290">
            <a:extLst>
              <a:ext uri="{FF2B5EF4-FFF2-40B4-BE49-F238E27FC236}">
                <a16:creationId xmlns:a16="http://schemas.microsoft.com/office/drawing/2014/main" id="{CB325C87-D569-4887-9B99-1DD923E3244E}"/>
              </a:ext>
            </a:extLst>
          </xdr:cNvPr>
          <xdr:cNvCxnSpPr/>
        </xdr:nvCxnSpPr>
        <xdr:spPr>
          <a:xfrm flipV="1">
            <a:off x="2890839" y="25107901"/>
            <a:ext cx="0" cy="690562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2" name="Straight Connector 291">
            <a:extLst>
              <a:ext uri="{FF2B5EF4-FFF2-40B4-BE49-F238E27FC236}">
                <a16:creationId xmlns:a16="http://schemas.microsoft.com/office/drawing/2014/main" id="{F716B589-07AD-46B7-91BF-88D061B83588}"/>
              </a:ext>
            </a:extLst>
          </xdr:cNvPr>
          <xdr:cNvCxnSpPr/>
        </xdr:nvCxnSpPr>
        <xdr:spPr>
          <a:xfrm flipH="1">
            <a:off x="2852738" y="25141237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3" name="Straight Connector 292">
            <a:extLst>
              <a:ext uri="{FF2B5EF4-FFF2-40B4-BE49-F238E27FC236}">
                <a16:creationId xmlns:a16="http://schemas.microsoft.com/office/drawing/2014/main" id="{0D057B03-305A-4605-B968-281732B902A8}"/>
              </a:ext>
            </a:extLst>
          </xdr:cNvPr>
          <xdr:cNvCxnSpPr/>
        </xdr:nvCxnSpPr>
        <xdr:spPr>
          <a:xfrm>
            <a:off x="5776912" y="25184098"/>
            <a:ext cx="1409701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Straight Connector 293">
            <a:extLst>
              <a:ext uri="{FF2B5EF4-FFF2-40B4-BE49-F238E27FC236}">
                <a16:creationId xmlns:a16="http://schemas.microsoft.com/office/drawing/2014/main" id="{E887AD90-712A-4F64-9024-5833C131A9FE}"/>
              </a:ext>
            </a:extLst>
          </xdr:cNvPr>
          <xdr:cNvCxnSpPr/>
        </xdr:nvCxnSpPr>
        <xdr:spPr>
          <a:xfrm flipH="1">
            <a:off x="7072313" y="25146000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5" name="Straight Connector 294">
            <a:extLst>
              <a:ext uri="{FF2B5EF4-FFF2-40B4-BE49-F238E27FC236}">
                <a16:creationId xmlns:a16="http://schemas.microsoft.com/office/drawing/2014/main" id="{D8ECC626-486B-489F-8C5D-F9C5E6B73875}"/>
              </a:ext>
            </a:extLst>
          </xdr:cNvPr>
          <xdr:cNvCxnSpPr/>
        </xdr:nvCxnSpPr>
        <xdr:spPr>
          <a:xfrm flipV="1">
            <a:off x="5853114" y="25107900"/>
            <a:ext cx="0" cy="690562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6" name="Straight Connector 295">
            <a:extLst>
              <a:ext uri="{FF2B5EF4-FFF2-40B4-BE49-F238E27FC236}">
                <a16:creationId xmlns:a16="http://schemas.microsoft.com/office/drawing/2014/main" id="{137159F6-026B-454A-BC41-2413071AFFA0}"/>
              </a:ext>
            </a:extLst>
          </xdr:cNvPr>
          <xdr:cNvCxnSpPr/>
        </xdr:nvCxnSpPr>
        <xdr:spPr>
          <a:xfrm flipH="1">
            <a:off x="5815013" y="25141236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30AD900C-97F4-40D8-9A2D-3510161301CF}"/>
              </a:ext>
            </a:extLst>
          </xdr:cNvPr>
          <xdr:cNvCxnSpPr/>
        </xdr:nvCxnSpPr>
        <xdr:spPr>
          <a:xfrm>
            <a:off x="723900" y="26898601"/>
            <a:ext cx="1943100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8" name="Straight Connector 297">
            <a:extLst>
              <a:ext uri="{FF2B5EF4-FFF2-40B4-BE49-F238E27FC236}">
                <a16:creationId xmlns:a16="http://schemas.microsoft.com/office/drawing/2014/main" id="{FE7B3710-F948-49F0-9178-CE5C60A63376}"/>
              </a:ext>
            </a:extLst>
          </xdr:cNvPr>
          <xdr:cNvCxnSpPr/>
        </xdr:nvCxnSpPr>
        <xdr:spPr>
          <a:xfrm flipH="1">
            <a:off x="757237" y="26855737"/>
            <a:ext cx="76200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Straight Connector 298">
            <a:extLst>
              <a:ext uri="{FF2B5EF4-FFF2-40B4-BE49-F238E27FC236}">
                <a16:creationId xmlns:a16="http://schemas.microsoft.com/office/drawing/2014/main" id="{BCA7C0C8-EB88-440C-896C-F9215917B829}"/>
              </a:ext>
            </a:extLst>
          </xdr:cNvPr>
          <xdr:cNvCxnSpPr/>
        </xdr:nvCxnSpPr>
        <xdr:spPr>
          <a:xfrm>
            <a:off x="2595562" y="26593800"/>
            <a:ext cx="0" cy="366713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0" name="Straight Connector 299">
            <a:extLst>
              <a:ext uri="{FF2B5EF4-FFF2-40B4-BE49-F238E27FC236}">
                <a16:creationId xmlns:a16="http://schemas.microsoft.com/office/drawing/2014/main" id="{2417A2DE-DDF9-4B7B-B478-968C5E082BBF}"/>
              </a:ext>
            </a:extLst>
          </xdr:cNvPr>
          <xdr:cNvCxnSpPr/>
        </xdr:nvCxnSpPr>
        <xdr:spPr>
          <a:xfrm flipH="1">
            <a:off x="2557462" y="26855737"/>
            <a:ext cx="76200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1" name="Straight Connector 300">
            <a:extLst>
              <a:ext uri="{FF2B5EF4-FFF2-40B4-BE49-F238E27FC236}">
                <a16:creationId xmlns:a16="http://schemas.microsoft.com/office/drawing/2014/main" id="{4A93A223-FA48-4D3D-A9BD-1FD4EBE4BACA}"/>
              </a:ext>
            </a:extLst>
          </xdr:cNvPr>
          <xdr:cNvCxnSpPr/>
        </xdr:nvCxnSpPr>
        <xdr:spPr>
          <a:xfrm>
            <a:off x="6167438" y="26598563"/>
            <a:ext cx="0" cy="385762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2" name="Straight Connector 301">
            <a:extLst>
              <a:ext uri="{FF2B5EF4-FFF2-40B4-BE49-F238E27FC236}">
                <a16:creationId xmlns:a16="http://schemas.microsoft.com/office/drawing/2014/main" id="{2064D8E3-427D-4A9A-A045-AD9E79F8C2C8}"/>
              </a:ext>
            </a:extLst>
          </xdr:cNvPr>
          <xdr:cNvCxnSpPr/>
        </xdr:nvCxnSpPr>
        <xdr:spPr>
          <a:xfrm>
            <a:off x="6091238" y="26898600"/>
            <a:ext cx="1900237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3" name="Straight Connector 302">
            <a:extLst>
              <a:ext uri="{FF2B5EF4-FFF2-40B4-BE49-F238E27FC236}">
                <a16:creationId xmlns:a16="http://schemas.microsoft.com/office/drawing/2014/main" id="{13B18FBE-438E-47FB-9991-15121C849D47}"/>
              </a:ext>
            </a:extLst>
          </xdr:cNvPr>
          <xdr:cNvCxnSpPr/>
        </xdr:nvCxnSpPr>
        <xdr:spPr>
          <a:xfrm flipH="1">
            <a:off x="6124575" y="26860500"/>
            <a:ext cx="76200" cy="80963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4" name="Straight Connector 303">
            <a:extLst>
              <a:ext uri="{FF2B5EF4-FFF2-40B4-BE49-F238E27FC236}">
                <a16:creationId xmlns:a16="http://schemas.microsoft.com/office/drawing/2014/main" id="{E35D0162-F9F1-47AD-B8A8-F15A1E72B352}"/>
              </a:ext>
            </a:extLst>
          </xdr:cNvPr>
          <xdr:cNvCxnSpPr/>
        </xdr:nvCxnSpPr>
        <xdr:spPr>
          <a:xfrm flipH="1">
            <a:off x="7881944" y="26860500"/>
            <a:ext cx="61912" cy="80962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5" name="Straight Connector 304">
            <a:extLst>
              <a:ext uri="{FF2B5EF4-FFF2-40B4-BE49-F238E27FC236}">
                <a16:creationId xmlns:a16="http://schemas.microsoft.com/office/drawing/2014/main" id="{3B268BC8-B48B-4CFF-88C6-1BFDE23D0CC1}"/>
              </a:ext>
            </a:extLst>
          </xdr:cNvPr>
          <xdr:cNvCxnSpPr/>
        </xdr:nvCxnSpPr>
        <xdr:spPr>
          <a:xfrm>
            <a:off x="2124075" y="26222326"/>
            <a:ext cx="242888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6" name="Straight Connector 305">
            <a:extLst>
              <a:ext uri="{FF2B5EF4-FFF2-40B4-BE49-F238E27FC236}">
                <a16:creationId xmlns:a16="http://schemas.microsoft.com/office/drawing/2014/main" id="{E9E50C56-7BFA-4A0D-98C4-13712D612215}"/>
              </a:ext>
            </a:extLst>
          </xdr:cNvPr>
          <xdr:cNvCxnSpPr/>
        </xdr:nvCxnSpPr>
        <xdr:spPr>
          <a:xfrm flipH="1">
            <a:off x="2133600" y="26179462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7" name="Straight Connector 306">
            <a:extLst>
              <a:ext uri="{FF2B5EF4-FFF2-40B4-BE49-F238E27FC236}">
                <a16:creationId xmlns:a16="http://schemas.microsoft.com/office/drawing/2014/main" id="{DF603832-6E53-48E3-A057-2EABB6442D68}"/>
              </a:ext>
            </a:extLst>
          </xdr:cNvPr>
          <xdr:cNvCxnSpPr/>
        </xdr:nvCxnSpPr>
        <xdr:spPr>
          <a:xfrm flipH="1">
            <a:off x="2262187" y="26179462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8" name="Straight Connector 307">
            <a:extLst>
              <a:ext uri="{FF2B5EF4-FFF2-40B4-BE49-F238E27FC236}">
                <a16:creationId xmlns:a16="http://schemas.microsoft.com/office/drawing/2014/main" id="{A26786CA-D6EA-4575-BFF1-085F8045D606}"/>
              </a:ext>
            </a:extLst>
          </xdr:cNvPr>
          <xdr:cNvCxnSpPr/>
        </xdr:nvCxnSpPr>
        <xdr:spPr>
          <a:xfrm>
            <a:off x="6486525" y="26227089"/>
            <a:ext cx="242888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9" name="Straight Connector 308">
            <a:extLst>
              <a:ext uri="{FF2B5EF4-FFF2-40B4-BE49-F238E27FC236}">
                <a16:creationId xmlns:a16="http://schemas.microsoft.com/office/drawing/2014/main" id="{E7DF9A93-2061-4077-9E42-15BC7099F50B}"/>
              </a:ext>
            </a:extLst>
          </xdr:cNvPr>
          <xdr:cNvCxnSpPr/>
        </xdr:nvCxnSpPr>
        <xdr:spPr>
          <a:xfrm flipH="1">
            <a:off x="6496050" y="26184225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0" name="Straight Connector 309">
            <a:extLst>
              <a:ext uri="{FF2B5EF4-FFF2-40B4-BE49-F238E27FC236}">
                <a16:creationId xmlns:a16="http://schemas.microsoft.com/office/drawing/2014/main" id="{E65261C8-9975-4972-AEF8-F8E135274860}"/>
              </a:ext>
            </a:extLst>
          </xdr:cNvPr>
          <xdr:cNvCxnSpPr/>
        </xdr:nvCxnSpPr>
        <xdr:spPr>
          <a:xfrm flipH="1">
            <a:off x="6624637" y="26184225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1" name="Straight Connector 310">
            <a:extLst>
              <a:ext uri="{FF2B5EF4-FFF2-40B4-BE49-F238E27FC236}">
                <a16:creationId xmlns:a16="http://schemas.microsoft.com/office/drawing/2014/main" id="{8F559236-C8CF-46C7-B30E-59B4A61B4843}"/>
              </a:ext>
            </a:extLst>
          </xdr:cNvPr>
          <xdr:cNvCxnSpPr/>
        </xdr:nvCxnSpPr>
        <xdr:spPr>
          <a:xfrm>
            <a:off x="3914775" y="26217564"/>
            <a:ext cx="366713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2" name="Straight Connector 311">
            <a:extLst>
              <a:ext uri="{FF2B5EF4-FFF2-40B4-BE49-F238E27FC236}">
                <a16:creationId xmlns:a16="http://schemas.microsoft.com/office/drawing/2014/main" id="{59B8F42B-809C-4617-BA69-14171B1D8649}"/>
              </a:ext>
            </a:extLst>
          </xdr:cNvPr>
          <xdr:cNvCxnSpPr/>
        </xdr:nvCxnSpPr>
        <xdr:spPr>
          <a:xfrm flipH="1">
            <a:off x="3924300" y="26174700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3" name="Straight Connector 312">
            <a:extLst>
              <a:ext uri="{FF2B5EF4-FFF2-40B4-BE49-F238E27FC236}">
                <a16:creationId xmlns:a16="http://schemas.microsoft.com/office/drawing/2014/main" id="{60482AB1-951D-4EBD-A685-0E6875A9A7E9}"/>
              </a:ext>
            </a:extLst>
          </xdr:cNvPr>
          <xdr:cNvCxnSpPr/>
        </xdr:nvCxnSpPr>
        <xdr:spPr>
          <a:xfrm flipH="1">
            <a:off x="4171951" y="26174700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4" name="Straight Connector 313">
            <a:extLst>
              <a:ext uri="{FF2B5EF4-FFF2-40B4-BE49-F238E27FC236}">
                <a16:creationId xmlns:a16="http://schemas.microsoft.com/office/drawing/2014/main" id="{19B8C04A-9ED8-4D0B-800D-920341617687}"/>
              </a:ext>
            </a:extLst>
          </xdr:cNvPr>
          <xdr:cNvCxnSpPr/>
        </xdr:nvCxnSpPr>
        <xdr:spPr>
          <a:xfrm flipV="1">
            <a:off x="833437" y="24374475"/>
            <a:ext cx="0" cy="141922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5" name="Straight Connector 314">
            <a:extLst>
              <a:ext uri="{FF2B5EF4-FFF2-40B4-BE49-F238E27FC236}">
                <a16:creationId xmlns:a16="http://schemas.microsoft.com/office/drawing/2014/main" id="{860CC93A-FA29-4D3D-8C4E-38F0965FC9B6}"/>
              </a:ext>
            </a:extLst>
          </xdr:cNvPr>
          <xdr:cNvCxnSpPr/>
        </xdr:nvCxnSpPr>
        <xdr:spPr>
          <a:xfrm flipH="1">
            <a:off x="795338" y="24422099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id="{0A7E1D83-0812-447F-9813-6B48C890D262}"/>
              </a:ext>
            </a:extLst>
          </xdr:cNvPr>
          <xdr:cNvCxnSpPr/>
        </xdr:nvCxnSpPr>
        <xdr:spPr>
          <a:xfrm>
            <a:off x="409575" y="25827038"/>
            <a:ext cx="404813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7" name="Straight Connector 316">
            <a:extLst>
              <a:ext uri="{FF2B5EF4-FFF2-40B4-BE49-F238E27FC236}">
                <a16:creationId xmlns:a16="http://schemas.microsoft.com/office/drawing/2014/main" id="{989AF43A-17F9-43C4-8348-F3E84876BB3A}"/>
              </a:ext>
            </a:extLst>
          </xdr:cNvPr>
          <xdr:cNvCxnSpPr/>
        </xdr:nvCxnSpPr>
        <xdr:spPr>
          <a:xfrm>
            <a:off x="485775" y="25755600"/>
            <a:ext cx="0" cy="59055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Straight Connector 317">
            <a:extLst>
              <a:ext uri="{FF2B5EF4-FFF2-40B4-BE49-F238E27FC236}">
                <a16:creationId xmlns:a16="http://schemas.microsoft.com/office/drawing/2014/main" id="{FA6A0DA7-34FC-427D-954A-9B8AAADAFD07}"/>
              </a:ext>
            </a:extLst>
          </xdr:cNvPr>
          <xdr:cNvCxnSpPr/>
        </xdr:nvCxnSpPr>
        <xdr:spPr>
          <a:xfrm>
            <a:off x="423863" y="26250901"/>
            <a:ext cx="395288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9" name="Straight Connector 318">
            <a:extLst>
              <a:ext uri="{FF2B5EF4-FFF2-40B4-BE49-F238E27FC236}">
                <a16:creationId xmlns:a16="http://schemas.microsoft.com/office/drawing/2014/main" id="{B51F3F35-7E32-4112-90A9-00C49637B653}"/>
              </a:ext>
            </a:extLst>
          </xdr:cNvPr>
          <xdr:cNvCxnSpPr/>
        </xdr:nvCxnSpPr>
        <xdr:spPr>
          <a:xfrm flipH="1">
            <a:off x="447675" y="25788938"/>
            <a:ext cx="76202" cy="80962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0" name="Straight Connector 319">
            <a:extLst>
              <a:ext uri="{FF2B5EF4-FFF2-40B4-BE49-F238E27FC236}">
                <a16:creationId xmlns:a16="http://schemas.microsoft.com/office/drawing/2014/main" id="{C18874D1-4A5D-46BA-9AF4-892AF09B03F1}"/>
              </a:ext>
            </a:extLst>
          </xdr:cNvPr>
          <xdr:cNvCxnSpPr/>
        </xdr:nvCxnSpPr>
        <xdr:spPr>
          <a:xfrm flipH="1">
            <a:off x="442912" y="26217563"/>
            <a:ext cx="76202" cy="80962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1" name="Straight Connector 320">
            <a:extLst>
              <a:ext uri="{FF2B5EF4-FFF2-40B4-BE49-F238E27FC236}">
                <a16:creationId xmlns:a16="http://schemas.microsoft.com/office/drawing/2014/main" id="{780A1C0C-B84D-4057-946E-8FDBB6383851}"/>
              </a:ext>
            </a:extLst>
          </xdr:cNvPr>
          <xdr:cNvCxnSpPr/>
        </xdr:nvCxnSpPr>
        <xdr:spPr>
          <a:xfrm flipV="1">
            <a:off x="1647826" y="25546050"/>
            <a:ext cx="0" cy="314326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Straight Connector 321">
            <a:extLst>
              <a:ext uri="{FF2B5EF4-FFF2-40B4-BE49-F238E27FC236}">
                <a16:creationId xmlns:a16="http://schemas.microsoft.com/office/drawing/2014/main" id="{A02A9BFC-5239-470E-A37C-95F68108F1FA}"/>
              </a:ext>
            </a:extLst>
          </xdr:cNvPr>
          <xdr:cNvCxnSpPr/>
        </xdr:nvCxnSpPr>
        <xdr:spPr>
          <a:xfrm flipH="1">
            <a:off x="1609725" y="25569863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3" name="Straight Connector 322">
            <a:extLst>
              <a:ext uri="{FF2B5EF4-FFF2-40B4-BE49-F238E27FC236}">
                <a16:creationId xmlns:a16="http://schemas.microsoft.com/office/drawing/2014/main" id="{CDB13C9D-7F18-45C3-A269-EF3800C72C9B}"/>
              </a:ext>
            </a:extLst>
          </xdr:cNvPr>
          <xdr:cNvCxnSpPr/>
        </xdr:nvCxnSpPr>
        <xdr:spPr>
          <a:xfrm>
            <a:off x="1543050" y="25612725"/>
            <a:ext cx="161925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4" name="Straight Connector 323">
            <a:extLst>
              <a:ext uri="{FF2B5EF4-FFF2-40B4-BE49-F238E27FC236}">
                <a16:creationId xmlns:a16="http://schemas.microsoft.com/office/drawing/2014/main" id="{9624D4FD-D400-43DC-ABFB-CFF0CA5006C4}"/>
              </a:ext>
            </a:extLst>
          </xdr:cNvPr>
          <xdr:cNvCxnSpPr/>
        </xdr:nvCxnSpPr>
        <xdr:spPr>
          <a:xfrm flipH="1">
            <a:off x="1552575" y="25565100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5" name="Straight Connector 324">
            <a:extLst>
              <a:ext uri="{FF2B5EF4-FFF2-40B4-BE49-F238E27FC236}">
                <a16:creationId xmlns:a16="http://schemas.microsoft.com/office/drawing/2014/main" id="{F52EC2D7-F398-4B63-A811-B1A1E4BFA40B}"/>
              </a:ext>
            </a:extLst>
          </xdr:cNvPr>
          <xdr:cNvCxnSpPr/>
        </xdr:nvCxnSpPr>
        <xdr:spPr>
          <a:xfrm flipV="1">
            <a:off x="7058027" y="25546047"/>
            <a:ext cx="0" cy="314326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6" name="Straight Connector 325">
            <a:extLst>
              <a:ext uri="{FF2B5EF4-FFF2-40B4-BE49-F238E27FC236}">
                <a16:creationId xmlns:a16="http://schemas.microsoft.com/office/drawing/2014/main" id="{C22EB499-D13D-4350-9723-715962B13F76}"/>
              </a:ext>
            </a:extLst>
          </xdr:cNvPr>
          <xdr:cNvCxnSpPr/>
        </xdr:nvCxnSpPr>
        <xdr:spPr>
          <a:xfrm flipH="1">
            <a:off x="7019926" y="25569860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7" name="Straight Connector 326">
            <a:extLst>
              <a:ext uri="{FF2B5EF4-FFF2-40B4-BE49-F238E27FC236}">
                <a16:creationId xmlns:a16="http://schemas.microsoft.com/office/drawing/2014/main" id="{0FBE13C6-20BC-4C28-AB02-783C0D8ADC0E}"/>
              </a:ext>
            </a:extLst>
          </xdr:cNvPr>
          <xdr:cNvCxnSpPr/>
        </xdr:nvCxnSpPr>
        <xdr:spPr>
          <a:xfrm>
            <a:off x="7010404" y="25612722"/>
            <a:ext cx="161925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8" name="Straight Connector 327">
            <a:extLst>
              <a:ext uri="{FF2B5EF4-FFF2-40B4-BE49-F238E27FC236}">
                <a16:creationId xmlns:a16="http://schemas.microsoft.com/office/drawing/2014/main" id="{922B2A21-35D5-47B0-B907-AD684260C0BE}"/>
              </a:ext>
            </a:extLst>
          </xdr:cNvPr>
          <xdr:cNvCxnSpPr/>
        </xdr:nvCxnSpPr>
        <xdr:spPr>
          <a:xfrm flipH="1">
            <a:off x="7077084" y="25565097"/>
            <a:ext cx="80962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0" name="TextBox 329">
            <a:extLst>
              <a:ext uri="{FF2B5EF4-FFF2-40B4-BE49-F238E27FC236}">
                <a16:creationId xmlns:a16="http://schemas.microsoft.com/office/drawing/2014/main" id="{68F73E1B-26D5-4557-9478-7AAACF8A78F4}"/>
              </a:ext>
            </a:extLst>
          </xdr:cNvPr>
          <xdr:cNvSpPr txBox="1"/>
        </xdr:nvSpPr>
        <xdr:spPr>
          <a:xfrm>
            <a:off x="2100263" y="25974675"/>
            <a:ext cx="390525" cy="2619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sc</a:t>
            </a:r>
          </a:p>
        </xdr:txBody>
      </xdr:sp>
      <xdr:sp macro="" textlink="">
        <xdr:nvSpPr>
          <xdr:cNvPr id="331" name="TextBox 330">
            <a:extLst>
              <a:ext uri="{FF2B5EF4-FFF2-40B4-BE49-F238E27FC236}">
                <a16:creationId xmlns:a16="http://schemas.microsoft.com/office/drawing/2014/main" id="{31D4BB5C-8CAE-4110-BA4E-050354DA50D3}"/>
              </a:ext>
            </a:extLst>
          </xdr:cNvPr>
          <xdr:cNvSpPr txBox="1"/>
        </xdr:nvSpPr>
        <xdr:spPr>
          <a:xfrm>
            <a:off x="3929063" y="26003250"/>
            <a:ext cx="390525" cy="2619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so</a:t>
            </a:r>
          </a:p>
        </xdr:txBody>
      </xdr:sp>
      <xdr:cxnSp macro="">
        <xdr:nvCxnSpPr>
          <xdr:cNvPr id="332" name="Straight Connector 331">
            <a:extLst>
              <a:ext uri="{FF2B5EF4-FFF2-40B4-BE49-F238E27FC236}">
                <a16:creationId xmlns:a16="http://schemas.microsoft.com/office/drawing/2014/main" id="{C6E75281-03D1-40F3-9ACB-C62AACE995FE}"/>
              </a:ext>
            </a:extLst>
          </xdr:cNvPr>
          <xdr:cNvCxnSpPr/>
        </xdr:nvCxnSpPr>
        <xdr:spPr>
          <a:xfrm>
            <a:off x="7996238" y="25884189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3" name="Straight Connector 332">
            <a:extLst>
              <a:ext uri="{FF2B5EF4-FFF2-40B4-BE49-F238E27FC236}">
                <a16:creationId xmlns:a16="http://schemas.microsoft.com/office/drawing/2014/main" id="{1E951E14-A2CE-479D-A189-AEA492A119EA}"/>
              </a:ext>
            </a:extLst>
          </xdr:cNvPr>
          <xdr:cNvCxnSpPr/>
        </xdr:nvCxnSpPr>
        <xdr:spPr>
          <a:xfrm>
            <a:off x="8124826" y="25884189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4" name="Straight Connector 333">
            <a:extLst>
              <a:ext uri="{FF2B5EF4-FFF2-40B4-BE49-F238E27FC236}">
                <a16:creationId xmlns:a16="http://schemas.microsoft.com/office/drawing/2014/main" id="{0B826EC9-E7F7-4407-B069-C791300C9863}"/>
              </a:ext>
            </a:extLst>
          </xdr:cNvPr>
          <xdr:cNvCxnSpPr/>
        </xdr:nvCxnSpPr>
        <xdr:spPr>
          <a:xfrm>
            <a:off x="8258175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5" name="Straight Connector 334">
            <a:extLst>
              <a:ext uri="{FF2B5EF4-FFF2-40B4-BE49-F238E27FC236}">
                <a16:creationId xmlns:a16="http://schemas.microsoft.com/office/drawing/2014/main" id="{01CB965E-18E9-43FB-B1F4-166807308C35}"/>
              </a:ext>
            </a:extLst>
          </xdr:cNvPr>
          <xdr:cNvCxnSpPr/>
        </xdr:nvCxnSpPr>
        <xdr:spPr>
          <a:xfrm>
            <a:off x="8386763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6" name="Straight Connector 335">
            <a:extLst>
              <a:ext uri="{FF2B5EF4-FFF2-40B4-BE49-F238E27FC236}">
                <a16:creationId xmlns:a16="http://schemas.microsoft.com/office/drawing/2014/main" id="{1C8E9D76-DB92-4B5E-8872-6ADF6C001A87}"/>
              </a:ext>
            </a:extLst>
          </xdr:cNvPr>
          <xdr:cNvCxnSpPr/>
        </xdr:nvCxnSpPr>
        <xdr:spPr>
          <a:xfrm>
            <a:off x="8520113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7" name="Straight Connector 336">
            <a:extLst>
              <a:ext uri="{FF2B5EF4-FFF2-40B4-BE49-F238E27FC236}">
                <a16:creationId xmlns:a16="http://schemas.microsoft.com/office/drawing/2014/main" id="{1654B14C-B0ED-4228-9366-13B57283E042}"/>
              </a:ext>
            </a:extLst>
          </xdr:cNvPr>
          <xdr:cNvCxnSpPr/>
        </xdr:nvCxnSpPr>
        <xdr:spPr>
          <a:xfrm>
            <a:off x="8648701" y="25884188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8" name="Straight Connector 337">
            <a:extLst>
              <a:ext uri="{FF2B5EF4-FFF2-40B4-BE49-F238E27FC236}">
                <a16:creationId xmlns:a16="http://schemas.microsoft.com/office/drawing/2014/main" id="{0987D97B-1073-443D-9625-C1D261A88737}"/>
              </a:ext>
            </a:extLst>
          </xdr:cNvPr>
          <xdr:cNvCxnSpPr/>
        </xdr:nvCxnSpPr>
        <xdr:spPr>
          <a:xfrm>
            <a:off x="8782050" y="25884187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9" name="Straight Connector 338">
            <a:extLst>
              <a:ext uri="{FF2B5EF4-FFF2-40B4-BE49-F238E27FC236}">
                <a16:creationId xmlns:a16="http://schemas.microsoft.com/office/drawing/2014/main" id="{E3751628-A8FE-4AB1-A245-EFC1830A299C}"/>
              </a:ext>
            </a:extLst>
          </xdr:cNvPr>
          <xdr:cNvCxnSpPr/>
        </xdr:nvCxnSpPr>
        <xdr:spPr>
          <a:xfrm>
            <a:off x="8910638" y="25884187"/>
            <a:ext cx="0" cy="633412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0" name="TextBox 339">
            <a:extLst>
              <a:ext uri="{FF2B5EF4-FFF2-40B4-BE49-F238E27FC236}">
                <a16:creationId xmlns:a16="http://schemas.microsoft.com/office/drawing/2014/main" id="{EE129F25-56EE-4298-AE38-3FF17C4F2159}"/>
              </a:ext>
            </a:extLst>
          </xdr:cNvPr>
          <xdr:cNvSpPr txBox="1"/>
        </xdr:nvSpPr>
        <xdr:spPr>
          <a:xfrm>
            <a:off x="6457950" y="26003250"/>
            <a:ext cx="390525" cy="2619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tr-TR" sz="800">
                <a:latin typeface="Arial" panose="020B0604020202020204" pitchFamily="34" charset="0"/>
                <a:cs typeface="Arial" panose="020B0604020202020204" pitchFamily="34" charset="0"/>
              </a:rPr>
              <a:t>sc</a:t>
            </a:r>
          </a:p>
        </xdr:txBody>
      </xdr:sp>
      <xdr:cxnSp macro="">
        <xdr:nvCxnSpPr>
          <xdr:cNvPr id="341" name="Straight Connector 340">
            <a:extLst>
              <a:ext uri="{FF2B5EF4-FFF2-40B4-BE49-F238E27FC236}">
                <a16:creationId xmlns:a16="http://schemas.microsoft.com/office/drawing/2014/main" id="{7303C677-6B52-4C48-8D7E-4EEB4E3ACB5F}"/>
              </a:ext>
            </a:extLst>
          </xdr:cNvPr>
          <xdr:cNvCxnSpPr/>
        </xdr:nvCxnSpPr>
        <xdr:spPr>
          <a:xfrm>
            <a:off x="4333875" y="25669875"/>
            <a:ext cx="0" cy="1071563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2" name="Straight Connector 341">
            <a:extLst>
              <a:ext uri="{FF2B5EF4-FFF2-40B4-BE49-F238E27FC236}">
                <a16:creationId xmlns:a16="http://schemas.microsoft.com/office/drawing/2014/main" id="{D4DEF3C1-8389-4388-9927-93DF7D3423B4}"/>
              </a:ext>
            </a:extLst>
          </xdr:cNvPr>
          <xdr:cNvCxnSpPr/>
        </xdr:nvCxnSpPr>
        <xdr:spPr>
          <a:xfrm>
            <a:off x="4357687" y="25669875"/>
            <a:ext cx="0" cy="1071563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3" name="Straight Connector 342">
            <a:extLst>
              <a:ext uri="{FF2B5EF4-FFF2-40B4-BE49-F238E27FC236}">
                <a16:creationId xmlns:a16="http://schemas.microsoft.com/office/drawing/2014/main" id="{F7FC4E94-EE5D-415A-87AD-B61E0E7D177C}"/>
              </a:ext>
            </a:extLst>
          </xdr:cNvPr>
          <xdr:cNvCxnSpPr/>
        </xdr:nvCxnSpPr>
        <xdr:spPr>
          <a:xfrm>
            <a:off x="1985962" y="25669875"/>
            <a:ext cx="0" cy="1071563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4" name="Straight Connector 343">
            <a:extLst>
              <a:ext uri="{FF2B5EF4-FFF2-40B4-BE49-F238E27FC236}">
                <a16:creationId xmlns:a16="http://schemas.microsoft.com/office/drawing/2014/main" id="{0CCA0DAC-DA75-4381-95AD-BB5D770F7FCA}"/>
              </a:ext>
            </a:extLst>
          </xdr:cNvPr>
          <xdr:cNvCxnSpPr/>
        </xdr:nvCxnSpPr>
        <xdr:spPr>
          <a:xfrm>
            <a:off x="2009774" y="25669875"/>
            <a:ext cx="0" cy="1071563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5" name="Straight Connector 344">
            <a:extLst>
              <a:ext uri="{FF2B5EF4-FFF2-40B4-BE49-F238E27FC236}">
                <a16:creationId xmlns:a16="http://schemas.microsoft.com/office/drawing/2014/main" id="{ACFAE7A4-306D-4853-94A7-73688E00D0CF}"/>
              </a:ext>
            </a:extLst>
          </xdr:cNvPr>
          <xdr:cNvCxnSpPr/>
        </xdr:nvCxnSpPr>
        <xdr:spPr>
          <a:xfrm>
            <a:off x="6724650" y="25646062"/>
            <a:ext cx="0" cy="1071563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6" name="Straight Connector 345">
            <a:extLst>
              <a:ext uri="{FF2B5EF4-FFF2-40B4-BE49-F238E27FC236}">
                <a16:creationId xmlns:a16="http://schemas.microsoft.com/office/drawing/2014/main" id="{7F6E25C4-1702-4680-99E1-9CE8B659DEC2}"/>
              </a:ext>
            </a:extLst>
          </xdr:cNvPr>
          <xdr:cNvCxnSpPr/>
        </xdr:nvCxnSpPr>
        <xdr:spPr>
          <a:xfrm>
            <a:off x="6748462" y="25646062"/>
            <a:ext cx="0" cy="1071563"/>
          </a:xfrm>
          <a:prstGeom prst="line">
            <a:avLst/>
          </a:prstGeom>
          <a:ln w="9525">
            <a:solidFill>
              <a:schemeClr val="accent6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7" name="Freeform: Shape 346">
            <a:extLst>
              <a:ext uri="{FF2B5EF4-FFF2-40B4-BE49-F238E27FC236}">
                <a16:creationId xmlns:a16="http://schemas.microsoft.com/office/drawing/2014/main" id="{FC4FAF43-5780-44A0-952C-7182B9340D14}"/>
              </a:ext>
            </a:extLst>
          </xdr:cNvPr>
          <xdr:cNvSpPr/>
        </xdr:nvSpPr>
        <xdr:spPr>
          <a:xfrm>
            <a:off x="2524125" y="27465338"/>
            <a:ext cx="1581150" cy="857250"/>
          </a:xfrm>
          <a:custGeom>
            <a:avLst/>
            <a:gdLst>
              <a:gd name="connsiteX0" fmla="*/ 66675 w 1581150"/>
              <a:gd name="connsiteY0" fmla="*/ 209550 h 857250"/>
              <a:gd name="connsiteX1" fmla="*/ 66675 w 1581150"/>
              <a:gd name="connsiteY1" fmla="*/ 128587 h 857250"/>
              <a:gd name="connsiteX2" fmla="*/ 109538 w 1581150"/>
              <a:gd name="connsiteY2" fmla="*/ 95250 h 857250"/>
              <a:gd name="connsiteX3" fmla="*/ 0 w 1581150"/>
              <a:gd name="connsiteY3" fmla="*/ 76200 h 857250"/>
              <a:gd name="connsiteX4" fmla="*/ 71438 w 1581150"/>
              <a:gd name="connsiteY4" fmla="*/ 42862 h 857250"/>
              <a:gd name="connsiteX5" fmla="*/ 71438 w 1581150"/>
              <a:gd name="connsiteY5" fmla="*/ 0 h 857250"/>
              <a:gd name="connsiteX6" fmla="*/ 1519238 w 1581150"/>
              <a:gd name="connsiteY6" fmla="*/ 0 h 857250"/>
              <a:gd name="connsiteX7" fmla="*/ 1519238 w 1581150"/>
              <a:gd name="connsiteY7" fmla="*/ 76200 h 857250"/>
              <a:gd name="connsiteX8" fmla="*/ 1471613 w 1581150"/>
              <a:gd name="connsiteY8" fmla="*/ 114300 h 857250"/>
              <a:gd name="connsiteX9" fmla="*/ 1581150 w 1581150"/>
              <a:gd name="connsiteY9" fmla="*/ 138112 h 857250"/>
              <a:gd name="connsiteX10" fmla="*/ 1524000 w 1581150"/>
              <a:gd name="connsiteY10" fmla="*/ 157162 h 857250"/>
              <a:gd name="connsiteX11" fmla="*/ 1524000 w 1581150"/>
              <a:gd name="connsiteY11" fmla="*/ 209550 h 857250"/>
              <a:gd name="connsiteX12" fmla="*/ 1119188 w 1581150"/>
              <a:gd name="connsiteY12" fmla="*/ 209550 h 857250"/>
              <a:gd name="connsiteX13" fmla="*/ 1119188 w 1581150"/>
              <a:gd name="connsiteY13" fmla="*/ 857250 h 857250"/>
              <a:gd name="connsiteX14" fmla="*/ 466725 w 1581150"/>
              <a:gd name="connsiteY14" fmla="*/ 857250 h 857250"/>
              <a:gd name="connsiteX15" fmla="*/ 466725 w 1581150"/>
              <a:gd name="connsiteY15" fmla="*/ 204787 h 857250"/>
              <a:gd name="connsiteX16" fmla="*/ 66675 w 1581150"/>
              <a:gd name="connsiteY16" fmla="*/ 209550 h 8572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1581150" h="857250">
                <a:moveTo>
                  <a:pt x="66675" y="209550"/>
                </a:moveTo>
                <a:lnTo>
                  <a:pt x="66675" y="128587"/>
                </a:lnTo>
                <a:lnTo>
                  <a:pt x="109538" y="95250"/>
                </a:lnTo>
                <a:lnTo>
                  <a:pt x="0" y="76200"/>
                </a:lnTo>
                <a:lnTo>
                  <a:pt x="71438" y="42862"/>
                </a:lnTo>
                <a:lnTo>
                  <a:pt x="71438" y="0"/>
                </a:lnTo>
                <a:lnTo>
                  <a:pt x="1519238" y="0"/>
                </a:lnTo>
                <a:lnTo>
                  <a:pt x="1519238" y="76200"/>
                </a:lnTo>
                <a:lnTo>
                  <a:pt x="1471613" y="114300"/>
                </a:lnTo>
                <a:lnTo>
                  <a:pt x="1581150" y="138112"/>
                </a:lnTo>
                <a:lnTo>
                  <a:pt x="1524000" y="157162"/>
                </a:lnTo>
                <a:lnTo>
                  <a:pt x="1524000" y="209550"/>
                </a:lnTo>
                <a:lnTo>
                  <a:pt x="1119188" y="209550"/>
                </a:lnTo>
                <a:lnTo>
                  <a:pt x="1119188" y="857250"/>
                </a:lnTo>
                <a:lnTo>
                  <a:pt x="466725" y="857250"/>
                </a:lnTo>
                <a:lnTo>
                  <a:pt x="466725" y="204787"/>
                </a:lnTo>
                <a:lnTo>
                  <a:pt x="66675" y="209550"/>
                </a:lnTo>
                <a:close/>
              </a:path>
            </a:pathLst>
          </a:custGeom>
          <a:blipFill>
            <a:blip xmlns:r="http://schemas.openxmlformats.org/officeDocument/2006/relationships" r:embed="rId1"/>
            <a:tile tx="0" ty="0" sx="100000" sy="100000" flip="none" algn="tl"/>
          </a:blip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BCB79E8D-7577-46D5-8DF8-A222B987B721}"/>
              </a:ext>
            </a:extLst>
          </xdr:cNvPr>
          <xdr:cNvSpPr/>
        </xdr:nvSpPr>
        <xdr:spPr>
          <a:xfrm>
            <a:off x="3057526" y="27546301"/>
            <a:ext cx="533399" cy="709612"/>
          </a:xfrm>
          <a:prstGeom prst="rect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sp macro="" textlink="">
        <xdr:nvSpPr>
          <xdr:cNvPr id="349" name="Oval 348">
            <a:extLst>
              <a:ext uri="{FF2B5EF4-FFF2-40B4-BE49-F238E27FC236}">
                <a16:creationId xmlns:a16="http://schemas.microsoft.com/office/drawing/2014/main" id="{0A460953-4D83-42A7-8A61-CDED53F0770D}"/>
              </a:ext>
            </a:extLst>
          </xdr:cNvPr>
          <xdr:cNvSpPr/>
        </xdr:nvSpPr>
        <xdr:spPr>
          <a:xfrm>
            <a:off x="3495675" y="27560587"/>
            <a:ext cx="76200" cy="76200"/>
          </a:xfrm>
          <a:prstGeom prst="ellipse">
            <a:avLst/>
          </a:prstGeom>
          <a:solidFill>
            <a:schemeClr val="tx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sp macro="" textlink="">
        <xdr:nvSpPr>
          <xdr:cNvPr id="350" name="Oval 349">
            <a:extLst>
              <a:ext uri="{FF2B5EF4-FFF2-40B4-BE49-F238E27FC236}">
                <a16:creationId xmlns:a16="http://schemas.microsoft.com/office/drawing/2014/main" id="{805066F3-4016-4158-9709-0994D1556B8D}"/>
              </a:ext>
            </a:extLst>
          </xdr:cNvPr>
          <xdr:cNvSpPr/>
        </xdr:nvSpPr>
        <xdr:spPr>
          <a:xfrm>
            <a:off x="3071812" y="27560587"/>
            <a:ext cx="76200" cy="76200"/>
          </a:xfrm>
          <a:prstGeom prst="ellipse">
            <a:avLst/>
          </a:prstGeom>
          <a:solidFill>
            <a:schemeClr val="tx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sp macro="" textlink="">
        <xdr:nvSpPr>
          <xdr:cNvPr id="351" name="Oval 350">
            <a:extLst>
              <a:ext uri="{FF2B5EF4-FFF2-40B4-BE49-F238E27FC236}">
                <a16:creationId xmlns:a16="http://schemas.microsoft.com/office/drawing/2014/main" id="{086E78E3-2041-46DD-992D-B5A740659A5F}"/>
              </a:ext>
            </a:extLst>
          </xdr:cNvPr>
          <xdr:cNvSpPr/>
        </xdr:nvSpPr>
        <xdr:spPr>
          <a:xfrm>
            <a:off x="3500438" y="28165425"/>
            <a:ext cx="76200" cy="76200"/>
          </a:xfrm>
          <a:prstGeom prst="ellipse">
            <a:avLst/>
          </a:prstGeom>
          <a:solidFill>
            <a:schemeClr val="tx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sp macro="" textlink="">
        <xdr:nvSpPr>
          <xdr:cNvPr id="352" name="Oval 351">
            <a:extLst>
              <a:ext uri="{FF2B5EF4-FFF2-40B4-BE49-F238E27FC236}">
                <a16:creationId xmlns:a16="http://schemas.microsoft.com/office/drawing/2014/main" id="{2A15A9FE-2EA2-4F99-A639-13258952CC5A}"/>
              </a:ext>
            </a:extLst>
          </xdr:cNvPr>
          <xdr:cNvSpPr/>
        </xdr:nvSpPr>
        <xdr:spPr>
          <a:xfrm>
            <a:off x="3286125" y="28165425"/>
            <a:ext cx="76200" cy="76200"/>
          </a:xfrm>
          <a:prstGeom prst="ellipse">
            <a:avLst/>
          </a:prstGeom>
          <a:solidFill>
            <a:schemeClr val="tx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sp macro="" textlink="">
        <xdr:nvSpPr>
          <xdr:cNvPr id="353" name="Oval 352">
            <a:extLst>
              <a:ext uri="{FF2B5EF4-FFF2-40B4-BE49-F238E27FC236}">
                <a16:creationId xmlns:a16="http://schemas.microsoft.com/office/drawing/2014/main" id="{1BAC1832-00AE-4472-89DF-5A18DB2ECF15}"/>
              </a:ext>
            </a:extLst>
          </xdr:cNvPr>
          <xdr:cNvSpPr/>
        </xdr:nvSpPr>
        <xdr:spPr>
          <a:xfrm>
            <a:off x="3076575" y="28160663"/>
            <a:ext cx="76200" cy="76200"/>
          </a:xfrm>
          <a:prstGeom prst="ellipse">
            <a:avLst/>
          </a:prstGeom>
          <a:solidFill>
            <a:schemeClr val="tx1"/>
          </a:solidFill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/>
            <a:endParaRPr lang="tr-TR" sz="1100"/>
          </a:p>
        </xdr:txBody>
      </xdr:sp>
      <xdr:cxnSp macro="">
        <xdr:nvCxnSpPr>
          <xdr:cNvPr id="354" name="Straight Connector 353">
            <a:extLst>
              <a:ext uri="{FF2B5EF4-FFF2-40B4-BE49-F238E27FC236}">
                <a16:creationId xmlns:a16="http://schemas.microsoft.com/office/drawing/2014/main" id="{223F152D-9490-406C-8DEF-4837A904C3F5}"/>
              </a:ext>
            </a:extLst>
          </xdr:cNvPr>
          <xdr:cNvCxnSpPr/>
        </xdr:nvCxnSpPr>
        <xdr:spPr>
          <a:xfrm>
            <a:off x="4100513" y="27465338"/>
            <a:ext cx="328612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5" name="Straight Connector 354">
            <a:extLst>
              <a:ext uri="{FF2B5EF4-FFF2-40B4-BE49-F238E27FC236}">
                <a16:creationId xmlns:a16="http://schemas.microsoft.com/office/drawing/2014/main" id="{6B7876E4-95AF-4E83-B8BD-9CBCEEEDC171}"/>
              </a:ext>
            </a:extLst>
          </xdr:cNvPr>
          <xdr:cNvCxnSpPr/>
        </xdr:nvCxnSpPr>
        <xdr:spPr>
          <a:xfrm>
            <a:off x="4376738" y="27389138"/>
            <a:ext cx="0" cy="371475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6" name="Straight Connector 355">
            <a:extLst>
              <a:ext uri="{FF2B5EF4-FFF2-40B4-BE49-F238E27FC236}">
                <a16:creationId xmlns:a16="http://schemas.microsoft.com/office/drawing/2014/main" id="{5B144CC7-9A9E-4C02-9E00-3662E4428E65}"/>
              </a:ext>
            </a:extLst>
          </xdr:cNvPr>
          <xdr:cNvCxnSpPr/>
        </xdr:nvCxnSpPr>
        <xdr:spPr>
          <a:xfrm flipH="1">
            <a:off x="4338638" y="27427238"/>
            <a:ext cx="71439" cy="80963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7" name="Straight Connector 356">
            <a:extLst>
              <a:ext uri="{FF2B5EF4-FFF2-40B4-BE49-F238E27FC236}">
                <a16:creationId xmlns:a16="http://schemas.microsoft.com/office/drawing/2014/main" id="{E9AD9CFE-E3EB-42BF-B3A7-E328E0BEC57B}"/>
              </a:ext>
            </a:extLst>
          </xdr:cNvPr>
          <xdr:cNvCxnSpPr/>
        </xdr:nvCxnSpPr>
        <xdr:spPr>
          <a:xfrm>
            <a:off x="4105275" y="27674888"/>
            <a:ext cx="328612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8" name="Straight Connector 357">
            <a:extLst>
              <a:ext uri="{FF2B5EF4-FFF2-40B4-BE49-F238E27FC236}">
                <a16:creationId xmlns:a16="http://schemas.microsoft.com/office/drawing/2014/main" id="{D1474D8F-6082-448C-A531-7348A32C397B}"/>
              </a:ext>
            </a:extLst>
          </xdr:cNvPr>
          <xdr:cNvCxnSpPr/>
        </xdr:nvCxnSpPr>
        <xdr:spPr>
          <a:xfrm flipH="1">
            <a:off x="4343400" y="27636788"/>
            <a:ext cx="71439" cy="80963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9" name="Straight Connector 358">
            <a:extLst>
              <a:ext uri="{FF2B5EF4-FFF2-40B4-BE49-F238E27FC236}">
                <a16:creationId xmlns:a16="http://schemas.microsoft.com/office/drawing/2014/main" id="{04B9B727-6181-42EF-96F8-DF5CA117BDD3}"/>
              </a:ext>
            </a:extLst>
          </xdr:cNvPr>
          <xdr:cNvCxnSpPr/>
        </xdr:nvCxnSpPr>
        <xdr:spPr>
          <a:xfrm>
            <a:off x="2986088" y="28370213"/>
            <a:ext cx="0" cy="333375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0" name="Straight Connector 359">
            <a:extLst>
              <a:ext uri="{FF2B5EF4-FFF2-40B4-BE49-F238E27FC236}">
                <a16:creationId xmlns:a16="http://schemas.microsoft.com/office/drawing/2014/main" id="{318196C5-A7F8-4FF7-90C3-00CCB90E054C}"/>
              </a:ext>
            </a:extLst>
          </xdr:cNvPr>
          <xdr:cNvCxnSpPr/>
        </xdr:nvCxnSpPr>
        <xdr:spPr>
          <a:xfrm>
            <a:off x="2928938" y="28613100"/>
            <a:ext cx="795337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1" name="Straight Connector 360">
            <a:extLst>
              <a:ext uri="{FF2B5EF4-FFF2-40B4-BE49-F238E27FC236}">
                <a16:creationId xmlns:a16="http://schemas.microsoft.com/office/drawing/2014/main" id="{D8EF8483-5F23-4816-8BB4-E9A8BBCA5DC6}"/>
              </a:ext>
            </a:extLst>
          </xdr:cNvPr>
          <xdr:cNvCxnSpPr/>
        </xdr:nvCxnSpPr>
        <xdr:spPr>
          <a:xfrm flipH="1">
            <a:off x="2943225" y="28575000"/>
            <a:ext cx="85725" cy="85725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2" name="Straight Connector 361">
            <a:extLst>
              <a:ext uri="{FF2B5EF4-FFF2-40B4-BE49-F238E27FC236}">
                <a16:creationId xmlns:a16="http://schemas.microsoft.com/office/drawing/2014/main" id="{BC656DEB-E086-4D10-850A-E327FC03D515}"/>
              </a:ext>
            </a:extLst>
          </xdr:cNvPr>
          <xdr:cNvCxnSpPr/>
        </xdr:nvCxnSpPr>
        <xdr:spPr>
          <a:xfrm>
            <a:off x="3648075" y="28365450"/>
            <a:ext cx="0" cy="333375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3" name="Straight Connector 362">
            <a:extLst>
              <a:ext uri="{FF2B5EF4-FFF2-40B4-BE49-F238E27FC236}">
                <a16:creationId xmlns:a16="http://schemas.microsoft.com/office/drawing/2014/main" id="{7419AF64-4683-4F1F-BF01-DC12A0882FCD}"/>
              </a:ext>
            </a:extLst>
          </xdr:cNvPr>
          <xdr:cNvCxnSpPr/>
        </xdr:nvCxnSpPr>
        <xdr:spPr>
          <a:xfrm flipH="1">
            <a:off x="3605212" y="28570237"/>
            <a:ext cx="85725" cy="85725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4" name="Straight Connector 363">
            <a:extLst>
              <a:ext uri="{FF2B5EF4-FFF2-40B4-BE49-F238E27FC236}">
                <a16:creationId xmlns:a16="http://schemas.microsoft.com/office/drawing/2014/main" id="{87FE8667-E53D-4A30-A94F-FE4A2D49F662}"/>
              </a:ext>
            </a:extLst>
          </xdr:cNvPr>
          <xdr:cNvCxnSpPr/>
        </xdr:nvCxnSpPr>
        <xdr:spPr>
          <a:xfrm>
            <a:off x="2185988" y="27465337"/>
            <a:ext cx="376238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5" name="Straight Connector 364">
            <a:extLst>
              <a:ext uri="{FF2B5EF4-FFF2-40B4-BE49-F238E27FC236}">
                <a16:creationId xmlns:a16="http://schemas.microsoft.com/office/drawing/2014/main" id="{CD7C88F7-294C-4A1B-95E2-31FA3A4C1259}"/>
              </a:ext>
            </a:extLst>
          </xdr:cNvPr>
          <xdr:cNvCxnSpPr/>
        </xdr:nvCxnSpPr>
        <xdr:spPr>
          <a:xfrm>
            <a:off x="2271713" y="27393900"/>
            <a:ext cx="0" cy="100965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Straight Connector 365">
            <a:extLst>
              <a:ext uri="{FF2B5EF4-FFF2-40B4-BE49-F238E27FC236}">
                <a16:creationId xmlns:a16="http://schemas.microsoft.com/office/drawing/2014/main" id="{0839C182-5FE4-4FCE-B7BB-7021474ACD6C}"/>
              </a:ext>
            </a:extLst>
          </xdr:cNvPr>
          <xdr:cNvCxnSpPr/>
        </xdr:nvCxnSpPr>
        <xdr:spPr>
          <a:xfrm flipH="1">
            <a:off x="2228849" y="27422475"/>
            <a:ext cx="80963" cy="9525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7" name="Straight Connector 366">
            <a:extLst>
              <a:ext uri="{FF2B5EF4-FFF2-40B4-BE49-F238E27FC236}">
                <a16:creationId xmlns:a16="http://schemas.microsoft.com/office/drawing/2014/main" id="{716B6B8C-B4B3-4AEE-B6EB-F4CE9D6862A4}"/>
              </a:ext>
            </a:extLst>
          </xdr:cNvPr>
          <xdr:cNvCxnSpPr/>
        </xdr:nvCxnSpPr>
        <xdr:spPr>
          <a:xfrm>
            <a:off x="2185987" y="28322587"/>
            <a:ext cx="733426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8" name="Straight Connector 367">
            <a:extLst>
              <a:ext uri="{FF2B5EF4-FFF2-40B4-BE49-F238E27FC236}">
                <a16:creationId xmlns:a16="http://schemas.microsoft.com/office/drawing/2014/main" id="{DE3646A1-13AE-4CA3-A32B-B71D328325DB}"/>
              </a:ext>
            </a:extLst>
          </xdr:cNvPr>
          <xdr:cNvCxnSpPr/>
        </xdr:nvCxnSpPr>
        <xdr:spPr>
          <a:xfrm flipH="1">
            <a:off x="2228848" y="28279725"/>
            <a:ext cx="80963" cy="9525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" name="Straight Connector 368">
            <a:extLst>
              <a:ext uri="{FF2B5EF4-FFF2-40B4-BE49-F238E27FC236}">
                <a16:creationId xmlns:a16="http://schemas.microsoft.com/office/drawing/2014/main" id="{341CB954-3201-48F1-9056-715D82AEC83B}"/>
              </a:ext>
            </a:extLst>
          </xdr:cNvPr>
          <xdr:cNvCxnSpPr/>
        </xdr:nvCxnSpPr>
        <xdr:spPr>
          <a:xfrm flipH="1">
            <a:off x="3433763" y="27541538"/>
            <a:ext cx="80964" cy="94457"/>
          </a:xfrm>
          <a:prstGeom prst="line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370" name="Straight Connector 369">
            <a:extLst>
              <a:ext uri="{FF2B5EF4-FFF2-40B4-BE49-F238E27FC236}">
                <a16:creationId xmlns:a16="http://schemas.microsoft.com/office/drawing/2014/main" id="{08C19DC7-DBB9-45A6-8200-741505130CD1}"/>
              </a:ext>
            </a:extLst>
          </xdr:cNvPr>
          <xdr:cNvCxnSpPr/>
        </xdr:nvCxnSpPr>
        <xdr:spPr>
          <a:xfrm flipH="1">
            <a:off x="3509962" y="27608212"/>
            <a:ext cx="80964" cy="94457"/>
          </a:xfrm>
          <a:prstGeom prst="line">
            <a:avLst/>
          </a:pr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371" name="Freeform: Shape 370">
            <a:extLst>
              <a:ext uri="{FF2B5EF4-FFF2-40B4-BE49-F238E27FC236}">
                <a16:creationId xmlns:a16="http://schemas.microsoft.com/office/drawing/2014/main" id="{629CBEEA-1E60-43B3-8900-72632795F421}"/>
              </a:ext>
            </a:extLst>
          </xdr:cNvPr>
          <xdr:cNvSpPr/>
        </xdr:nvSpPr>
        <xdr:spPr>
          <a:xfrm>
            <a:off x="5434013" y="27246263"/>
            <a:ext cx="581025" cy="1052512"/>
          </a:xfrm>
          <a:custGeom>
            <a:avLst/>
            <a:gdLst>
              <a:gd name="connsiteX0" fmla="*/ 519112 w 581025"/>
              <a:gd name="connsiteY0" fmla="*/ 104775 h 1052512"/>
              <a:gd name="connsiteX1" fmla="*/ 581025 w 581025"/>
              <a:gd name="connsiteY1" fmla="*/ 0 h 1052512"/>
              <a:gd name="connsiteX2" fmla="*/ 0 w 581025"/>
              <a:gd name="connsiteY2" fmla="*/ 257175 h 1052512"/>
              <a:gd name="connsiteX3" fmla="*/ 0 w 581025"/>
              <a:gd name="connsiteY3" fmla="*/ 1052512 h 1052512"/>
              <a:gd name="connsiteX4" fmla="*/ 557212 w 581025"/>
              <a:gd name="connsiteY4" fmla="*/ 1052512 h 1052512"/>
              <a:gd name="connsiteX5" fmla="*/ 557212 w 581025"/>
              <a:gd name="connsiteY5" fmla="*/ 261937 h 1052512"/>
              <a:gd name="connsiteX6" fmla="*/ 466725 w 581025"/>
              <a:gd name="connsiteY6" fmla="*/ 328612 h 10525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581025" h="1052512">
                <a:moveTo>
                  <a:pt x="519112" y="104775"/>
                </a:moveTo>
                <a:lnTo>
                  <a:pt x="581025" y="0"/>
                </a:lnTo>
                <a:lnTo>
                  <a:pt x="0" y="257175"/>
                </a:lnTo>
                <a:lnTo>
                  <a:pt x="0" y="1052512"/>
                </a:lnTo>
                <a:lnTo>
                  <a:pt x="557212" y="1052512"/>
                </a:lnTo>
                <a:lnTo>
                  <a:pt x="557212" y="261937"/>
                </a:lnTo>
                <a:lnTo>
                  <a:pt x="466725" y="328612"/>
                </a:lnTo>
              </a:path>
            </a:pathLst>
          </a:custGeom>
          <a:noFill/>
          <a:ln w="158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r-TR" sz="1100"/>
          </a:p>
        </xdr:txBody>
      </xdr:sp>
      <xdr:cxnSp macro="">
        <xdr:nvCxnSpPr>
          <xdr:cNvPr id="372" name="Straight Connector 371">
            <a:extLst>
              <a:ext uri="{FF2B5EF4-FFF2-40B4-BE49-F238E27FC236}">
                <a16:creationId xmlns:a16="http://schemas.microsoft.com/office/drawing/2014/main" id="{3E3CAECC-374E-4756-BA12-FADAC1968A07}"/>
              </a:ext>
            </a:extLst>
          </xdr:cNvPr>
          <xdr:cNvCxnSpPr/>
        </xdr:nvCxnSpPr>
        <xdr:spPr>
          <a:xfrm>
            <a:off x="7110413" y="27808238"/>
            <a:ext cx="0" cy="3190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Straight Connector 372">
            <a:extLst>
              <a:ext uri="{FF2B5EF4-FFF2-40B4-BE49-F238E27FC236}">
                <a16:creationId xmlns:a16="http://schemas.microsoft.com/office/drawing/2014/main" id="{1ACDCC76-F89D-45AA-A03D-C305646F536E}"/>
              </a:ext>
            </a:extLst>
          </xdr:cNvPr>
          <xdr:cNvCxnSpPr/>
        </xdr:nvCxnSpPr>
        <xdr:spPr>
          <a:xfrm>
            <a:off x="7038975" y="28041600"/>
            <a:ext cx="952500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Straight Connector 373">
            <a:extLst>
              <a:ext uri="{FF2B5EF4-FFF2-40B4-BE49-F238E27FC236}">
                <a16:creationId xmlns:a16="http://schemas.microsoft.com/office/drawing/2014/main" id="{98AE380F-9ACF-40AD-B314-4B7BB2C1E39F}"/>
              </a:ext>
            </a:extLst>
          </xdr:cNvPr>
          <xdr:cNvCxnSpPr/>
        </xdr:nvCxnSpPr>
        <xdr:spPr>
          <a:xfrm flipH="1">
            <a:off x="7072312" y="27998738"/>
            <a:ext cx="76200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Connector 374">
            <a:extLst>
              <a:ext uri="{FF2B5EF4-FFF2-40B4-BE49-F238E27FC236}">
                <a16:creationId xmlns:a16="http://schemas.microsoft.com/office/drawing/2014/main" id="{AE93D788-276B-48C8-A532-572EF42F300D}"/>
              </a:ext>
            </a:extLst>
          </xdr:cNvPr>
          <xdr:cNvCxnSpPr/>
        </xdr:nvCxnSpPr>
        <xdr:spPr>
          <a:xfrm>
            <a:off x="7910513" y="27808238"/>
            <a:ext cx="0" cy="3190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Straight Connector 375">
            <a:extLst>
              <a:ext uri="{FF2B5EF4-FFF2-40B4-BE49-F238E27FC236}">
                <a16:creationId xmlns:a16="http://schemas.microsoft.com/office/drawing/2014/main" id="{3AEF07E4-F6D8-4001-923F-11375750B386}"/>
              </a:ext>
            </a:extLst>
          </xdr:cNvPr>
          <xdr:cNvCxnSpPr/>
        </xdr:nvCxnSpPr>
        <xdr:spPr>
          <a:xfrm flipH="1">
            <a:off x="7872412" y="27998738"/>
            <a:ext cx="76200" cy="904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Straight Connector 376">
            <a:extLst>
              <a:ext uri="{FF2B5EF4-FFF2-40B4-BE49-F238E27FC236}">
                <a16:creationId xmlns:a16="http://schemas.microsoft.com/office/drawing/2014/main" id="{A3D38B51-F0DA-4A74-B225-527B82F0B8C1}"/>
              </a:ext>
            </a:extLst>
          </xdr:cNvPr>
          <xdr:cNvCxnSpPr/>
        </xdr:nvCxnSpPr>
        <xdr:spPr>
          <a:xfrm>
            <a:off x="752475" y="28041600"/>
            <a:ext cx="928688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E1F22751-3A23-4B06-9B14-EB49BA6B1D49}"/>
              </a:ext>
            </a:extLst>
          </xdr:cNvPr>
          <xdr:cNvCxnSpPr/>
        </xdr:nvCxnSpPr>
        <xdr:spPr>
          <a:xfrm>
            <a:off x="800100" y="27808238"/>
            <a:ext cx="0" cy="30480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Connector 378">
            <a:extLst>
              <a:ext uri="{FF2B5EF4-FFF2-40B4-BE49-F238E27FC236}">
                <a16:creationId xmlns:a16="http://schemas.microsoft.com/office/drawing/2014/main" id="{9CC37D15-B97D-4344-8013-DE88259F982B}"/>
              </a:ext>
            </a:extLst>
          </xdr:cNvPr>
          <xdr:cNvCxnSpPr/>
        </xdr:nvCxnSpPr>
        <xdr:spPr>
          <a:xfrm flipH="1">
            <a:off x="762000" y="28003500"/>
            <a:ext cx="80963" cy="7620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26AD0602-60DD-4907-AB7B-6D9A311E269C}"/>
              </a:ext>
            </a:extLst>
          </xdr:cNvPr>
          <xdr:cNvCxnSpPr/>
        </xdr:nvCxnSpPr>
        <xdr:spPr>
          <a:xfrm>
            <a:off x="1614488" y="27808238"/>
            <a:ext cx="0" cy="30480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Straight Connector 380">
            <a:extLst>
              <a:ext uri="{FF2B5EF4-FFF2-40B4-BE49-F238E27FC236}">
                <a16:creationId xmlns:a16="http://schemas.microsoft.com/office/drawing/2014/main" id="{8ACED3BD-94B9-454C-A3E0-B2A400294F7A}"/>
              </a:ext>
            </a:extLst>
          </xdr:cNvPr>
          <xdr:cNvCxnSpPr/>
        </xdr:nvCxnSpPr>
        <xdr:spPr>
          <a:xfrm flipH="1">
            <a:off x="1576388" y="28003500"/>
            <a:ext cx="80963" cy="7620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Straight Connector 381">
            <a:extLst>
              <a:ext uri="{FF2B5EF4-FFF2-40B4-BE49-F238E27FC236}">
                <a16:creationId xmlns:a16="http://schemas.microsoft.com/office/drawing/2014/main" id="{7A09FC18-4179-4B46-962A-56FD441F2CB0}"/>
              </a:ext>
            </a:extLst>
          </xdr:cNvPr>
          <xdr:cNvCxnSpPr/>
        </xdr:nvCxnSpPr>
        <xdr:spPr>
          <a:xfrm>
            <a:off x="3543300" y="28208288"/>
            <a:ext cx="395288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Straight Connector 382">
            <a:extLst>
              <a:ext uri="{FF2B5EF4-FFF2-40B4-BE49-F238E27FC236}">
                <a16:creationId xmlns:a16="http://schemas.microsoft.com/office/drawing/2014/main" id="{935AC6E6-1315-4512-9F93-11624C900651}"/>
              </a:ext>
            </a:extLst>
          </xdr:cNvPr>
          <xdr:cNvCxnSpPr/>
        </xdr:nvCxnSpPr>
        <xdr:spPr>
          <a:xfrm>
            <a:off x="3686175" y="28327350"/>
            <a:ext cx="252413" cy="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Straight Connector 383">
            <a:extLst>
              <a:ext uri="{FF2B5EF4-FFF2-40B4-BE49-F238E27FC236}">
                <a16:creationId xmlns:a16="http://schemas.microsoft.com/office/drawing/2014/main" id="{C05E719B-4105-4872-B03D-C9CE075569A1}"/>
              </a:ext>
            </a:extLst>
          </xdr:cNvPr>
          <xdr:cNvCxnSpPr/>
        </xdr:nvCxnSpPr>
        <xdr:spPr>
          <a:xfrm>
            <a:off x="3886200" y="28146375"/>
            <a:ext cx="0" cy="266700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Straight Connector 384">
            <a:extLst>
              <a:ext uri="{FF2B5EF4-FFF2-40B4-BE49-F238E27FC236}">
                <a16:creationId xmlns:a16="http://schemas.microsoft.com/office/drawing/2014/main" id="{67F87C32-DB42-487D-A1F8-FA8F75D68F84}"/>
              </a:ext>
            </a:extLst>
          </xdr:cNvPr>
          <xdr:cNvCxnSpPr/>
        </xdr:nvCxnSpPr>
        <xdr:spPr>
          <a:xfrm flipH="1">
            <a:off x="3852862" y="28160663"/>
            <a:ext cx="71438" cy="85725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Straight Connector 385">
            <a:extLst>
              <a:ext uri="{FF2B5EF4-FFF2-40B4-BE49-F238E27FC236}">
                <a16:creationId xmlns:a16="http://schemas.microsoft.com/office/drawing/2014/main" id="{A7044A51-9C6B-423B-B028-F9DACB885D4D}"/>
              </a:ext>
            </a:extLst>
          </xdr:cNvPr>
          <xdr:cNvCxnSpPr/>
        </xdr:nvCxnSpPr>
        <xdr:spPr>
          <a:xfrm flipH="1">
            <a:off x="3852862" y="28284488"/>
            <a:ext cx="71438" cy="85725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Straight Connector 386">
            <a:extLst>
              <a:ext uri="{FF2B5EF4-FFF2-40B4-BE49-F238E27FC236}">
                <a16:creationId xmlns:a16="http://schemas.microsoft.com/office/drawing/2014/main" id="{6FBBB2F2-01FF-46B6-A028-D62D89701021}"/>
              </a:ext>
            </a:extLst>
          </xdr:cNvPr>
          <xdr:cNvCxnSpPr/>
        </xdr:nvCxnSpPr>
        <xdr:spPr>
          <a:xfrm flipH="1">
            <a:off x="5981700" y="27693938"/>
            <a:ext cx="309564" cy="252412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Straight Connector 387">
            <a:extLst>
              <a:ext uri="{FF2B5EF4-FFF2-40B4-BE49-F238E27FC236}">
                <a16:creationId xmlns:a16="http://schemas.microsoft.com/office/drawing/2014/main" id="{AB970FA8-F714-4DB8-848E-7FD91A623277}"/>
              </a:ext>
            </a:extLst>
          </xdr:cNvPr>
          <xdr:cNvCxnSpPr/>
        </xdr:nvCxnSpPr>
        <xdr:spPr>
          <a:xfrm flipH="1" flipV="1">
            <a:off x="504825" y="25450800"/>
            <a:ext cx="581025" cy="361950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Straight Connector 388">
            <a:extLst>
              <a:ext uri="{FF2B5EF4-FFF2-40B4-BE49-F238E27FC236}">
                <a16:creationId xmlns:a16="http://schemas.microsoft.com/office/drawing/2014/main" id="{9E90AB9E-79D7-4D05-B1B6-AAF9D8D3BBB1}"/>
              </a:ext>
            </a:extLst>
          </xdr:cNvPr>
          <xdr:cNvCxnSpPr/>
        </xdr:nvCxnSpPr>
        <xdr:spPr>
          <a:xfrm flipV="1">
            <a:off x="457200" y="26584275"/>
            <a:ext cx="619126" cy="466725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Straight Connector 389">
            <a:extLst>
              <a:ext uri="{FF2B5EF4-FFF2-40B4-BE49-F238E27FC236}">
                <a16:creationId xmlns:a16="http://schemas.microsoft.com/office/drawing/2014/main" id="{516F8E26-D159-448E-85A1-AE33057000BC}"/>
              </a:ext>
            </a:extLst>
          </xdr:cNvPr>
          <xdr:cNvCxnSpPr/>
        </xdr:nvCxnSpPr>
        <xdr:spPr>
          <a:xfrm flipH="1" flipV="1">
            <a:off x="7486650" y="26574751"/>
            <a:ext cx="609600" cy="514349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Straight Connector 390">
            <a:extLst>
              <a:ext uri="{FF2B5EF4-FFF2-40B4-BE49-F238E27FC236}">
                <a16:creationId xmlns:a16="http://schemas.microsoft.com/office/drawing/2014/main" id="{F7C58E38-F72C-4AF3-A7D1-9CB75BBD267C}"/>
              </a:ext>
            </a:extLst>
          </xdr:cNvPr>
          <xdr:cNvCxnSpPr/>
        </xdr:nvCxnSpPr>
        <xdr:spPr>
          <a:xfrm flipV="1">
            <a:off x="7115175" y="24364950"/>
            <a:ext cx="0" cy="242887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2" name="Straight Connector 391">
            <a:extLst>
              <a:ext uri="{FF2B5EF4-FFF2-40B4-BE49-F238E27FC236}">
                <a16:creationId xmlns:a16="http://schemas.microsoft.com/office/drawing/2014/main" id="{8BBD2C36-608F-4113-A169-73778E5849E8}"/>
              </a:ext>
            </a:extLst>
          </xdr:cNvPr>
          <xdr:cNvCxnSpPr/>
        </xdr:nvCxnSpPr>
        <xdr:spPr>
          <a:xfrm flipH="1" flipV="1">
            <a:off x="4067175" y="26527125"/>
            <a:ext cx="466725" cy="390525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3" name="Straight Connector 392">
            <a:extLst>
              <a:ext uri="{FF2B5EF4-FFF2-40B4-BE49-F238E27FC236}">
                <a16:creationId xmlns:a16="http://schemas.microsoft.com/office/drawing/2014/main" id="{9C6B9AD4-6C21-463F-98E4-4C54885A8464}"/>
              </a:ext>
            </a:extLst>
          </xdr:cNvPr>
          <xdr:cNvCxnSpPr/>
        </xdr:nvCxnSpPr>
        <xdr:spPr>
          <a:xfrm flipH="1" flipV="1">
            <a:off x="3381376" y="25184101"/>
            <a:ext cx="457199" cy="695324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Straight Connector 393">
            <a:extLst>
              <a:ext uri="{FF2B5EF4-FFF2-40B4-BE49-F238E27FC236}">
                <a16:creationId xmlns:a16="http://schemas.microsoft.com/office/drawing/2014/main" id="{4CEC66F8-8C10-47ED-ACC7-65E517205D59}"/>
              </a:ext>
            </a:extLst>
          </xdr:cNvPr>
          <xdr:cNvCxnSpPr/>
        </xdr:nvCxnSpPr>
        <xdr:spPr>
          <a:xfrm flipH="1" flipV="1">
            <a:off x="3971925" y="25631775"/>
            <a:ext cx="114300" cy="257176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Straight Connector 394">
            <a:extLst>
              <a:ext uri="{FF2B5EF4-FFF2-40B4-BE49-F238E27FC236}">
                <a16:creationId xmlns:a16="http://schemas.microsoft.com/office/drawing/2014/main" id="{8C4DB994-58CB-4BA0-9A8D-0BA74DA8187C}"/>
              </a:ext>
            </a:extLst>
          </xdr:cNvPr>
          <xdr:cNvCxnSpPr/>
        </xdr:nvCxnSpPr>
        <xdr:spPr>
          <a:xfrm flipH="1" flipV="1">
            <a:off x="4819650" y="26508075"/>
            <a:ext cx="114300" cy="257176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Straight Connector 395">
            <a:extLst>
              <a:ext uri="{FF2B5EF4-FFF2-40B4-BE49-F238E27FC236}">
                <a16:creationId xmlns:a16="http://schemas.microsoft.com/office/drawing/2014/main" id="{0BF9C582-ABAA-4DC5-864A-2E0A2D6CC4DB}"/>
              </a:ext>
            </a:extLst>
          </xdr:cNvPr>
          <xdr:cNvCxnSpPr/>
        </xdr:nvCxnSpPr>
        <xdr:spPr>
          <a:xfrm flipV="1">
            <a:off x="5857875" y="26527126"/>
            <a:ext cx="600075" cy="295274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Straight Connector 396">
            <a:extLst>
              <a:ext uri="{FF2B5EF4-FFF2-40B4-BE49-F238E27FC236}">
                <a16:creationId xmlns:a16="http://schemas.microsoft.com/office/drawing/2014/main" id="{2586694D-A82D-439C-B337-4607B3B9FDF4}"/>
              </a:ext>
            </a:extLst>
          </xdr:cNvPr>
          <xdr:cNvCxnSpPr/>
        </xdr:nvCxnSpPr>
        <xdr:spPr>
          <a:xfrm flipH="1" flipV="1">
            <a:off x="5514975" y="25288875"/>
            <a:ext cx="942976" cy="590549"/>
          </a:xfrm>
          <a:prstGeom prst="line">
            <a:avLst/>
          </a:prstGeom>
          <a:ln w="6350">
            <a:solidFill>
              <a:schemeClr val="bg1">
                <a:lumMod val="6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Straight Connector 397">
            <a:extLst>
              <a:ext uri="{FF2B5EF4-FFF2-40B4-BE49-F238E27FC236}">
                <a16:creationId xmlns:a16="http://schemas.microsoft.com/office/drawing/2014/main" id="{F2294DDC-C3E3-47BE-8767-2A638124D7B0}"/>
              </a:ext>
            </a:extLst>
          </xdr:cNvPr>
          <xdr:cNvCxnSpPr/>
        </xdr:nvCxnSpPr>
        <xdr:spPr>
          <a:xfrm flipV="1">
            <a:off x="1600200" y="24364950"/>
            <a:ext cx="0" cy="238126"/>
          </a:xfrm>
          <a:prstGeom prst="line">
            <a:avLst/>
          </a:prstGeom>
          <a:ln w="63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8E5A-F7DE-461E-ABB0-DFCB42657C72}">
  <dimension ref="B1:BT210"/>
  <sheetViews>
    <sheetView showGridLines="0" tabSelected="1" zoomScaleNormal="100" workbookViewId="0">
      <selection activeCell="BI4" sqref="BI4"/>
    </sheetView>
  </sheetViews>
  <sheetFormatPr defaultRowHeight="11.25"/>
  <cols>
    <col min="1" max="809" width="2.83203125" style="14" customWidth="1"/>
    <col min="810" max="16384" width="9.33203125" style="14"/>
  </cols>
  <sheetData>
    <row r="1" spans="2:54" ht="12" thickBot="1"/>
    <row r="2" spans="2:54" ht="37.5" customHeight="1">
      <c r="B2" s="64" t="s">
        <v>89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6"/>
    </row>
    <row r="3" spans="2:54">
      <c r="B3" s="11"/>
      <c r="C3" s="4"/>
      <c r="D3" s="4"/>
      <c r="E3" s="4"/>
      <c r="F3" s="4"/>
      <c r="G3" s="4"/>
      <c r="H3" s="4"/>
      <c r="I3" s="3" t="s">
        <v>56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12"/>
    </row>
    <row r="4" spans="2:54">
      <c r="B4" s="1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 t="s">
        <v>60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16"/>
    </row>
    <row r="5" spans="2:54">
      <c r="B5" s="15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AW5" s="7"/>
      <c r="AX5" s="7"/>
      <c r="AY5" s="7"/>
      <c r="AZ5" s="7"/>
      <c r="BA5" s="7"/>
      <c r="BB5" s="16"/>
    </row>
    <row r="6" spans="2:54">
      <c r="B6" s="15"/>
      <c r="C6" s="7"/>
      <c r="D6" s="7"/>
      <c r="E6" s="7"/>
      <c r="F6" s="7"/>
      <c r="G6" s="7"/>
      <c r="H6" s="7"/>
      <c r="I6" s="7"/>
      <c r="J6" s="7"/>
      <c r="K6" s="7"/>
      <c r="L6" s="17"/>
      <c r="M6" s="17"/>
      <c r="N6" s="17"/>
      <c r="O6" s="17"/>
      <c r="P6" s="17"/>
      <c r="Q6" s="17"/>
      <c r="R6" s="7"/>
      <c r="S6" s="7"/>
      <c r="T6" s="7"/>
      <c r="U6" s="7"/>
      <c r="V6" s="7"/>
      <c r="W6" s="7"/>
      <c r="X6" s="7"/>
      <c r="Y6" s="7"/>
      <c r="Z6" s="1" t="s">
        <v>19</v>
      </c>
      <c r="AA6" s="2"/>
      <c r="AB6" s="2"/>
      <c r="AC6" s="2"/>
      <c r="AD6" s="2"/>
      <c r="AE6" s="2"/>
      <c r="AF6" s="2"/>
      <c r="AG6" s="2"/>
      <c r="AH6" s="3" t="str">
        <f>IF(AC7&lt;25,"C25 den az beton kullanılamaz.","")</f>
        <v/>
      </c>
      <c r="AI6" s="2"/>
      <c r="AJ6" s="2"/>
      <c r="AK6" s="2"/>
      <c r="AL6" s="2"/>
      <c r="AM6" s="2"/>
      <c r="AN6" s="2"/>
      <c r="AO6" s="4"/>
      <c r="AP6" s="4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16"/>
    </row>
    <row r="7" spans="2:54">
      <c r="B7" s="15"/>
      <c r="C7" s="7"/>
      <c r="D7" s="7"/>
      <c r="E7" s="7"/>
      <c r="F7" s="7"/>
      <c r="G7" s="7"/>
      <c r="H7" s="7"/>
      <c r="I7" s="7"/>
      <c r="J7" s="7"/>
      <c r="K7" s="7"/>
      <c r="L7" s="17"/>
      <c r="M7" s="17"/>
      <c r="N7" s="17"/>
      <c r="O7" s="17"/>
      <c r="P7" s="17"/>
      <c r="Q7" s="17"/>
      <c r="R7" s="7"/>
      <c r="S7" s="7"/>
      <c r="T7" s="7"/>
      <c r="U7" s="7"/>
      <c r="V7" s="7"/>
      <c r="W7" s="7"/>
      <c r="X7" s="7"/>
      <c r="Y7" s="7"/>
      <c r="Z7" s="5" t="s">
        <v>20</v>
      </c>
      <c r="AA7" s="5"/>
      <c r="AB7" s="5"/>
      <c r="AC7" s="6">
        <v>35</v>
      </c>
      <c r="AD7" s="5" t="s">
        <v>21</v>
      </c>
      <c r="AE7" s="5"/>
      <c r="AF7" s="5"/>
      <c r="AG7" s="5"/>
      <c r="AH7" s="5"/>
      <c r="AI7" s="5"/>
      <c r="AJ7" s="5"/>
      <c r="AK7" s="5"/>
      <c r="AL7" s="5"/>
      <c r="AM7" s="5"/>
      <c r="AN7" s="2"/>
      <c r="AO7" s="2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16"/>
    </row>
    <row r="8" spans="2:54">
      <c r="B8" s="15"/>
      <c r="C8" s="7"/>
      <c r="D8" s="7"/>
      <c r="E8" s="7"/>
      <c r="F8" s="7"/>
      <c r="G8" s="7" t="s">
        <v>54</v>
      </c>
      <c r="H8" s="7"/>
      <c r="I8" s="7"/>
      <c r="J8" s="7"/>
      <c r="K8" s="7"/>
      <c r="L8" s="17"/>
      <c r="M8" s="17"/>
      <c r="N8" s="17"/>
      <c r="O8" s="17"/>
      <c r="P8" s="17"/>
      <c r="Q8" s="17"/>
      <c r="R8" s="7"/>
      <c r="S8" s="7"/>
      <c r="T8" s="7"/>
      <c r="U8" s="7"/>
      <c r="V8" s="7"/>
      <c r="W8" s="7"/>
      <c r="X8" s="7"/>
      <c r="Y8" s="7"/>
      <c r="Z8" s="5" t="s">
        <v>22</v>
      </c>
      <c r="AA8" s="5"/>
      <c r="AB8" s="5"/>
      <c r="AC8" s="80">
        <v>420</v>
      </c>
      <c r="AD8" s="80"/>
      <c r="AE8" s="5" t="s">
        <v>23</v>
      </c>
      <c r="AF8" s="5"/>
      <c r="AG8" s="5"/>
      <c r="AH8" s="5"/>
      <c r="AI8" s="5"/>
      <c r="AJ8" s="5"/>
      <c r="AK8" s="5"/>
      <c r="AL8" s="5"/>
      <c r="AM8" s="5"/>
      <c r="AN8" s="2"/>
      <c r="AO8" s="2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16"/>
    </row>
    <row r="9" spans="2:54">
      <c r="B9" s="15"/>
      <c r="C9" s="7"/>
      <c r="D9" s="7"/>
      <c r="E9" s="7"/>
      <c r="F9" s="7"/>
      <c r="G9" s="7">
        <f>ROUNDUP(H14/S14,0)-1</f>
        <v>4</v>
      </c>
      <c r="H9" s="7" t="s">
        <v>15</v>
      </c>
      <c r="I9" s="7"/>
      <c r="J9" s="7"/>
      <c r="K9" s="7"/>
      <c r="L9" s="17"/>
      <c r="M9" s="17"/>
      <c r="N9" s="17"/>
      <c r="O9" s="17"/>
      <c r="P9" s="17"/>
      <c r="Q9" s="17"/>
      <c r="R9" s="7"/>
      <c r="S9" s="7"/>
      <c r="T9" s="7"/>
      <c r="U9" s="7"/>
      <c r="V9" s="7"/>
      <c r="W9" s="7"/>
      <c r="X9" s="7"/>
      <c r="Y9" s="7"/>
      <c r="Z9" s="8" t="s">
        <v>24</v>
      </c>
      <c r="AA9" s="5"/>
      <c r="AB9" s="80">
        <v>1.5</v>
      </c>
      <c r="AC9" s="80"/>
      <c r="AD9" s="34"/>
      <c r="AE9" s="34"/>
      <c r="AF9" s="9"/>
      <c r="AG9" s="9"/>
      <c r="AH9" s="9"/>
      <c r="AI9" s="9"/>
      <c r="AJ9" s="9"/>
      <c r="AK9" s="9"/>
      <c r="AL9" s="13"/>
      <c r="AM9" s="13"/>
      <c r="AN9" s="13"/>
      <c r="AO9" s="13"/>
      <c r="AP9" s="13"/>
      <c r="AQ9" s="13"/>
      <c r="AR9" s="13"/>
      <c r="AS9" s="13"/>
      <c r="AT9" s="7"/>
      <c r="AU9" s="7"/>
      <c r="AV9" s="7"/>
      <c r="AW9" s="7"/>
      <c r="AX9" s="7"/>
      <c r="AY9" s="7"/>
      <c r="AZ9" s="7"/>
      <c r="BA9" s="7"/>
      <c r="BB9" s="16"/>
    </row>
    <row r="10" spans="2:54">
      <c r="B10" s="15"/>
      <c r="C10" s="7"/>
      <c r="D10" s="7"/>
      <c r="E10" s="7"/>
      <c r="F10" s="7"/>
      <c r="G10" s="7"/>
      <c r="H10" s="7"/>
      <c r="I10" s="7"/>
      <c r="J10" s="7"/>
      <c r="K10" s="7"/>
      <c r="L10" s="17"/>
      <c r="M10" s="17"/>
      <c r="N10" s="17"/>
      <c r="O10" s="17"/>
      <c r="P10" s="17"/>
      <c r="Q10" s="17"/>
      <c r="R10" s="7"/>
      <c r="S10" s="7"/>
      <c r="T10" s="7"/>
      <c r="U10" s="7"/>
      <c r="V10" s="7"/>
      <c r="W10" s="7"/>
      <c r="X10" s="7"/>
      <c r="Y10" s="7"/>
      <c r="Z10" s="5" t="s">
        <v>25</v>
      </c>
      <c r="AA10" s="5"/>
      <c r="AB10" s="5">
        <f>+AC7</f>
        <v>35</v>
      </c>
      <c r="AC10" s="5" t="s">
        <v>26</v>
      </c>
      <c r="AD10" s="82">
        <f>+AB9</f>
        <v>1.5</v>
      </c>
      <c r="AE10" s="82"/>
      <c r="AF10" s="10" t="s">
        <v>27</v>
      </c>
      <c r="AG10" s="82">
        <f>+AB10/AD10</f>
        <v>23.333333333333332</v>
      </c>
      <c r="AH10" s="82"/>
      <c r="AI10" s="5" t="s">
        <v>28</v>
      </c>
      <c r="AJ10" s="5"/>
      <c r="AK10" s="5"/>
      <c r="AL10" s="5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16"/>
    </row>
    <row r="11" spans="2:54">
      <c r="B11" s="15"/>
      <c r="C11" s="7"/>
      <c r="D11" s="7"/>
      <c r="E11" s="7"/>
      <c r="F11" s="7"/>
      <c r="G11" s="7"/>
      <c r="H11" s="7"/>
      <c r="I11" s="7"/>
      <c r="J11" s="7"/>
      <c r="K11" s="7"/>
      <c r="L11" s="17"/>
      <c r="M11" s="17"/>
      <c r="N11" s="17"/>
      <c r="O11" s="17"/>
      <c r="P11" s="17"/>
      <c r="Q11" s="17"/>
      <c r="R11" s="7"/>
      <c r="S11" s="7"/>
      <c r="T11" s="7"/>
      <c r="U11" s="7"/>
      <c r="V11" s="7"/>
      <c r="W11" s="7"/>
      <c r="X11" s="7"/>
      <c r="Y11" s="7"/>
      <c r="Z11" s="8" t="s">
        <v>29</v>
      </c>
      <c r="AA11" s="5"/>
      <c r="AB11" s="80">
        <v>1.1499999999999999</v>
      </c>
      <c r="AC11" s="80"/>
      <c r="AD11" s="5"/>
      <c r="AE11" s="7"/>
      <c r="AF11" s="7"/>
      <c r="AG11" s="7"/>
      <c r="AH11" s="7"/>
      <c r="AI11" s="7"/>
      <c r="AJ11" s="7"/>
      <c r="AK11" s="5"/>
      <c r="AL11" s="5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6"/>
    </row>
    <row r="12" spans="2:54" ht="11.25" customHeight="1">
      <c r="B12" s="15"/>
      <c r="C12" s="7"/>
      <c r="D12" s="7"/>
      <c r="E12" s="7"/>
      <c r="F12" s="17"/>
      <c r="G12" s="17"/>
      <c r="H12" s="73" t="s">
        <v>11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7"/>
      <c r="Y12" s="7"/>
      <c r="Z12" s="5" t="s">
        <v>30</v>
      </c>
      <c r="AA12" s="5"/>
      <c r="AB12" s="82">
        <f>+AC8</f>
        <v>420</v>
      </c>
      <c r="AC12" s="82"/>
      <c r="AD12" s="5" t="s">
        <v>26</v>
      </c>
      <c r="AE12" s="82">
        <f>+AB11</f>
        <v>1.1499999999999999</v>
      </c>
      <c r="AF12" s="82"/>
      <c r="AG12" s="10" t="s">
        <v>27</v>
      </c>
      <c r="AH12" s="82">
        <f>+AB12/AE12</f>
        <v>365.21739130434787</v>
      </c>
      <c r="AI12" s="82"/>
      <c r="AJ12" s="5" t="s">
        <v>28</v>
      </c>
      <c r="AK12" s="5"/>
      <c r="AL12" s="5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16"/>
    </row>
    <row r="13" spans="2:54" ht="11.25" customHeight="1">
      <c r="B13" s="15"/>
      <c r="C13" s="7"/>
      <c r="D13" s="7"/>
      <c r="E13" s="7"/>
      <c r="F13" s="17"/>
      <c r="G13" s="17"/>
      <c r="H13" s="73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7"/>
      <c r="Y13" s="7"/>
      <c r="Z13" s="5" t="s">
        <v>31</v>
      </c>
      <c r="AA13" s="5"/>
      <c r="AB13" s="5"/>
      <c r="AC13" s="5"/>
      <c r="AD13" s="5"/>
      <c r="AE13" s="7"/>
      <c r="AF13" s="82">
        <v>0.35</v>
      </c>
      <c r="AG13" s="82"/>
      <c r="AH13" s="5" t="s">
        <v>32</v>
      </c>
      <c r="AI13" s="5">
        <f>+AC7</f>
        <v>35</v>
      </c>
      <c r="AJ13" s="10" t="s">
        <v>27</v>
      </c>
      <c r="AK13" s="82">
        <f>AF13*SQRT(AI13)</f>
        <v>2.0706279240848655</v>
      </c>
      <c r="AL13" s="82"/>
      <c r="AM13" s="5" t="s">
        <v>28</v>
      </c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16"/>
    </row>
    <row r="14" spans="2:54">
      <c r="B14" s="15"/>
      <c r="C14" s="7"/>
      <c r="D14" s="7"/>
      <c r="E14" s="7"/>
      <c r="F14" s="17"/>
      <c r="G14" s="17"/>
      <c r="H14" s="69">
        <v>700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2">
        <v>150</v>
      </c>
      <c r="T14" s="72"/>
      <c r="U14" s="17" t="s">
        <v>11</v>
      </c>
      <c r="V14" s="17"/>
      <c r="W14" s="17"/>
      <c r="X14" s="7"/>
      <c r="Y14" s="7"/>
      <c r="Z14" s="5" t="s">
        <v>33</v>
      </c>
      <c r="AA14" s="5"/>
      <c r="AB14" s="5"/>
      <c r="AC14" s="5"/>
      <c r="AD14" s="5"/>
      <c r="AE14" s="82">
        <f>+AK13</f>
        <v>2.0706279240848655</v>
      </c>
      <c r="AF14" s="82"/>
      <c r="AG14" s="5" t="s">
        <v>34</v>
      </c>
      <c r="AH14" s="82">
        <f>+AB9</f>
        <v>1.5</v>
      </c>
      <c r="AI14" s="82"/>
      <c r="AJ14" s="10" t="s">
        <v>27</v>
      </c>
      <c r="AK14" s="82">
        <f>+AE14/AH14</f>
        <v>1.380418616056577</v>
      </c>
      <c r="AL14" s="82"/>
      <c r="AM14" s="5" t="s">
        <v>28</v>
      </c>
      <c r="AN14" s="2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16"/>
    </row>
    <row r="15" spans="2:54" ht="11.25" customHeight="1">
      <c r="B15" s="15"/>
      <c r="C15" s="7"/>
      <c r="D15" s="7"/>
      <c r="E15" s="7"/>
      <c r="F15" s="17"/>
      <c r="G15" s="17"/>
      <c r="H15" s="69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7"/>
      <c r="Y15" s="7"/>
      <c r="Z15" s="7" t="s">
        <v>17</v>
      </c>
      <c r="AA15" s="7"/>
      <c r="AB15" s="7"/>
      <c r="AC15" s="7"/>
      <c r="AD15" s="7"/>
      <c r="AE15" s="7"/>
      <c r="AF15" s="7"/>
      <c r="AG15" s="7"/>
      <c r="AH15" s="7"/>
      <c r="AI15" s="62">
        <v>0.12</v>
      </c>
      <c r="AJ15" s="62"/>
      <c r="AK15" s="18" t="s">
        <v>18</v>
      </c>
      <c r="AL15" s="62">
        <f>+AH12</f>
        <v>365.21739130434787</v>
      </c>
      <c r="AM15" s="62"/>
      <c r="AN15" s="18" t="s">
        <v>18</v>
      </c>
      <c r="AO15" s="19">
        <f>+T26</f>
        <v>16</v>
      </c>
      <c r="AP15" s="7" t="s">
        <v>34</v>
      </c>
      <c r="AQ15" s="62">
        <f>+AK14</f>
        <v>1.380418616056577</v>
      </c>
      <c r="AR15" s="62"/>
      <c r="AS15" s="7" t="s">
        <v>35</v>
      </c>
      <c r="AT15" s="62">
        <f>AI15*AL15*AO15/AQ15</f>
        <v>507.97445292900062</v>
      </c>
      <c r="AU15" s="62"/>
      <c r="AV15" s="7" t="s">
        <v>11</v>
      </c>
      <c r="AW15" s="7"/>
      <c r="AX15" s="7"/>
      <c r="AY15" s="7"/>
      <c r="AZ15" s="7"/>
      <c r="BA15" s="7"/>
      <c r="BB15" s="16"/>
    </row>
    <row r="16" spans="2:54">
      <c r="B16" s="15"/>
      <c r="C16" s="7"/>
      <c r="D16" s="7"/>
      <c r="E16" s="7"/>
      <c r="F16" s="17"/>
      <c r="G16" s="17"/>
      <c r="H16" s="69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7"/>
      <c r="Y16" s="7"/>
      <c r="Z16" s="7" t="s">
        <v>16</v>
      </c>
      <c r="AA16" s="7"/>
      <c r="AB16" s="7"/>
      <c r="AC16" s="7"/>
      <c r="AD16" s="7">
        <v>20</v>
      </c>
      <c r="AE16" s="18" t="s">
        <v>18</v>
      </c>
      <c r="AF16" s="7">
        <f>+AO15</f>
        <v>16</v>
      </c>
      <c r="AG16" s="18" t="s">
        <v>27</v>
      </c>
      <c r="AH16" s="62">
        <f>+AD16*AF16</f>
        <v>320</v>
      </c>
      <c r="AI16" s="62"/>
      <c r="AJ16" s="7" t="s">
        <v>11</v>
      </c>
      <c r="AK16" s="7"/>
      <c r="AM16" s="18"/>
      <c r="AN16" s="18"/>
      <c r="AO16" s="19"/>
      <c r="AP16" s="7"/>
      <c r="AQ16" s="18"/>
      <c r="AR16" s="18"/>
      <c r="AS16" s="7"/>
      <c r="AT16" s="18"/>
      <c r="AU16" s="18"/>
      <c r="AV16" s="7"/>
      <c r="AW16" s="7"/>
      <c r="AX16" s="7"/>
      <c r="AY16" s="7"/>
      <c r="AZ16" s="7"/>
      <c r="BA16" s="7"/>
      <c r="BB16" s="16"/>
    </row>
    <row r="17" spans="2:54">
      <c r="B17" s="15"/>
      <c r="C17" s="7"/>
      <c r="D17" s="7"/>
      <c r="E17" s="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7"/>
      <c r="Y17" s="7"/>
      <c r="Z17" s="7" t="s">
        <v>36</v>
      </c>
      <c r="AA17" s="7"/>
      <c r="AB17" s="7"/>
      <c r="AC17" s="62">
        <f>MAX(AH16,AT15)*IF(AND(32&lt;AO15,AO15&lt;=40),100/(132-AO15),1)</f>
        <v>507.97445292900062</v>
      </c>
      <c r="AD17" s="62"/>
      <c r="AE17" s="7" t="s">
        <v>11</v>
      </c>
      <c r="AF17" s="7"/>
      <c r="AG17" s="7"/>
      <c r="AH17" s="27" t="s">
        <v>61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16"/>
    </row>
    <row r="18" spans="2:54">
      <c r="B18" s="15"/>
      <c r="C18" s="7"/>
      <c r="D18" s="7"/>
      <c r="E18" s="7"/>
      <c r="F18" s="7"/>
      <c r="G18" s="7"/>
      <c r="H18" s="70" t="s">
        <v>11</v>
      </c>
      <c r="I18" s="76" t="s">
        <v>15</v>
      </c>
      <c r="J18" s="7"/>
      <c r="K18" s="7"/>
      <c r="L18" s="17"/>
      <c r="M18" s="17"/>
      <c r="N18" s="17"/>
      <c r="O18" s="17"/>
      <c r="P18" s="17"/>
      <c r="Q18" s="1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16"/>
    </row>
    <row r="19" spans="2:54">
      <c r="B19" s="15"/>
      <c r="C19" s="7"/>
      <c r="D19" s="7"/>
      <c r="E19" s="7"/>
      <c r="F19" s="7"/>
      <c r="G19" s="70" t="s">
        <v>0</v>
      </c>
      <c r="H19" s="70"/>
      <c r="I19" s="76"/>
      <c r="J19" s="7"/>
      <c r="K19" s="7"/>
      <c r="L19" s="17"/>
      <c r="M19" s="17"/>
      <c r="N19" s="17"/>
      <c r="O19" s="17"/>
      <c r="P19" s="17"/>
      <c r="Q19" s="17"/>
      <c r="R19" s="7"/>
      <c r="S19" s="7"/>
      <c r="T19" s="7"/>
      <c r="U19" s="7"/>
      <c r="V19" s="7"/>
      <c r="W19" s="7"/>
      <c r="X19" s="7"/>
      <c r="Y19" s="7"/>
      <c r="Z19" s="20" t="s">
        <v>41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16"/>
    </row>
    <row r="20" spans="2:54">
      <c r="B20" s="15"/>
      <c r="C20" s="7"/>
      <c r="D20" s="7"/>
      <c r="E20" s="7"/>
      <c r="F20" s="7"/>
      <c r="G20" s="70"/>
      <c r="H20" s="84">
        <f>MAX(1.5*MAX(AS35,AW28),C33/6,500)</f>
        <v>1200</v>
      </c>
      <c r="I20" s="76"/>
      <c r="J20" s="7"/>
      <c r="K20" s="7"/>
      <c r="L20" s="17"/>
      <c r="M20" s="17"/>
      <c r="N20" s="17"/>
      <c r="O20" s="17"/>
      <c r="P20" s="17"/>
      <c r="Q20" s="17"/>
      <c r="R20" s="7"/>
      <c r="S20" s="7"/>
      <c r="T20" s="7"/>
      <c r="U20" s="7"/>
      <c r="V20" s="7"/>
      <c r="W20" s="7"/>
      <c r="X20" s="7"/>
      <c r="Y20" s="7"/>
      <c r="Z20" s="7" t="s">
        <v>45</v>
      </c>
      <c r="AA20" s="7"/>
      <c r="AB20" s="7"/>
      <c r="AC20" s="7"/>
      <c r="AD20" s="7"/>
      <c r="AE20" s="7"/>
      <c r="AF20" s="62">
        <v>1.5</v>
      </c>
      <c r="AG20" s="62"/>
      <c r="AH20" s="29" t="s">
        <v>18</v>
      </c>
      <c r="AI20" s="62">
        <f>MAX(AS35,AW28)</f>
        <v>800</v>
      </c>
      <c r="AJ20" s="62"/>
      <c r="AK20" s="7" t="s">
        <v>27</v>
      </c>
      <c r="AL20" s="62">
        <f>+AF20*AI20</f>
        <v>1200</v>
      </c>
      <c r="AM20" s="62"/>
      <c r="AN20" s="7" t="s">
        <v>11</v>
      </c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16"/>
    </row>
    <row r="21" spans="2:54">
      <c r="B21" s="15"/>
      <c r="C21" s="7"/>
      <c r="D21" s="7"/>
      <c r="E21" s="7"/>
      <c r="F21" s="7"/>
      <c r="G21" s="70"/>
      <c r="H21" s="84"/>
      <c r="I21" s="76"/>
      <c r="J21" s="7"/>
      <c r="K21" s="7"/>
      <c r="L21" s="17"/>
      <c r="M21" s="17"/>
      <c r="N21" s="17"/>
      <c r="O21" s="17"/>
      <c r="P21" s="17"/>
      <c r="Q21" s="17"/>
      <c r="R21" s="7"/>
      <c r="S21" s="7"/>
      <c r="T21" s="7"/>
      <c r="U21" s="7"/>
      <c r="V21" s="7"/>
      <c r="W21" s="7"/>
      <c r="X21" s="7"/>
      <c r="Y21" s="7"/>
      <c r="Z21" s="7" t="s">
        <v>46</v>
      </c>
      <c r="AA21" s="7"/>
      <c r="AB21" s="7"/>
      <c r="AC21" s="7"/>
      <c r="AD21" s="7"/>
      <c r="AE21" s="62">
        <f>+C33</f>
        <v>3000</v>
      </c>
      <c r="AF21" s="62"/>
      <c r="AG21" s="7" t="s">
        <v>34</v>
      </c>
      <c r="AH21" s="7">
        <v>6</v>
      </c>
      <c r="AI21" s="7" t="s">
        <v>27</v>
      </c>
      <c r="AJ21" s="62">
        <f>+AE21/AH21</f>
        <v>500</v>
      </c>
      <c r="AK21" s="62"/>
      <c r="AL21" s="7" t="s">
        <v>11</v>
      </c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16"/>
    </row>
    <row r="22" spans="2:54">
      <c r="B22" s="15"/>
      <c r="C22" s="7"/>
      <c r="D22" s="7"/>
      <c r="E22" s="7"/>
      <c r="F22" s="7"/>
      <c r="G22" s="70"/>
      <c r="H22" s="84"/>
      <c r="I22" s="76"/>
      <c r="J22" s="7"/>
      <c r="K22" s="7"/>
      <c r="L22" s="17"/>
      <c r="M22" s="17"/>
      <c r="N22" s="17"/>
      <c r="O22" s="17"/>
      <c r="P22" s="17"/>
      <c r="Q22" s="17"/>
      <c r="R22" s="7"/>
      <c r="S22" s="7"/>
      <c r="T22" s="7"/>
      <c r="U22" s="7"/>
      <c r="V22" s="7"/>
      <c r="W22" s="7"/>
      <c r="X22" s="7"/>
      <c r="Y22" s="7"/>
      <c r="Z22" s="7" t="s">
        <v>12</v>
      </c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16"/>
    </row>
    <row r="23" spans="2:54" ht="11.25" customHeight="1">
      <c r="B23" s="15"/>
      <c r="C23" s="7"/>
      <c r="D23" s="7"/>
      <c r="E23" s="7"/>
      <c r="F23" s="7"/>
      <c r="G23" s="70"/>
      <c r="H23" s="70" t="s">
        <v>1</v>
      </c>
      <c r="I23" s="74">
        <f>ROUNDUP(H20/U23,0)+1</f>
        <v>14</v>
      </c>
      <c r="J23" s="7"/>
      <c r="K23" s="7"/>
      <c r="L23" s="17"/>
      <c r="M23" s="17"/>
      <c r="N23" s="17"/>
      <c r="O23" s="17"/>
      <c r="P23" s="17"/>
      <c r="Q23" s="17"/>
      <c r="R23" s="7"/>
      <c r="S23" s="7" t="s">
        <v>10</v>
      </c>
      <c r="T23" s="7"/>
      <c r="U23" s="62">
        <f>MAX(MIN(150,6*T26,MIN(AS35,AW28)/3),50)</f>
        <v>96</v>
      </c>
      <c r="V23" s="62"/>
      <c r="W23" s="7" t="s">
        <v>11</v>
      </c>
      <c r="X23" s="7"/>
      <c r="Y23" s="7"/>
      <c r="Z23" s="7" t="s">
        <v>47</v>
      </c>
      <c r="AA23" s="7"/>
      <c r="AB23" s="7"/>
      <c r="AC23" s="62">
        <f>MAX(AL20,AJ21,500)</f>
        <v>1200</v>
      </c>
      <c r="AD23" s="62"/>
      <c r="AE23" s="7" t="s">
        <v>11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 t="s">
        <v>57</v>
      </c>
      <c r="AS23" s="7"/>
      <c r="AT23" s="7"/>
      <c r="AU23" s="7"/>
      <c r="AV23" s="7"/>
      <c r="AW23" s="7"/>
      <c r="AX23" s="7"/>
      <c r="AY23" s="7"/>
      <c r="AZ23" s="7"/>
      <c r="BA23" s="7"/>
      <c r="BB23" s="16"/>
    </row>
    <row r="24" spans="2:54">
      <c r="B24" s="15"/>
      <c r="C24" s="7"/>
      <c r="D24" s="7"/>
      <c r="E24" s="7"/>
      <c r="F24" s="7"/>
      <c r="G24" s="70"/>
      <c r="H24" s="70"/>
      <c r="I24" s="74"/>
      <c r="J24" s="7"/>
      <c r="K24" s="7"/>
      <c r="L24" s="17"/>
      <c r="M24" s="17"/>
      <c r="N24" s="17"/>
      <c r="O24" s="17"/>
      <c r="P24" s="17"/>
      <c r="Q24" s="1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16"/>
    </row>
    <row r="25" spans="2:54">
      <c r="B25" s="15"/>
      <c r="C25" s="7"/>
      <c r="D25" s="7"/>
      <c r="E25" s="7"/>
      <c r="F25" s="7"/>
      <c r="G25" s="70"/>
      <c r="H25" s="7"/>
      <c r="I25" s="7"/>
      <c r="J25" s="7"/>
      <c r="K25" s="7"/>
      <c r="L25" s="17"/>
      <c r="M25" s="17"/>
      <c r="N25" s="17"/>
      <c r="O25" s="17"/>
      <c r="P25" s="17"/>
      <c r="Q25" s="17"/>
      <c r="R25" s="7" t="s">
        <v>92</v>
      </c>
      <c r="U25" s="7"/>
      <c r="V25" s="7"/>
      <c r="W25" s="7"/>
      <c r="X25" s="7"/>
      <c r="Y25" s="7"/>
      <c r="Z25" s="20" t="s">
        <v>40</v>
      </c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16"/>
    </row>
    <row r="26" spans="2:54">
      <c r="B26" s="15"/>
      <c r="C26" s="7"/>
      <c r="D26" s="7"/>
      <c r="E26" s="7"/>
      <c r="F26" s="7"/>
      <c r="G26" s="76" t="s">
        <v>15</v>
      </c>
      <c r="H26" s="7"/>
      <c r="I26" s="7"/>
      <c r="J26" s="7"/>
      <c r="K26" s="7"/>
      <c r="L26" s="17"/>
      <c r="M26" s="17"/>
      <c r="N26" s="17"/>
      <c r="O26" s="17"/>
      <c r="P26" s="17"/>
      <c r="Q26" s="17"/>
      <c r="R26" s="7"/>
      <c r="S26" s="7"/>
      <c r="T26" s="83">
        <v>16</v>
      </c>
      <c r="U26" s="83"/>
      <c r="V26" s="7"/>
      <c r="W26" s="7"/>
      <c r="X26" s="7"/>
      <c r="Y26" s="7"/>
      <c r="Z26" s="7" t="s">
        <v>6</v>
      </c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0" t="s">
        <v>2</v>
      </c>
      <c r="AX26" s="7"/>
      <c r="AY26" s="7"/>
      <c r="AZ26" s="7"/>
      <c r="BA26" s="7"/>
      <c r="BB26" s="16"/>
    </row>
    <row r="27" spans="2:54">
      <c r="B27" s="15"/>
      <c r="C27" s="7"/>
      <c r="D27" s="7"/>
      <c r="E27" s="7"/>
      <c r="F27" s="7"/>
      <c r="G27" s="76"/>
      <c r="H27" s="70" t="s">
        <v>11</v>
      </c>
      <c r="I27" s="7"/>
      <c r="J27" s="7"/>
      <c r="K27" s="7"/>
      <c r="L27" s="17"/>
      <c r="M27" s="17"/>
      <c r="N27" s="17"/>
      <c r="O27" s="17"/>
      <c r="P27" s="17"/>
      <c r="Q27" s="17"/>
      <c r="R27" s="7"/>
      <c r="S27" s="7"/>
      <c r="V27" s="7"/>
      <c r="W27" s="7"/>
      <c r="X27" s="7"/>
      <c r="Y27" s="7"/>
      <c r="Z27" s="7" t="s">
        <v>44</v>
      </c>
      <c r="AA27" s="7"/>
      <c r="AB27" s="7"/>
      <c r="AC27" s="7"/>
      <c r="AD27" s="7"/>
      <c r="AE27" s="62">
        <f>MIN(AS35,AW28)</f>
        <v>300</v>
      </c>
      <c r="AF27" s="62"/>
      <c r="AG27" s="7" t="s">
        <v>34</v>
      </c>
      <c r="AH27" s="7">
        <v>3</v>
      </c>
      <c r="AI27" s="18" t="s">
        <v>27</v>
      </c>
      <c r="AJ27" s="62">
        <f>+AE27/AH27</f>
        <v>100</v>
      </c>
      <c r="AK27" s="62"/>
      <c r="AL27" s="7" t="s">
        <v>11</v>
      </c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0"/>
      <c r="AX27" s="7"/>
      <c r="AY27" s="7"/>
      <c r="AZ27" s="7"/>
      <c r="BA27" s="7"/>
      <c r="BB27" s="16"/>
    </row>
    <row r="28" spans="2:54" ht="11.25" customHeight="1">
      <c r="B28" s="15"/>
      <c r="C28" s="7"/>
      <c r="D28" s="7"/>
      <c r="E28" s="7"/>
      <c r="F28" s="7"/>
      <c r="G28" s="76"/>
      <c r="H28" s="70"/>
      <c r="I28" s="7"/>
      <c r="J28" s="7"/>
      <c r="K28" s="7"/>
      <c r="L28" s="17"/>
      <c r="M28" s="17"/>
      <c r="N28" s="17"/>
      <c r="O28" s="17"/>
      <c r="P28" s="17"/>
      <c r="Q28" s="17"/>
      <c r="R28" s="7"/>
      <c r="S28" s="7"/>
      <c r="V28" s="7"/>
      <c r="W28" s="7"/>
      <c r="X28" s="7"/>
      <c r="Y28" s="7"/>
      <c r="Z28" s="7" t="s">
        <v>53</v>
      </c>
      <c r="AA28" s="7"/>
      <c r="AB28" s="7"/>
      <c r="AC28" s="7"/>
      <c r="AD28" s="7">
        <v>6</v>
      </c>
      <c r="AE28" s="18" t="s">
        <v>18</v>
      </c>
      <c r="AF28" s="19">
        <f>+T26</f>
        <v>16</v>
      </c>
      <c r="AG28" s="18" t="s">
        <v>27</v>
      </c>
      <c r="AH28" s="62">
        <f>+AD28*AF28</f>
        <v>96</v>
      </c>
      <c r="AI28" s="62"/>
      <c r="AJ28" s="7" t="s">
        <v>11</v>
      </c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69">
        <v>800</v>
      </c>
      <c r="AX28" s="7"/>
      <c r="AY28" s="7"/>
      <c r="AZ28" s="7"/>
      <c r="BA28" s="7"/>
      <c r="BB28" s="16"/>
    </row>
    <row r="29" spans="2:54">
      <c r="B29" s="15"/>
      <c r="C29" s="7"/>
      <c r="D29" s="7"/>
      <c r="E29" s="7"/>
      <c r="F29" s="7"/>
      <c r="G29" s="76"/>
      <c r="H29" s="75">
        <f>(F33-H36)/2</f>
        <v>46.01277353549969</v>
      </c>
      <c r="I29" s="7"/>
      <c r="J29" s="7"/>
      <c r="K29" s="7"/>
      <c r="L29" s="17"/>
      <c r="M29" s="17"/>
      <c r="N29" s="17"/>
      <c r="O29" s="17"/>
      <c r="P29" s="17"/>
      <c r="Q29" s="17"/>
      <c r="R29" s="7"/>
      <c r="S29" s="62" t="s">
        <v>88</v>
      </c>
      <c r="T29" s="62"/>
      <c r="U29" s="85">
        <f>+U49</f>
        <v>96</v>
      </c>
      <c r="V29" s="85"/>
      <c r="W29" s="86" t="s">
        <v>11</v>
      </c>
      <c r="X29" s="86"/>
      <c r="Y29" s="7"/>
      <c r="Z29" s="7" t="s">
        <v>7</v>
      </c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69"/>
      <c r="AX29" s="7"/>
      <c r="AY29" s="7"/>
      <c r="AZ29" s="7"/>
      <c r="BA29" s="7"/>
      <c r="BB29" s="16"/>
    </row>
    <row r="30" spans="2:54">
      <c r="B30" s="15"/>
      <c r="C30" s="7"/>
      <c r="D30" s="7"/>
      <c r="E30" s="7"/>
      <c r="F30" s="7"/>
      <c r="G30" s="76"/>
      <c r="H30" s="75"/>
      <c r="I30" s="7"/>
      <c r="J30" s="7"/>
      <c r="K30" s="7"/>
      <c r="L30" s="17"/>
      <c r="M30" s="17"/>
      <c r="N30" s="17"/>
      <c r="O30" s="17"/>
      <c r="P30" s="17"/>
      <c r="Q30" s="17"/>
      <c r="R30" s="7"/>
      <c r="S30" s="62"/>
      <c r="T30" s="62"/>
      <c r="U30" s="85"/>
      <c r="V30" s="85"/>
      <c r="W30" s="86"/>
      <c r="X30" s="86"/>
      <c r="Y30" s="7"/>
      <c r="Z30" s="7" t="s">
        <v>52</v>
      </c>
      <c r="AA30" s="7"/>
      <c r="AB30" s="7"/>
      <c r="AC30" s="62">
        <f>MAX(MIN(AJ27,AH28,150),50)</f>
        <v>96</v>
      </c>
      <c r="AD30" s="62"/>
      <c r="AE30" s="7" t="s">
        <v>11</v>
      </c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69"/>
      <c r="AX30" s="7"/>
      <c r="AY30" s="7"/>
      <c r="AZ30" s="7"/>
      <c r="BA30" s="7"/>
      <c r="BB30" s="16"/>
    </row>
    <row r="31" spans="2:54">
      <c r="B31" s="15"/>
      <c r="C31" s="70" t="s">
        <v>11</v>
      </c>
      <c r="D31" s="7"/>
      <c r="E31" s="7"/>
      <c r="F31" s="70" t="s">
        <v>11</v>
      </c>
      <c r="G31" s="74">
        <f>IF(H29&lt;0,0,ROUNDUP(H29/U43,0))</f>
        <v>1</v>
      </c>
      <c r="H31" s="75"/>
      <c r="I31" s="7"/>
      <c r="J31" s="7"/>
      <c r="K31" s="7"/>
      <c r="L31" s="17"/>
      <c r="M31" s="17"/>
      <c r="N31" s="17"/>
      <c r="O31" s="17"/>
      <c r="P31" s="17"/>
      <c r="Q31" s="1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0" t="s">
        <v>9</v>
      </c>
      <c r="AX31" s="7"/>
      <c r="AY31" s="7"/>
      <c r="AZ31" s="7"/>
      <c r="BA31" s="7"/>
      <c r="BB31" s="16"/>
    </row>
    <row r="32" spans="2:54" ht="11.25" customHeight="1">
      <c r="B32" s="15"/>
      <c r="C32" s="70"/>
      <c r="D32" s="7"/>
      <c r="E32" s="7"/>
      <c r="F32" s="70"/>
      <c r="G32" s="74"/>
      <c r="H32" s="7"/>
      <c r="I32" s="7"/>
      <c r="J32" s="7"/>
      <c r="K32" s="7"/>
      <c r="L32" s="17"/>
      <c r="M32" s="17"/>
      <c r="N32" s="17"/>
      <c r="O32" s="17"/>
      <c r="P32" s="17"/>
      <c r="Q32" s="17"/>
      <c r="R32" s="7"/>
      <c r="S32" s="7"/>
      <c r="T32" s="7"/>
      <c r="U32" s="7"/>
      <c r="V32" s="7"/>
      <c r="W32" s="7"/>
      <c r="X32" s="7"/>
      <c r="Y32" s="7"/>
      <c r="Z32" s="20" t="s">
        <v>42</v>
      </c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0"/>
      <c r="AX32" s="7"/>
      <c r="AY32" s="7"/>
      <c r="AZ32" s="7"/>
      <c r="BA32" s="7"/>
      <c r="BB32" s="16"/>
    </row>
    <row r="33" spans="2:54">
      <c r="B33" s="15"/>
      <c r="C33" s="69">
        <v>3000</v>
      </c>
      <c r="D33" s="7"/>
      <c r="E33" s="21"/>
      <c r="F33" s="75">
        <f>+C33-H20-H48</f>
        <v>600</v>
      </c>
      <c r="G33" s="76" t="s">
        <v>15</v>
      </c>
      <c r="H33" s="7"/>
      <c r="I33" s="7"/>
      <c r="J33" s="7"/>
      <c r="K33" s="7"/>
      <c r="L33" s="17"/>
      <c r="M33" s="17"/>
      <c r="N33" s="17"/>
      <c r="O33" s="17"/>
      <c r="P33" s="17"/>
      <c r="Q33" s="17"/>
      <c r="R33" s="7"/>
      <c r="S33" s="70" t="s">
        <v>11</v>
      </c>
      <c r="T33" s="70" t="s">
        <v>5</v>
      </c>
      <c r="U33" s="7"/>
      <c r="V33" s="7"/>
      <c r="W33" s="7"/>
      <c r="X33" s="7"/>
      <c r="Y33" s="7"/>
      <c r="Z33" s="7" t="s">
        <v>38</v>
      </c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16"/>
    </row>
    <row r="34" spans="2:54">
      <c r="B34" s="15"/>
      <c r="C34" s="69"/>
      <c r="D34" s="7"/>
      <c r="E34" s="21"/>
      <c r="F34" s="75"/>
      <c r="G34" s="76"/>
      <c r="H34" s="70" t="s">
        <v>11</v>
      </c>
      <c r="I34" s="81" t="s">
        <v>39</v>
      </c>
      <c r="J34" s="81"/>
      <c r="K34" s="7"/>
      <c r="L34" s="17"/>
      <c r="M34" s="17"/>
      <c r="N34" s="17"/>
      <c r="O34" s="17"/>
      <c r="P34" s="17"/>
      <c r="Q34" s="17"/>
      <c r="R34" s="7"/>
      <c r="S34" s="70"/>
      <c r="T34" s="70"/>
      <c r="U34" s="7"/>
      <c r="V34" s="7"/>
      <c r="W34" s="7"/>
      <c r="X34" s="7"/>
      <c r="Y34" s="7"/>
      <c r="Z34" s="7" t="s">
        <v>48</v>
      </c>
      <c r="AA34" s="7"/>
      <c r="AB34" s="7"/>
      <c r="AC34" s="7"/>
      <c r="AD34" s="7"/>
      <c r="AE34" s="7"/>
      <c r="AF34" s="62">
        <f>MIN(AS35,AW28)</f>
        <v>300</v>
      </c>
      <c r="AG34" s="62"/>
      <c r="AH34" s="7" t="s">
        <v>34</v>
      </c>
      <c r="AI34" s="7">
        <v>3</v>
      </c>
      <c r="AJ34" s="18" t="s">
        <v>27</v>
      </c>
      <c r="AK34" s="62">
        <f>+AF34/AI34</f>
        <v>100</v>
      </c>
      <c r="AL34" s="62"/>
      <c r="AM34" s="7" t="s">
        <v>11</v>
      </c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16"/>
    </row>
    <row r="35" spans="2:54">
      <c r="B35" s="15"/>
      <c r="C35" s="69"/>
      <c r="D35" s="7"/>
      <c r="E35" s="21"/>
      <c r="F35" s="75"/>
      <c r="G35" s="76"/>
      <c r="H35" s="70"/>
      <c r="I35" s="81"/>
      <c r="J35" s="81"/>
      <c r="K35" s="7"/>
      <c r="L35" s="17"/>
      <c r="M35" s="17"/>
      <c r="N35" s="17"/>
      <c r="O35" s="17"/>
      <c r="P35" s="17"/>
      <c r="Q35" s="17"/>
      <c r="R35" s="7"/>
      <c r="S35" s="79">
        <f>+AC17</f>
        <v>507.97445292900062</v>
      </c>
      <c r="T35" s="70"/>
      <c r="U35" s="7"/>
      <c r="V35" s="7"/>
      <c r="W35" s="7"/>
      <c r="X35" s="7"/>
      <c r="Y35" s="7"/>
      <c r="Z35" s="7" t="s">
        <v>49</v>
      </c>
      <c r="AA35" s="7"/>
      <c r="AB35" s="7"/>
      <c r="AC35" s="7"/>
      <c r="AD35" s="62">
        <f>MIN(150,AK34)</f>
        <v>100</v>
      </c>
      <c r="AE35" s="62"/>
      <c r="AF35" s="7" t="s">
        <v>11</v>
      </c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62" t="s">
        <v>8</v>
      </c>
      <c r="AR35" s="62"/>
      <c r="AS35" s="67">
        <v>300</v>
      </c>
      <c r="AT35" s="67"/>
      <c r="AU35" s="7" t="s">
        <v>2</v>
      </c>
      <c r="AV35" s="7"/>
      <c r="AW35" s="7"/>
      <c r="AX35" s="7"/>
      <c r="AY35" s="7"/>
      <c r="AZ35" s="7"/>
      <c r="BA35" s="7"/>
      <c r="BB35" s="16"/>
    </row>
    <row r="36" spans="2:54" ht="11.25" customHeight="1">
      <c r="B36" s="15"/>
      <c r="C36" s="70" t="s">
        <v>4</v>
      </c>
      <c r="D36" s="7"/>
      <c r="E36" s="21"/>
      <c r="F36" s="70" t="s">
        <v>55</v>
      </c>
      <c r="G36" s="76"/>
      <c r="H36" s="79">
        <f>+S35</f>
        <v>507.97445292900062</v>
      </c>
      <c r="I36" s="62">
        <f>MIN(150,MIN(AS35,AW28)/3)</f>
        <v>100</v>
      </c>
      <c r="J36" s="62"/>
      <c r="K36" s="7" t="s">
        <v>11</v>
      </c>
      <c r="L36" s="17"/>
      <c r="M36" s="17"/>
      <c r="N36" s="17"/>
      <c r="O36" s="17"/>
      <c r="P36" s="17"/>
      <c r="Q36" s="17"/>
      <c r="R36" s="7"/>
      <c r="S36" s="79"/>
      <c r="T36" s="7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16"/>
    </row>
    <row r="37" spans="2:54">
      <c r="B37" s="15"/>
      <c r="C37" s="70"/>
      <c r="D37" s="7"/>
      <c r="E37" s="21"/>
      <c r="F37" s="70"/>
      <c r="G37" s="76"/>
      <c r="H37" s="75"/>
      <c r="I37" s="7"/>
      <c r="J37" s="7"/>
      <c r="K37" s="7"/>
      <c r="L37" s="17"/>
      <c r="M37" s="17"/>
      <c r="N37" s="17"/>
      <c r="O37" s="17"/>
      <c r="P37" s="17"/>
      <c r="Q37" s="17"/>
      <c r="R37" s="7"/>
      <c r="S37" s="79"/>
      <c r="T37" s="70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3" t="str">
        <f>IF(MIN(AS35,AW28)&lt;300,"kolon boyutu 300mm den küçük seçilemez.","")</f>
        <v/>
      </c>
      <c r="AM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16"/>
    </row>
    <row r="38" spans="2:54" ht="11.25" customHeight="1">
      <c r="B38" s="15"/>
      <c r="C38" s="7"/>
      <c r="D38" s="7"/>
      <c r="E38" s="21"/>
      <c r="F38" s="70" t="s">
        <v>3</v>
      </c>
      <c r="G38" s="74">
        <f>ROUNDUP(H36/I36,0)</f>
        <v>6</v>
      </c>
      <c r="H38" s="75"/>
      <c r="I38" s="7"/>
      <c r="J38" s="7"/>
      <c r="K38" s="7"/>
      <c r="L38" s="17"/>
      <c r="M38" s="17"/>
      <c r="N38" s="17"/>
      <c r="O38" s="17"/>
      <c r="P38" s="17"/>
      <c r="Q38" s="17"/>
      <c r="R38" s="7"/>
      <c r="S38" s="70" t="s">
        <v>37</v>
      </c>
      <c r="T38" s="70"/>
      <c r="U38" s="7"/>
      <c r="V38" s="7"/>
      <c r="W38" s="7"/>
      <c r="X38" s="7"/>
      <c r="Y38" s="7"/>
      <c r="Z38" s="20" t="s">
        <v>43</v>
      </c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16"/>
    </row>
    <row r="39" spans="2:54" ht="11.25" customHeight="1">
      <c r="B39" s="15"/>
      <c r="C39" s="7"/>
      <c r="D39" s="7"/>
      <c r="E39" s="7"/>
      <c r="F39" s="70"/>
      <c r="G39" s="74"/>
      <c r="H39" s="7"/>
      <c r="I39" s="7"/>
      <c r="J39" s="7"/>
      <c r="K39" s="7"/>
      <c r="L39" s="17"/>
      <c r="M39" s="17"/>
      <c r="N39" s="17"/>
      <c r="O39" s="17"/>
      <c r="P39" s="17"/>
      <c r="Q39" s="17"/>
      <c r="R39" s="7"/>
      <c r="S39" s="70"/>
      <c r="T39" s="70"/>
      <c r="U39" s="7"/>
      <c r="V39" s="7"/>
      <c r="W39" s="7"/>
      <c r="X39" s="7"/>
      <c r="Y39" s="7"/>
      <c r="Z39" s="7" t="s">
        <v>14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16"/>
    </row>
    <row r="40" spans="2:54" ht="11.25" customHeight="1">
      <c r="B40" s="15"/>
      <c r="C40" s="7"/>
      <c r="D40" s="7"/>
      <c r="E40" s="7"/>
      <c r="F40" s="70"/>
      <c r="G40" s="76" t="s">
        <v>15</v>
      </c>
      <c r="H40" s="7"/>
      <c r="I40" s="7"/>
      <c r="J40" s="7"/>
      <c r="K40" s="7"/>
      <c r="L40" s="17"/>
      <c r="M40" s="17"/>
      <c r="N40" s="17"/>
      <c r="O40" s="17"/>
      <c r="P40" s="17"/>
      <c r="Q40" s="17"/>
      <c r="R40" s="7"/>
      <c r="S40" s="7"/>
      <c r="T40" s="7"/>
      <c r="U40" s="7"/>
      <c r="V40" s="7"/>
      <c r="W40" s="7"/>
      <c r="X40" s="7"/>
      <c r="Y40" s="7"/>
      <c r="Z40" s="7" t="s">
        <v>50</v>
      </c>
      <c r="AA40" s="7"/>
      <c r="AB40" s="7"/>
      <c r="AC40" s="7"/>
      <c r="AD40" s="7"/>
      <c r="AE40" s="62">
        <f>MIN(AS35,AW28)</f>
        <v>300</v>
      </c>
      <c r="AF40" s="62"/>
      <c r="AG40" s="7" t="s">
        <v>34</v>
      </c>
      <c r="AH40" s="7">
        <v>2</v>
      </c>
      <c r="AI40" s="18" t="s">
        <v>27</v>
      </c>
      <c r="AJ40" s="62">
        <f>+AE40/AH40</f>
        <v>150</v>
      </c>
      <c r="AK40" s="62"/>
      <c r="AL40" s="7" t="s">
        <v>11</v>
      </c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16"/>
    </row>
    <row r="41" spans="2:54" ht="11.25" customHeight="1">
      <c r="B41" s="15"/>
      <c r="C41" s="7"/>
      <c r="D41" s="7"/>
      <c r="E41" s="7"/>
      <c r="F41" s="70"/>
      <c r="G41" s="76"/>
      <c r="H41" s="70" t="s">
        <v>11</v>
      </c>
      <c r="I41" s="7"/>
      <c r="J41" s="7"/>
      <c r="K41" s="7"/>
      <c r="L41" s="17"/>
      <c r="M41" s="17"/>
      <c r="N41" s="17"/>
      <c r="O41" s="17"/>
      <c r="P41" s="17"/>
      <c r="Q41" s="17"/>
      <c r="R41" s="7"/>
      <c r="S41" s="7"/>
      <c r="T41" s="7"/>
      <c r="U41" s="7"/>
      <c r="V41" s="7"/>
      <c r="W41" s="7"/>
      <c r="X41" s="7"/>
      <c r="Y41" s="7"/>
      <c r="Z41" s="7" t="s">
        <v>51</v>
      </c>
      <c r="AA41" s="7"/>
      <c r="AB41" s="7"/>
      <c r="AC41" s="62">
        <f>MIN(200,AJ40)</f>
        <v>150</v>
      </c>
      <c r="AD41" s="62"/>
      <c r="AE41" s="7" t="s">
        <v>11</v>
      </c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16"/>
    </row>
    <row r="42" spans="2:54" ht="11.25" customHeight="1">
      <c r="B42" s="15"/>
      <c r="C42" s="7"/>
      <c r="D42" s="7"/>
      <c r="E42" s="7"/>
      <c r="F42" s="70"/>
      <c r="G42" s="76"/>
      <c r="H42" s="70"/>
      <c r="I42" s="7"/>
      <c r="J42" s="7"/>
      <c r="K42" s="7"/>
      <c r="L42" s="17"/>
      <c r="M42" s="17"/>
      <c r="N42" s="17"/>
      <c r="O42" s="17"/>
      <c r="P42" s="17"/>
      <c r="Q42" s="1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16"/>
    </row>
    <row r="43" spans="2:54" ht="11.25" customHeight="1">
      <c r="B43" s="15"/>
      <c r="C43" s="7"/>
      <c r="D43" s="7"/>
      <c r="E43" s="7"/>
      <c r="F43" s="7"/>
      <c r="G43" s="76"/>
      <c r="H43" s="75">
        <f>+H29</f>
        <v>46.01277353549969</v>
      </c>
      <c r="I43" s="7"/>
      <c r="J43" s="7"/>
      <c r="K43" s="7"/>
      <c r="L43" s="17"/>
      <c r="M43" s="17"/>
      <c r="N43" s="17"/>
      <c r="O43" s="17"/>
      <c r="P43" s="17"/>
      <c r="Q43" s="17"/>
      <c r="R43" s="7"/>
      <c r="S43" s="62" t="s">
        <v>13</v>
      </c>
      <c r="T43" s="62"/>
      <c r="U43" s="62">
        <f>IF(H29&lt;0,U23,MIN(200,MIN(AS35,AW28)/2))</f>
        <v>150</v>
      </c>
      <c r="V43" s="62"/>
      <c r="W43" s="7" t="s">
        <v>11</v>
      </c>
      <c r="X43" s="7"/>
      <c r="Y43" s="7"/>
      <c r="Z43" s="20" t="s">
        <v>58</v>
      </c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16"/>
    </row>
    <row r="44" spans="2:54">
      <c r="B44" s="15"/>
      <c r="C44" s="7"/>
      <c r="D44" s="7"/>
      <c r="E44" s="7"/>
      <c r="F44" s="7"/>
      <c r="G44" s="74">
        <f>IF(H43&lt;0,0,ROUNDUP(H43/U43,0))</f>
        <v>1</v>
      </c>
      <c r="H44" s="75"/>
      <c r="I44" s="7"/>
      <c r="J44" s="7"/>
      <c r="K44" s="7"/>
      <c r="L44" s="17"/>
      <c r="M44" s="17"/>
      <c r="N44" s="17"/>
      <c r="O44" s="17"/>
      <c r="P44" s="17"/>
      <c r="Q44" s="17"/>
      <c r="R44" s="7"/>
      <c r="S44" s="7"/>
      <c r="T44" s="7"/>
      <c r="U44" s="7"/>
      <c r="V44" s="7"/>
      <c r="W44" s="7"/>
      <c r="X44" s="7"/>
      <c r="Y44" s="7"/>
      <c r="Z44" s="7" t="s">
        <v>59</v>
      </c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Z44" s="7"/>
      <c r="BA44" s="7"/>
      <c r="BB44" s="16"/>
    </row>
    <row r="45" spans="2:54">
      <c r="B45" s="15"/>
      <c r="C45" s="7"/>
      <c r="D45" s="7"/>
      <c r="E45" s="7"/>
      <c r="F45" s="7"/>
      <c r="G45" s="74"/>
      <c r="H45" s="75"/>
      <c r="I45" s="7"/>
      <c r="J45" s="7"/>
      <c r="K45" s="7"/>
      <c r="L45" s="17"/>
      <c r="M45" s="17"/>
      <c r="N45" s="17"/>
      <c r="O45" s="17"/>
      <c r="P45" s="17"/>
      <c r="Q45" s="1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X45" s="7"/>
      <c r="AY45" s="7"/>
      <c r="AZ45" s="7"/>
      <c r="BA45" s="7"/>
      <c r="BB45" s="16"/>
    </row>
    <row r="46" spans="2:54">
      <c r="B46" s="15"/>
      <c r="C46" s="7"/>
      <c r="D46" s="7"/>
      <c r="E46" s="7"/>
      <c r="F46" s="7"/>
      <c r="G46" s="7"/>
      <c r="H46" s="70" t="s">
        <v>2</v>
      </c>
      <c r="I46" s="7"/>
      <c r="J46" s="7"/>
      <c r="K46" s="7"/>
      <c r="L46" s="17"/>
      <c r="M46" s="17"/>
      <c r="N46" s="17"/>
      <c r="O46" s="17"/>
      <c r="P46" s="17"/>
      <c r="Q46" s="17"/>
      <c r="R46" s="7"/>
      <c r="S46" s="7"/>
      <c r="W46" s="22" t="str">
        <f>IF(H29&lt;0,"orta bölge boyu kalmadığından tüm kolon boyunca etriye aralığı ","")</f>
        <v/>
      </c>
      <c r="X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7" t="str">
        <f>IF(H29&lt;0,MIN(I36,U23),"")</f>
        <v/>
      </c>
      <c r="AS46" s="77"/>
      <c r="AT46" s="22" t="str">
        <f>IF(H29&lt;0,"mm","")</f>
        <v/>
      </c>
      <c r="AU46" s="7"/>
      <c r="AV46" s="22" t="str">
        <f>IF(H29&lt;0,"alınacaktır.","")</f>
        <v/>
      </c>
      <c r="BA46" s="7"/>
      <c r="BB46" s="16"/>
    </row>
    <row r="47" spans="2:54">
      <c r="B47" s="15"/>
      <c r="C47" s="7"/>
      <c r="D47" s="7"/>
      <c r="E47" s="21"/>
      <c r="F47" s="7"/>
      <c r="G47" s="70" t="s">
        <v>0</v>
      </c>
      <c r="H47" s="70"/>
      <c r="I47" s="76" t="s">
        <v>15</v>
      </c>
      <c r="J47" s="7"/>
      <c r="K47" s="7"/>
      <c r="L47" s="17"/>
      <c r="M47" s="17"/>
      <c r="N47" s="17"/>
      <c r="O47" s="17"/>
      <c r="P47" s="17"/>
      <c r="Q47" s="17"/>
      <c r="R47" s="7"/>
      <c r="S47" s="7"/>
      <c r="W47" s="23" t="str">
        <f>IF(H29&lt;0,"temiz kat boyunca toplam etriye","")</f>
        <v/>
      </c>
      <c r="X47" s="7"/>
      <c r="Z47" s="7"/>
      <c r="AA47" s="7"/>
      <c r="AH47" s="78" t="str">
        <f>IF(H29&lt;0,ROUND(C33/MIN(I36,U23),0)+1,"")</f>
        <v/>
      </c>
      <c r="AI47" s="78"/>
      <c r="AJ47" s="23" t="str">
        <f>IF(H29&lt;0,"adet kullanılacaktır.","")</f>
        <v/>
      </c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16"/>
    </row>
    <row r="48" spans="2:54">
      <c r="B48" s="15"/>
      <c r="C48" s="7"/>
      <c r="D48" s="7"/>
      <c r="E48" s="7"/>
      <c r="F48" s="7"/>
      <c r="G48" s="70"/>
      <c r="H48" s="70">
        <f>+H20</f>
        <v>1200</v>
      </c>
      <c r="I48" s="76"/>
      <c r="J48" s="7"/>
      <c r="K48" s="7"/>
      <c r="L48" s="17"/>
      <c r="M48" s="17"/>
      <c r="N48" s="17"/>
      <c r="O48" s="17"/>
      <c r="P48" s="17"/>
      <c r="Q48" s="1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16"/>
    </row>
    <row r="49" spans="2:54">
      <c r="B49" s="15"/>
      <c r="C49" s="7"/>
      <c r="D49" s="7"/>
      <c r="E49" s="7"/>
      <c r="F49" s="7"/>
      <c r="G49" s="70"/>
      <c r="H49" s="70"/>
      <c r="I49" s="76"/>
      <c r="J49" s="7"/>
      <c r="K49" s="7"/>
      <c r="L49" s="17"/>
      <c r="M49" s="17"/>
      <c r="N49" s="17"/>
      <c r="O49" s="17"/>
      <c r="P49" s="17"/>
      <c r="Q49" s="17"/>
      <c r="R49" s="7"/>
      <c r="S49" s="7" t="s">
        <v>10</v>
      </c>
      <c r="T49" s="7"/>
      <c r="U49" s="62">
        <f>+U23</f>
        <v>96</v>
      </c>
      <c r="V49" s="62"/>
      <c r="W49" s="7" t="s">
        <v>11</v>
      </c>
      <c r="X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16"/>
    </row>
    <row r="50" spans="2:54">
      <c r="B50" s="15"/>
      <c r="C50" s="7"/>
      <c r="D50" s="7"/>
      <c r="E50" s="7"/>
      <c r="F50" s="7"/>
      <c r="G50" s="70"/>
      <c r="H50" s="70"/>
      <c r="I50" s="76"/>
      <c r="J50" s="7"/>
      <c r="K50" s="7"/>
      <c r="L50" s="17"/>
      <c r="M50" s="17"/>
      <c r="N50" s="17"/>
      <c r="O50" s="17"/>
      <c r="P50" s="17"/>
      <c r="Q50" s="17"/>
      <c r="R50" s="7"/>
      <c r="S50" s="7"/>
      <c r="T50" s="7"/>
      <c r="U50" s="7"/>
      <c r="V50" s="7"/>
      <c r="W50" s="7"/>
      <c r="X50" s="7"/>
      <c r="BA50" s="7"/>
      <c r="BB50" s="16"/>
    </row>
    <row r="51" spans="2:54">
      <c r="B51" s="15"/>
      <c r="C51" s="7"/>
      <c r="D51" s="7"/>
      <c r="E51" s="7"/>
      <c r="F51" s="7"/>
      <c r="G51" s="70"/>
      <c r="H51" s="70" t="s">
        <v>1</v>
      </c>
      <c r="I51" s="76"/>
      <c r="J51" s="7"/>
      <c r="K51" s="7"/>
      <c r="L51" s="17"/>
      <c r="M51" s="17"/>
      <c r="N51" s="17"/>
      <c r="O51" s="17"/>
      <c r="P51" s="17"/>
      <c r="Q51" s="17"/>
      <c r="R51" s="7"/>
      <c r="S51" s="7"/>
      <c r="T51" s="7"/>
      <c r="U51" s="7"/>
      <c r="V51" s="7"/>
      <c r="W51" s="7"/>
      <c r="X51" s="7"/>
      <c r="BA51" s="7"/>
      <c r="BB51" s="16"/>
    </row>
    <row r="52" spans="2:54">
      <c r="B52" s="15"/>
      <c r="C52" s="7"/>
      <c r="D52" s="7"/>
      <c r="E52" s="7"/>
      <c r="F52" s="7"/>
      <c r="G52" s="70"/>
      <c r="H52" s="70"/>
      <c r="I52" s="74">
        <f>+I23</f>
        <v>14</v>
      </c>
      <c r="J52" s="7"/>
      <c r="K52" s="7"/>
      <c r="L52" s="17"/>
      <c r="M52" s="17"/>
      <c r="N52" s="17"/>
      <c r="O52" s="17"/>
      <c r="P52" s="17"/>
      <c r="Q52" s="1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16"/>
    </row>
    <row r="53" spans="2:54">
      <c r="B53" s="15"/>
      <c r="C53" s="7"/>
      <c r="D53" s="7"/>
      <c r="E53" s="7"/>
      <c r="F53" s="7"/>
      <c r="G53" s="70"/>
      <c r="H53" s="7"/>
      <c r="I53" s="74"/>
      <c r="J53" s="7"/>
      <c r="K53" s="7"/>
      <c r="L53" s="17"/>
      <c r="M53" s="17"/>
      <c r="N53" s="17"/>
      <c r="O53" s="17"/>
      <c r="P53" s="17"/>
      <c r="Q53" s="1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16"/>
    </row>
    <row r="54" spans="2:54">
      <c r="B54" s="15"/>
      <c r="C54" s="7"/>
      <c r="D54" s="7"/>
      <c r="E54" s="7"/>
      <c r="F54" s="7"/>
      <c r="G54" s="7"/>
      <c r="H54" s="7"/>
      <c r="I54" s="7"/>
      <c r="J54" s="7"/>
      <c r="K54" s="7"/>
      <c r="L54" s="17"/>
      <c r="M54" s="17"/>
      <c r="N54" s="17"/>
      <c r="O54" s="17"/>
      <c r="P54" s="17"/>
      <c r="Q54" s="1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16"/>
    </row>
    <row r="55" spans="2:54">
      <c r="B55" s="15"/>
      <c r="C55" s="7"/>
      <c r="D55" s="7"/>
      <c r="E55" s="7"/>
      <c r="F55" s="17"/>
      <c r="G55" s="17"/>
      <c r="H55" s="73" t="s">
        <v>11</v>
      </c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16"/>
    </row>
    <row r="56" spans="2:54">
      <c r="B56" s="15"/>
      <c r="C56" s="7"/>
      <c r="D56" s="7"/>
      <c r="E56" s="7"/>
      <c r="F56" s="17"/>
      <c r="G56" s="17"/>
      <c r="H56" s="73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16"/>
    </row>
    <row r="57" spans="2:54">
      <c r="B57" s="15"/>
      <c r="C57" s="7"/>
      <c r="D57" s="7"/>
      <c r="E57" s="7"/>
      <c r="F57" s="17"/>
      <c r="G57" s="17"/>
      <c r="H57" s="69">
        <v>600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72">
        <v>150</v>
      </c>
      <c r="T57" s="72"/>
      <c r="U57" s="17" t="s">
        <v>11</v>
      </c>
      <c r="V57" s="17"/>
      <c r="W57" s="1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16"/>
    </row>
    <row r="58" spans="2:54">
      <c r="B58" s="15"/>
      <c r="C58" s="7"/>
      <c r="D58" s="7"/>
      <c r="E58" s="7"/>
      <c r="F58" s="17"/>
      <c r="G58" s="17"/>
      <c r="H58" s="69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16"/>
    </row>
    <row r="59" spans="2:54">
      <c r="B59" s="15"/>
      <c r="C59" s="7"/>
      <c r="D59" s="7"/>
      <c r="E59" s="7"/>
      <c r="F59" s="17"/>
      <c r="G59" s="17"/>
      <c r="H59" s="69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16"/>
    </row>
    <row r="60" spans="2:54">
      <c r="B60" s="15"/>
      <c r="C60" s="7"/>
      <c r="D60" s="7"/>
      <c r="E60" s="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16"/>
    </row>
    <row r="61" spans="2:54">
      <c r="B61" s="15"/>
      <c r="C61" s="7"/>
      <c r="D61" s="7"/>
      <c r="E61" s="7"/>
      <c r="F61" s="7"/>
      <c r="G61" s="7"/>
      <c r="H61" s="7"/>
      <c r="I61" s="7"/>
      <c r="J61" s="7"/>
      <c r="K61" s="7"/>
      <c r="L61" s="17"/>
      <c r="M61" s="17"/>
      <c r="N61" s="17"/>
      <c r="O61" s="17"/>
      <c r="P61" s="17"/>
      <c r="Q61" s="17"/>
      <c r="R61" s="7"/>
      <c r="S61" s="7" t="s">
        <v>54</v>
      </c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16"/>
    </row>
    <row r="62" spans="2:54">
      <c r="B62" s="15"/>
      <c r="C62" s="7"/>
      <c r="D62" s="7"/>
      <c r="E62" s="7"/>
      <c r="F62" s="7"/>
      <c r="G62" s="7"/>
      <c r="H62" s="7"/>
      <c r="I62" s="7"/>
      <c r="J62" s="7"/>
      <c r="K62" s="7"/>
      <c r="L62" s="17"/>
      <c r="M62" s="17"/>
      <c r="N62" s="17"/>
      <c r="O62" s="17"/>
      <c r="P62" s="17"/>
      <c r="Q62" s="17"/>
      <c r="R62" s="7"/>
      <c r="S62" s="7">
        <f>ROUNDUP(H57/S57,0)-1</f>
        <v>3</v>
      </c>
      <c r="T62" s="7" t="s">
        <v>15</v>
      </c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16"/>
    </row>
    <row r="63" spans="2:54">
      <c r="B63" s="15"/>
      <c r="C63" s="7"/>
      <c r="D63" s="7"/>
      <c r="E63" s="7"/>
      <c r="F63" s="7"/>
      <c r="G63" s="7"/>
      <c r="H63" s="7"/>
      <c r="I63" s="7"/>
      <c r="J63" s="7"/>
      <c r="K63" s="7"/>
      <c r="L63" s="17"/>
      <c r="M63" s="17"/>
      <c r="N63" s="17"/>
      <c r="O63" s="17"/>
      <c r="P63" s="17"/>
      <c r="Q63" s="1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16"/>
    </row>
    <row r="64" spans="2:54">
      <c r="B64" s="15"/>
      <c r="C64" s="7"/>
      <c r="D64" s="7"/>
      <c r="E64" s="7"/>
      <c r="F64" s="7"/>
      <c r="G64" s="7"/>
      <c r="H64" s="7"/>
      <c r="I64" s="7"/>
      <c r="J64" s="7"/>
      <c r="K64" s="7"/>
      <c r="L64" s="17"/>
      <c r="M64" s="17"/>
      <c r="N64" s="17"/>
      <c r="O64" s="17"/>
      <c r="P64" s="17"/>
      <c r="Q64" s="1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16"/>
    </row>
    <row r="65" spans="2:72">
      <c r="B65" s="15"/>
      <c r="C65" s="7"/>
      <c r="D65" s="7"/>
      <c r="E65" s="7"/>
      <c r="F65" s="7"/>
      <c r="G65" s="7"/>
      <c r="H65" s="7"/>
      <c r="I65" s="7"/>
      <c r="J65" s="7"/>
      <c r="K65" s="7"/>
      <c r="L65" s="17"/>
      <c r="M65" s="17"/>
      <c r="N65" s="17"/>
      <c r="O65" s="17"/>
      <c r="P65" s="17"/>
      <c r="Q65" s="1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16"/>
    </row>
    <row r="66" spans="2:72">
      <c r="B66" s="15"/>
      <c r="C66" s="7"/>
      <c r="D66" s="7"/>
      <c r="E66" s="7"/>
      <c r="F66" s="7"/>
      <c r="G66" s="7"/>
      <c r="H66" s="7"/>
      <c r="I66" s="7"/>
      <c r="J66" s="7"/>
      <c r="K66" s="7"/>
      <c r="L66" s="17"/>
      <c r="M66" s="17"/>
      <c r="N66" s="17"/>
      <c r="O66" s="17"/>
      <c r="P66" s="17"/>
      <c r="Q66" s="1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16"/>
    </row>
    <row r="67" spans="2:72">
      <c r="B67" s="15"/>
      <c r="C67" s="7"/>
      <c r="D67" s="7"/>
      <c r="E67" s="7"/>
      <c r="F67" s="7"/>
      <c r="G67" s="7"/>
      <c r="H67" s="7"/>
      <c r="I67" s="7"/>
      <c r="J67" s="7"/>
      <c r="K67" s="7"/>
      <c r="L67" s="17"/>
      <c r="M67" s="17"/>
      <c r="N67" s="17"/>
      <c r="O67" s="17"/>
      <c r="P67" s="17"/>
      <c r="Q67" s="1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16"/>
    </row>
    <row r="68" spans="2:72">
      <c r="B68" s="15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16"/>
    </row>
    <row r="69" spans="2:72" ht="12" thickBot="1">
      <c r="B69" s="24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6"/>
    </row>
    <row r="70" spans="2:72" ht="12" thickBot="1"/>
    <row r="71" spans="2:72" ht="39" customHeight="1">
      <c r="B71" s="64" t="s">
        <v>93</v>
      </c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6"/>
    </row>
    <row r="72" spans="2:72">
      <c r="B72" s="11"/>
      <c r="C72" s="4"/>
      <c r="D72" s="4"/>
      <c r="E72" s="4"/>
      <c r="F72" s="4"/>
      <c r="G72" s="4"/>
      <c r="H72" s="4"/>
      <c r="I72" s="3" t="s">
        <v>56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7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12"/>
    </row>
    <row r="73" spans="2:72">
      <c r="B73" s="15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16"/>
    </row>
    <row r="74" spans="2:72">
      <c r="B74" s="15"/>
      <c r="C74" s="7"/>
      <c r="D74" s="7"/>
      <c r="E74" s="7"/>
      <c r="F74" s="7"/>
      <c r="G74" s="30" t="s">
        <v>87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16"/>
    </row>
    <row r="75" spans="2:72">
      <c r="B75" s="15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16"/>
    </row>
    <row r="76" spans="2:72">
      <c r="B76" s="15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16"/>
      <c r="BM76" s="2"/>
      <c r="BN76" s="2"/>
      <c r="BO76" s="2"/>
      <c r="BP76" s="2"/>
      <c r="BQ76" s="2"/>
      <c r="BR76" s="2"/>
      <c r="BS76" s="4"/>
      <c r="BT76" s="4"/>
    </row>
    <row r="77" spans="2:72">
      <c r="B77" s="15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16"/>
      <c r="BM77" s="5"/>
      <c r="BN77" s="5"/>
      <c r="BO77" s="5"/>
      <c r="BP77" s="5"/>
      <c r="BQ77" s="5"/>
      <c r="BR77" s="2"/>
      <c r="BS77" s="2"/>
      <c r="BT77" s="7"/>
    </row>
    <row r="78" spans="2:72">
      <c r="B78" s="15"/>
      <c r="C78" s="71" t="str">
        <f>IF(D81&lt;300,"uygun değil.artır.","uygun.")</f>
        <v>uygun.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16"/>
      <c r="BM78" s="5"/>
      <c r="BN78" s="5"/>
      <c r="BO78" s="5"/>
      <c r="BP78" s="5"/>
      <c r="BQ78" s="5"/>
      <c r="BR78" s="2"/>
      <c r="BS78" s="2"/>
      <c r="BT78" s="7"/>
    </row>
    <row r="79" spans="2:72">
      <c r="B79" s="15"/>
      <c r="C79" s="71"/>
      <c r="D79" s="70" t="s">
        <v>11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16"/>
      <c r="BM79" s="5"/>
      <c r="BN79" s="5"/>
      <c r="BO79" s="5"/>
      <c r="BP79" s="5"/>
      <c r="BQ79" s="5"/>
      <c r="BR79" s="2"/>
      <c r="BS79" s="2"/>
      <c r="BT79" s="7"/>
    </row>
    <row r="80" spans="2:72">
      <c r="B80" s="15"/>
      <c r="C80" s="71"/>
      <c r="D80" s="70"/>
      <c r="E80" s="7"/>
      <c r="F80" s="7"/>
      <c r="G80" s="7"/>
      <c r="H80" s="7"/>
      <c r="I80" s="7"/>
      <c r="J80" s="7"/>
      <c r="K80" s="7"/>
      <c r="L80" s="7"/>
      <c r="M80" s="7"/>
      <c r="N80" s="7"/>
      <c r="O80" s="7" t="s">
        <v>62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16"/>
      <c r="BM80" s="5"/>
      <c r="BN80" s="5"/>
      <c r="BO80" s="5"/>
      <c r="BP80" s="5"/>
      <c r="BQ80" s="5"/>
      <c r="BR80" s="2"/>
      <c r="BS80" s="2"/>
      <c r="BT80" s="7"/>
    </row>
    <row r="81" spans="2:72">
      <c r="B81" s="15"/>
      <c r="C81" s="71"/>
      <c r="D81" s="69">
        <v>500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16"/>
      <c r="BM81" s="5"/>
      <c r="BN81" s="5"/>
      <c r="BO81" s="5"/>
      <c r="BP81" s="5"/>
      <c r="BQ81" s="5"/>
      <c r="BR81" s="2"/>
      <c r="BS81" s="2"/>
      <c r="BT81" s="7"/>
    </row>
    <row r="82" spans="2:72">
      <c r="B82" s="15"/>
      <c r="C82" s="71"/>
      <c r="D82" s="69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16"/>
      <c r="BM82" s="5"/>
      <c r="BN82" s="5"/>
      <c r="BO82" s="5"/>
      <c r="BP82" s="5"/>
      <c r="BQ82" s="5"/>
      <c r="BR82" s="2"/>
      <c r="BS82" s="2"/>
      <c r="BT82" s="7"/>
    </row>
    <row r="83" spans="2:72">
      <c r="B83" s="15"/>
      <c r="C83" s="71"/>
      <c r="D83" s="69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 t="s">
        <v>63</v>
      </c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16"/>
      <c r="BM83" s="5"/>
      <c r="BN83" s="5"/>
      <c r="BO83" s="5"/>
      <c r="BP83" s="5"/>
      <c r="BQ83" s="5"/>
      <c r="BR83" s="2"/>
      <c r="BS83" s="2"/>
      <c r="BT83" s="7"/>
    </row>
    <row r="84" spans="2:72">
      <c r="B84" s="15"/>
      <c r="C84" s="71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 t="s">
        <v>64</v>
      </c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16"/>
      <c r="BM84" s="5"/>
      <c r="BN84" s="5"/>
      <c r="BO84" s="5"/>
      <c r="BP84" s="5"/>
      <c r="BQ84" s="5"/>
      <c r="BR84" s="2"/>
      <c r="BS84" s="2"/>
      <c r="BT84" s="7"/>
    </row>
    <row r="85" spans="2:72">
      <c r="B85" s="15"/>
      <c r="C85" s="71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 t="s">
        <v>65</v>
      </c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16"/>
      <c r="BM85" s="5"/>
      <c r="BN85" s="5"/>
      <c r="BO85" s="5"/>
      <c r="BP85" s="5"/>
      <c r="BQ85" s="5"/>
      <c r="BR85" s="2"/>
      <c r="BS85" s="2"/>
      <c r="BT85" s="7"/>
    </row>
    <row r="86" spans="2:72">
      <c r="B86" s="15"/>
      <c r="C86" s="71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16"/>
    </row>
    <row r="87" spans="2:72">
      <c r="B87" s="15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" t="s">
        <v>19</v>
      </c>
      <c r="Q87" s="2"/>
      <c r="R87" s="2"/>
      <c r="S87" s="2"/>
      <c r="T87" s="2"/>
      <c r="U87" s="2"/>
      <c r="V87" s="2"/>
      <c r="W87" s="2"/>
      <c r="X87" s="3" t="str">
        <f>IF(S88&lt;25,"C25 den az beton kullanılamaz.","")</f>
        <v/>
      </c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16"/>
    </row>
    <row r="88" spans="2:72">
      <c r="B88" s="15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5" t="s">
        <v>20</v>
      </c>
      <c r="Q88" s="5"/>
      <c r="R88" s="5"/>
      <c r="S88" s="6">
        <v>35</v>
      </c>
      <c r="T88" s="5" t="s">
        <v>21</v>
      </c>
      <c r="U88" s="5"/>
      <c r="V88" s="5"/>
      <c r="W88" s="5"/>
      <c r="X88" s="5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16"/>
    </row>
    <row r="89" spans="2:72">
      <c r="B89" s="15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16"/>
    </row>
    <row r="90" spans="2:72">
      <c r="B90" s="15"/>
      <c r="C90" s="7"/>
      <c r="D90" s="7"/>
      <c r="E90" s="7"/>
      <c r="F90" s="7"/>
      <c r="G90" s="7"/>
      <c r="H90" s="7"/>
      <c r="I90" s="67">
        <v>300</v>
      </c>
      <c r="J90" s="67"/>
      <c r="K90" s="7" t="s">
        <v>11</v>
      </c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16"/>
    </row>
    <row r="91" spans="2:72">
      <c r="B91" s="15"/>
      <c r="C91" s="7"/>
      <c r="D91" s="7"/>
      <c r="E91" s="7"/>
      <c r="F91" s="7"/>
      <c r="G91" s="7"/>
      <c r="H91" s="7"/>
      <c r="I91" s="3" t="str">
        <f>IF(I90&lt;300,"uygun değil.artır.","uygun")</f>
        <v>uygun</v>
      </c>
      <c r="J91" s="7"/>
      <c r="K91" s="7"/>
      <c r="L91" s="7"/>
      <c r="M91" s="7"/>
      <c r="N91" s="7"/>
      <c r="O91" s="7"/>
      <c r="P91" s="3" t="str">
        <f>IF((MAX(I90,D81)/MIN(I90,D81))&lt;6,"","büyük kenar küçük kenarın 6 katından büyük ise perde gibi dikkate alınmalı.bu donatı düzeni ve tahkiki kullanılamaz.")</f>
        <v/>
      </c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16"/>
    </row>
    <row r="92" spans="2:72">
      <c r="B92" s="15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16"/>
    </row>
    <row r="93" spans="2:72">
      <c r="B93" s="15"/>
      <c r="C93" s="7"/>
      <c r="D93" s="20" t="s">
        <v>69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16"/>
    </row>
    <row r="94" spans="2:72">
      <c r="B94" s="15"/>
      <c r="C94" s="7"/>
      <c r="D94" s="7" t="s">
        <v>91</v>
      </c>
      <c r="E94" s="7"/>
      <c r="F94" s="7"/>
      <c r="G94" s="7"/>
      <c r="H94" s="7"/>
      <c r="I94" s="7"/>
      <c r="J94" s="7"/>
      <c r="L94" s="62">
        <v>0.4</v>
      </c>
      <c r="M94" s="62"/>
      <c r="N94" s="28" t="s">
        <v>18</v>
      </c>
      <c r="O94" s="7">
        <f>+S88</f>
        <v>35</v>
      </c>
      <c r="P94" s="28" t="s">
        <v>18</v>
      </c>
      <c r="Q94" s="62">
        <f>+I90</f>
        <v>300</v>
      </c>
      <c r="R94" s="62"/>
      <c r="S94" s="28" t="s">
        <v>18</v>
      </c>
      <c r="T94" s="62">
        <f>+D81</f>
        <v>500</v>
      </c>
      <c r="U94" s="62"/>
      <c r="V94" s="28" t="s">
        <v>34</v>
      </c>
      <c r="W94" s="62">
        <v>1000</v>
      </c>
      <c r="X94" s="62"/>
      <c r="Y94" s="28" t="s">
        <v>27</v>
      </c>
      <c r="Z94" s="62">
        <f>+L94*O94*Q94*T94/W94</f>
        <v>2100</v>
      </c>
      <c r="AA94" s="62"/>
      <c r="AB94" s="62"/>
      <c r="AC94" s="7" t="s">
        <v>66</v>
      </c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16"/>
    </row>
    <row r="95" spans="2:72">
      <c r="B95" s="15"/>
      <c r="C95" s="7"/>
      <c r="D95" s="7"/>
      <c r="E95" s="7"/>
      <c r="F95" s="7"/>
      <c r="G95" s="7"/>
      <c r="H95" s="7"/>
      <c r="I95" s="7"/>
      <c r="J95" s="7"/>
      <c r="K95" s="28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16"/>
    </row>
    <row r="96" spans="2:72">
      <c r="B96" s="15"/>
      <c r="C96" s="7"/>
      <c r="D96" s="20" t="s">
        <v>70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16"/>
    </row>
    <row r="97" spans="2:54">
      <c r="B97" s="15"/>
      <c r="C97" s="7"/>
      <c r="D97" s="7" t="s">
        <v>67</v>
      </c>
      <c r="E97" s="7"/>
      <c r="F97" s="7"/>
      <c r="G97" s="7"/>
      <c r="H97" s="7"/>
      <c r="I97" s="7"/>
      <c r="J97" s="7"/>
      <c r="K97" s="62">
        <v>0.01</v>
      </c>
      <c r="L97" s="62"/>
      <c r="M97" s="28" t="s">
        <v>18</v>
      </c>
      <c r="N97" s="62">
        <f>+I90</f>
        <v>300</v>
      </c>
      <c r="O97" s="62"/>
      <c r="P97" s="28" t="s">
        <v>18</v>
      </c>
      <c r="Q97" s="62">
        <f>+D81</f>
        <v>500</v>
      </c>
      <c r="R97" s="62"/>
      <c r="S97" s="28" t="s">
        <v>27</v>
      </c>
      <c r="T97" s="62">
        <f>K97*N97*Q97</f>
        <v>1500</v>
      </c>
      <c r="U97" s="62"/>
      <c r="V97" s="62"/>
      <c r="W97" s="7" t="s">
        <v>68</v>
      </c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16"/>
    </row>
    <row r="98" spans="2:54">
      <c r="B98" s="15"/>
      <c r="C98" s="7"/>
      <c r="D98" s="7"/>
      <c r="E98" s="7"/>
      <c r="F98" s="7"/>
      <c r="G98" s="7"/>
      <c r="H98" s="7"/>
      <c r="I98" s="7"/>
      <c r="J98" s="7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16"/>
    </row>
    <row r="99" spans="2:54">
      <c r="B99" s="15"/>
      <c r="C99" s="7"/>
      <c r="D99" s="20" t="s">
        <v>71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16"/>
    </row>
    <row r="100" spans="2:54">
      <c r="B100" s="15"/>
      <c r="C100" s="7"/>
      <c r="D100" s="7" t="s">
        <v>84</v>
      </c>
      <c r="E100" s="7"/>
      <c r="F100" s="7"/>
      <c r="G100" s="7"/>
      <c r="H100" s="7"/>
      <c r="I100" s="7"/>
      <c r="J100" s="7"/>
      <c r="K100" s="62">
        <v>0.04</v>
      </c>
      <c r="L100" s="62"/>
      <c r="M100" s="28" t="s">
        <v>18</v>
      </c>
      <c r="N100" s="62">
        <f>+N97</f>
        <v>300</v>
      </c>
      <c r="O100" s="62"/>
      <c r="P100" s="28" t="s">
        <v>18</v>
      </c>
      <c r="Q100" s="62">
        <f>+Q97</f>
        <v>500</v>
      </c>
      <c r="R100" s="62"/>
      <c r="S100" s="28" t="s">
        <v>27</v>
      </c>
      <c r="T100" s="62">
        <f>K100*N100*Q100</f>
        <v>6000</v>
      </c>
      <c r="U100" s="62"/>
      <c r="V100" s="62"/>
      <c r="W100" s="7" t="s">
        <v>68</v>
      </c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16"/>
    </row>
    <row r="101" spans="2:54">
      <c r="B101" s="15"/>
      <c r="C101" s="7"/>
      <c r="D101" s="7"/>
      <c r="E101" s="7"/>
      <c r="F101" s="7"/>
      <c r="G101" s="7"/>
      <c r="H101" s="7"/>
      <c r="I101" s="7"/>
      <c r="J101" s="7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16"/>
    </row>
    <row r="102" spans="2:54">
      <c r="B102" s="15"/>
      <c r="C102" s="7"/>
      <c r="D102" s="20" t="s">
        <v>77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16"/>
    </row>
    <row r="103" spans="2:54">
      <c r="B103" s="15"/>
      <c r="C103" s="7"/>
      <c r="D103" s="7" t="s">
        <v>73</v>
      </c>
      <c r="E103" s="7"/>
      <c r="F103" s="7"/>
      <c r="G103" s="7"/>
      <c r="H103" s="7"/>
      <c r="I103" s="7"/>
      <c r="J103" s="7"/>
      <c r="K103" s="63">
        <f>ROUNDUP(T97/(PI()*M103^2/4),0)</f>
        <v>3</v>
      </c>
      <c r="L103" s="63"/>
      <c r="M103" s="61">
        <v>26</v>
      </c>
      <c r="N103" s="61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16"/>
    </row>
    <row r="104" spans="2:54">
      <c r="B104" s="15"/>
      <c r="C104" s="7"/>
      <c r="D104" s="7" t="s">
        <v>74</v>
      </c>
      <c r="E104" s="7"/>
      <c r="F104" s="7"/>
      <c r="G104" s="7"/>
      <c r="H104" s="7"/>
      <c r="I104" s="7"/>
      <c r="J104" s="7"/>
      <c r="K104" s="63">
        <f>ROUNDUP((T97-(P104*PI()*R104^2/4))/(PI()*M104^2/4),0)</f>
        <v>2</v>
      </c>
      <c r="L104" s="63"/>
      <c r="M104" s="61">
        <v>18</v>
      </c>
      <c r="N104" s="61"/>
      <c r="O104" s="28" t="s">
        <v>72</v>
      </c>
      <c r="P104" s="60">
        <v>2</v>
      </c>
      <c r="Q104" s="60"/>
      <c r="R104" s="61">
        <v>26</v>
      </c>
      <c r="S104" s="61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16"/>
    </row>
    <row r="105" spans="2:54">
      <c r="B105" s="15"/>
      <c r="C105" s="7"/>
      <c r="D105" s="7" t="s">
        <v>75</v>
      </c>
      <c r="E105" s="7"/>
      <c r="F105" s="7"/>
      <c r="G105" s="7"/>
      <c r="H105" s="7"/>
      <c r="I105" s="7"/>
      <c r="J105" s="7"/>
      <c r="K105" s="63">
        <f>ROUNDUP((T97-P105*PI()*R105^2/4-U105*PI()*W105^2/4)/(PI()*M105^2/4),0)</f>
        <v>-4</v>
      </c>
      <c r="L105" s="63"/>
      <c r="M105" s="61">
        <v>16</v>
      </c>
      <c r="N105" s="61"/>
      <c r="O105" s="28" t="s">
        <v>72</v>
      </c>
      <c r="P105" s="60">
        <v>6</v>
      </c>
      <c r="Q105" s="60"/>
      <c r="R105" s="61">
        <v>18</v>
      </c>
      <c r="S105" s="61"/>
      <c r="T105" s="28" t="s">
        <v>72</v>
      </c>
      <c r="U105" s="60">
        <v>2</v>
      </c>
      <c r="V105" s="60"/>
      <c r="W105" s="61">
        <v>22</v>
      </c>
      <c r="X105" s="61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16"/>
    </row>
    <row r="106" spans="2:54">
      <c r="B106" s="15"/>
      <c r="C106" s="7"/>
      <c r="D106" s="7" t="s">
        <v>76</v>
      </c>
      <c r="E106" s="7"/>
      <c r="F106" s="7"/>
      <c r="G106" s="7"/>
      <c r="H106" s="7"/>
      <c r="I106" s="7"/>
      <c r="J106" s="7"/>
      <c r="K106" s="63">
        <f>ROUNDUP((T97-P106*PI()*R106^2/4-U106*PI()*W106^2/4-Z106*PI()*AB106^2/4)/(PI()*M106^2/4),0)</f>
        <v>-3</v>
      </c>
      <c r="L106" s="63"/>
      <c r="M106" s="61">
        <v>14</v>
      </c>
      <c r="N106" s="61"/>
      <c r="O106" s="28" t="s">
        <v>72</v>
      </c>
      <c r="P106" s="60">
        <v>4</v>
      </c>
      <c r="Q106" s="60"/>
      <c r="R106" s="61">
        <v>16</v>
      </c>
      <c r="S106" s="61"/>
      <c r="T106" s="28" t="s">
        <v>72</v>
      </c>
      <c r="U106" s="60">
        <v>2</v>
      </c>
      <c r="V106" s="60"/>
      <c r="W106" s="61">
        <v>18</v>
      </c>
      <c r="X106" s="61"/>
      <c r="Y106" s="28" t="s">
        <v>72</v>
      </c>
      <c r="Z106" s="60">
        <v>2</v>
      </c>
      <c r="AA106" s="60"/>
      <c r="AB106" s="61">
        <v>20</v>
      </c>
      <c r="AC106" s="61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16"/>
    </row>
    <row r="107" spans="2:54">
      <c r="B107" s="15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16"/>
    </row>
    <row r="108" spans="2:54">
      <c r="B108" s="15"/>
      <c r="C108" s="7"/>
      <c r="D108" s="7"/>
      <c r="E108" s="7"/>
      <c r="F108" s="7"/>
      <c r="G108" s="30" t="s">
        <v>86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16"/>
    </row>
    <row r="109" spans="2:54">
      <c r="B109" s="15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 t="s">
        <v>62</v>
      </c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16"/>
    </row>
    <row r="110" spans="2:54">
      <c r="B110" s="15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16"/>
    </row>
    <row r="111" spans="2:54">
      <c r="B111" s="15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 t="s">
        <v>78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16"/>
    </row>
    <row r="112" spans="2:54">
      <c r="B112" s="15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 t="s">
        <v>64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16"/>
    </row>
    <row r="113" spans="2:54">
      <c r="B113" s="15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 t="s">
        <v>65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16"/>
    </row>
    <row r="114" spans="2:54">
      <c r="B114" s="15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 t="s">
        <v>79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16"/>
    </row>
    <row r="115" spans="2:54">
      <c r="B115" s="15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16"/>
    </row>
    <row r="116" spans="2:54">
      <c r="B116" s="15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16"/>
    </row>
    <row r="117" spans="2:54">
      <c r="B117" s="15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1" t="s">
        <v>19</v>
      </c>
      <c r="R117" s="2"/>
      <c r="S117" s="2"/>
      <c r="T117" s="2"/>
      <c r="U117" s="2"/>
      <c r="V117" s="2"/>
      <c r="W117" s="2"/>
      <c r="X117" s="2"/>
      <c r="Y117" s="3" t="str">
        <f>IF(T118&lt;25,"C25 den az beton kullanılamaz.","")</f>
        <v/>
      </c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16"/>
    </row>
    <row r="118" spans="2:54">
      <c r="B118" s="15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5" t="s">
        <v>20</v>
      </c>
      <c r="R118" s="5"/>
      <c r="S118" s="5"/>
      <c r="T118" s="6">
        <v>35</v>
      </c>
      <c r="U118" s="5" t="s">
        <v>21</v>
      </c>
      <c r="V118" s="5"/>
      <c r="W118" s="5"/>
      <c r="X118" s="5"/>
      <c r="Y118" s="5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16"/>
    </row>
    <row r="119" spans="2:54">
      <c r="B119" s="15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16"/>
    </row>
    <row r="120" spans="2:54">
      <c r="B120" s="15"/>
      <c r="C120" s="7"/>
      <c r="D120" s="7"/>
      <c r="E120" s="7"/>
      <c r="F120" s="7"/>
      <c r="M120" s="7"/>
      <c r="N120" s="7"/>
      <c r="O120" s="7"/>
      <c r="P120" s="7"/>
      <c r="Q120" s="7"/>
      <c r="R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16"/>
    </row>
    <row r="121" spans="2:54">
      <c r="B121" s="15"/>
      <c r="C121" s="7"/>
      <c r="D121" s="7"/>
      <c r="E121" s="7"/>
      <c r="F121" s="7"/>
      <c r="G121" s="7" t="s">
        <v>85</v>
      </c>
      <c r="H121" s="7"/>
      <c r="I121" s="67">
        <v>650</v>
      </c>
      <c r="J121" s="67"/>
      <c r="K121" s="7" t="s">
        <v>11</v>
      </c>
      <c r="L121" s="7"/>
      <c r="M121" s="7"/>
      <c r="N121" s="7"/>
      <c r="O121" s="7"/>
      <c r="P121" s="7"/>
      <c r="Q121" s="7"/>
      <c r="R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16"/>
    </row>
    <row r="122" spans="2:54">
      <c r="B122" s="15"/>
      <c r="C122" s="7"/>
      <c r="D122" s="7"/>
      <c r="E122" s="7"/>
      <c r="F122" s="7"/>
      <c r="G122" s="68" t="str">
        <f>IF(I121&lt;350,"uygun değil.artır.","uygun.")</f>
        <v>uygun.</v>
      </c>
      <c r="H122" s="68"/>
      <c r="I122" s="68"/>
      <c r="J122" s="68"/>
      <c r="K122" s="68"/>
      <c r="L122" s="68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16"/>
    </row>
    <row r="123" spans="2:54">
      <c r="B123" s="15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16"/>
    </row>
    <row r="124" spans="2:54">
      <c r="B124" s="15"/>
      <c r="C124" s="7"/>
      <c r="D124" s="20" t="s">
        <v>69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16"/>
    </row>
    <row r="125" spans="2:54">
      <c r="B125" s="15"/>
      <c r="C125" s="7"/>
      <c r="D125" s="7" t="s">
        <v>90</v>
      </c>
      <c r="E125" s="7"/>
      <c r="F125" s="7"/>
      <c r="G125" s="7"/>
      <c r="H125" s="7"/>
      <c r="I125" s="7"/>
      <c r="J125" s="7"/>
      <c r="N125" s="62">
        <v>0.4</v>
      </c>
      <c r="O125" s="62"/>
      <c r="P125" s="28" t="s">
        <v>18</v>
      </c>
      <c r="Q125" s="7">
        <f>+T118</f>
        <v>35</v>
      </c>
      <c r="R125" s="27" t="s">
        <v>81</v>
      </c>
      <c r="T125" s="62">
        <f>+I121</f>
        <v>650</v>
      </c>
      <c r="U125" s="62"/>
      <c r="V125" s="28" t="s">
        <v>80</v>
      </c>
      <c r="W125" s="7">
        <v>4</v>
      </c>
      <c r="X125" s="28" t="s">
        <v>34</v>
      </c>
      <c r="Y125" s="62">
        <v>1000</v>
      </c>
      <c r="Z125" s="62"/>
      <c r="AA125" s="28" t="s">
        <v>27</v>
      </c>
      <c r="AB125" s="62">
        <f>+N125*Q125*PI()*T125^2/W125/Y125</f>
        <v>4645.6301364959072</v>
      </c>
      <c r="AC125" s="62"/>
      <c r="AD125" s="62"/>
      <c r="AE125" s="7" t="s">
        <v>66</v>
      </c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16"/>
    </row>
    <row r="126" spans="2:54">
      <c r="B126" s="15"/>
      <c r="C126" s="7"/>
      <c r="D126" s="7"/>
      <c r="E126" s="7"/>
      <c r="F126" s="7"/>
      <c r="G126" s="7"/>
      <c r="H126" s="7"/>
      <c r="I126" s="7"/>
      <c r="J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16"/>
    </row>
    <row r="127" spans="2:54">
      <c r="B127" s="15"/>
      <c r="C127" s="7"/>
      <c r="D127" s="20" t="s">
        <v>70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16"/>
    </row>
    <row r="128" spans="2:54">
      <c r="B128" s="15"/>
      <c r="C128" s="7"/>
      <c r="D128" s="7" t="s">
        <v>82</v>
      </c>
      <c r="E128" s="7"/>
      <c r="F128" s="7"/>
      <c r="G128" s="7"/>
      <c r="H128" s="7"/>
      <c r="I128" s="7"/>
      <c r="J128" s="7"/>
      <c r="M128" s="62">
        <v>0.01</v>
      </c>
      <c r="N128" s="62"/>
      <c r="O128" s="27" t="s">
        <v>81</v>
      </c>
      <c r="Q128" s="62">
        <f>+I121</f>
        <v>650</v>
      </c>
      <c r="R128" s="62"/>
      <c r="S128" s="28" t="s">
        <v>80</v>
      </c>
      <c r="T128" s="7">
        <v>4</v>
      </c>
      <c r="U128" s="28" t="s">
        <v>27</v>
      </c>
      <c r="V128" s="62">
        <f>M128*PI()*Q128^2/T128</f>
        <v>3318.3072403542192</v>
      </c>
      <c r="W128" s="62"/>
      <c r="X128" s="62"/>
      <c r="Y128" s="7" t="s">
        <v>68</v>
      </c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16"/>
    </row>
    <row r="129" spans="2:57">
      <c r="B129" s="15"/>
      <c r="C129" s="7"/>
      <c r="D129" s="7"/>
      <c r="E129" s="7"/>
      <c r="F129" s="7"/>
      <c r="G129" s="7"/>
      <c r="H129" s="7"/>
      <c r="I129" s="7"/>
      <c r="J129" s="7"/>
      <c r="K129" s="28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16"/>
    </row>
    <row r="130" spans="2:57">
      <c r="B130" s="15"/>
      <c r="C130" s="7"/>
      <c r="D130" s="20" t="s">
        <v>71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16"/>
    </row>
    <row r="131" spans="2:57">
      <c r="B131" s="15"/>
      <c r="C131" s="7"/>
      <c r="D131" s="7" t="s">
        <v>83</v>
      </c>
      <c r="E131" s="7"/>
      <c r="F131" s="7"/>
      <c r="G131" s="7"/>
      <c r="H131" s="7"/>
      <c r="I131" s="7"/>
      <c r="J131" s="7"/>
      <c r="K131" s="7"/>
      <c r="M131" s="62">
        <v>0.04</v>
      </c>
      <c r="N131" s="62"/>
      <c r="O131" s="27" t="s">
        <v>81</v>
      </c>
      <c r="Q131" s="62">
        <f>+I121</f>
        <v>650</v>
      </c>
      <c r="R131" s="62"/>
      <c r="S131" s="28" t="s">
        <v>80</v>
      </c>
      <c r="T131" s="7">
        <v>4</v>
      </c>
      <c r="U131" s="28" t="s">
        <v>27</v>
      </c>
      <c r="V131" s="62">
        <f>M131*PI()*Q131^2/T131</f>
        <v>13273.228961416877</v>
      </c>
      <c r="W131" s="62"/>
      <c r="X131" s="62"/>
      <c r="Y131" s="7" t="s">
        <v>68</v>
      </c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16"/>
    </row>
    <row r="132" spans="2:57">
      <c r="B132" s="15"/>
      <c r="C132" s="7"/>
      <c r="D132" s="7"/>
      <c r="E132" s="7"/>
      <c r="F132" s="7"/>
      <c r="G132" s="7"/>
      <c r="H132" s="7"/>
      <c r="I132" s="7"/>
      <c r="J132" s="7"/>
      <c r="K132" s="28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16"/>
    </row>
    <row r="133" spans="2:57">
      <c r="B133" s="15"/>
      <c r="C133" s="7"/>
      <c r="D133" s="20" t="s">
        <v>77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16"/>
    </row>
    <row r="134" spans="2:57">
      <c r="B134" s="15"/>
      <c r="C134" s="7"/>
      <c r="D134" s="7" t="s">
        <v>73</v>
      </c>
      <c r="E134" s="7"/>
      <c r="F134" s="7"/>
      <c r="G134" s="7"/>
      <c r="H134" s="7"/>
      <c r="I134" s="7"/>
      <c r="J134" s="7"/>
      <c r="K134" s="63">
        <f>MAX(ROUNDUP(V128/(PI()*M134^2/4),0),6)</f>
        <v>14</v>
      </c>
      <c r="L134" s="63"/>
      <c r="M134" s="61">
        <v>18</v>
      </c>
      <c r="N134" s="61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16"/>
    </row>
    <row r="135" spans="2:57">
      <c r="B135" s="15"/>
      <c r="C135" s="7"/>
      <c r="D135" s="7" t="s">
        <v>74</v>
      </c>
      <c r="E135" s="7"/>
      <c r="F135" s="7"/>
      <c r="G135" s="7"/>
      <c r="H135" s="7"/>
      <c r="I135" s="7"/>
      <c r="J135" s="7"/>
      <c r="K135" s="63">
        <f>ROUNDUP((V128-(P135*PI()*R135^2/4))/(PI()*M135^2/4),0)</f>
        <v>16</v>
      </c>
      <c r="L135" s="63"/>
      <c r="M135" s="61">
        <v>14</v>
      </c>
      <c r="N135" s="61"/>
      <c r="O135" s="28" t="s">
        <v>72</v>
      </c>
      <c r="P135" s="60">
        <v>5</v>
      </c>
      <c r="Q135" s="60"/>
      <c r="R135" s="61">
        <v>16</v>
      </c>
      <c r="S135" s="61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16"/>
    </row>
    <row r="136" spans="2:57">
      <c r="B136" s="15"/>
      <c r="C136" s="7"/>
      <c r="D136" s="7" t="s">
        <v>75</v>
      </c>
      <c r="E136" s="7"/>
      <c r="F136" s="7"/>
      <c r="G136" s="7"/>
      <c r="H136" s="7"/>
      <c r="I136" s="7"/>
      <c r="J136" s="7"/>
      <c r="K136" s="63">
        <f>ROUNDUP((V128-P136*PI()*R136^2/4-U136*PI()*W136^2/4)/(PI()*M136^2/4),0)</f>
        <v>6</v>
      </c>
      <c r="L136" s="63"/>
      <c r="M136" s="61">
        <v>16</v>
      </c>
      <c r="N136" s="61"/>
      <c r="O136" s="28" t="s">
        <v>72</v>
      </c>
      <c r="P136" s="60">
        <v>6</v>
      </c>
      <c r="Q136" s="60"/>
      <c r="R136" s="61">
        <v>18</v>
      </c>
      <c r="S136" s="61"/>
      <c r="T136" s="28" t="s">
        <v>72</v>
      </c>
      <c r="U136" s="60">
        <v>2</v>
      </c>
      <c r="V136" s="60"/>
      <c r="W136" s="61">
        <v>22</v>
      </c>
      <c r="X136" s="61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16"/>
    </row>
    <row r="137" spans="2:57">
      <c r="B137" s="15"/>
      <c r="C137" s="7"/>
      <c r="D137" s="7" t="s">
        <v>76</v>
      </c>
      <c r="E137" s="7"/>
      <c r="F137" s="7"/>
      <c r="G137" s="7"/>
      <c r="H137" s="7"/>
      <c r="I137" s="7"/>
      <c r="J137" s="7"/>
      <c r="K137" s="63">
        <f>ROUNDUP((V128-P137*PI()*R137^2/4-U137*PI()*W137^2/4-Z137*PI()*AB137^2/4)/(PI()*M137^2/4),0)</f>
        <v>12</v>
      </c>
      <c r="L137" s="63"/>
      <c r="M137" s="61">
        <v>14</v>
      </c>
      <c r="N137" s="61"/>
      <c r="O137" s="28" t="s">
        <v>72</v>
      </c>
      <c r="P137" s="60">
        <v>2</v>
      </c>
      <c r="Q137" s="60"/>
      <c r="R137" s="61">
        <v>16</v>
      </c>
      <c r="S137" s="61"/>
      <c r="T137" s="28" t="s">
        <v>72</v>
      </c>
      <c r="U137" s="60">
        <v>2</v>
      </c>
      <c r="V137" s="60"/>
      <c r="W137" s="61">
        <v>20</v>
      </c>
      <c r="X137" s="61"/>
      <c r="Y137" s="28" t="s">
        <v>72</v>
      </c>
      <c r="Z137" s="60">
        <v>2</v>
      </c>
      <c r="AA137" s="60"/>
      <c r="AB137" s="61">
        <v>18</v>
      </c>
      <c r="AC137" s="61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16"/>
    </row>
    <row r="138" spans="2:57" ht="12" thickBot="1">
      <c r="B138" s="24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6"/>
    </row>
    <row r="139" spans="2:57" ht="12" thickBot="1"/>
    <row r="140" spans="2:57" ht="33.75" customHeight="1">
      <c r="B140" s="64" t="s">
        <v>161</v>
      </c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  <c r="AQ140" s="106"/>
      <c r="AR140" s="106"/>
      <c r="AS140" s="106"/>
      <c r="AT140" s="106"/>
      <c r="AU140" s="106"/>
      <c r="AV140" s="106"/>
      <c r="AW140" s="106"/>
      <c r="AX140" s="106"/>
      <c r="AY140" s="106"/>
      <c r="AZ140" s="106"/>
      <c r="BA140" s="106"/>
      <c r="BB140" s="106"/>
      <c r="BC140" s="106"/>
      <c r="BD140" s="106"/>
      <c r="BE140" s="107"/>
    </row>
    <row r="141" spans="2:57">
      <c r="B141" s="11"/>
      <c r="C141" s="4"/>
      <c r="D141" s="4"/>
      <c r="E141" s="4"/>
      <c r="F141" s="4"/>
      <c r="G141" s="4"/>
      <c r="H141" s="4"/>
      <c r="I141" s="3" t="s">
        <v>56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7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39"/>
      <c r="BD141" s="39"/>
      <c r="BE141" s="38"/>
    </row>
    <row r="142" spans="2:57">
      <c r="B142" s="40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8"/>
    </row>
    <row r="143" spans="2:57" ht="12" thickBot="1">
      <c r="B143" s="40"/>
      <c r="C143" s="39"/>
      <c r="D143" s="39"/>
      <c r="E143" s="39"/>
      <c r="F143" s="58" t="s">
        <v>160</v>
      </c>
      <c r="G143" s="57"/>
      <c r="H143" s="57"/>
      <c r="I143" s="57"/>
      <c r="J143" s="57"/>
      <c r="K143" s="57"/>
      <c r="L143" s="57"/>
      <c r="M143" s="57"/>
      <c r="N143" s="57"/>
      <c r="O143" s="57"/>
      <c r="P143" s="56"/>
      <c r="Q143" s="58" t="s">
        <v>159</v>
      </c>
      <c r="R143" s="57"/>
      <c r="S143" s="57"/>
      <c r="T143" s="57"/>
      <c r="U143" s="57"/>
      <c r="V143" s="57"/>
      <c r="W143" s="57"/>
      <c r="X143" s="57"/>
      <c r="Y143" s="56"/>
      <c r="Z143" s="58" t="s">
        <v>158</v>
      </c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6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8"/>
    </row>
    <row r="144" spans="2:57" ht="12" thickTop="1">
      <c r="B144" s="40"/>
      <c r="C144" s="39"/>
      <c r="D144" s="39"/>
      <c r="E144" s="39"/>
      <c r="F144" s="52" t="s">
        <v>157</v>
      </c>
      <c r="G144" s="51"/>
      <c r="H144" s="51"/>
      <c r="I144" s="51"/>
      <c r="J144" s="51"/>
      <c r="K144" s="51"/>
      <c r="L144" s="51"/>
      <c r="M144" s="51"/>
      <c r="N144" s="51"/>
      <c r="O144" s="51"/>
      <c r="P144" s="50"/>
      <c r="Q144" s="52" t="s">
        <v>156</v>
      </c>
      <c r="R144" s="51"/>
      <c r="S144" s="51"/>
      <c r="T144" s="51"/>
      <c r="U144" s="51"/>
      <c r="V144" s="51"/>
      <c r="W144" s="51"/>
      <c r="X144" s="51"/>
      <c r="Y144" s="50"/>
      <c r="Z144" s="52" t="s">
        <v>155</v>
      </c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0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8"/>
    </row>
    <row r="145" spans="2:57">
      <c r="B145" s="40"/>
      <c r="C145" s="39"/>
      <c r="D145" s="39"/>
      <c r="E145" s="39"/>
      <c r="F145" s="48" t="s">
        <v>154</v>
      </c>
      <c r="G145" s="47"/>
      <c r="H145" s="47"/>
      <c r="I145" s="47"/>
      <c r="J145" s="47"/>
      <c r="K145" s="47"/>
      <c r="L145" s="47"/>
      <c r="M145" s="47"/>
      <c r="N145" s="47"/>
      <c r="O145" s="47"/>
      <c r="P145" s="46"/>
      <c r="Q145" s="48" t="s">
        <v>153</v>
      </c>
      <c r="R145" s="47"/>
      <c r="S145" s="47"/>
      <c r="T145" s="47"/>
      <c r="U145" s="47"/>
      <c r="V145" s="47"/>
      <c r="W145" s="47"/>
      <c r="X145" s="47"/>
      <c r="Y145" s="46"/>
      <c r="Z145" s="48" t="s">
        <v>153</v>
      </c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6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8"/>
    </row>
    <row r="146" spans="2:57">
      <c r="B146" s="40"/>
      <c r="C146" s="39"/>
      <c r="D146" s="39"/>
      <c r="E146" s="39"/>
      <c r="F146" s="48" t="s">
        <v>152</v>
      </c>
      <c r="G146" s="47"/>
      <c r="H146" s="47"/>
      <c r="I146" s="47"/>
      <c r="J146" s="47"/>
      <c r="K146" s="47"/>
      <c r="L146" s="47"/>
      <c r="M146" s="47"/>
      <c r="N146" s="47"/>
      <c r="O146" s="47"/>
      <c r="P146" s="46"/>
      <c r="Q146" s="48" t="s">
        <v>151</v>
      </c>
      <c r="R146" s="47"/>
      <c r="S146" s="47"/>
      <c r="T146" s="47"/>
      <c r="U146" s="47"/>
      <c r="V146" s="47"/>
      <c r="W146" s="47"/>
      <c r="X146" s="47"/>
      <c r="Y146" s="46"/>
      <c r="Z146" s="48" t="s">
        <v>151</v>
      </c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6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8"/>
    </row>
    <row r="147" spans="2:57">
      <c r="B147" s="40"/>
      <c r="C147" s="39"/>
      <c r="D147" s="39"/>
      <c r="E147" s="39"/>
      <c r="F147" s="91" t="s">
        <v>150</v>
      </c>
      <c r="G147" s="92"/>
      <c r="H147" s="92"/>
      <c r="I147" s="92"/>
      <c r="J147" s="92"/>
      <c r="K147" s="92"/>
      <c r="L147" s="92"/>
      <c r="M147" s="92"/>
      <c r="N147" s="92"/>
      <c r="O147" s="92"/>
      <c r="P147" s="93"/>
      <c r="Q147" s="97" t="s">
        <v>149</v>
      </c>
      <c r="R147" s="98"/>
      <c r="S147" s="98"/>
      <c r="T147" s="98"/>
      <c r="U147" s="98"/>
      <c r="V147" s="98"/>
      <c r="W147" s="98"/>
      <c r="X147" s="98"/>
      <c r="Y147" s="99"/>
      <c r="Z147" s="55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3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8"/>
    </row>
    <row r="148" spans="2:57">
      <c r="B148" s="40"/>
      <c r="C148" s="39"/>
      <c r="D148" s="39"/>
      <c r="E148" s="39"/>
      <c r="F148" s="94"/>
      <c r="G148" s="95"/>
      <c r="H148" s="95"/>
      <c r="I148" s="95"/>
      <c r="J148" s="95"/>
      <c r="K148" s="95"/>
      <c r="L148" s="95"/>
      <c r="M148" s="95"/>
      <c r="N148" s="95"/>
      <c r="O148" s="95"/>
      <c r="P148" s="96"/>
      <c r="Q148" s="100"/>
      <c r="R148" s="101"/>
      <c r="S148" s="101"/>
      <c r="T148" s="101"/>
      <c r="U148" s="101"/>
      <c r="V148" s="101"/>
      <c r="W148" s="101"/>
      <c r="X148" s="101"/>
      <c r="Y148" s="102"/>
      <c r="Z148" s="52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0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8"/>
    </row>
    <row r="149" spans="2:57">
      <c r="B149" s="40"/>
      <c r="C149" s="39"/>
      <c r="D149" s="39"/>
      <c r="E149" s="39"/>
      <c r="F149" s="48" t="s">
        <v>148</v>
      </c>
      <c r="G149" s="47"/>
      <c r="H149" s="47"/>
      <c r="I149" s="47"/>
      <c r="J149" s="47"/>
      <c r="K149" s="47"/>
      <c r="L149" s="47"/>
      <c r="M149" s="47"/>
      <c r="N149" s="47"/>
      <c r="O149" s="47"/>
      <c r="P149" s="46"/>
      <c r="Q149" s="48"/>
      <c r="R149" s="47"/>
      <c r="S149" s="47"/>
      <c r="T149" s="47"/>
      <c r="U149" s="47"/>
      <c r="V149" s="47"/>
      <c r="W149" s="47"/>
      <c r="X149" s="47"/>
      <c r="Y149" s="46"/>
      <c r="Z149" s="48" t="s">
        <v>147</v>
      </c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6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8"/>
    </row>
    <row r="150" spans="2:57">
      <c r="B150" s="40"/>
      <c r="C150" s="39"/>
      <c r="D150" s="39"/>
      <c r="E150" s="39"/>
      <c r="F150" s="48" t="s">
        <v>146</v>
      </c>
      <c r="G150" s="47"/>
      <c r="H150" s="47"/>
      <c r="I150" s="47"/>
      <c r="J150" s="47"/>
      <c r="K150" s="47"/>
      <c r="L150" s="47"/>
      <c r="M150" s="47"/>
      <c r="N150" s="47"/>
      <c r="O150" s="47"/>
      <c r="P150" s="46"/>
      <c r="Q150" s="48"/>
      <c r="R150" s="47"/>
      <c r="S150" s="47"/>
      <c r="T150" s="47"/>
      <c r="U150" s="47"/>
      <c r="V150" s="47"/>
      <c r="W150" s="47"/>
      <c r="X150" s="47"/>
      <c r="Y150" s="46"/>
      <c r="Z150" s="48" t="s">
        <v>145</v>
      </c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6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8"/>
    </row>
    <row r="151" spans="2:57">
      <c r="B151" s="40"/>
      <c r="C151" s="39"/>
      <c r="D151" s="39"/>
      <c r="E151" s="39"/>
      <c r="F151" s="48" t="s">
        <v>144</v>
      </c>
      <c r="G151" s="47"/>
      <c r="H151" s="47"/>
      <c r="I151" s="47"/>
      <c r="J151" s="47"/>
      <c r="K151" s="47"/>
      <c r="L151" s="47"/>
      <c r="M151" s="47"/>
      <c r="N151" s="47"/>
      <c r="O151" s="47"/>
      <c r="P151" s="46"/>
      <c r="Q151" s="48"/>
      <c r="R151" s="47"/>
      <c r="S151" s="47"/>
      <c r="T151" s="47"/>
      <c r="U151" s="47"/>
      <c r="V151" s="47"/>
      <c r="W151" s="47"/>
      <c r="X151" s="47"/>
      <c r="Y151" s="46"/>
      <c r="Z151" s="48" t="s">
        <v>143</v>
      </c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6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8"/>
    </row>
    <row r="152" spans="2:57">
      <c r="B152" s="40"/>
      <c r="C152" s="39"/>
      <c r="D152" s="39"/>
      <c r="E152" s="39"/>
      <c r="F152" s="48" t="s">
        <v>142</v>
      </c>
      <c r="G152" s="47"/>
      <c r="H152" s="47"/>
      <c r="I152" s="47"/>
      <c r="J152" s="47"/>
      <c r="K152" s="47"/>
      <c r="L152" s="47"/>
      <c r="M152" s="47"/>
      <c r="N152" s="47"/>
      <c r="O152" s="47"/>
      <c r="P152" s="46"/>
      <c r="Q152" s="48"/>
      <c r="R152" s="47"/>
      <c r="S152" s="47"/>
      <c r="T152" s="47"/>
      <c r="U152" s="47"/>
      <c r="V152" s="47"/>
      <c r="W152" s="47"/>
      <c r="X152" s="47"/>
      <c r="Y152" s="46"/>
      <c r="Z152" s="48" t="s">
        <v>141</v>
      </c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6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8"/>
    </row>
    <row r="153" spans="2:57">
      <c r="B153" s="40"/>
      <c r="C153" s="39"/>
      <c r="D153" s="39"/>
      <c r="E153" s="39"/>
      <c r="F153" s="48" t="s">
        <v>140</v>
      </c>
      <c r="G153" s="47"/>
      <c r="H153" s="47"/>
      <c r="I153" s="47"/>
      <c r="J153" s="47"/>
      <c r="K153" s="47"/>
      <c r="L153" s="47"/>
      <c r="M153" s="47"/>
      <c r="N153" s="47"/>
      <c r="O153" s="47"/>
      <c r="P153" s="46"/>
      <c r="Q153" s="48"/>
      <c r="R153" s="47"/>
      <c r="S153" s="47"/>
      <c r="T153" s="47"/>
      <c r="U153" s="47"/>
      <c r="V153" s="47"/>
      <c r="W153" s="47"/>
      <c r="X153" s="47"/>
      <c r="Y153" s="46"/>
      <c r="Z153" s="48" t="s">
        <v>139</v>
      </c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6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8"/>
    </row>
    <row r="154" spans="2:57">
      <c r="B154" s="40"/>
      <c r="C154" s="39"/>
      <c r="D154" s="39"/>
      <c r="E154" s="39"/>
      <c r="F154" s="48" t="s">
        <v>138</v>
      </c>
      <c r="G154" s="47"/>
      <c r="H154" s="47"/>
      <c r="I154" s="47"/>
      <c r="J154" s="47"/>
      <c r="K154" s="47"/>
      <c r="L154" s="47"/>
      <c r="M154" s="47"/>
      <c r="N154" s="47"/>
      <c r="O154" s="47"/>
      <c r="P154" s="46"/>
      <c r="Q154" s="48" t="s">
        <v>137</v>
      </c>
      <c r="R154" s="47"/>
      <c r="S154" s="47"/>
      <c r="T154" s="47"/>
      <c r="U154" s="47"/>
      <c r="V154" s="47"/>
      <c r="W154" s="47"/>
      <c r="X154" s="47"/>
      <c r="Y154" s="46"/>
      <c r="Z154" s="48" t="s">
        <v>137</v>
      </c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6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8"/>
    </row>
    <row r="155" spans="2:57">
      <c r="B155" s="40"/>
      <c r="C155" s="39"/>
      <c r="D155" s="39"/>
      <c r="E155" s="39"/>
      <c r="F155" s="48" t="s">
        <v>136</v>
      </c>
      <c r="G155" s="47"/>
      <c r="H155" s="47"/>
      <c r="I155" s="47"/>
      <c r="J155" s="47"/>
      <c r="K155" s="47"/>
      <c r="L155" s="47"/>
      <c r="M155" s="47"/>
      <c r="N155" s="47"/>
      <c r="O155" s="47"/>
      <c r="P155" s="46"/>
      <c r="Q155" s="48"/>
      <c r="R155" s="47"/>
      <c r="S155" s="47"/>
      <c r="T155" s="47"/>
      <c r="U155" s="47"/>
      <c r="V155" s="47"/>
      <c r="W155" s="47"/>
      <c r="X155" s="47"/>
      <c r="Y155" s="46"/>
      <c r="Z155" s="48" t="s">
        <v>134</v>
      </c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6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8"/>
    </row>
    <row r="156" spans="2:57">
      <c r="B156" s="40"/>
      <c r="C156" s="39"/>
      <c r="D156" s="39"/>
      <c r="E156" s="39"/>
      <c r="F156" s="48" t="s">
        <v>135</v>
      </c>
      <c r="G156" s="47"/>
      <c r="H156" s="47"/>
      <c r="I156" s="47"/>
      <c r="J156" s="47"/>
      <c r="K156" s="47"/>
      <c r="L156" s="47"/>
      <c r="M156" s="47"/>
      <c r="N156" s="47"/>
      <c r="O156" s="47"/>
      <c r="P156" s="46"/>
      <c r="Q156" s="48" t="s">
        <v>134</v>
      </c>
      <c r="R156" s="47"/>
      <c r="S156" s="47"/>
      <c r="T156" s="47"/>
      <c r="U156" s="47"/>
      <c r="V156" s="47"/>
      <c r="W156" s="47"/>
      <c r="X156" s="47"/>
      <c r="Y156" s="46"/>
      <c r="Z156" s="48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6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8"/>
    </row>
    <row r="157" spans="2:57">
      <c r="B157" s="40"/>
      <c r="C157" s="39"/>
      <c r="D157" s="39"/>
      <c r="E157" s="39"/>
      <c r="F157" s="48" t="s">
        <v>133</v>
      </c>
      <c r="G157" s="47"/>
      <c r="H157" s="47"/>
      <c r="I157" s="47"/>
      <c r="J157" s="47"/>
      <c r="K157" s="47"/>
      <c r="L157" s="47"/>
      <c r="M157" s="47"/>
      <c r="N157" s="47"/>
      <c r="O157" s="47"/>
      <c r="P157" s="46"/>
      <c r="Q157" s="48" t="s">
        <v>132</v>
      </c>
      <c r="R157" s="47"/>
      <c r="S157" s="47"/>
      <c r="T157" s="47"/>
      <c r="U157" s="47"/>
      <c r="V157" s="47"/>
      <c r="W157" s="47"/>
      <c r="X157" s="47"/>
      <c r="Y157" s="46"/>
      <c r="Z157" s="89">
        <v>0.02</v>
      </c>
      <c r="AA157" s="90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6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8"/>
    </row>
    <row r="158" spans="2:57">
      <c r="B158" s="40"/>
      <c r="C158" s="39"/>
      <c r="D158" s="39"/>
      <c r="E158" s="39"/>
      <c r="F158" s="48" t="s">
        <v>131</v>
      </c>
      <c r="G158" s="47"/>
      <c r="H158" s="47"/>
      <c r="I158" s="47"/>
      <c r="J158" s="47"/>
      <c r="K158" s="47"/>
      <c r="L158" s="47"/>
      <c r="M158" s="47"/>
      <c r="N158" s="47"/>
      <c r="O158" s="47"/>
      <c r="P158" s="46"/>
      <c r="Q158" s="49" t="s">
        <v>130</v>
      </c>
      <c r="R158" s="47"/>
      <c r="S158" s="47"/>
      <c r="T158" s="47"/>
      <c r="U158" s="47"/>
      <c r="V158" s="47"/>
      <c r="W158" s="47"/>
      <c r="X158" s="47"/>
      <c r="Y158" s="46"/>
      <c r="Z158" s="48" t="s">
        <v>167</v>
      </c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6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8"/>
    </row>
    <row r="159" spans="2:57">
      <c r="B159" s="40"/>
      <c r="C159" s="39"/>
      <c r="D159" s="39"/>
      <c r="E159" s="39"/>
      <c r="F159" s="48" t="s">
        <v>129</v>
      </c>
      <c r="G159" s="47"/>
      <c r="H159" s="47"/>
      <c r="I159" s="47"/>
      <c r="J159" s="47"/>
      <c r="K159" s="47"/>
      <c r="L159" s="47"/>
      <c r="M159" s="47"/>
      <c r="N159" s="47"/>
      <c r="O159" s="47"/>
      <c r="P159" s="46"/>
      <c r="Q159" s="48"/>
      <c r="R159" s="47"/>
      <c r="S159" s="47"/>
      <c r="T159" s="47"/>
      <c r="U159" s="47"/>
      <c r="V159" s="47"/>
      <c r="W159" s="47"/>
      <c r="X159" s="47"/>
      <c r="Y159" s="46"/>
      <c r="Z159" s="49" t="s">
        <v>128</v>
      </c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6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8"/>
    </row>
    <row r="160" spans="2:57">
      <c r="B160" s="40"/>
      <c r="C160" s="39"/>
      <c r="D160" s="39"/>
      <c r="E160" s="39"/>
      <c r="F160" s="48" t="s">
        <v>127</v>
      </c>
      <c r="G160" s="47"/>
      <c r="H160" s="47"/>
      <c r="I160" s="47"/>
      <c r="J160" s="47"/>
      <c r="K160" s="47"/>
      <c r="L160" s="47"/>
      <c r="M160" s="47"/>
      <c r="N160" s="47"/>
      <c r="O160" s="47"/>
      <c r="P160" s="46"/>
      <c r="Q160" s="48" t="s">
        <v>126</v>
      </c>
      <c r="R160" s="47"/>
      <c r="S160" s="47"/>
      <c r="T160" s="47"/>
      <c r="U160" s="47"/>
      <c r="V160" s="47"/>
      <c r="W160" s="47"/>
      <c r="X160" s="47"/>
      <c r="Y160" s="46"/>
      <c r="Z160" s="48" t="s">
        <v>126</v>
      </c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6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8"/>
    </row>
    <row r="161" spans="2:57">
      <c r="B161" s="40"/>
      <c r="C161" s="39"/>
      <c r="D161" s="39"/>
      <c r="E161" s="39"/>
      <c r="F161" s="48" t="s">
        <v>125</v>
      </c>
      <c r="G161" s="47"/>
      <c r="H161" s="47"/>
      <c r="I161" s="47"/>
      <c r="J161" s="47"/>
      <c r="K161" s="47"/>
      <c r="L161" s="47"/>
      <c r="M161" s="47"/>
      <c r="N161" s="47"/>
      <c r="O161" s="47"/>
      <c r="P161" s="46"/>
      <c r="Q161" s="48"/>
      <c r="R161" s="47"/>
      <c r="S161" s="47"/>
      <c r="T161" s="47"/>
      <c r="U161" s="47"/>
      <c r="V161" s="47"/>
      <c r="W161" s="47"/>
      <c r="X161" s="47"/>
      <c r="Y161" s="46"/>
      <c r="Z161" s="48" t="s">
        <v>124</v>
      </c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6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8"/>
    </row>
    <row r="162" spans="2:57">
      <c r="B162" s="40"/>
      <c r="C162" s="39"/>
      <c r="D162" s="39"/>
      <c r="E162" s="39"/>
      <c r="F162" s="48" t="s">
        <v>123</v>
      </c>
      <c r="G162" s="47"/>
      <c r="H162" s="47"/>
      <c r="I162" s="47"/>
      <c r="J162" s="47"/>
      <c r="K162" s="47"/>
      <c r="L162" s="47"/>
      <c r="M162" s="47"/>
      <c r="N162" s="47"/>
      <c r="O162" s="47"/>
      <c r="P162" s="46"/>
      <c r="Q162" s="48" t="s">
        <v>122</v>
      </c>
      <c r="R162" s="47"/>
      <c r="S162" s="47"/>
      <c r="T162" s="47"/>
      <c r="U162" s="47"/>
      <c r="V162" s="47"/>
      <c r="W162" s="47"/>
      <c r="X162" s="47"/>
      <c r="Y162" s="46"/>
      <c r="Z162" s="48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6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8"/>
    </row>
    <row r="163" spans="2:57">
      <c r="B163" s="40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8"/>
    </row>
    <row r="164" spans="2:57">
      <c r="B164" s="40"/>
      <c r="C164" s="39"/>
      <c r="D164" s="39"/>
      <c r="E164" s="39"/>
      <c r="F164" s="39"/>
      <c r="G164" s="39" t="s">
        <v>121</v>
      </c>
      <c r="H164" s="39"/>
      <c r="I164" s="103">
        <f>0.4*MAX(0.12*K202*B171/N205,20*B171)*IF(AND(32&lt;B171,B171&lt;=40),100/(132-B171),1)</f>
        <v>164.60253554242212</v>
      </c>
      <c r="J164" s="103"/>
      <c r="K164" s="39" t="s">
        <v>11</v>
      </c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 t="s">
        <v>4</v>
      </c>
      <c r="Z164" s="39"/>
      <c r="AA164" s="67">
        <v>5000</v>
      </c>
      <c r="AB164" s="67"/>
      <c r="AC164" s="39" t="s">
        <v>11</v>
      </c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8"/>
    </row>
    <row r="165" spans="2:57">
      <c r="B165" s="40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8"/>
    </row>
    <row r="166" spans="2:57">
      <c r="B166" s="40"/>
      <c r="C166" s="39"/>
      <c r="D166" s="39"/>
      <c r="E166" s="39"/>
      <c r="F166" s="39"/>
      <c r="G166" s="39"/>
      <c r="H166" s="39"/>
      <c r="I166" s="39"/>
      <c r="J166" s="39"/>
      <c r="K166" s="39"/>
      <c r="L166" s="39" t="s">
        <v>119</v>
      </c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 t="s">
        <v>120</v>
      </c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 t="s">
        <v>119</v>
      </c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8"/>
    </row>
    <row r="167" spans="2:57">
      <c r="B167" s="40"/>
      <c r="C167" s="39"/>
      <c r="D167" s="39"/>
      <c r="E167" s="39"/>
      <c r="F167" s="39"/>
      <c r="G167" s="39"/>
      <c r="H167" s="39"/>
      <c r="I167" s="39"/>
      <c r="J167" s="39"/>
      <c r="K167" s="39"/>
      <c r="L167" s="39">
        <f>ROUND(M171/AF200,0)+1</f>
        <v>14</v>
      </c>
      <c r="M167" s="87">
        <f>+AM187</f>
        <v>8</v>
      </c>
      <c r="N167" s="87"/>
      <c r="O167" s="88">
        <f>+AF200</f>
        <v>96</v>
      </c>
      <c r="P167" s="88"/>
      <c r="Q167" s="39"/>
      <c r="R167" s="39"/>
      <c r="S167" s="39"/>
      <c r="T167" s="39"/>
      <c r="U167" s="39"/>
      <c r="V167" s="39"/>
      <c r="W167" s="39"/>
      <c r="X167" s="39">
        <f>ROUND(Z171/AF205,0)+1</f>
        <v>10</v>
      </c>
      <c r="Y167" s="87">
        <f>+AM187</f>
        <v>8</v>
      </c>
      <c r="Z167" s="87"/>
      <c r="AA167" s="88">
        <f>+AF205</f>
        <v>280.5</v>
      </c>
      <c r="AB167" s="88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>
        <f>+L167</f>
        <v>14</v>
      </c>
      <c r="AM167" s="87">
        <f>+AM187</f>
        <v>8</v>
      </c>
      <c r="AN167" s="87"/>
      <c r="AO167" s="88">
        <f>+O167</f>
        <v>96</v>
      </c>
      <c r="AP167" s="88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8"/>
    </row>
    <row r="168" spans="2:57">
      <c r="B168" s="40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8"/>
    </row>
    <row r="169" spans="2:57">
      <c r="B169" s="40"/>
      <c r="C169" s="39"/>
      <c r="D169" s="39"/>
      <c r="E169" s="39"/>
      <c r="F169" s="39"/>
      <c r="G169" s="39"/>
      <c r="H169" s="39"/>
      <c r="I169" s="39"/>
      <c r="J169" s="39"/>
      <c r="K169" s="39"/>
      <c r="L169" s="39" t="s">
        <v>118</v>
      </c>
      <c r="M169" s="39"/>
      <c r="N169" s="39"/>
      <c r="O169" s="103">
        <f>+AA164/4</f>
        <v>1250</v>
      </c>
      <c r="P169" s="103"/>
      <c r="Q169" s="39" t="s">
        <v>11</v>
      </c>
      <c r="R169" s="39"/>
      <c r="S169" s="39"/>
      <c r="T169" s="39"/>
      <c r="U169" s="83">
        <v>12</v>
      </c>
      <c r="V169" s="83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 t="s">
        <v>118</v>
      </c>
      <c r="AM169" s="39"/>
      <c r="AN169" s="39"/>
      <c r="AO169" s="103">
        <f>+AA164/4</f>
        <v>1250</v>
      </c>
      <c r="AP169" s="103"/>
      <c r="AQ169" s="39" t="s">
        <v>11</v>
      </c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8"/>
    </row>
    <row r="170" spans="2:57">
      <c r="B170" s="40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AC170" s="39"/>
      <c r="AD170" s="39"/>
      <c r="AE170" s="39"/>
      <c r="AF170" s="39"/>
      <c r="AG170" s="39"/>
      <c r="AH170" s="59" t="s">
        <v>166</v>
      </c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8"/>
    </row>
    <row r="171" spans="2:57">
      <c r="B171" s="109">
        <v>12</v>
      </c>
      <c r="C171" s="83"/>
      <c r="D171" s="39"/>
      <c r="E171" s="39"/>
      <c r="F171" s="39"/>
      <c r="G171" s="39"/>
      <c r="H171" s="39"/>
      <c r="I171" s="39"/>
      <c r="J171" s="39"/>
      <c r="K171" s="39" t="s">
        <v>117</v>
      </c>
      <c r="L171" s="39"/>
      <c r="M171" s="103">
        <f>2*O189</f>
        <v>1200</v>
      </c>
      <c r="N171" s="103"/>
      <c r="O171" s="39" t="s">
        <v>11</v>
      </c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103">
        <f>AA164-M171-AO171</f>
        <v>2600</v>
      </c>
      <c r="AA171" s="103"/>
      <c r="AB171" s="39" t="s">
        <v>11</v>
      </c>
      <c r="AE171" s="39"/>
      <c r="AF171" s="39"/>
      <c r="AG171" s="39"/>
      <c r="AH171" s="39"/>
      <c r="AI171" s="39"/>
      <c r="AJ171" s="39"/>
      <c r="AK171" s="39"/>
      <c r="AL171" s="39"/>
      <c r="AM171" s="39" t="s">
        <v>117</v>
      </c>
      <c r="AN171" s="39"/>
      <c r="AO171" s="103">
        <f>2*O189</f>
        <v>1200</v>
      </c>
      <c r="AP171" s="103"/>
      <c r="AQ171" s="39" t="s">
        <v>11</v>
      </c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8"/>
    </row>
    <row r="172" spans="2:57">
      <c r="B172" s="40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59" t="s">
        <v>163</v>
      </c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8"/>
    </row>
    <row r="173" spans="2:57">
      <c r="B173" s="40"/>
      <c r="C173" s="104" t="s">
        <v>11</v>
      </c>
      <c r="D173" s="39"/>
      <c r="E173" s="39"/>
      <c r="F173" s="39"/>
      <c r="G173" s="39"/>
      <c r="H173" s="39"/>
      <c r="I173" s="39"/>
      <c r="J173" s="39"/>
      <c r="K173" s="39" t="s">
        <v>116</v>
      </c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 t="s">
        <v>116</v>
      </c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8"/>
    </row>
    <row r="174" spans="2:57">
      <c r="B174" s="40"/>
      <c r="C174" s="10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8"/>
    </row>
    <row r="175" spans="2:57">
      <c r="B175" s="40"/>
      <c r="C175" s="108">
        <f>12*B171</f>
        <v>144</v>
      </c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8"/>
    </row>
    <row r="176" spans="2:57">
      <c r="B176" s="40"/>
      <c r="C176" s="108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8"/>
    </row>
    <row r="177" spans="2:57">
      <c r="B177" s="40"/>
      <c r="C177" s="108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8"/>
    </row>
    <row r="178" spans="2:57">
      <c r="B178" s="40"/>
      <c r="C178" s="104" t="s">
        <v>115</v>
      </c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8"/>
    </row>
    <row r="179" spans="2:57">
      <c r="B179" s="40"/>
      <c r="C179" s="10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8"/>
    </row>
    <row r="180" spans="2:57">
      <c r="B180" s="40"/>
      <c r="C180" s="10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8"/>
    </row>
    <row r="181" spans="2:57">
      <c r="B181" s="40"/>
      <c r="C181" s="39"/>
      <c r="D181" s="39"/>
      <c r="E181" s="39"/>
      <c r="F181" s="39"/>
      <c r="G181" s="39"/>
      <c r="H181" s="39"/>
      <c r="I181" s="39"/>
      <c r="J181" s="39"/>
      <c r="K181" s="39"/>
      <c r="L181" s="103">
        <f>MAX(MAX(0.12*K202*C183/N205,20*C183)*IF(AND(32&lt;C183,C183&lt;=40),100/(132-C183),1),50*C183)</f>
        <v>600</v>
      </c>
      <c r="M181" s="103"/>
      <c r="N181" s="39" t="s">
        <v>11</v>
      </c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59" t="s">
        <v>164</v>
      </c>
      <c r="AF181" s="39"/>
      <c r="AG181" s="39"/>
      <c r="AH181" s="39"/>
      <c r="AJ181" s="59" t="s">
        <v>165</v>
      </c>
      <c r="AK181" s="39"/>
      <c r="AL181" s="39"/>
      <c r="AM181" s="39"/>
      <c r="AN181" s="103">
        <f>MAX(MAX(0.12*K202*AY183/N205,20*AY183)*IF(AND(32&lt;AY183,AY183&lt;=40),100/(132-AY183),1),50*AY183)</f>
        <v>800</v>
      </c>
      <c r="AO181" s="103"/>
      <c r="AP181" s="39" t="s">
        <v>11</v>
      </c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8"/>
    </row>
    <row r="182" spans="2:57">
      <c r="B182" s="40"/>
      <c r="C182" s="39"/>
      <c r="D182" s="39"/>
      <c r="E182" s="39"/>
      <c r="F182" s="39"/>
      <c r="G182" s="39"/>
      <c r="H182" s="39"/>
      <c r="I182" s="39"/>
      <c r="J182" s="39"/>
      <c r="K182" s="39"/>
      <c r="L182" s="39" t="s">
        <v>114</v>
      </c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103" t="s">
        <v>162</v>
      </c>
      <c r="AB182" s="103"/>
      <c r="AC182" s="83">
        <v>12</v>
      </c>
      <c r="AD182" s="83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 t="s">
        <v>114</v>
      </c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8"/>
    </row>
    <row r="183" spans="2:57">
      <c r="B183" s="40"/>
      <c r="C183" s="83">
        <v>12</v>
      </c>
      <c r="D183" s="83"/>
      <c r="E183" s="39"/>
      <c r="F183" s="39"/>
      <c r="G183" s="39"/>
      <c r="H183" s="39"/>
      <c r="I183" s="39"/>
      <c r="J183" s="39"/>
      <c r="K183" s="39"/>
      <c r="L183" s="39" t="s">
        <v>111</v>
      </c>
      <c r="M183" s="39"/>
      <c r="N183" s="39"/>
      <c r="O183" s="39"/>
      <c r="P183" s="39"/>
      <c r="Q183" s="39"/>
      <c r="R183" s="39"/>
      <c r="S183" s="39"/>
      <c r="T183" s="39"/>
      <c r="U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 t="s">
        <v>111</v>
      </c>
      <c r="AP183" s="39"/>
      <c r="AQ183" s="39"/>
      <c r="AR183" s="39"/>
      <c r="AS183" s="39"/>
      <c r="AT183" s="39"/>
      <c r="AU183" s="39"/>
      <c r="AV183" s="39"/>
      <c r="AW183" s="39"/>
      <c r="AX183" s="39"/>
      <c r="AY183" s="83">
        <v>16</v>
      </c>
      <c r="AZ183" s="83"/>
      <c r="BA183" s="39"/>
      <c r="BB183" s="39"/>
      <c r="BC183" s="39"/>
      <c r="BD183" s="39"/>
      <c r="BE183" s="38"/>
    </row>
    <row r="184" spans="2:57">
      <c r="B184" s="40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 t="s">
        <v>113</v>
      </c>
      <c r="T184" s="39"/>
      <c r="U184" s="67" t="s">
        <v>112</v>
      </c>
      <c r="V184" s="67"/>
      <c r="W184" s="67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8"/>
    </row>
    <row r="185" spans="2:57">
      <c r="B185" s="40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8"/>
    </row>
    <row r="186" spans="2:57">
      <c r="B186" s="40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 t="s">
        <v>110</v>
      </c>
      <c r="AC186" s="39"/>
      <c r="AD186" s="67">
        <v>10</v>
      </c>
      <c r="AE186" s="67"/>
      <c r="AF186" s="39" t="s">
        <v>11</v>
      </c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8"/>
    </row>
    <row r="187" spans="2:57">
      <c r="B187" s="40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83">
        <v>8</v>
      </c>
      <c r="AN187" s="83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8"/>
    </row>
    <row r="188" spans="2:57"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8"/>
    </row>
    <row r="189" spans="2:57">
      <c r="B189" s="40"/>
      <c r="C189" s="39"/>
      <c r="D189" s="39"/>
      <c r="E189" s="39"/>
      <c r="F189" s="39"/>
      <c r="G189" s="67">
        <v>400</v>
      </c>
      <c r="H189" s="67"/>
      <c r="I189" s="39" t="s">
        <v>11</v>
      </c>
      <c r="J189" s="39"/>
      <c r="K189" s="39"/>
      <c r="L189" s="39"/>
      <c r="M189" s="39"/>
      <c r="N189" s="39" t="s">
        <v>109</v>
      </c>
      <c r="O189" s="67">
        <v>600</v>
      </c>
      <c r="P189" s="67"/>
      <c r="Q189" s="39" t="s">
        <v>11</v>
      </c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67">
        <v>500</v>
      </c>
      <c r="AU189" s="67"/>
      <c r="AV189" s="39" t="s">
        <v>11</v>
      </c>
      <c r="AW189" s="39"/>
      <c r="AX189" s="39"/>
      <c r="AY189" s="39"/>
      <c r="AZ189" s="39"/>
      <c r="BA189" s="39"/>
      <c r="BB189" s="39"/>
      <c r="BC189" s="39"/>
      <c r="BD189" s="39"/>
      <c r="BE189" s="38"/>
    </row>
    <row r="190" spans="2:57">
      <c r="B190" s="40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45" t="str">
        <f>IF(AND(MAX(300,3*AD186)&lt;=O189,O189&lt;=3.5*U193),"uygun.","uygun değil.")</f>
        <v>uygun.</v>
      </c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8"/>
    </row>
    <row r="191" spans="2:57">
      <c r="B191" s="40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 t="s">
        <v>108</v>
      </c>
      <c r="Z191" s="39"/>
      <c r="AA191" s="105">
        <f>IF(U184="dış kiriş",25,20)+AM187+AC182/2</f>
        <v>39</v>
      </c>
      <c r="AB191" s="105"/>
      <c r="AC191" s="39" t="s">
        <v>11</v>
      </c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8"/>
    </row>
    <row r="192" spans="2:57">
      <c r="B192" s="40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8"/>
    </row>
    <row r="193" spans="2:57">
      <c r="B193" s="40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103" t="s">
        <v>107</v>
      </c>
      <c r="T193" s="103"/>
      <c r="U193" s="67">
        <v>300</v>
      </c>
      <c r="V193" s="67"/>
      <c r="W193" s="39" t="s">
        <v>11</v>
      </c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8"/>
    </row>
    <row r="194" spans="2:57">
      <c r="B194" s="40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45" t="str">
        <f>IF(U193&gt;=250,"uygun.","uygun değil.")</f>
        <v>uygun.</v>
      </c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8"/>
    </row>
    <row r="195" spans="2:57">
      <c r="B195" s="40"/>
      <c r="C195" s="1" t="s">
        <v>19</v>
      </c>
      <c r="D195" s="2"/>
      <c r="E195" s="2"/>
      <c r="F195" s="2"/>
      <c r="G195" s="2"/>
      <c r="H195" s="2"/>
      <c r="I195" s="2"/>
      <c r="J195" s="2"/>
      <c r="K195" s="2"/>
      <c r="L195" s="3" t="str">
        <f>IF(F196&lt;25,"C25 den az beton kullanılamaz.","")</f>
        <v/>
      </c>
      <c r="M195" s="2"/>
      <c r="N195" s="2"/>
      <c r="O195" s="2"/>
      <c r="P195" s="2"/>
      <c r="Q195" s="7"/>
      <c r="R195" s="7"/>
      <c r="S195" s="7"/>
      <c r="T195" s="7"/>
      <c r="U195" s="7"/>
      <c r="V195" s="39"/>
      <c r="W195" s="39"/>
      <c r="X195" s="39"/>
      <c r="Y195" s="39"/>
      <c r="Z195" s="39"/>
      <c r="AA195" s="42" t="s">
        <v>40</v>
      </c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8"/>
    </row>
    <row r="196" spans="2:57">
      <c r="B196" s="40"/>
      <c r="C196" s="5" t="s">
        <v>20</v>
      </c>
      <c r="D196" s="5"/>
      <c r="E196" s="5"/>
      <c r="F196" s="6">
        <v>30</v>
      </c>
      <c r="G196" s="5" t="s">
        <v>21</v>
      </c>
      <c r="H196" s="5"/>
      <c r="I196" s="5"/>
      <c r="J196" s="5"/>
      <c r="K196" s="5"/>
      <c r="L196" s="5"/>
      <c r="M196" s="5"/>
      <c r="N196" s="5"/>
      <c r="O196" s="5"/>
      <c r="P196" s="5"/>
      <c r="Q196" s="7"/>
      <c r="R196" s="7"/>
      <c r="S196" s="7"/>
      <c r="T196" s="7"/>
      <c r="U196" s="7"/>
      <c r="V196" s="39"/>
      <c r="W196" s="39"/>
      <c r="X196" s="39"/>
      <c r="Y196" s="39"/>
      <c r="Z196" s="39"/>
      <c r="AA196" s="39" t="s">
        <v>106</v>
      </c>
      <c r="AB196" s="39"/>
      <c r="AC196" s="39"/>
      <c r="AD196" s="39"/>
      <c r="AE196" s="103">
        <f>+G209</f>
        <v>561</v>
      </c>
      <c r="AF196" s="103"/>
      <c r="AG196" s="41" t="s">
        <v>34</v>
      </c>
      <c r="AH196" s="39">
        <v>4</v>
      </c>
      <c r="AI196" s="41" t="s">
        <v>27</v>
      </c>
      <c r="AJ196" s="103">
        <f>+AE196/AH196</f>
        <v>140.25</v>
      </c>
      <c r="AK196" s="103"/>
      <c r="AL196" s="39" t="s">
        <v>11</v>
      </c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8"/>
    </row>
    <row r="197" spans="2:57">
      <c r="B197" s="40"/>
      <c r="C197" s="5" t="s">
        <v>22</v>
      </c>
      <c r="D197" s="5"/>
      <c r="E197" s="5"/>
      <c r="F197" s="80">
        <v>420</v>
      </c>
      <c r="G197" s="80"/>
      <c r="H197" s="5" t="s">
        <v>23</v>
      </c>
      <c r="I197" s="5"/>
      <c r="J197" s="5"/>
      <c r="K197" s="5"/>
      <c r="L197" s="5"/>
      <c r="M197" s="5"/>
      <c r="N197" s="5"/>
      <c r="O197" s="5"/>
      <c r="P197" s="5"/>
      <c r="Q197" s="7"/>
      <c r="R197" s="7"/>
      <c r="S197" s="7"/>
      <c r="T197" s="7"/>
      <c r="U197" s="7"/>
      <c r="V197" s="39"/>
      <c r="W197" s="39"/>
      <c r="X197" s="39"/>
      <c r="Y197" s="39"/>
      <c r="Z197" s="39"/>
      <c r="AA197" s="39" t="s">
        <v>105</v>
      </c>
      <c r="AB197" s="39"/>
      <c r="AC197" s="39"/>
      <c r="AD197" s="39"/>
      <c r="AE197" s="39">
        <v>8</v>
      </c>
      <c r="AF197" s="41" t="s">
        <v>18</v>
      </c>
      <c r="AG197" s="44">
        <f>MAX(AC182,U169,C183,B171)</f>
        <v>12</v>
      </c>
      <c r="AH197" s="41" t="s">
        <v>27</v>
      </c>
      <c r="AI197" s="103">
        <f>+AE197*AG197</f>
        <v>96</v>
      </c>
      <c r="AJ197" s="103"/>
      <c r="AK197" s="39" t="s">
        <v>11</v>
      </c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8"/>
    </row>
    <row r="198" spans="2:57">
      <c r="B198" s="40"/>
      <c r="C198" s="5" t="s">
        <v>104</v>
      </c>
      <c r="D198" s="5"/>
      <c r="E198" s="5"/>
      <c r="F198" s="39"/>
      <c r="G198" s="80">
        <v>420</v>
      </c>
      <c r="H198" s="80"/>
      <c r="I198" s="5" t="s">
        <v>103</v>
      </c>
      <c r="J198" s="5"/>
      <c r="K198" s="5"/>
      <c r="L198" s="5"/>
      <c r="M198" s="5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 t="s">
        <v>102</v>
      </c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8"/>
    </row>
    <row r="199" spans="2:57">
      <c r="B199" s="40"/>
      <c r="C199" s="8" t="s">
        <v>24</v>
      </c>
      <c r="D199" s="5"/>
      <c r="E199" s="80">
        <v>1.5</v>
      </c>
      <c r="F199" s="80"/>
      <c r="G199" s="5"/>
      <c r="H199" s="5"/>
      <c r="I199" s="5"/>
      <c r="J199" s="43" t="str">
        <f>IF(F197&lt;420,"S420 den düşük çelik kullanılamaz.","")</f>
        <v/>
      </c>
      <c r="K199" s="5"/>
      <c r="L199" s="5"/>
      <c r="M199" s="5"/>
      <c r="N199" s="5"/>
      <c r="O199" s="5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 t="s">
        <v>100</v>
      </c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103">
        <f>2*PI()*AM187^2/4</f>
        <v>100.53096491487338</v>
      </c>
      <c r="AN199" s="103"/>
      <c r="AO199" s="39" t="s">
        <v>18</v>
      </c>
      <c r="AP199" s="103">
        <f>+L203</f>
        <v>365.21739130434787</v>
      </c>
      <c r="AQ199" s="103"/>
      <c r="AR199" s="39" t="s">
        <v>99</v>
      </c>
      <c r="AS199" s="103">
        <v>0.3</v>
      </c>
      <c r="AT199" s="103"/>
      <c r="AU199" s="39" t="s">
        <v>18</v>
      </c>
      <c r="AV199" s="103">
        <f>+N205</f>
        <v>1.2780193008453875</v>
      </c>
      <c r="AW199" s="103"/>
      <c r="AX199" s="39" t="s">
        <v>18</v>
      </c>
      <c r="AY199" s="103">
        <f>+U193</f>
        <v>300</v>
      </c>
      <c r="AZ199" s="103"/>
      <c r="BA199" s="39" t="s">
        <v>35</v>
      </c>
      <c r="BB199" s="103">
        <f>+AM199*AP199/(AS199*AV199*AY199)</f>
        <v>319.20624470513957</v>
      </c>
      <c r="BC199" s="103"/>
      <c r="BD199" s="39" t="s">
        <v>11</v>
      </c>
      <c r="BE199" s="38"/>
    </row>
    <row r="200" spans="2:57">
      <c r="B200" s="40"/>
      <c r="C200" s="5" t="s">
        <v>25</v>
      </c>
      <c r="D200" s="5"/>
      <c r="E200" s="5">
        <f>+F196</f>
        <v>30</v>
      </c>
      <c r="F200" s="5" t="s">
        <v>26</v>
      </c>
      <c r="G200" s="82">
        <f>+E199</f>
        <v>1.5</v>
      </c>
      <c r="H200" s="82"/>
      <c r="I200" s="32" t="s">
        <v>27</v>
      </c>
      <c r="J200" s="82">
        <f>+E200/G200</f>
        <v>20</v>
      </c>
      <c r="K200" s="82"/>
      <c r="L200" s="5" t="s">
        <v>28</v>
      </c>
      <c r="M200" s="5"/>
      <c r="N200" s="5"/>
      <c r="O200" s="5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 t="s">
        <v>98</v>
      </c>
      <c r="AB200" s="39"/>
      <c r="AC200" s="39"/>
      <c r="AD200" s="39"/>
      <c r="AE200" s="39"/>
      <c r="AF200" s="103">
        <f>MIN(AJ196,AI197,150,BB199)</f>
        <v>96</v>
      </c>
      <c r="AG200" s="103"/>
      <c r="AH200" s="39" t="s">
        <v>11</v>
      </c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8"/>
    </row>
    <row r="201" spans="2:57">
      <c r="B201" s="40"/>
      <c r="C201" s="8" t="s">
        <v>29</v>
      </c>
      <c r="D201" s="5"/>
      <c r="E201" s="80">
        <v>1.1499999999999999</v>
      </c>
      <c r="F201" s="80"/>
      <c r="G201" s="5"/>
      <c r="H201" s="5"/>
      <c r="I201" s="5"/>
      <c r="J201" s="5"/>
      <c r="K201" s="5"/>
      <c r="L201" s="5"/>
      <c r="M201" s="5"/>
      <c r="N201" s="5"/>
      <c r="O201" s="5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8"/>
    </row>
    <row r="202" spans="2:57">
      <c r="B202" s="40"/>
      <c r="C202" s="5" t="s">
        <v>30</v>
      </c>
      <c r="D202" s="5"/>
      <c r="E202" s="82">
        <f>+F197</f>
        <v>420</v>
      </c>
      <c r="F202" s="82"/>
      <c r="G202" s="5" t="s">
        <v>26</v>
      </c>
      <c r="H202" s="82">
        <f>+E201</f>
        <v>1.1499999999999999</v>
      </c>
      <c r="I202" s="82"/>
      <c r="J202" s="32" t="s">
        <v>27</v>
      </c>
      <c r="K202" s="82">
        <f>+E202/H202</f>
        <v>365.21739130434787</v>
      </c>
      <c r="L202" s="82"/>
      <c r="M202" s="5" t="s">
        <v>28</v>
      </c>
      <c r="N202" s="5"/>
      <c r="O202" s="5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42" t="s">
        <v>168</v>
      </c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8"/>
    </row>
    <row r="203" spans="2:57">
      <c r="B203" s="40"/>
      <c r="C203" s="5" t="s">
        <v>101</v>
      </c>
      <c r="D203" s="5"/>
      <c r="E203" s="39"/>
      <c r="F203" s="82">
        <f>+G198</f>
        <v>420</v>
      </c>
      <c r="G203" s="82"/>
      <c r="H203" s="5" t="s">
        <v>26</v>
      </c>
      <c r="I203" s="82">
        <f>+E201</f>
        <v>1.1499999999999999</v>
      </c>
      <c r="J203" s="82"/>
      <c r="K203" s="32" t="s">
        <v>27</v>
      </c>
      <c r="L203" s="82">
        <f>+F203/I203</f>
        <v>365.21739130434787</v>
      </c>
      <c r="M203" s="82"/>
      <c r="N203" s="5" t="s">
        <v>28</v>
      </c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 t="s">
        <v>169</v>
      </c>
      <c r="AB203" s="39"/>
      <c r="AC203" s="39"/>
      <c r="AD203" s="39"/>
      <c r="AE203" s="103">
        <f>+G209</f>
        <v>561</v>
      </c>
      <c r="AF203" s="103"/>
      <c r="AG203" s="41" t="s">
        <v>34</v>
      </c>
      <c r="AH203" s="39">
        <v>2</v>
      </c>
      <c r="AI203" s="41" t="s">
        <v>27</v>
      </c>
      <c r="AJ203" s="103">
        <f>+AE203/AH203</f>
        <v>280.5</v>
      </c>
      <c r="AK203" s="103"/>
      <c r="AL203" s="39" t="s">
        <v>11</v>
      </c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8"/>
    </row>
    <row r="204" spans="2:57">
      <c r="B204" s="40"/>
      <c r="C204" s="5" t="s">
        <v>31</v>
      </c>
      <c r="D204" s="5"/>
      <c r="E204" s="5"/>
      <c r="F204" s="5"/>
      <c r="G204" s="5"/>
      <c r="H204" s="7"/>
      <c r="I204" s="82">
        <v>0.35</v>
      </c>
      <c r="J204" s="82"/>
      <c r="K204" s="5" t="s">
        <v>32</v>
      </c>
      <c r="L204" s="5">
        <f>+F196</f>
        <v>30</v>
      </c>
      <c r="M204" s="32" t="s">
        <v>27</v>
      </c>
      <c r="N204" s="82">
        <f>I204*SQRT(L204)</f>
        <v>1.9170289512680814</v>
      </c>
      <c r="O204" s="82"/>
      <c r="P204" s="5" t="s">
        <v>28</v>
      </c>
      <c r="Q204" s="7"/>
      <c r="R204" s="7"/>
      <c r="S204" s="7"/>
      <c r="T204" s="39"/>
      <c r="U204" s="39"/>
      <c r="V204" s="39"/>
      <c r="W204" s="39"/>
      <c r="X204" s="39"/>
      <c r="Y204" s="39"/>
      <c r="Z204" s="39"/>
      <c r="AA204" s="39" t="s">
        <v>170</v>
      </c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103">
        <f>2*PI()*AM187^2/4</f>
        <v>100.53096491487338</v>
      </c>
      <c r="AN204" s="103"/>
      <c r="AO204" s="39" t="s">
        <v>18</v>
      </c>
      <c r="AP204" s="103">
        <f>+L203</f>
        <v>365.21739130434787</v>
      </c>
      <c r="AQ204" s="103"/>
      <c r="AR204" s="39" t="s">
        <v>99</v>
      </c>
      <c r="AS204" s="103">
        <v>0.3</v>
      </c>
      <c r="AT204" s="103"/>
      <c r="AU204" s="39" t="s">
        <v>18</v>
      </c>
      <c r="AV204" s="103">
        <f>+N205</f>
        <v>1.2780193008453875</v>
      </c>
      <c r="AW204" s="103"/>
      <c r="AX204" s="39" t="s">
        <v>18</v>
      </c>
      <c r="AY204" s="103">
        <f>+U193</f>
        <v>300</v>
      </c>
      <c r="AZ204" s="103"/>
      <c r="BA204" s="39" t="s">
        <v>35</v>
      </c>
      <c r="BB204" s="103">
        <f>+AM204*AP204/(AS204*AV204*AY204)</f>
        <v>319.20624470513957</v>
      </c>
      <c r="BC204" s="103"/>
      <c r="BD204" s="39" t="s">
        <v>11</v>
      </c>
      <c r="BE204" s="38"/>
    </row>
    <row r="205" spans="2:57">
      <c r="B205" s="40"/>
      <c r="C205" s="5" t="s">
        <v>33</v>
      </c>
      <c r="D205" s="5"/>
      <c r="E205" s="5"/>
      <c r="F205" s="5"/>
      <c r="G205" s="5"/>
      <c r="H205" s="82">
        <f>+N204</f>
        <v>1.9170289512680814</v>
      </c>
      <c r="I205" s="82"/>
      <c r="J205" s="5" t="s">
        <v>34</v>
      </c>
      <c r="K205" s="82">
        <f>+E199</f>
        <v>1.5</v>
      </c>
      <c r="L205" s="82"/>
      <c r="M205" s="32" t="s">
        <v>27</v>
      </c>
      <c r="N205" s="82">
        <f>+H205/K205</f>
        <v>1.2780193008453875</v>
      </c>
      <c r="O205" s="82"/>
      <c r="P205" s="5" t="s">
        <v>28</v>
      </c>
      <c r="Q205" s="7"/>
      <c r="R205" s="7"/>
      <c r="S205" s="7"/>
      <c r="T205" s="39"/>
      <c r="U205" s="39"/>
      <c r="V205" s="39"/>
      <c r="W205" s="39"/>
      <c r="X205" s="39"/>
      <c r="Y205" s="39"/>
      <c r="Z205" s="39"/>
      <c r="AA205" s="39" t="s">
        <v>171</v>
      </c>
      <c r="AB205" s="39"/>
      <c r="AC205" s="39"/>
      <c r="AD205" s="39"/>
      <c r="AE205" s="39"/>
      <c r="AF205" s="103">
        <f>MIN(AJ203,BB204)</f>
        <v>280.5</v>
      </c>
      <c r="AG205" s="103"/>
      <c r="AH205" s="39" t="s">
        <v>11</v>
      </c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8"/>
    </row>
    <row r="206" spans="2:57">
      <c r="B206" s="40"/>
      <c r="C206" s="7" t="s">
        <v>97</v>
      </c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31"/>
      <c r="O206" s="7"/>
      <c r="P206" s="7"/>
      <c r="Q206" s="31"/>
      <c r="R206" s="19"/>
      <c r="S206" s="7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8"/>
    </row>
    <row r="207" spans="2:57">
      <c r="B207" s="40"/>
      <c r="C207" s="7" t="s">
        <v>96</v>
      </c>
      <c r="D207" s="7"/>
      <c r="E207" s="7"/>
      <c r="F207" s="7"/>
      <c r="G207" s="7"/>
      <c r="H207" s="31"/>
      <c r="I207" s="7"/>
      <c r="J207" s="31"/>
      <c r="K207" s="7"/>
      <c r="L207" s="7"/>
      <c r="M207" s="7"/>
      <c r="N207" s="7"/>
      <c r="O207" s="7"/>
      <c r="P207" s="31"/>
      <c r="Q207" s="31"/>
      <c r="R207" s="19"/>
      <c r="S207" s="7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8"/>
    </row>
    <row r="208" spans="2:57">
      <c r="B208" s="40"/>
      <c r="C208" s="7" t="s">
        <v>95</v>
      </c>
      <c r="D208" s="7"/>
      <c r="E208" s="7"/>
      <c r="F208" s="33" t="s">
        <v>61</v>
      </c>
      <c r="G208" s="7"/>
      <c r="H208" s="7"/>
      <c r="I208" s="7"/>
      <c r="J208" s="7"/>
      <c r="K208" s="39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8"/>
    </row>
    <row r="209" spans="2:57">
      <c r="B209" s="40"/>
      <c r="C209" s="39" t="s">
        <v>94</v>
      </c>
      <c r="D209" s="39"/>
      <c r="E209" s="39"/>
      <c r="F209" s="39"/>
      <c r="G209" s="103">
        <f>+O189-AA191</f>
        <v>561</v>
      </c>
      <c r="H209" s="103"/>
      <c r="I209" s="39" t="s">
        <v>11</v>
      </c>
      <c r="J209" s="39"/>
      <c r="K209" s="39"/>
      <c r="L209" s="39"/>
      <c r="M209" s="39"/>
      <c r="N209" s="39"/>
      <c r="O209" s="39"/>
      <c r="P209" s="7"/>
      <c r="Q209" s="7"/>
      <c r="R209" s="7"/>
      <c r="S209" s="7"/>
      <c r="T209" s="7"/>
      <c r="U209" s="7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8"/>
    </row>
    <row r="210" spans="2:57" ht="12" thickBot="1">
      <c r="B210" s="37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5"/>
    </row>
  </sheetData>
  <sheetProtection algorithmName="SHA-512" hashValue="U8y2ecAlwy0lrJSgI4ztsJSYu3o47IGV6NxPIA5lBH9FmiVROM6j9etrx7cTLuZSt5yaVHZTs/wag4fTbykFcw==" saltValue="MXKyyZW7PsbshRUOAllTSA==" spinCount="100000" sheet="1" objects="1" scenarios="1"/>
  <mergeCells count="238">
    <mergeCell ref="B140:BE140"/>
    <mergeCell ref="AS204:AT204"/>
    <mergeCell ref="AV204:AW204"/>
    <mergeCell ref="AY204:AZ204"/>
    <mergeCell ref="BB204:BC204"/>
    <mergeCell ref="AJ203:AK203"/>
    <mergeCell ref="AM204:AN204"/>
    <mergeCell ref="AP204:AQ204"/>
    <mergeCell ref="F203:G203"/>
    <mergeCell ref="I203:J203"/>
    <mergeCell ref="AS199:AT199"/>
    <mergeCell ref="AV199:AW199"/>
    <mergeCell ref="AY199:AZ199"/>
    <mergeCell ref="BB199:BC199"/>
    <mergeCell ref="C183:D183"/>
    <mergeCell ref="AY183:AZ183"/>
    <mergeCell ref="AA182:AB182"/>
    <mergeCell ref="E201:F201"/>
    <mergeCell ref="E202:F202"/>
    <mergeCell ref="C175:C177"/>
    <mergeCell ref="C178:C180"/>
    <mergeCell ref="AM167:AN167"/>
    <mergeCell ref="AO167:AP167"/>
    <mergeCell ref="B171:C171"/>
    <mergeCell ref="G209:H209"/>
    <mergeCell ref="AJ196:AK196"/>
    <mergeCell ref="AC182:AD182"/>
    <mergeCell ref="U169:V169"/>
    <mergeCell ref="I204:J204"/>
    <mergeCell ref="N204:O204"/>
    <mergeCell ref="H205:I205"/>
    <mergeCell ref="K205:L205"/>
    <mergeCell ref="N205:O205"/>
    <mergeCell ref="G200:H200"/>
    <mergeCell ref="J200:K200"/>
    <mergeCell ref="AF205:AG205"/>
    <mergeCell ref="AF200:AG200"/>
    <mergeCell ref="AE203:AF203"/>
    <mergeCell ref="L203:M203"/>
    <mergeCell ref="H202:I202"/>
    <mergeCell ref="K202:L202"/>
    <mergeCell ref="AI197:AJ197"/>
    <mergeCell ref="AM199:AN199"/>
    <mergeCell ref="AP199:AQ199"/>
    <mergeCell ref="G198:H198"/>
    <mergeCell ref="F197:G197"/>
    <mergeCell ref="E199:F199"/>
    <mergeCell ref="C173:C174"/>
    <mergeCell ref="Z171:AA171"/>
    <mergeCell ref="AA191:AB191"/>
    <mergeCell ref="U193:V193"/>
    <mergeCell ref="S193:T193"/>
    <mergeCell ref="AE196:AF196"/>
    <mergeCell ref="M167:N167"/>
    <mergeCell ref="O167:P167"/>
    <mergeCell ref="Y167:Z167"/>
    <mergeCell ref="Z157:AA157"/>
    <mergeCell ref="F147:P148"/>
    <mergeCell ref="Q147:Y148"/>
    <mergeCell ref="U184:W184"/>
    <mergeCell ref="AT189:AU189"/>
    <mergeCell ref="G189:H189"/>
    <mergeCell ref="L181:M181"/>
    <mergeCell ref="O189:P189"/>
    <mergeCell ref="AD186:AE186"/>
    <mergeCell ref="AN181:AO181"/>
    <mergeCell ref="AM187:AN187"/>
    <mergeCell ref="AO171:AP171"/>
    <mergeCell ref="AO169:AP169"/>
    <mergeCell ref="O169:P169"/>
    <mergeCell ref="M171:N171"/>
    <mergeCell ref="AA164:AB164"/>
    <mergeCell ref="I164:J164"/>
    <mergeCell ref="AA167:AB167"/>
    <mergeCell ref="B2:BB2"/>
    <mergeCell ref="AT15:AU15"/>
    <mergeCell ref="AF13:AG13"/>
    <mergeCell ref="AK13:AL13"/>
    <mergeCell ref="AE14:AF14"/>
    <mergeCell ref="AH14:AI14"/>
    <mergeCell ref="AK14:AL14"/>
    <mergeCell ref="AI15:AJ15"/>
    <mergeCell ref="AL15:AM15"/>
    <mergeCell ref="AG10:AH10"/>
    <mergeCell ref="AB11:AC11"/>
    <mergeCell ref="AB12:AC12"/>
    <mergeCell ref="AE12:AF12"/>
    <mergeCell ref="AH12:AI12"/>
    <mergeCell ref="AC8:AD8"/>
    <mergeCell ref="AQ15:AR15"/>
    <mergeCell ref="AH16:AI16"/>
    <mergeCell ref="H43:H45"/>
    <mergeCell ref="H34:H35"/>
    <mergeCell ref="H36:H38"/>
    <mergeCell ref="H20:H22"/>
    <mergeCell ref="H23:H24"/>
    <mergeCell ref="H18:H19"/>
    <mergeCell ref="I18:I22"/>
    <mergeCell ref="S29:T30"/>
    <mergeCell ref="U29:V30"/>
    <mergeCell ref="W29:X30"/>
    <mergeCell ref="AW26:AW27"/>
    <mergeCell ref="AW28:AW30"/>
    <mergeCell ref="AW31:AW32"/>
    <mergeCell ref="AF20:AG20"/>
    <mergeCell ref="AI20:AJ20"/>
    <mergeCell ref="AL20:AM20"/>
    <mergeCell ref="AE21:AF21"/>
    <mergeCell ref="AJ21:AK21"/>
    <mergeCell ref="AK34:AL34"/>
    <mergeCell ref="AJ27:AK27"/>
    <mergeCell ref="AH28:AI28"/>
    <mergeCell ref="C31:C32"/>
    <mergeCell ref="C36:C37"/>
    <mergeCell ref="AB9:AC9"/>
    <mergeCell ref="I34:J35"/>
    <mergeCell ref="AC17:AD17"/>
    <mergeCell ref="G19:G25"/>
    <mergeCell ref="C33:C35"/>
    <mergeCell ref="G26:G30"/>
    <mergeCell ref="G31:G32"/>
    <mergeCell ref="F31:F32"/>
    <mergeCell ref="F33:F35"/>
    <mergeCell ref="H12:H13"/>
    <mergeCell ref="H14:H16"/>
    <mergeCell ref="S14:T14"/>
    <mergeCell ref="AD10:AE10"/>
    <mergeCell ref="AD35:AE35"/>
    <mergeCell ref="AE27:AF27"/>
    <mergeCell ref="T26:U26"/>
    <mergeCell ref="AR46:AS46"/>
    <mergeCell ref="U49:V49"/>
    <mergeCell ref="I47:I51"/>
    <mergeCell ref="I52:I53"/>
    <mergeCell ref="AH47:AI47"/>
    <mergeCell ref="AC41:AD41"/>
    <mergeCell ref="AC30:AD30"/>
    <mergeCell ref="AS35:AT35"/>
    <mergeCell ref="AQ35:AR35"/>
    <mergeCell ref="AF34:AG34"/>
    <mergeCell ref="T33:T39"/>
    <mergeCell ref="S33:S34"/>
    <mergeCell ref="S35:S37"/>
    <mergeCell ref="S38:S39"/>
    <mergeCell ref="I36:J36"/>
    <mergeCell ref="S43:T43"/>
    <mergeCell ref="U43:V43"/>
    <mergeCell ref="AE40:AF40"/>
    <mergeCell ref="AJ40:AK40"/>
    <mergeCell ref="D81:D83"/>
    <mergeCell ref="D79:D80"/>
    <mergeCell ref="I90:J90"/>
    <mergeCell ref="C78:C86"/>
    <mergeCell ref="L94:M94"/>
    <mergeCell ref="S57:T57"/>
    <mergeCell ref="H57:H59"/>
    <mergeCell ref="H55:H56"/>
    <mergeCell ref="AC23:AD23"/>
    <mergeCell ref="I23:I24"/>
    <mergeCell ref="U23:V23"/>
    <mergeCell ref="H27:H28"/>
    <mergeCell ref="H29:H31"/>
    <mergeCell ref="H41:H42"/>
    <mergeCell ref="G47:G53"/>
    <mergeCell ref="H51:H52"/>
    <mergeCell ref="H48:H50"/>
    <mergeCell ref="H46:H47"/>
    <mergeCell ref="F38:F42"/>
    <mergeCell ref="G44:G45"/>
    <mergeCell ref="G40:G43"/>
    <mergeCell ref="G38:G39"/>
    <mergeCell ref="F36:F37"/>
    <mergeCell ref="G33:G37"/>
    <mergeCell ref="K100:L100"/>
    <mergeCell ref="N100:O100"/>
    <mergeCell ref="Q100:R100"/>
    <mergeCell ref="T97:V97"/>
    <mergeCell ref="T100:V100"/>
    <mergeCell ref="Q94:R94"/>
    <mergeCell ref="T94:U94"/>
    <mergeCell ref="W94:X94"/>
    <mergeCell ref="Z94:AB94"/>
    <mergeCell ref="B71:BB71"/>
    <mergeCell ref="I121:J121"/>
    <mergeCell ref="G122:L122"/>
    <mergeCell ref="U105:V105"/>
    <mergeCell ref="W105:X105"/>
    <mergeCell ref="K106:L106"/>
    <mergeCell ref="M106:N106"/>
    <mergeCell ref="P106:Q106"/>
    <mergeCell ref="R106:S106"/>
    <mergeCell ref="U106:V106"/>
    <mergeCell ref="W106:X106"/>
    <mergeCell ref="R104:S104"/>
    <mergeCell ref="K105:L105"/>
    <mergeCell ref="M105:N105"/>
    <mergeCell ref="P105:Q105"/>
    <mergeCell ref="R105:S105"/>
    <mergeCell ref="K103:L103"/>
    <mergeCell ref="M103:N103"/>
    <mergeCell ref="K104:L104"/>
    <mergeCell ref="M104:N104"/>
    <mergeCell ref="P104:Q104"/>
    <mergeCell ref="K97:L97"/>
    <mergeCell ref="N97:O97"/>
    <mergeCell ref="Q97:R97"/>
    <mergeCell ref="M128:N128"/>
    <mergeCell ref="Q128:R128"/>
    <mergeCell ref="V128:X128"/>
    <mergeCell ref="V131:X131"/>
    <mergeCell ref="N125:O125"/>
    <mergeCell ref="T125:U125"/>
    <mergeCell ref="Y125:Z125"/>
    <mergeCell ref="AB125:AD125"/>
    <mergeCell ref="Z106:AA106"/>
    <mergeCell ref="AB106:AC106"/>
    <mergeCell ref="Z137:AA137"/>
    <mergeCell ref="AB137:AC137"/>
    <mergeCell ref="M131:N131"/>
    <mergeCell ref="Q131:R131"/>
    <mergeCell ref="U136:V136"/>
    <mergeCell ref="W136:X136"/>
    <mergeCell ref="K137:L137"/>
    <mergeCell ref="M137:N137"/>
    <mergeCell ref="P137:Q137"/>
    <mergeCell ref="R137:S137"/>
    <mergeCell ref="U137:V137"/>
    <mergeCell ref="W137:X137"/>
    <mergeCell ref="R135:S135"/>
    <mergeCell ref="K136:L136"/>
    <mergeCell ref="M136:N136"/>
    <mergeCell ref="P136:Q136"/>
    <mergeCell ref="R136:S136"/>
    <mergeCell ref="K134:L134"/>
    <mergeCell ref="M134:N134"/>
    <mergeCell ref="K135:L135"/>
    <mergeCell ref="M135:N135"/>
    <mergeCell ref="P135:Q135"/>
  </mergeCells>
  <conditionalFormatting sqref="H29:H31">
    <cfRule type="cellIs" dxfId="1" priority="2" operator="lessThan">
      <formula>0</formula>
    </cfRule>
  </conditionalFormatting>
  <conditionalFormatting sqref="H43:H45">
    <cfRule type="cellIs" dxfId="0" priority="1" operator="lessThan">
      <formula>0</formula>
    </cfRule>
  </conditionalFormatting>
  <dataValidations disablePrompts="1" count="3">
    <dataValidation type="list" allowBlank="1" showInputMessage="1" showErrorMessage="1" sqref="AC8:AD8 F197:G197 G198:H198" xr:uid="{C9C983AF-733E-4CFD-9A6C-E8CF9E32F53F}">
      <formula1>"420,500"</formula1>
    </dataValidation>
    <dataValidation type="list" allowBlank="1" showInputMessage="1" showErrorMessage="1" sqref="M103:N106 R104:S106 W105:X106 AB106:AC106 M134:N137 R135:S137 W136:X137 AB137:AC137" xr:uid="{52C3C5B4-8C7D-4891-94C5-93D98E8F026F}">
      <formula1>"14,16,18,20,22,24,26,28,30,32,26,40"</formula1>
    </dataValidation>
    <dataValidation type="list" allowBlank="1" showInputMessage="1" showErrorMessage="1" sqref="U184:W184" xr:uid="{B714709F-F251-4316-8864-34F2C590F227}">
      <formula1>"dış kiriş,iç kiriş"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2019-01-15T12:29:45Z</dcterms:created>
  <dcterms:modified xsi:type="dcterms:W3CDTF">2021-04-14T18:33:50Z</dcterms:modified>
</cp:coreProperties>
</file>