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Gurcan Dosyalar\ozel\satis\yeni_yönetmelige_gore_hesaplar(sifreli)\celik2016(yeni_yonetmelik)\"/>
    </mc:Choice>
  </mc:AlternateContent>
  <xr:revisionPtr revIDLastSave="0" documentId="13_ncr:1_{E16F127F-F201-425F-8C9E-E60628142BB4}" xr6:coauthVersionLast="47" xr6:coauthVersionMax="47" xr10:uidLastSave="{00000000-0000-0000-0000-000000000000}"/>
  <bookViews>
    <workbookView xWindow="-120" yWindow="-120" windowWidth="29040" windowHeight="15840" xr2:uid="{B3ED728D-179A-4361-A89B-45C8DD25A737}"/>
  </bookViews>
  <sheets>
    <sheet name="Sheet1" sheetId="1" r:id="rId1"/>
  </sheets>
  <definedNames>
    <definedName name="_xlnm.Print_Area" localSheetId="0">Sheet1!$A$624:$CD$738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619" i="1" l="1"/>
  <c r="AH2745" i="1"/>
  <c r="AO2738" i="1"/>
  <c r="R2738" i="1"/>
  <c r="U2727" i="1"/>
  <c r="S2745" i="1" s="1"/>
  <c r="R2723" i="1"/>
  <c r="AY2723" i="1" s="1"/>
  <c r="AC2721" i="1"/>
  <c r="AI2723" i="1" s="1"/>
  <c r="AB2727" i="1" s="1"/>
  <c r="Z2745" i="1" s="1"/>
  <c r="V2721" i="1"/>
  <c r="AB2723" i="1" s="1"/>
  <c r="Z2738" i="1" s="1"/>
  <c r="S2721" i="1"/>
  <c r="BL2696" i="1"/>
  <c r="U2688" i="1"/>
  <c r="AB2688" i="1"/>
  <c r="Y2718" i="1"/>
  <c r="Y2707" i="1"/>
  <c r="L2741" i="1" s="1"/>
  <c r="S2741" i="1" s="1"/>
  <c r="R2742" i="1" s="1"/>
  <c r="Y2694" i="1"/>
  <c r="N2695" i="1"/>
  <c r="BM2694" i="1"/>
  <c r="BO2691" i="1"/>
  <c r="BL2688" i="1"/>
  <c r="BH2687" i="1"/>
  <c r="AX2696" i="1"/>
  <c r="AG2721" i="1" s="1"/>
  <c r="AY2688" i="1"/>
  <c r="BB2691" i="1"/>
  <c r="AZ2694" i="1"/>
  <c r="AU2687" i="1"/>
  <c r="M2690" i="1"/>
  <c r="AK2690" i="1" s="1"/>
  <c r="T2599" i="1"/>
  <c r="T2612" i="1" s="1"/>
  <c r="T2619" i="1" s="1"/>
  <c r="M2644" i="1" s="1"/>
  <c r="V2644" i="1" s="1"/>
  <c r="V2646" i="1" s="1"/>
  <c r="U2671" i="1"/>
  <c r="H2661" i="1"/>
  <c r="O2661" i="1" s="1"/>
  <c r="M2662" i="1" s="1"/>
  <c r="AH2659" i="1"/>
  <c r="H2668" i="1"/>
  <c r="O2668" i="1" s="1"/>
  <c r="M2669" i="1" s="1"/>
  <c r="BO2666" i="1"/>
  <c r="AQ2610" i="1"/>
  <c r="AU2611" i="1"/>
  <c r="AX2614" i="1"/>
  <c r="AV2617" i="1"/>
  <c r="AT2619" i="1"/>
  <c r="BS2666" i="1" s="1"/>
  <c r="BI2617" i="1"/>
  <c r="BK2614" i="1"/>
  <c r="BH2611" i="1"/>
  <c r="BD2610" i="1"/>
  <c r="J2638" i="1"/>
  <c r="Y2603" i="1"/>
  <c r="M2638" i="1" s="1"/>
  <c r="T2604" i="1"/>
  <c r="G2638" i="1" s="1"/>
  <c r="AG2603" i="1"/>
  <c r="P2638" i="1" s="1"/>
  <c r="K2580" i="1"/>
  <c r="W2580" i="1" s="1"/>
  <c r="AI2580" i="1" s="1"/>
  <c r="AR2580" i="1" s="1"/>
  <c r="BA2580" i="1" s="1"/>
  <c r="R2579" i="1"/>
  <c r="AJ2573" i="1"/>
  <c r="BJ2580" i="1" s="1"/>
  <c r="R2572" i="1"/>
  <c r="K2573" i="1"/>
  <c r="T2573" i="1" s="1"/>
  <c r="AB2573" i="1" s="1"/>
  <c r="X2566" i="1"/>
  <c r="R2552" i="1"/>
  <c r="O2554" i="1" s="1"/>
  <c r="Y2554" i="1" s="1"/>
  <c r="AE2556" i="1" s="1"/>
  <c r="BP2515" i="1"/>
  <c r="BR2512" i="1"/>
  <c r="BO2509" i="1"/>
  <c r="BK2508" i="1"/>
  <c r="BC2515" i="1"/>
  <c r="BE2512" i="1"/>
  <c r="BB2509" i="1"/>
  <c r="AX2508" i="1"/>
  <c r="BA2517" i="1"/>
  <c r="Y2557" i="1" s="1"/>
  <c r="AE2558" i="1" s="1"/>
  <c r="N2564" i="1" s="1"/>
  <c r="BO2517" i="1"/>
  <c r="AB2566" i="1" s="1"/>
  <c r="BN2496" i="1"/>
  <c r="L2539" i="1" s="1"/>
  <c r="BD2496" i="1"/>
  <c r="S2522" i="1" s="1"/>
  <c r="Y2537" i="1" s="1"/>
  <c r="BJ2486" i="1"/>
  <c r="AA2522" i="1" s="1"/>
  <c r="AF2523" i="1" s="1"/>
  <c r="AH2524" i="1" s="1"/>
  <c r="AN2539" i="1" s="1"/>
  <c r="BC2487" i="1"/>
  <c r="P2522" i="1" s="1"/>
  <c r="V2537" i="1" s="1"/>
  <c r="O2502" i="1"/>
  <c r="BH2498" i="1" s="1"/>
  <c r="L2535" i="1" s="1"/>
  <c r="AB2510" i="1"/>
  <c r="AI2500" i="1"/>
  <c r="I1872" i="1"/>
  <c r="P1872" i="1" s="1"/>
  <c r="O1873" i="1" s="1"/>
  <c r="AR1870" i="1"/>
  <c r="AI1870" i="1"/>
  <c r="Z1870" i="1"/>
  <c r="N1870" i="1"/>
  <c r="R1869" i="1"/>
  <c r="R1866" i="1"/>
  <c r="AD1866" i="1" s="1"/>
  <c r="AM1866" i="1" s="1"/>
  <c r="Q1865" i="1"/>
  <c r="AC1865" i="1" s="1"/>
  <c r="Q1855" i="1"/>
  <c r="J1854" i="1"/>
  <c r="H1855" i="1" s="1"/>
  <c r="U1847" i="1"/>
  <c r="E1849" i="1" s="1"/>
  <c r="D1851" i="1" s="1"/>
  <c r="D1852" i="1" s="1"/>
  <c r="D1853" i="1" s="1"/>
  <c r="D1854" i="1" s="1"/>
  <c r="L1844" i="1"/>
  <c r="T1842" i="1"/>
  <c r="R1843" i="1" s="1"/>
  <c r="G1842" i="1"/>
  <c r="G1843" i="1" s="1"/>
  <c r="U1843" i="1" s="1"/>
  <c r="P1844" i="1" s="1"/>
  <c r="K1841" i="1"/>
  <c r="H1841" i="1"/>
  <c r="T1836" i="1"/>
  <c r="BN1833" i="1" s="1"/>
  <c r="AE1833" i="1"/>
  <c r="AV1870" i="1" s="1"/>
  <c r="AK1831" i="1"/>
  <c r="K1842" i="1" s="1"/>
  <c r="M1843" i="1" s="1"/>
  <c r="AS1830" i="1"/>
  <c r="W1830" i="1"/>
  <c r="BN1826" i="1" s="1"/>
  <c r="I1820" i="1"/>
  <c r="P1820" i="1" s="1"/>
  <c r="O1821" i="1" s="1"/>
  <c r="AR1818" i="1"/>
  <c r="AI1818" i="1"/>
  <c r="Y1818" i="1"/>
  <c r="M1818" i="1"/>
  <c r="R1817" i="1"/>
  <c r="Q1813" i="1"/>
  <c r="Q1814" i="1" s="1"/>
  <c r="AC1814" i="1" s="1"/>
  <c r="AM1814" i="1" s="1"/>
  <c r="H1808" i="1"/>
  <c r="S1801" i="1"/>
  <c r="J1800" i="1"/>
  <c r="H1801" i="1" s="1"/>
  <c r="U1793" i="1"/>
  <c r="E1795" i="1" s="1"/>
  <c r="D1797" i="1" s="1"/>
  <c r="D1798" i="1" s="1"/>
  <c r="D1799" i="1" s="1"/>
  <c r="D1800" i="1" s="1"/>
  <c r="R1787" i="1"/>
  <c r="Q1788" i="1" s="1"/>
  <c r="J1787" i="1"/>
  <c r="L1788" i="1" s="1"/>
  <c r="G1787" i="1"/>
  <c r="G1788" i="1" s="1"/>
  <c r="T1788" i="1" s="1"/>
  <c r="K1790" i="1" s="1"/>
  <c r="U1783" i="1"/>
  <c r="AX1780" i="1" s="1"/>
  <c r="AN1782" i="1"/>
  <c r="AE1780" i="1"/>
  <c r="AV1818" i="1" s="1"/>
  <c r="AS1777" i="1"/>
  <c r="X1777" i="1"/>
  <c r="BN1773" i="1" s="1"/>
  <c r="Y2671" i="1" l="1"/>
  <c r="AG2738" i="1"/>
  <c r="L2747" i="1"/>
  <c r="S2747" i="1" s="1"/>
  <c r="R2748" i="1" s="1"/>
  <c r="AF2727" i="1"/>
  <c r="AO2721" i="1"/>
  <c r="AM2723" i="1"/>
  <c r="Z2638" i="1"/>
  <c r="N2652" i="1" s="1"/>
  <c r="D2658" i="1"/>
  <c r="I2659" i="1" s="1"/>
  <c r="R2659" i="1" s="1"/>
  <c r="Z2659" i="1" s="1"/>
  <c r="AH2625" i="1"/>
  <c r="Q2705" i="1"/>
  <c r="AG2705" i="1"/>
  <c r="AC2599" i="1"/>
  <c r="AC2612" i="1" s="1"/>
  <c r="Q2640" i="1" s="1"/>
  <c r="AC2640" i="1" s="1"/>
  <c r="AI2640" i="1" s="1"/>
  <c r="AN2640" i="1" s="1"/>
  <c r="O2671" i="1"/>
  <c r="H2673" i="1"/>
  <c r="AL2659" i="1"/>
  <c r="U2647" i="1"/>
  <c r="Q2648" i="1" s="1"/>
  <c r="K2654" i="1" s="1"/>
  <c r="J2642" i="1"/>
  <c r="Q2642" i="1" s="1"/>
  <c r="L2643" i="1" s="1"/>
  <c r="K2646" i="1" s="1"/>
  <c r="K2647" i="1" s="1"/>
  <c r="K2648" i="1" s="1"/>
  <c r="J2654" i="1" s="1"/>
  <c r="I2631" i="1"/>
  <c r="AF2631" i="1" s="1"/>
  <c r="O2633" i="1" s="1"/>
  <c r="AO2633" i="1" s="1"/>
  <c r="I2650" i="1" s="1"/>
  <c r="I2625" i="1"/>
  <c r="K2626" i="1" s="1"/>
  <c r="Q2625" i="1"/>
  <c r="W2640" i="1" s="1"/>
  <c r="T2625" i="1"/>
  <c r="Y2625" i="1"/>
  <c r="I2634" i="1"/>
  <c r="AC2634" i="1" s="1"/>
  <c r="O2636" i="1" s="1"/>
  <c r="AO2636" i="1" s="1"/>
  <c r="I2651" i="1" s="1"/>
  <c r="K2621" i="1"/>
  <c r="O2622" i="1" s="1"/>
  <c r="N2625" i="1"/>
  <c r="AH2578" i="1"/>
  <c r="AO2580" i="1" s="1"/>
  <c r="J2582" i="1"/>
  <c r="Q2582" i="1" s="1"/>
  <c r="O2583" i="1" s="1"/>
  <c r="AN2573" i="1"/>
  <c r="BN2580" i="1" s="1"/>
  <c r="J2575" i="1"/>
  <c r="Q2575" i="1" s="1"/>
  <c r="O2576" i="1" s="1"/>
  <c r="Q2566" i="1"/>
  <c r="J2568" i="1"/>
  <c r="Q2568" i="1" s="1"/>
  <c r="P2569" i="1" s="1"/>
  <c r="S2537" i="1"/>
  <c r="AE2537" i="1"/>
  <c r="AH2537" i="1"/>
  <c r="AK2537" i="1"/>
  <c r="I2535" i="1"/>
  <c r="AI2557" i="1"/>
  <c r="S2558" i="1" s="1"/>
  <c r="L2564" i="1" s="1"/>
  <c r="I2540" i="1"/>
  <c r="H2556" i="1" s="1"/>
  <c r="G2557" i="1" s="1"/>
  <c r="G2558" i="1" s="1"/>
  <c r="J2564" i="1" s="1"/>
  <c r="V2539" i="1"/>
  <c r="AH2539" i="1" s="1"/>
  <c r="AQ2539" i="1" s="1"/>
  <c r="AX2539" i="1" s="1"/>
  <c r="S2540" i="1" s="1"/>
  <c r="R2556" i="1" s="1"/>
  <c r="S2557" i="1" s="1"/>
  <c r="Y2558" i="1" s="1"/>
  <c r="M2564" i="1" s="1"/>
  <c r="U2523" i="1"/>
  <c r="P2532" i="1" s="1"/>
  <c r="O2535" i="1"/>
  <c r="V2522" i="1"/>
  <c r="M2550" i="1"/>
  <c r="W2550" i="1"/>
  <c r="M2518" i="1"/>
  <c r="Q2519" i="1" s="1"/>
  <c r="K2528" i="1"/>
  <c r="K2522" i="1"/>
  <c r="K2531" i="1"/>
  <c r="O1841" i="1"/>
  <c r="R1841" i="1" s="1"/>
  <c r="BN1780" i="1"/>
  <c r="Y1788" i="1"/>
  <c r="Q1790" i="1" s="1"/>
  <c r="AD1790" i="1" s="1"/>
  <c r="I1792" i="1" s="1"/>
  <c r="O1793" i="1" s="1"/>
  <c r="AB1793" i="1" s="1"/>
  <c r="L1795" i="1" s="1"/>
  <c r="F1796" i="1" s="1"/>
  <c r="N1800" i="1" s="1"/>
  <c r="AA1843" i="1"/>
  <c r="V1844" i="1" s="1"/>
  <c r="AH1844" i="1" s="1"/>
  <c r="I1846" i="1" s="1"/>
  <c r="O1847" i="1" s="1"/>
  <c r="AB1847" i="1" s="1"/>
  <c r="L1849" i="1" s="1"/>
  <c r="F1850" i="1" s="1"/>
  <c r="U1850" i="1" s="1"/>
  <c r="AM1835" i="1"/>
  <c r="AD1813" i="1"/>
  <c r="N1842" i="1"/>
  <c r="M1787" i="1"/>
  <c r="AX1833" i="1"/>
  <c r="AD2745" i="1" l="1"/>
  <c r="AN2727" i="1"/>
  <c r="U2730" i="1" s="1"/>
  <c r="Q2731" i="1" s="1"/>
  <c r="AU2723" i="1"/>
  <c r="G2730" i="1" s="1"/>
  <c r="K2731" i="1" s="1"/>
  <c r="AK2738" i="1"/>
  <c r="P2724" i="1"/>
  <c r="I2736" i="1"/>
  <c r="P2739" i="1" s="1"/>
  <c r="X2724" i="1"/>
  <c r="K2730" i="1"/>
  <c r="P2658" i="1"/>
  <c r="BK2640" i="1"/>
  <c r="K2653" i="1" s="1"/>
  <c r="AT2640" i="1"/>
  <c r="AQ2640" i="1"/>
  <c r="AQ2626" i="1"/>
  <c r="AS2627" i="1" s="1"/>
  <c r="O2673" i="1"/>
  <c r="N2674" i="1" s="1"/>
  <c r="P2631" i="1"/>
  <c r="AK2631" i="1" s="1"/>
  <c r="T2633" i="1" s="1"/>
  <c r="G2643" i="1"/>
  <c r="F2646" i="1" s="1"/>
  <c r="E2647" i="1" s="1"/>
  <c r="E2648" i="1" s="1"/>
  <c r="I2654" i="1" s="1"/>
  <c r="N2640" i="1"/>
  <c r="BF2640" i="1" s="1"/>
  <c r="J2653" i="1" s="1"/>
  <c r="Y2642" i="1"/>
  <c r="N2634" i="1"/>
  <c r="V2634" i="1" s="1"/>
  <c r="V2626" i="1"/>
  <c r="Z2640" i="1"/>
  <c r="M2627" i="1"/>
  <c r="M2664" i="1" s="1"/>
  <c r="R2666" i="1" s="1"/>
  <c r="I2635" i="1"/>
  <c r="Z2635" i="1" s="1"/>
  <c r="AC2636" i="1" s="1"/>
  <c r="Q2623" i="1"/>
  <c r="Q2657" i="1" s="1"/>
  <c r="W2659" i="1" s="1"/>
  <c r="S2634" i="1"/>
  <c r="AD2626" i="1"/>
  <c r="AF2627" i="1" s="1"/>
  <c r="AF2664" i="1" s="1"/>
  <c r="AM2666" i="1" s="1"/>
  <c r="AF2640" i="1"/>
  <c r="S2626" i="1"/>
  <c r="T2640" i="1"/>
  <c r="M2523" i="1"/>
  <c r="O2524" i="1" s="1"/>
  <c r="O2578" i="1" s="1"/>
  <c r="T2580" i="1" s="1"/>
  <c r="P2537" i="1"/>
  <c r="AU2537" i="1" s="1"/>
  <c r="K2563" i="1" s="1"/>
  <c r="X2523" i="1"/>
  <c r="Z2524" i="1" s="1"/>
  <c r="AB2537" i="1"/>
  <c r="AX2537" i="1" s="1"/>
  <c r="O2563" i="1" s="1"/>
  <c r="W2524" i="1"/>
  <c r="Y2535" i="1"/>
  <c r="O2562" i="1" s="1"/>
  <c r="P2531" i="1"/>
  <c r="AE2531" i="1"/>
  <c r="Q2533" i="1" s="1"/>
  <c r="AQ2533" i="1" s="1"/>
  <c r="J2561" i="1" s="1"/>
  <c r="AH2528" i="1"/>
  <c r="Q2530" i="1" s="1"/>
  <c r="AQ2530" i="1" s="1"/>
  <c r="J2560" i="1" s="1"/>
  <c r="R2528" i="1"/>
  <c r="U2531" i="1"/>
  <c r="S2520" i="1"/>
  <c r="V1841" i="1"/>
  <c r="U1796" i="1"/>
  <c r="AD1796" i="1" s="1"/>
  <c r="L1797" i="1" s="1"/>
  <c r="G1798" i="1" s="1"/>
  <c r="G1799" i="1" s="1"/>
  <c r="G1800" i="1" s="1"/>
  <c r="D1801" i="1" s="1"/>
  <c r="L1854" i="1"/>
  <c r="W1854" i="1" s="1"/>
  <c r="T1855" i="1" s="1"/>
  <c r="S1856" i="1" s="1"/>
  <c r="K1801" i="1"/>
  <c r="H1802" i="1" s="1"/>
  <c r="Z1800" i="1"/>
  <c r="V1801" i="1" s="1"/>
  <c r="T1802" i="1" s="1"/>
  <c r="AD1850" i="1"/>
  <c r="L1851" i="1" s="1"/>
  <c r="G1852" i="1" s="1"/>
  <c r="G1853" i="1" s="1"/>
  <c r="G1854" i="1" s="1"/>
  <c r="D1855" i="1" s="1"/>
  <c r="T2724" i="1" l="1"/>
  <c r="G2731" i="1"/>
  <c r="G2732" i="1" s="1"/>
  <c r="K2732" i="1"/>
  <c r="BN2640" i="1"/>
  <c r="N2653" i="1" s="1"/>
  <c r="I2666" i="1"/>
  <c r="U2666" i="1" s="1"/>
  <c r="AG2666" i="1" s="1"/>
  <c r="AP2666" i="1" s="1"/>
  <c r="P2665" i="1"/>
  <c r="Q2650" i="1" a="1"/>
  <c r="Q2650" i="1" s="1"/>
  <c r="X2631" i="1"/>
  <c r="AH2634" i="1"/>
  <c r="T2636" i="1" s="1"/>
  <c r="U2631" i="1"/>
  <c r="V2642" i="1"/>
  <c r="O2643" i="1" s="1"/>
  <c r="N2646" i="1" s="1"/>
  <c r="O2647" i="1" s="1"/>
  <c r="U2648" i="1" s="1"/>
  <c r="N2654" i="1" s="1"/>
  <c r="AK2634" i="1"/>
  <c r="W2636" i="1" s="1"/>
  <c r="I2632" i="1"/>
  <c r="Z2632" i="1" s="1"/>
  <c r="AC2633" i="1" s="1"/>
  <c r="X2627" i="1"/>
  <c r="X2664" i="1" s="1"/>
  <c r="AD2666" i="1" s="1"/>
  <c r="Q2635" i="1"/>
  <c r="U2627" i="1"/>
  <c r="U2664" i="1" s="1"/>
  <c r="AA2666" i="1" s="1"/>
  <c r="N2635" i="1"/>
  <c r="S2529" i="1"/>
  <c r="Z2578" i="1"/>
  <c r="AF2580" i="1" s="1"/>
  <c r="P2529" i="1"/>
  <c r="W2578" i="1"/>
  <c r="AC2580" i="1" s="1"/>
  <c r="W2528" i="1"/>
  <c r="S2571" i="1"/>
  <c r="Y2573" i="1" s="1"/>
  <c r="AB2539" i="1"/>
  <c r="S2532" i="1"/>
  <c r="AG2532" i="1" s="1"/>
  <c r="AJ2533" i="1" s="1"/>
  <c r="AE2539" i="1"/>
  <c r="K2532" i="1"/>
  <c r="AB2532" i="1" s="1"/>
  <c r="AE2533" i="1" s="1"/>
  <c r="K2529" i="1"/>
  <c r="AB2529" i="1" s="1"/>
  <c r="AE2530" i="1" s="1"/>
  <c r="S2539" i="1"/>
  <c r="N2540" i="1" s="1"/>
  <c r="M2556" i="1" s="1"/>
  <c r="M2557" i="1" s="1"/>
  <c r="M2558" i="1" s="1"/>
  <c r="K2564" i="1" s="1"/>
  <c r="R2560" i="1" s="1" a="1"/>
  <c r="R2560" i="1" s="1"/>
  <c r="AM2528" i="1"/>
  <c r="V2530" i="1" s="1"/>
  <c r="Z2528" i="1"/>
  <c r="AJ2531" i="1"/>
  <c r="V2533" i="1" s="1"/>
  <c r="X2531" i="1"/>
  <c r="AM2531" i="1" s="1"/>
  <c r="Y2533" i="1" s="1"/>
  <c r="J1855" i="1"/>
  <c r="H1856" i="1" s="1"/>
  <c r="L1862" i="1" s="1"/>
  <c r="D1802" i="1"/>
  <c r="P1802" i="1"/>
  <c r="O1856" i="1"/>
  <c r="D1856" i="1"/>
  <c r="X1810" i="1"/>
  <c r="AA1813" i="1" s="1"/>
  <c r="V1804" i="1"/>
  <c r="Z1805" i="1" s="1"/>
  <c r="U1807" i="1" s="1"/>
  <c r="AA1808" i="1" s="1"/>
  <c r="Z1865" i="1"/>
  <c r="W1862" i="1"/>
  <c r="U1858" i="1"/>
  <c r="Y1859" i="1" s="1"/>
  <c r="L1810" i="1"/>
  <c r="J1804" i="1"/>
  <c r="J1805" i="1" s="1"/>
  <c r="I2733" i="1" l="1"/>
  <c r="Y2709" i="1" s="1"/>
  <c r="Y2702" i="1" s="1"/>
  <c r="I2703" i="1" s="1"/>
  <c r="AO2703" i="1" s="1"/>
  <c r="BF2666" i="1"/>
  <c r="AY2666" i="1"/>
  <c r="AN2631" i="1"/>
  <c r="W2633" i="1" s="1"/>
  <c r="AE2635" i="1"/>
  <c r="AH2636" i="1" s="1"/>
  <c r="AT2636" i="1" s="1"/>
  <c r="N2651" i="1" s="1"/>
  <c r="Q2632" i="1"/>
  <c r="N2632" i="1"/>
  <c r="AG2529" i="1"/>
  <c r="AJ2530" i="1" s="1"/>
  <c r="X2540" i="1"/>
  <c r="W2556" i="1" s="1"/>
  <c r="AC2557" i="1" s="1"/>
  <c r="AI2558" i="1" s="1"/>
  <c r="O2564" i="1" s="1"/>
  <c r="AP2528" i="1"/>
  <c r="Y2530" i="1" s="1"/>
  <c r="AV2533" i="1"/>
  <c r="O2561" i="1" s="1"/>
  <c r="J1858" i="1"/>
  <c r="J1859" i="1" s="1"/>
  <c r="I1860" i="1" s="1"/>
  <c r="P1860" i="1" s="1"/>
  <c r="N1865" i="1"/>
  <c r="J1865" i="1"/>
  <c r="H1862" i="1"/>
  <c r="F1858" i="1"/>
  <c r="D1859" i="1" s="1"/>
  <c r="D1860" i="1" s="1"/>
  <c r="V1865" i="1"/>
  <c r="S1862" i="1"/>
  <c r="Q1858" i="1"/>
  <c r="S1859" i="1" s="1"/>
  <c r="S1860" i="1" s="1"/>
  <c r="H1810" i="1"/>
  <c r="J1813" i="1" s="1"/>
  <c r="F1804" i="1"/>
  <c r="D1805" i="1" s="1"/>
  <c r="D1807" i="1" s="1"/>
  <c r="D1808" i="1" s="1"/>
  <c r="J1807" i="1"/>
  <c r="J1808" i="1" s="1"/>
  <c r="N1813" i="1"/>
  <c r="F1806" i="1"/>
  <c r="AB1860" i="1"/>
  <c r="T1861" i="1" s="1"/>
  <c r="Y1860" i="1"/>
  <c r="T1810" i="1"/>
  <c r="W1813" i="1" s="1"/>
  <c r="R1804" i="1"/>
  <c r="T1805" i="1" s="1"/>
  <c r="O1807" i="1" s="1"/>
  <c r="U1808" i="1" s="1"/>
  <c r="O1809" i="1" s="1"/>
  <c r="S1811" i="1" s="1"/>
  <c r="O2745" i="1" l="1"/>
  <c r="AL2745" i="1" s="1"/>
  <c r="I2746" i="1" s="1"/>
  <c r="I2748" i="1" s="1"/>
  <c r="V2738" i="1"/>
  <c r="AS2738" i="1" s="1"/>
  <c r="T2739" i="1" s="1"/>
  <c r="X2739" i="1" s="1"/>
  <c r="I2740" i="1" s="1"/>
  <c r="I2742" i="1" s="1"/>
  <c r="AE2632" i="1"/>
  <c r="AH2633" i="1" s="1"/>
  <c r="AT2633" i="1" s="1"/>
  <c r="N2650" i="1" s="1"/>
  <c r="V2650" i="1" s="1" a="1"/>
  <c r="V2650" i="1" s="1"/>
  <c r="E2650" i="1" s="1"/>
  <c r="AV2530" i="1"/>
  <c r="O2560" i="1" s="1"/>
  <c r="W2560" i="1" s="1" a="1"/>
  <c r="G2561" i="1" s="1"/>
  <c r="P2580" i="1" s="1"/>
  <c r="I1861" i="1"/>
  <c r="M1863" i="1" s="1"/>
  <c r="AQ1813" i="1"/>
  <c r="AI1814" i="1" s="1"/>
  <c r="P1861" i="1"/>
  <c r="T1815" i="1"/>
  <c r="Q1816" i="1" s="1"/>
  <c r="V1814" i="1"/>
  <c r="R1818" i="1"/>
  <c r="D1861" i="1"/>
  <c r="AA1866" i="1"/>
  <c r="X1863" i="1"/>
  <c r="AP1865" i="1"/>
  <c r="M1808" i="1"/>
  <c r="U1806" i="1"/>
  <c r="AD1806" i="1" s="1"/>
  <c r="D1809" i="1"/>
  <c r="H1811" i="1" s="1"/>
  <c r="W2742" i="1" l="1"/>
  <c r="N2742" i="1"/>
  <c r="N2748" i="1"/>
  <c r="W2748" i="1"/>
  <c r="E2659" i="1"/>
  <c r="E2666" i="1"/>
  <c r="E2651" i="1"/>
  <c r="E2653" i="1"/>
  <c r="BB2666" i="1" s="1"/>
  <c r="E2654" i="1"/>
  <c r="BI2666" i="1" s="1"/>
  <c r="E2652" i="1"/>
  <c r="K2671" i="1" s="1"/>
  <c r="E2672" i="1" s="1"/>
  <c r="E2674" i="1" s="1"/>
  <c r="I2607" i="1"/>
  <c r="AX2495" i="1"/>
  <c r="P2573" i="1"/>
  <c r="W2560" i="1"/>
  <c r="G2560" i="1" s="1"/>
  <c r="G2580" i="1" s="1"/>
  <c r="G2562" i="1"/>
  <c r="G2564" i="1"/>
  <c r="BD2580" i="1" s="1"/>
  <c r="G2563" i="1"/>
  <c r="AW2580" i="1" s="1"/>
  <c r="AC1816" i="1"/>
  <c r="AE1818" i="1" s="1"/>
  <c r="O1866" i="1"/>
  <c r="F1818" i="1"/>
  <c r="I1815" i="1"/>
  <c r="F1816" i="1" s="1"/>
  <c r="J1814" i="1"/>
  <c r="AD1808" i="1"/>
  <c r="S1809" i="1" s="1"/>
  <c r="W1811" i="1" s="1"/>
  <c r="H1809" i="1"/>
  <c r="L1811" i="1" s="1"/>
  <c r="K1870" i="1"/>
  <c r="N1867" i="1"/>
  <c r="K1868" i="1" s="1"/>
  <c r="H1863" i="1"/>
  <c r="J1866" i="1"/>
  <c r="AC1868" i="1"/>
  <c r="AE1870" i="1" s="1"/>
  <c r="AI1866" i="1"/>
  <c r="Y1867" i="1"/>
  <c r="V1868" i="1" s="1"/>
  <c r="W1870" i="1"/>
  <c r="T1863" i="1"/>
  <c r="W1866" i="1"/>
  <c r="AU2666" i="1" l="1"/>
  <c r="Y2610" i="1"/>
  <c r="Y2614" i="1" s="1"/>
  <c r="J2674" i="1"/>
  <c r="S2674" i="1"/>
  <c r="O2611" i="1"/>
  <c r="N2659" i="1"/>
  <c r="E2660" i="1" s="1"/>
  <c r="D2662" i="1" s="1"/>
  <c r="N2666" i="1"/>
  <c r="G2581" i="1"/>
  <c r="F2583" i="1" s="1"/>
  <c r="BR2494" i="1"/>
  <c r="AT2490" i="1"/>
  <c r="G2573" i="1"/>
  <c r="G2574" i="1" s="1"/>
  <c r="F2576" i="1" s="1"/>
  <c r="R2541" i="1"/>
  <c r="AW1866" i="1"/>
  <c r="AI1868" i="1" s="1"/>
  <c r="AL1870" i="1" s="1"/>
  <c r="F1870" i="1"/>
  <c r="I1867" i="1"/>
  <c r="F1868" i="1" s="1"/>
  <c r="U1867" i="1"/>
  <c r="R1868" i="1" s="1"/>
  <c r="S1870" i="1"/>
  <c r="M1815" i="1"/>
  <c r="J1816" i="1" s="1"/>
  <c r="N1814" i="1"/>
  <c r="J1818" i="1"/>
  <c r="X1815" i="1"/>
  <c r="U1816" i="1" s="1"/>
  <c r="Z1814" i="1"/>
  <c r="V1818" i="1"/>
  <c r="E2667" i="1" l="1"/>
  <c r="D2669" i="1" s="1"/>
  <c r="I2669" i="1" s="1"/>
  <c r="R2662" i="1"/>
  <c r="I2662" i="1"/>
  <c r="T2583" i="1"/>
  <c r="K2583" i="1"/>
  <c r="T2576" i="1"/>
  <c r="K2576" i="1"/>
  <c r="M2566" i="1"/>
  <c r="G2567" i="1" s="1"/>
  <c r="G2569" i="1" s="1"/>
  <c r="L2569" i="1" s="1"/>
  <c r="AB2549" i="1"/>
  <c r="H2549" i="1"/>
  <c r="AW1814" i="1"/>
  <c r="AI1816" i="1" s="1"/>
  <c r="AL1818" i="1" s="1"/>
  <c r="F1819" i="1" s="1"/>
  <c r="F1821" i="1" s="1"/>
  <c r="K1821" i="1" s="1"/>
  <c r="F1871" i="1"/>
  <c r="F1873" i="1" s="1"/>
  <c r="T1873" i="1" s="1"/>
  <c r="AF2717" i="1" l="1"/>
  <c r="R2669" i="1"/>
  <c r="U2569" i="1"/>
  <c r="T1821" i="1"/>
  <c r="K1873" i="1"/>
  <c r="R2717" i="1" l="1"/>
  <c r="H1254" i="1"/>
  <c r="H1255" i="1" s="1"/>
  <c r="H1251" i="1"/>
  <c r="Q1251" i="1" s="1"/>
  <c r="W1250" i="1"/>
  <c r="H1243" i="1"/>
  <c r="O1243" i="1" s="1"/>
  <c r="M1244" i="1" s="1"/>
  <c r="H1241" i="1"/>
  <c r="R1241" i="1" s="1"/>
  <c r="AA1241" i="1" s="1"/>
  <c r="AJ1241" i="1" s="1"/>
  <c r="H1236" i="1"/>
  <c r="O1236" i="1" s="1"/>
  <c r="M1237" i="1" s="1"/>
  <c r="AH1234" i="1"/>
  <c r="AS1241" i="1" s="1"/>
  <c r="H1234" i="1"/>
  <c r="R1234" i="1" s="1"/>
  <c r="AA1234" i="1" s="1"/>
  <c r="P1233" i="1"/>
  <c r="J1221" i="1"/>
  <c r="Q1221" i="1" s="1"/>
  <c r="J1218" i="1"/>
  <c r="J1215" i="1"/>
  <c r="R1215" i="1" s="1"/>
  <c r="AG1215" i="1" s="1"/>
  <c r="N1217" i="1" s="1"/>
  <c r="I1228" i="1" s="1"/>
  <c r="J1210" i="1"/>
  <c r="Q1210" i="1" s="1"/>
  <c r="N1212" i="1" s="1"/>
  <c r="I1225" i="1" s="1"/>
  <c r="E1203" i="1"/>
  <c r="H1247" i="1" s="1"/>
  <c r="E1198" i="1"/>
  <c r="E1199" i="1" s="1"/>
  <c r="AQ1193" i="1"/>
  <c r="AH1193" i="1"/>
  <c r="AB1193" i="1"/>
  <c r="F1192" i="1"/>
  <c r="AE1193" i="1" s="1"/>
  <c r="Y1193" i="1" s="1"/>
  <c r="AQ1191" i="1"/>
  <c r="AH1191" i="1"/>
  <c r="AB1191" i="1"/>
  <c r="E1190" i="1"/>
  <c r="AE1191" i="1" s="1"/>
  <c r="Y1191" i="1" s="1"/>
  <c r="AQ1189" i="1"/>
  <c r="AH1189" i="1"/>
  <c r="AB1189" i="1"/>
  <c r="E1188" i="1"/>
  <c r="AE1189" i="1" s="1"/>
  <c r="Y1189" i="1" s="1"/>
  <c r="AQ1187" i="1"/>
  <c r="AH1187" i="1"/>
  <c r="AB1187" i="1"/>
  <c r="F1178" i="1"/>
  <c r="AL1234" i="1" s="1"/>
  <c r="AW1241" i="1" s="1"/>
  <c r="I1176" i="1"/>
  <c r="AS1174" i="1"/>
  <c r="K1247" i="1" s="1"/>
  <c r="K1173" i="1"/>
  <c r="J1170" i="1"/>
  <c r="C1168" i="1"/>
  <c r="AV2929" i="1"/>
  <c r="AF2930" i="1" s="1"/>
  <c r="AP2929" i="1"/>
  <c r="AI2929" i="1"/>
  <c r="W2929" i="1"/>
  <c r="AA2925" i="1"/>
  <c r="V2926" i="1" s="1"/>
  <c r="T2925" i="1"/>
  <c r="AM2834" i="1"/>
  <c r="X2835" i="1" s="1"/>
  <c r="AG2834" i="1"/>
  <c r="Z2834" i="1"/>
  <c r="N2834" i="1"/>
  <c r="K2830" i="1"/>
  <c r="Q2830" i="1" s="1"/>
  <c r="N2831" i="1" s="1"/>
  <c r="X2829" i="1"/>
  <c r="H2895" i="1"/>
  <c r="J2818" i="1"/>
  <c r="Q2818" i="1" s="1"/>
  <c r="P2819" i="1" s="1"/>
  <c r="AH2816" i="1"/>
  <c r="O2815" i="1"/>
  <c r="W2815" i="1" s="1"/>
  <c r="AG2815" i="1" s="1"/>
  <c r="S2814" i="1"/>
  <c r="R2822" i="1"/>
  <c r="S2821" i="1"/>
  <c r="AK2844" i="1"/>
  <c r="K2895" i="1" s="1"/>
  <c r="BO2848" i="1"/>
  <c r="BR2851" i="1"/>
  <c r="BP2854" i="1"/>
  <c r="BK2847" i="1"/>
  <c r="AK2846" i="1"/>
  <c r="AT2907" i="1" s="1"/>
  <c r="BW2914" i="1" s="1"/>
  <c r="BC2854" i="1"/>
  <c r="BE2851" i="1"/>
  <c r="BB2848" i="1"/>
  <c r="AX2847" i="1"/>
  <c r="V2914" i="1"/>
  <c r="AH2914" i="1" s="1"/>
  <c r="AR2914" i="1" s="1"/>
  <c r="AZ2914" i="1" s="1"/>
  <c r="BJ2914" i="1" s="1"/>
  <c r="T2913" i="1"/>
  <c r="AP2907" i="1"/>
  <c r="BS2914" i="1" s="1"/>
  <c r="S2907" i="1"/>
  <c r="AA2907" i="1" s="1"/>
  <c r="AK2907" i="1" s="1"/>
  <c r="AL2876" i="1"/>
  <c r="AQ2877" i="1" s="1"/>
  <c r="AQ2878" i="1" s="1"/>
  <c r="Y2864" i="1"/>
  <c r="Y2881" i="1" s="1"/>
  <c r="AK2881" i="1" s="1"/>
  <c r="AS2881" i="1" s="1"/>
  <c r="P2864" i="1"/>
  <c r="AC2876" i="1" s="1"/>
  <c r="AC2877" i="1" s="1"/>
  <c r="P2858" i="1"/>
  <c r="K2869" i="1" s="1"/>
  <c r="R2855" i="1"/>
  <c r="K2909" i="1" s="1"/>
  <c r="R2909" i="1" s="1"/>
  <c r="Q2910" i="1" s="1"/>
  <c r="AL2757" i="1"/>
  <c r="J1214" i="1" l="1"/>
  <c r="Q1214" i="1" s="1"/>
  <c r="AA1214" i="1" s="1"/>
  <c r="K1227" i="1" s="1"/>
  <c r="P1240" i="1"/>
  <c r="N1193" i="1"/>
  <c r="N1191" i="1"/>
  <c r="T1193" i="1"/>
  <c r="Q1193" i="1" s="1"/>
  <c r="E1255" i="1"/>
  <c r="AK1191" i="1"/>
  <c r="AN1191" i="1"/>
  <c r="AN1193" i="1"/>
  <c r="Y2928" i="1"/>
  <c r="T1191" i="1"/>
  <c r="Q1191" i="1" s="1"/>
  <c r="Y2924" i="1"/>
  <c r="AN1189" i="1"/>
  <c r="AF2929" i="1"/>
  <c r="N1189" i="1"/>
  <c r="Y1215" i="1"/>
  <c r="AL1215" i="1" s="1"/>
  <c r="S1217" i="1" s="1"/>
  <c r="J1228" i="1" s="1"/>
  <c r="AS2929" i="1"/>
  <c r="AC2930" i="1" s="1"/>
  <c r="W1253" i="1"/>
  <c r="T1189" i="1"/>
  <c r="Q1189" i="1" s="1"/>
  <c r="Q1254" i="1"/>
  <c r="AK1189" i="1"/>
  <c r="AD1221" i="1"/>
  <c r="N1223" i="1" s="1"/>
  <c r="I1230" i="1" s="1"/>
  <c r="X1221" i="1"/>
  <c r="AI1221" i="1" s="1"/>
  <c r="S1223" i="1" s="1"/>
  <c r="J1230" i="1" s="1"/>
  <c r="E1251" i="1"/>
  <c r="G1210" i="1"/>
  <c r="U1212" i="1" s="1"/>
  <c r="O1225" i="1" s="1"/>
  <c r="E1200" i="1"/>
  <c r="AK1193" i="1"/>
  <c r="L1213" i="1"/>
  <c r="T1213" i="1" s="1"/>
  <c r="G1218" i="1"/>
  <c r="R1218" i="1" s="1"/>
  <c r="P1220" i="1" s="1"/>
  <c r="O1229" i="1" s="1"/>
  <c r="E1252" i="1"/>
  <c r="H1252" i="1"/>
  <c r="E1204" i="1"/>
  <c r="G1214" i="1" s="1"/>
  <c r="V2869" i="1"/>
  <c r="N2870" i="1" s="1"/>
  <c r="H2869" i="1"/>
  <c r="Q2870" i="1" s="1"/>
  <c r="S2816" i="1"/>
  <c r="AC2816" i="1" s="1"/>
  <c r="K2816" i="1"/>
  <c r="T2887" i="1"/>
  <c r="AB2887" i="1" s="1"/>
  <c r="T2884" i="1"/>
  <c r="H2920" i="1"/>
  <c r="H2896" i="1"/>
  <c r="AD2895" i="1"/>
  <c r="AC2878" i="1"/>
  <c r="AB2888" i="1"/>
  <c r="BA2881" i="1"/>
  <c r="BI2881" i="1" s="1"/>
  <c r="AL2882" i="1" s="1"/>
  <c r="T2883" i="1" s="1"/>
  <c r="M2899" i="1" s="1"/>
  <c r="AF2882" i="1"/>
  <c r="AX2881" i="1"/>
  <c r="AS2912" i="1"/>
  <c r="AW2914" i="1" s="1"/>
  <c r="T2872" i="1"/>
  <c r="N2869" i="1"/>
  <c r="Q2869" i="1" s="1"/>
  <c r="T2906" i="1"/>
  <c r="R2876" i="1"/>
  <c r="O2920" i="1"/>
  <c r="R2920" i="1"/>
  <c r="W2876" i="1"/>
  <c r="Z2929" i="1" s="1"/>
  <c r="S2930" i="1" s="1"/>
  <c r="AB2884" i="1"/>
  <c r="AJ2884" i="1" s="1"/>
  <c r="AO2884" i="1" s="1"/>
  <c r="R2886" i="1" s="1"/>
  <c r="AR2886" i="1" s="1"/>
  <c r="L2900" i="1" s="1"/>
  <c r="T2891" i="1"/>
  <c r="AB2891" i="1" s="1"/>
  <c r="AJ2891" i="1" s="1"/>
  <c r="AO2891" i="1" s="1"/>
  <c r="J2892" i="1" s="1"/>
  <c r="P2894" i="1" s="1"/>
  <c r="R2895" i="1" s="1"/>
  <c r="Z2876" i="1"/>
  <c r="AC2929" i="1" s="1"/>
  <c r="V2930" i="1" s="1"/>
  <c r="K2916" i="1"/>
  <c r="R2916" i="1" s="1"/>
  <c r="Q2917" i="1" s="1"/>
  <c r="U2920" i="1"/>
  <c r="X2920" i="1" s="1"/>
  <c r="AL2759" i="1"/>
  <c r="BP2767" i="1"/>
  <c r="BR2764" i="1"/>
  <c r="BO2761" i="1"/>
  <c r="BK2760" i="1"/>
  <c r="BC2767" i="1"/>
  <c r="BE2764" i="1"/>
  <c r="BB2761" i="1"/>
  <c r="AX2760" i="1"/>
  <c r="J2825" i="1"/>
  <c r="Q2825" i="1" s="1"/>
  <c r="P2826" i="1" s="1"/>
  <c r="BK2823" i="1"/>
  <c r="L2809" i="1"/>
  <c r="I2809" i="1"/>
  <c r="AG2793" i="1"/>
  <c r="Y2778" i="1"/>
  <c r="X2833" i="1" s="1"/>
  <c r="P2778" i="1"/>
  <c r="M2801" i="1" s="1"/>
  <c r="U2801" i="1" s="1"/>
  <c r="P2772" i="1"/>
  <c r="M2789" i="1" s="1"/>
  <c r="AB2771" i="1"/>
  <c r="S2781" i="1" s="1"/>
  <c r="R2768" i="1"/>
  <c r="AZ2399" i="1"/>
  <c r="AA2478" i="1" s="1"/>
  <c r="BN2399" i="1"/>
  <c r="R2455" i="1" s="1"/>
  <c r="BN2391" i="1"/>
  <c r="BQ2394" i="1"/>
  <c r="BO2397" i="1"/>
  <c r="BJ2390" i="1"/>
  <c r="BB2397" i="1"/>
  <c r="BD2394" i="1"/>
  <c r="BA2391" i="1"/>
  <c r="AW2390" i="1"/>
  <c r="BI2286" i="1"/>
  <c r="BG2289" i="1"/>
  <c r="BB2282" i="1"/>
  <c r="BF2283" i="1"/>
  <c r="AO2282" i="1"/>
  <c r="AT2289" i="1"/>
  <c r="AV2286" i="1"/>
  <c r="AS2283" i="1"/>
  <c r="BF2291" i="1"/>
  <c r="Z2370" i="1" s="1"/>
  <c r="AR2291" i="1"/>
  <c r="W2478" i="1"/>
  <c r="Q2475" i="1"/>
  <c r="I2480" i="1" s="1"/>
  <c r="P2480" i="1" s="1"/>
  <c r="O2481" i="1" s="1"/>
  <c r="BL2461" i="1"/>
  <c r="Y2444" i="1"/>
  <c r="AA2425" i="1"/>
  <c r="U2428" i="1" s="1"/>
  <c r="M2425" i="1"/>
  <c r="X2415" i="1"/>
  <c r="F2432" i="1" s="1"/>
  <c r="AH2414" i="1"/>
  <c r="L2432" i="1" s="1"/>
  <c r="J2400" i="1"/>
  <c r="L2473" i="1" s="1"/>
  <c r="Q2389" i="1"/>
  <c r="V2473" i="1" s="1"/>
  <c r="V2370" i="1"/>
  <c r="P2355" i="1"/>
  <c r="O2370" i="1" s="1"/>
  <c r="P2317" i="1"/>
  <c r="U2315" i="1" s="1"/>
  <c r="O2306" i="1"/>
  <c r="R2328" i="1" s="1"/>
  <c r="S2298" i="1"/>
  <c r="AE2294" i="1"/>
  <c r="U2292" i="1"/>
  <c r="H2287" i="1"/>
  <c r="AF1214" i="1" l="1"/>
  <c r="O1227" i="1" s="1"/>
  <c r="R2877" i="1"/>
  <c r="T2888" i="1" s="1"/>
  <c r="T2929" i="1"/>
  <c r="V2873" i="1"/>
  <c r="Y2887" i="1" s="1"/>
  <c r="X2925" i="1"/>
  <c r="S2926" i="1" s="1"/>
  <c r="AP1213" i="1"/>
  <c r="K1226" i="1" s="1"/>
  <c r="AA1213" i="1"/>
  <c r="E1201" i="1"/>
  <c r="G1221" i="1"/>
  <c r="AL1221" i="1" s="1"/>
  <c r="X1223" i="1" s="1"/>
  <c r="O1230" i="1" s="1"/>
  <c r="E1254" i="1"/>
  <c r="E1205" i="1"/>
  <c r="Z2870" i="1"/>
  <c r="O2876" i="1" s="1"/>
  <c r="R2428" i="1"/>
  <c r="O2790" i="1"/>
  <c r="O2791" i="1" s="1"/>
  <c r="T2815" i="1" s="1"/>
  <c r="P2816" i="1" s="1"/>
  <c r="N2830" i="1"/>
  <c r="K2831" i="1" s="1"/>
  <c r="AL2794" i="1"/>
  <c r="AL2795" i="1" s="1"/>
  <c r="AS2822" i="1" s="1"/>
  <c r="AO2823" i="1" s="1"/>
  <c r="AJ2834" i="1"/>
  <c r="U2835" i="1" s="1"/>
  <c r="Z2809" i="1"/>
  <c r="AL2816" i="1"/>
  <c r="P2452" i="1"/>
  <c r="G2781" i="1"/>
  <c r="V2781" i="1"/>
  <c r="I2784" i="1"/>
  <c r="N2896" i="1"/>
  <c r="H2897" i="1" s="1"/>
  <c r="L2902" i="1" s="1"/>
  <c r="AB2885" i="1"/>
  <c r="AH2881" i="1"/>
  <c r="AE2912" i="1"/>
  <c r="AE2914" i="1" s="1"/>
  <c r="Z2877" i="1"/>
  <c r="H2870" i="1"/>
  <c r="T2870" i="1" s="1"/>
  <c r="H2372" i="1"/>
  <c r="O2372" i="1" s="1"/>
  <c r="N2373" i="1" s="1"/>
  <c r="M2781" i="1"/>
  <c r="P2781" i="1" s="1"/>
  <c r="M2798" i="1"/>
  <c r="U2798" i="1" s="1"/>
  <c r="AC2798" i="1" s="1"/>
  <c r="AH2798" i="1" s="1"/>
  <c r="K2793" i="1"/>
  <c r="S2793" i="1"/>
  <c r="T2834" i="1" s="1"/>
  <c r="N2835" i="1" s="1"/>
  <c r="K2353" i="1"/>
  <c r="V2793" i="1"/>
  <c r="BO2823" i="1"/>
  <c r="N2823" i="1"/>
  <c r="Z2823" i="1" s="1"/>
  <c r="AJ2823" i="1" s="1"/>
  <c r="AR2823" i="1" s="1"/>
  <c r="BB2823" i="1" s="1"/>
  <c r="AD2822" i="1"/>
  <c r="AN2822" i="1" s="1"/>
  <c r="AV2822" i="1" s="1"/>
  <c r="BF2822" i="1" s="1"/>
  <c r="J2781" i="1"/>
  <c r="O2784" i="1"/>
  <c r="P2793" i="1"/>
  <c r="Q2834" i="1" s="1"/>
  <c r="K2835" i="1" s="1"/>
  <c r="M2805" i="1"/>
  <c r="U2805" i="1" s="1"/>
  <c r="AC2805" i="1" s="1"/>
  <c r="AL2805" i="1" s="1"/>
  <c r="M2806" i="1" s="1"/>
  <c r="S2808" i="1" s="1"/>
  <c r="W2809" i="1" s="1"/>
  <c r="L2784" i="1"/>
  <c r="P2321" i="1"/>
  <c r="S2321" i="1" s="1"/>
  <c r="I2432" i="1"/>
  <c r="E2321" i="1"/>
  <c r="M2322" i="1" s="1"/>
  <c r="K2315" i="1"/>
  <c r="O2335" i="1" s="1"/>
  <c r="W2335" i="1" s="1"/>
  <c r="AE2335" i="1" s="1"/>
  <c r="AJ2335" i="1" s="1"/>
  <c r="O2337" i="1" s="1"/>
  <c r="AQ2337" i="1" s="1"/>
  <c r="I2366" i="1" s="1"/>
  <c r="M2357" i="1"/>
  <c r="W2357" i="1" s="1"/>
  <c r="C2359" i="1" s="1"/>
  <c r="C2360" i="1" s="1"/>
  <c r="W2361" i="1" s="1"/>
  <c r="S2362" i="1" s="1"/>
  <c r="P2478" i="1"/>
  <c r="V2455" i="1"/>
  <c r="BP2461" i="1"/>
  <c r="J2321" i="1"/>
  <c r="J2322" i="1" s="1"/>
  <c r="U2333" i="1"/>
  <c r="AG2333" i="1" s="1"/>
  <c r="AP2333" i="1" s="1"/>
  <c r="AX2333" i="1" s="1"/>
  <c r="BE2333" i="1" s="1"/>
  <c r="K2334" i="1" s="1"/>
  <c r="J2365" i="1" s="1"/>
  <c r="M2321" i="1"/>
  <c r="X2428" i="1"/>
  <c r="AA2428" i="1"/>
  <c r="AD2428" i="1" s="1"/>
  <c r="J2440" i="1"/>
  <c r="J2441" i="1" s="1"/>
  <c r="L2446" i="1"/>
  <c r="T2446" i="1" s="1"/>
  <c r="I2463" i="1"/>
  <c r="P2463" i="1" s="1"/>
  <c r="O2464" i="1" s="1"/>
  <c r="AC2328" i="1"/>
  <c r="AF2329" i="1" s="1"/>
  <c r="AF2330" i="1" s="1"/>
  <c r="AM2333" i="1" s="1"/>
  <c r="O2324" i="1"/>
  <c r="Q2325" i="1" s="1"/>
  <c r="F2428" i="1"/>
  <c r="F2429" i="1" s="1"/>
  <c r="O2440" i="1"/>
  <c r="I2428" i="1"/>
  <c r="L2436" i="1"/>
  <c r="N2437" i="1" s="1"/>
  <c r="R2440" i="1"/>
  <c r="M2461" i="1"/>
  <c r="Z2461" i="1" s="1"/>
  <c r="AI2461" i="1" s="1"/>
  <c r="AS2461" i="1" s="1"/>
  <c r="BC2461" i="1" s="1"/>
  <c r="U2353" i="1"/>
  <c r="L2428" i="1"/>
  <c r="O2428" i="1" s="1"/>
  <c r="U2440" i="1"/>
  <c r="U2441" i="1" s="1"/>
  <c r="N2444" i="1"/>
  <c r="V2444" i="1" s="1"/>
  <c r="AD2444" i="1" s="1"/>
  <c r="AN2444" i="1" s="1"/>
  <c r="Z2440" i="1"/>
  <c r="AC2441" i="1" s="1"/>
  <c r="AC2442" i="1" s="1"/>
  <c r="AF2461" i="1" s="1"/>
  <c r="R2878" i="1" l="1"/>
  <c r="T2885" i="1" s="1"/>
  <c r="O2872" i="1"/>
  <c r="O2873" i="1" s="1"/>
  <c r="O2877" i="1"/>
  <c r="Q2929" i="1"/>
  <c r="P2930" i="1" s="1"/>
  <c r="V2874" i="1"/>
  <c r="Y2891" i="1" s="1"/>
  <c r="AU1213" i="1"/>
  <c r="L1226" i="1" s="1"/>
  <c r="AH1213" i="1"/>
  <c r="AZ1213" i="1" s="1"/>
  <c r="M1226" i="1" s="1"/>
  <c r="E1206" i="1"/>
  <c r="G1215" i="1"/>
  <c r="AO1215" i="1" s="1"/>
  <c r="X1217" i="1" s="1"/>
  <c r="O1228" i="1" s="1"/>
  <c r="H1232" i="1"/>
  <c r="E1234" i="1" s="1"/>
  <c r="N2919" i="1"/>
  <c r="Y2919" i="1" s="1"/>
  <c r="V2794" i="1"/>
  <c r="V2802" i="1" s="1"/>
  <c r="W2834" i="1"/>
  <c r="R2801" i="1"/>
  <c r="K2794" i="1"/>
  <c r="M2802" i="1" s="1"/>
  <c r="K2834" i="1"/>
  <c r="S2794" i="1"/>
  <c r="S2795" i="1" s="1"/>
  <c r="O2338" i="1"/>
  <c r="W2338" i="1" s="1"/>
  <c r="M2328" i="1"/>
  <c r="M2329" i="1" s="1"/>
  <c r="M2330" i="1" s="1"/>
  <c r="I2876" i="1"/>
  <c r="H2919" i="1"/>
  <c r="Q2919" i="1" s="1"/>
  <c r="I2872" i="1"/>
  <c r="Y2888" i="1"/>
  <c r="Z2878" i="1"/>
  <c r="G2782" i="1"/>
  <c r="G2785" i="1" s="1"/>
  <c r="H2777" i="1" s="1"/>
  <c r="E2322" i="1"/>
  <c r="P2322" i="1" s="1"/>
  <c r="U2322" i="1" s="1"/>
  <c r="J2328" i="1" s="1"/>
  <c r="J2329" i="1" s="1"/>
  <c r="I2429" i="1"/>
  <c r="F2430" i="1" s="1"/>
  <c r="Q2470" i="1" s="1"/>
  <c r="R2798" i="1"/>
  <c r="R2805" i="1"/>
  <c r="Q2342" i="1"/>
  <c r="Y2342" i="1" s="1"/>
  <c r="AG2342" i="1" s="1"/>
  <c r="AL2342" i="1" s="1"/>
  <c r="G2343" i="1" s="1"/>
  <c r="P2359" i="1" s="1"/>
  <c r="L2360" i="1" s="1"/>
  <c r="E2361" i="1" s="1"/>
  <c r="E2362" i="1" s="1"/>
  <c r="E2363" i="1" s="1"/>
  <c r="I2368" i="1" s="1"/>
  <c r="X2328" i="1"/>
  <c r="X2329" i="1" s="1"/>
  <c r="U2328" i="1"/>
  <c r="U2329" i="1" s="1"/>
  <c r="T2339" i="1" s="1"/>
  <c r="R2441" i="1"/>
  <c r="N2438" i="1"/>
  <c r="S2444" i="1" s="1"/>
  <c r="Q2446" i="1"/>
  <c r="U2447" i="1"/>
  <c r="U2442" i="1"/>
  <c r="L2447" i="1"/>
  <c r="J2442" i="1"/>
  <c r="T2338" i="1"/>
  <c r="Q2326" i="1"/>
  <c r="T2912" i="1" l="1"/>
  <c r="S2914" i="1" s="1"/>
  <c r="X2904" i="1"/>
  <c r="X2907" i="1" s="1"/>
  <c r="Q1225" i="1" a="1"/>
  <c r="Q1225" i="1" s="1"/>
  <c r="V2881" i="1"/>
  <c r="V2882" i="1" s="1"/>
  <c r="Q2925" i="1"/>
  <c r="Y2884" i="1"/>
  <c r="I2877" i="1"/>
  <c r="K2888" i="1" s="1"/>
  <c r="I2929" i="1"/>
  <c r="Q2887" i="1"/>
  <c r="AM2887" i="1" s="1"/>
  <c r="T2889" i="1" s="1"/>
  <c r="P2926" i="1"/>
  <c r="K2795" i="1"/>
  <c r="O2822" i="1" s="1"/>
  <c r="K2823" i="1" s="1"/>
  <c r="O2874" i="1"/>
  <c r="Q2891" i="1" s="1"/>
  <c r="AT2891" i="1" s="1"/>
  <c r="O2892" i="1" s="1"/>
  <c r="U2894" i="1" s="1"/>
  <c r="W2895" i="1" s="1"/>
  <c r="T2896" i="1" s="1"/>
  <c r="N2897" i="1" s="1"/>
  <c r="O2902" i="1" s="1"/>
  <c r="I2873" i="1"/>
  <c r="K2887" i="1" s="1"/>
  <c r="AP2887" i="1" s="1"/>
  <c r="W2889" i="1" s="1"/>
  <c r="I2925" i="1"/>
  <c r="Q2888" i="1"/>
  <c r="AM2888" i="1" s="1"/>
  <c r="AE2889" i="1" s="1"/>
  <c r="O2878" i="1"/>
  <c r="I1213" i="1"/>
  <c r="BE1213" i="1" s="1"/>
  <c r="O1226" i="1" s="1"/>
  <c r="H1239" i="1"/>
  <c r="E1241" i="1" s="1"/>
  <c r="R2802" i="1"/>
  <c r="V2795" i="1"/>
  <c r="V2799" i="1" s="1"/>
  <c r="O2339" i="1"/>
  <c r="E2328" i="1"/>
  <c r="E2329" i="1" s="1"/>
  <c r="G2339" i="1" s="1"/>
  <c r="E2375" i="1"/>
  <c r="M2375" i="1" s="1"/>
  <c r="E2324" i="1"/>
  <c r="E2325" i="1" s="1"/>
  <c r="G2338" i="1" s="1"/>
  <c r="AL2338" i="1" s="1"/>
  <c r="U2340" i="1" s="1"/>
  <c r="AB2912" i="1"/>
  <c r="AB2914" i="1" s="1"/>
  <c r="Y2885" i="1"/>
  <c r="AE2881" i="1"/>
  <c r="Z2882" i="1" s="1"/>
  <c r="V2771" i="1"/>
  <c r="AA2793" i="1" s="1"/>
  <c r="E2809" i="1"/>
  <c r="U2330" i="1"/>
  <c r="T2336" i="1" s="1"/>
  <c r="R2799" i="1"/>
  <c r="X2822" i="1"/>
  <c r="T2823" i="1" s="1"/>
  <c r="G2789" i="1"/>
  <c r="G2793" i="1"/>
  <c r="F2433" i="1"/>
  <c r="T2423" i="1" s="1"/>
  <c r="AG2440" i="1" s="1"/>
  <c r="AJ2441" i="1" s="1"/>
  <c r="AK2442" i="1" s="1"/>
  <c r="AO2461" i="1" s="1"/>
  <c r="F2414" i="1"/>
  <c r="F2440" i="1" s="1"/>
  <c r="F2441" i="1" s="1"/>
  <c r="J2375" i="1"/>
  <c r="T2375" i="1" s="1"/>
  <c r="J2324" i="1"/>
  <c r="J2325" i="1" s="1"/>
  <c r="L2338" i="1" s="1"/>
  <c r="AH2338" i="1" s="1"/>
  <c r="Q2340" i="1" s="1"/>
  <c r="X2330" i="1"/>
  <c r="W2339" i="1"/>
  <c r="T2335" i="1"/>
  <c r="V2342" i="1"/>
  <c r="J2330" i="1"/>
  <c r="L2339" i="1"/>
  <c r="Q2447" i="1"/>
  <c r="R2442" i="1"/>
  <c r="W2445" i="1"/>
  <c r="W2461" i="1"/>
  <c r="L2478" i="1"/>
  <c r="F2479" i="1" s="1"/>
  <c r="F2481" i="1" s="1"/>
  <c r="L2452" i="1"/>
  <c r="Z2452" i="1" s="1"/>
  <c r="I2454" i="1" s="1"/>
  <c r="F2455" i="1" s="1"/>
  <c r="N2455" i="1" s="1"/>
  <c r="Z2455" i="1" s="1"/>
  <c r="F2456" i="1" s="1"/>
  <c r="AA2472" i="1"/>
  <c r="G2472" i="1"/>
  <c r="N2445" i="1"/>
  <c r="J2461" i="1"/>
  <c r="R2333" i="1"/>
  <c r="O2336" i="1"/>
  <c r="I2878" i="1" l="1"/>
  <c r="M2881" i="1" s="1"/>
  <c r="M2882" i="1" s="1"/>
  <c r="Y2883" i="1" s="1"/>
  <c r="P2899" i="1" s="1"/>
  <c r="M2799" i="1"/>
  <c r="W1225" i="1" a="1"/>
  <c r="W1225" i="1" s="1"/>
  <c r="E1225" i="1" s="1"/>
  <c r="Q2904" i="1"/>
  <c r="P2907" i="1" s="1"/>
  <c r="I2874" i="1"/>
  <c r="K2884" i="1" s="1"/>
  <c r="AW2884" i="1" s="1"/>
  <c r="Z2886" i="1" s="1"/>
  <c r="Q2884" i="1"/>
  <c r="AT2884" i="1" s="1"/>
  <c r="W2886" i="1" s="1"/>
  <c r="H2926" i="1"/>
  <c r="S2881" i="1"/>
  <c r="S2882" i="1" s="1"/>
  <c r="N2883" i="1" s="1"/>
  <c r="O2899" i="1" s="1"/>
  <c r="R2899" i="1" s="1" a="1"/>
  <c r="R2899" i="1" s="1"/>
  <c r="Q2912" i="1"/>
  <c r="P2914" i="1"/>
  <c r="Q2885" i="1"/>
  <c r="AM2885" i="1" s="1"/>
  <c r="AH2886" i="1" s="1"/>
  <c r="H2930" i="1"/>
  <c r="AP2888" i="1"/>
  <c r="AH2889" i="1" s="1"/>
  <c r="AQ2889" i="1" s="1"/>
  <c r="P2901" i="1" s="1"/>
  <c r="AH2339" i="1"/>
  <c r="AC2340" i="1" s="1"/>
  <c r="E2330" i="1"/>
  <c r="G2336" i="1" s="1"/>
  <c r="AA2822" i="1"/>
  <c r="W2823" i="1" s="1"/>
  <c r="AD2794" i="1"/>
  <c r="AD2795" i="1" s="1"/>
  <c r="AJ2822" i="1" s="1"/>
  <c r="AF2823" i="1" s="1"/>
  <c r="AC2834" i="1"/>
  <c r="Q2835" i="1" s="1"/>
  <c r="G2794" i="1"/>
  <c r="G2795" i="1" s="1"/>
  <c r="G2834" i="1"/>
  <c r="G2790" i="1"/>
  <c r="G2791" i="1" s="1"/>
  <c r="K2815" i="1" s="1"/>
  <c r="G2816" i="1" s="1"/>
  <c r="G2830" i="1"/>
  <c r="E2326" i="1"/>
  <c r="G2335" i="1" s="1"/>
  <c r="AS2335" i="1" s="1"/>
  <c r="X2337" i="1" s="1"/>
  <c r="AA2333" i="1"/>
  <c r="J2326" i="1"/>
  <c r="N2342" i="1" s="1"/>
  <c r="AQ2342" i="1" s="1"/>
  <c r="L2343" i="1" s="1"/>
  <c r="U2359" i="1" s="1"/>
  <c r="S2360" i="1" s="1"/>
  <c r="L2361" i="1" s="1"/>
  <c r="K2362" i="1" s="1"/>
  <c r="K2363" i="1" s="1"/>
  <c r="L2368" i="1" s="1"/>
  <c r="AL2339" i="1"/>
  <c r="AG2340" i="1" s="1"/>
  <c r="AP2340" i="1" s="1"/>
  <c r="M2367" i="1" s="1"/>
  <c r="F2436" i="1"/>
  <c r="F2437" i="1" s="1"/>
  <c r="F2438" i="1" s="1"/>
  <c r="J2444" i="1" s="1"/>
  <c r="AS2444" i="1" s="1"/>
  <c r="F2457" i="1" s="1"/>
  <c r="W2336" i="1"/>
  <c r="AD2333" i="1"/>
  <c r="O2333" i="1"/>
  <c r="R2334" i="1" s="1"/>
  <c r="L2365" i="1" s="1"/>
  <c r="L2336" i="1"/>
  <c r="AH2336" i="1" s="1"/>
  <c r="AF2337" i="1" s="1"/>
  <c r="T2481" i="1"/>
  <c r="K2481" i="1"/>
  <c r="H2447" i="1"/>
  <c r="AD2447" i="1" s="1"/>
  <c r="V2448" i="1" s="1"/>
  <c r="F2442" i="1"/>
  <c r="S2445" i="1"/>
  <c r="S2461" i="1"/>
  <c r="K2885" i="1" l="1"/>
  <c r="AP2885" i="1" s="1"/>
  <c r="AK2886" i="1" s="1"/>
  <c r="AW2886" i="1" s="1"/>
  <c r="P2900" i="1" s="1"/>
  <c r="K2912" i="1"/>
  <c r="H2914" i="1" s="1"/>
  <c r="J2333" i="1"/>
  <c r="U2334" i="1" s="1"/>
  <c r="M2365" i="1" s="1"/>
  <c r="I2342" i="1"/>
  <c r="AT2342" i="1" s="1"/>
  <c r="O2343" i="1" s="1"/>
  <c r="X2359" i="1" s="1"/>
  <c r="X2360" i="1" s="1"/>
  <c r="Q2361" i="1" s="1"/>
  <c r="O2362" i="1" s="1"/>
  <c r="O2363" i="1" s="1"/>
  <c r="M2368" i="1" s="1"/>
  <c r="E1226" i="1"/>
  <c r="H1248" i="1" s="1"/>
  <c r="W1168" i="1" s="1"/>
  <c r="E1227" i="1"/>
  <c r="E1228" i="1"/>
  <c r="W1241" i="1" s="1"/>
  <c r="E1229" i="1"/>
  <c r="AF1241" i="1" s="1"/>
  <c r="E1230" i="1"/>
  <c r="AM1241" i="1" s="1"/>
  <c r="K2891" i="1"/>
  <c r="AW2891" i="1" s="1"/>
  <c r="R2892" i="1" s="1"/>
  <c r="X2894" i="1" s="1"/>
  <c r="Z2895" i="1" s="1"/>
  <c r="X2896" i="1" s="1"/>
  <c r="R2897" i="1" s="1"/>
  <c r="P2902" i="1" s="1"/>
  <c r="K2904" i="1"/>
  <c r="H2907" i="1" s="1"/>
  <c r="K1252" i="1"/>
  <c r="O1252" i="1" s="1"/>
  <c r="H1246" i="1"/>
  <c r="AB1173" i="1" s="1"/>
  <c r="BE1186" i="1" s="1"/>
  <c r="M1251" i="1"/>
  <c r="N1234" i="1"/>
  <c r="I2801" i="1"/>
  <c r="AD2801" i="1" s="1"/>
  <c r="W2803" i="1" s="1"/>
  <c r="I2802" i="1"/>
  <c r="AE2802" i="1" s="1"/>
  <c r="Q2803" i="1" s="1"/>
  <c r="V2830" i="1"/>
  <c r="G2831" i="1"/>
  <c r="Q2831" i="1" s="1"/>
  <c r="G2835" i="1"/>
  <c r="AA2835" i="1" s="1"/>
  <c r="AR2834" i="1"/>
  <c r="L2335" i="1"/>
  <c r="AO2335" i="1" s="1"/>
  <c r="T2337" i="1" s="1"/>
  <c r="H2446" i="1"/>
  <c r="AC2446" i="1" s="1"/>
  <c r="P2448" i="1" s="1"/>
  <c r="AE2448" i="1" s="1"/>
  <c r="F2458" i="1" s="1"/>
  <c r="AY2461" i="1" s="1"/>
  <c r="AL2336" i="1"/>
  <c r="AJ2337" i="1" s="1"/>
  <c r="AV2337" i="1" s="1"/>
  <c r="M2366" i="1" s="1"/>
  <c r="K2822" i="1"/>
  <c r="G2823" i="1" s="1"/>
  <c r="I2799" i="1"/>
  <c r="AE2799" i="1" s="1"/>
  <c r="Q2800" i="1" s="1"/>
  <c r="I2798" i="1"/>
  <c r="AK2798" i="1" s="1"/>
  <c r="I2805" i="1"/>
  <c r="AF2805" i="1" s="1"/>
  <c r="G2806" i="1" s="1"/>
  <c r="M2808" i="1" s="1"/>
  <c r="Q2809" i="1" s="1"/>
  <c r="G2810" i="1" s="1"/>
  <c r="AC2815" i="1" s="1"/>
  <c r="Y2816" i="1" s="1"/>
  <c r="G2817" i="1" s="1"/>
  <c r="G2819" i="1" s="1"/>
  <c r="O2365" i="1" a="1"/>
  <c r="O2365" i="1" s="1"/>
  <c r="J2445" i="1"/>
  <c r="AI2445" i="1" s="1"/>
  <c r="BF2461" i="1" s="1"/>
  <c r="F2461" i="1"/>
  <c r="K1255" i="1" l="1"/>
  <c r="O1255" i="1" s="1"/>
  <c r="N1247" i="1"/>
  <c r="R1247" i="1" s="1"/>
  <c r="AY1173" i="1" s="1"/>
  <c r="M1254" i="1"/>
  <c r="T1251" i="1"/>
  <c r="X1251" i="1" s="1"/>
  <c r="W1234" i="1"/>
  <c r="E1235" i="1" s="1"/>
  <c r="D1237" i="1" s="1"/>
  <c r="N1241" i="1"/>
  <c r="E1242" i="1" s="1"/>
  <c r="D1244" i="1" s="1"/>
  <c r="I1244" i="1" s="1"/>
  <c r="V2899" i="1" a="1"/>
  <c r="H2900" i="1" s="1"/>
  <c r="BF2914" i="1" s="1"/>
  <c r="T1254" i="1"/>
  <c r="AF2803" i="1"/>
  <c r="G2811" i="1" s="1"/>
  <c r="BB2822" i="1" s="1"/>
  <c r="AX2823" i="1" s="1"/>
  <c r="BG1188" i="1"/>
  <c r="F1187" i="1"/>
  <c r="BG1186" i="1"/>
  <c r="BL1170" i="1"/>
  <c r="BE1187" i="1"/>
  <c r="BG1187" i="1" s="1"/>
  <c r="J1187" i="1"/>
  <c r="J1189" i="1" s="1"/>
  <c r="J1191" i="1" s="1"/>
  <c r="J1193" i="1" s="1"/>
  <c r="U2819" i="1"/>
  <c r="L2819" i="1"/>
  <c r="Z2800" i="1"/>
  <c r="AL2800" i="1" s="1"/>
  <c r="W2800" i="1"/>
  <c r="AG2800" i="1" s="1"/>
  <c r="S2365" i="1" a="1"/>
  <c r="E2366" i="1" s="1"/>
  <c r="F2462" i="1"/>
  <c r="F2464" i="1" s="1"/>
  <c r="BI1186" i="1" l="1"/>
  <c r="BK1186" i="1" s="1" a="1"/>
  <c r="BK1186" i="1" s="1"/>
  <c r="D1186" i="1" s="1"/>
  <c r="AE1187" i="1" s="1"/>
  <c r="Y1187" i="1" s="1"/>
  <c r="X1254" i="1"/>
  <c r="R1244" i="1"/>
  <c r="V2899" i="1"/>
  <c r="H2899" i="1" s="1"/>
  <c r="AG2907" i="1" s="1"/>
  <c r="H2902" i="1"/>
  <c r="U2919" i="1" s="1"/>
  <c r="AB2919" i="1" s="1"/>
  <c r="H2863" i="1" s="1"/>
  <c r="H2901" i="1"/>
  <c r="BM2914" i="1" s="1"/>
  <c r="BM1170" i="1"/>
  <c r="BN1170" i="1" s="1"/>
  <c r="I1237" i="1"/>
  <c r="R1237" i="1"/>
  <c r="F1189" i="1"/>
  <c r="G2812" i="1"/>
  <c r="BI2822" i="1" s="1"/>
  <c r="BE2823" i="1" s="1"/>
  <c r="G2824" i="1" s="1"/>
  <c r="G2826" i="1" s="1"/>
  <c r="U2826" i="1" s="1"/>
  <c r="E2368" i="1"/>
  <c r="I2377" i="1" s="1"/>
  <c r="O2377" i="1" s="1"/>
  <c r="E2367" i="1"/>
  <c r="S2365" i="1"/>
  <c r="E2365" i="1" s="1"/>
  <c r="T2464" i="1"/>
  <c r="K2464" i="1"/>
  <c r="M2929" i="1" l="1"/>
  <c r="AL2929" i="1" s="1"/>
  <c r="Y2930" i="1" s="1"/>
  <c r="M2925" i="1"/>
  <c r="L2926" i="1" s="1"/>
  <c r="Y2926" i="1" s="1"/>
  <c r="K2920" i="1"/>
  <c r="H2921" i="1" s="1"/>
  <c r="AB2863" i="1" s="1"/>
  <c r="L2907" i="1"/>
  <c r="H2908" i="1" s="1"/>
  <c r="H2910" i="1" s="1"/>
  <c r="V2910" i="1" s="1"/>
  <c r="L2914" i="1"/>
  <c r="AN2914" i="1" s="1"/>
  <c r="H2915" i="1" s="1"/>
  <c r="H2917" i="1" s="1"/>
  <c r="V2857" i="1"/>
  <c r="AK1187" i="1"/>
  <c r="T1187" i="1"/>
  <c r="Q1187" i="1" s="1"/>
  <c r="N1187" i="1"/>
  <c r="AN1187" i="1"/>
  <c r="BL1169" i="1"/>
  <c r="AW1189" i="1"/>
  <c r="AA1195" i="1" s="1"/>
  <c r="F1191" i="1"/>
  <c r="O2312" i="1"/>
  <c r="P2344" i="1"/>
  <c r="K2370" i="1" s="1"/>
  <c r="E2371" i="1" s="1"/>
  <c r="E2373" i="1" s="1"/>
  <c r="J2373" i="1" s="1"/>
  <c r="L2826" i="1"/>
  <c r="P2375" i="1"/>
  <c r="W2375" i="1" s="1"/>
  <c r="E2376" i="1" s="1"/>
  <c r="Z2314" i="1" s="1"/>
  <c r="F2352" i="1"/>
  <c r="E2378" i="1"/>
  <c r="Z2352" i="1" s="1"/>
  <c r="AF2925" i="1" l="1"/>
  <c r="BA2929" i="1"/>
  <c r="L2930" i="1"/>
  <c r="AI2930" i="1" s="1"/>
  <c r="AW1187" i="1"/>
  <c r="BK1168" i="1" s="1"/>
  <c r="M2910" i="1"/>
  <c r="F1193" i="1"/>
  <c r="AW1193" i="1" s="1"/>
  <c r="AG1195" i="1" s="1"/>
  <c r="AW1191" i="1"/>
  <c r="U1195" i="1" s="1"/>
  <c r="S2373" i="1"/>
  <c r="V2917" i="1"/>
  <c r="M2917" i="1"/>
  <c r="F2314" i="1"/>
  <c r="BB1895" i="1"/>
  <c r="BD1892" i="1"/>
  <c r="BC1889" i="1"/>
  <c r="AV1887" i="1"/>
  <c r="BL2193" i="1"/>
  <c r="AF2212" i="1"/>
  <c r="Q2213" i="1" s="1"/>
  <c r="AC2212" i="1"/>
  <c r="Z2212" i="1"/>
  <c r="N2213" i="1" s="1"/>
  <c r="W2212" i="1"/>
  <c r="T2212" i="1"/>
  <c r="Q2212" i="1"/>
  <c r="K2213" i="1" s="1"/>
  <c r="N2212" i="1"/>
  <c r="H2213" i="1" s="1"/>
  <c r="K2212" i="1"/>
  <c r="H2212" i="1"/>
  <c r="V2211" i="1"/>
  <c r="AI2212" i="1"/>
  <c r="T2213" i="1" s="1"/>
  <c r="V2207" i="1"/>
  <c r="N2208" i="1"/>
  <c r="K2209" i="1" s="1"/>
  <c r="K2208" i="1"/>
  <c r="H2209" i="1" s="1"/>
  <c r="H2208" i="1"/>
  <c r="BK2261" i="1"/>
  <c r="L2261" i="1"/>
  <c r="Y2261" i="1" s="1"/>
  <c r="AI2261" i="1" s="1"/>
  <c r="AR2261" i="1" s="1"/>
  <c r="BB2261" i="1" s="1"/>
  <c r="P2260" i="1"/>
  <c r="AG2253" i="1"/>
  <c r="I2253" i="1"/>
  <c r="R2253" i="1" s="1"/>
  <c r="AB2253" i="1" s="1"/>
  <c r="P2252" i="1"/>
  <c r="K2242" i="1"/>
  <c r="T2242" i="1" s="1"/>
  <c r="AB2242" i="1" s="1"/>
  <c r="AH2242" i="1" s="1"/>
  <c r="O2244" i="1" s="1"/>
  <c r="AE2244" i="1" s="1"/>
  <c r="I2248" i="1" s="1"/>
  <c r="K2239" i="1"/>
  <c r="T2239" i="1" s="1"/>
  <c r="P2238" i="1"/>
  <c r="AC2238" i="1" s="1"/>
  <c r="AM2238" i="1" s="1"/>
  <c r="AV2238" i="1" s="1"/>
  <c r="BD2238" i="1" s="1"/>
  <c r="BL2238" i="1" s="1"/>
  <c r="J2246" i="1" s="1"/>
  <c r="AO2232" i="1"/>
  <c r="AF2232" i="1"/>
  <c r="W2232" i="1"/>
  <c r="U2234" i="1" s="1"/>
  <c r="T2232" i="1"/>
  <c r="Q2232" i="1"/>
  <c r="H2232" i="1"/>
  <c r="I2234" i="1" s="1"/>
  <c r="BQ2228" i="1"/>
  <c r="AY2228" i="1"/>
  <c r="AV2228" i="1"/>
  <c r="N2227" i="1"/>
  <c r="BQ2226" i="1"/>
  <c r="AY2226" i="1"/>
  <c r="AV2226" i="1"/>
  <c r="AM2222" i="1"/>
  <c r="U2222" i="1"/>
  <c r="R2222" i="1"/>
  <c r="AM2220" i="1"/>
  <c r="U2220" i="1"/>
  <c r="R2220" i="1"/>
  <c r="AM2218" i="1"/>
  <c r="U2218" i="1"/>
  <c r="R2218" i="1"/>
  <c r="AM2216" i="1"/>
  <c r="U2216" i="1"/>
  <c r="R2216" i="1"/>
  <c r="S2203" i="1"/>
  <c r="P2203" i="1"/>
  <c r="M2203" i="1"/>
  <c r="J2203" i="1"/>
  <c r="G2203" i="1"/>
  <c r="AC2200" i="1"/>
  <c r="Z2200" i="1"/>
  <c r="W2200" i="1"/>
  <c r="T2200" i="1"/>
  <c r="Q2200" i="1"/>
  <c r="N2200" i="1"/>
  <c r="K2200" i="1"/>
  <c r="H2200" i="1"/>
  <c r="F2193" i="1"/>
  <c r="AM2192" i="1"/>
  <c r="E2219" i="1" s="1"/>
  <c r="BO2191" i="1"/>
  <c r="I2191" i="1"/>
  <c r="BQ2188" i="1"/>
  <c r="K2188" i="1"/>
  <c r="BP2185" i="1"/>
  <c r="J2185" i="1"/>
  <c r="BI2183" i="1"/>
  <c r="C2183" i="1"/>
  <c r="L2169" i="1"/>
  <c r="Y2169" i="1" s="1"/>
  <c r="AL2169" i="1" s="1"/>
  <c r="AV2169" i="1" s="1"/>
  <c r="BF2169" i="1" s="1"/>
  <c r="P2168" i="1"/>
  <c r="AS2162" i="1"/>
  <c r="AL2162" i="1"/>
  <c r="L2162" i="1"/>
  <c r="Y2162" i="1" s="1"/>
  <c r="AI2162" i="1" s="1"/>
  <c r="P2161" i="1"/>
  <c r="AG2155" i="1"/>
  <c r="BB2162" i="1" s="1"/>
  <c r="BO2169" i="1" s="1"/>
  <c r="I2155" i="1"/>
  <c r="R2155" i="1" s="1"/>
  <c r="AB2155" i="1" s="1"/>
  <c r="P2154" i="1"/>
  <c r="N2143" i="1"/>
  <c r="AA2143" i="1" s="1"/>
  <c r="AK2143" i="1" s="1"/>
  <c r="N2140" i="1"/>
  <c r="AA2140" i="1" s="1"/>
  <c r="AK2140" i="1" s="1"/>
  <c r="AS2140" i="1" s="1"/>
  <c r="AZ2140" i="1" s="1"/>
  <c r="O2142" i="1" s="1"/>
  <c r="AG2142" i="1" s="1"/>
  <c r="J2150" i="1" s="1"/>
  <c r="K2137" i="1"/>
  <c r="T2137" i="1" s="1"/>
  <c r="K2134" i="1"/>
  <c r="T2134" i="1" s="1"/>
  <c r="AB2134" i="1" s="1"/>
  <c r="AG2134" i="1" s="1"/>
  <c r="O2136" i="1" s="1"/>
  <c r="AE2136" i="1" s="1"/>
  <c r="I2148" i="1" s="1"/>
  <c r="P2132" i="1"/>
  <c r="AC2132" i="1" s="1"/>
  <c r="AP2132" i="1" s="1"/>
  <c r="AZ2132" i="1" s="1"/>
  <c r="BH2132" i="1" s="1"/>
  <c r="M2133" i="1" s="1"/>
  <c r="L2147" i="1" s="1"/>
  <c r="AU2126" i="1"/>
  <c r="AL2126" i="1"/>
  <c r="AI2126" i="1"/>
  <c r="AF2126" i="1"/>
  <c r="W2126" i="1"/>
  <c r="R2127" i="1" s="1"/>
  <c r="U2128" i="1" s="1"/>
  <c r="T2126" i="1"/>
  <c r="Q2126" i="1"/>
  <c r="H2126" i="1"/>
  <c r="AF2122" i="1"/>
  <c r="W2122" i="1"/>
  <c r="BD2122" i="1" s="1"/>
  <c r="U2123" i="1" s="1"/>
  <c r="X2143" i="1" s="1"/>
  <c r="T2122" i="1"/>
  <c r="Q2122" i="1"/>
  <c r="H2122" i="1"/>
  <c r="AU2122" i="1" s="1"/>
  <c r="I2123" i="1" s="1"/>
  <c r="N2118" i="1"/>
  <c r="K2111" i="1"/>
  <c r="AO2103" i="1"/>
  <c r="W2104" i="1" s="1"/>
  <c r="AL2103" i="1"/>
  <c r="T2104" i="1" s="1"/>
  <c r="AI2103" i="1"/>
  <c r="AF2103" i="1"/>
  <c r="AF2113" i="1" s="1"/>
  <c r="AC2103" i="1"/>
  <c r="AC2113" i="1" s="1"/>
  <c r="Z2103" i="1"/>
  <c r="Z2113" i="1" s="1"/>
  <c r="W2103" i="1"/>
  <c r="T2103" i="1"/>
  <c r="T2113" i="1" s="1"/>
  <c r="Q2103" i="1"/>
  <c r="Q2113" i="1" s="1"/>
  <c r="N2103" i="1"/>
  <c r="N2113" i="1" s="1"/>
  <c r="K2103" i="1"/>
  <c r="H2103" i="1"/>
  <c r="H2113" i="1" s="1"/>
  <c r="V2102" i="1"/>
  <c r="AC2099" i="1"/>
  <c r="Q2100" i="1" s="1"/>
  <c r="Z2099" i="1"/>
  <c r="AA2107" i="1" s="1"/>
  <c r="Z2109" i="1" s="1"/>
  <c r="W2099" i="1"/>
  <c r="T2099" i="1"/>
  <c r="U2107" i="1" s="1"/>
  <c r="T2109" i="1" s="1"/>
  <c r="Q2099" i="1"/>
  <c r="R2107" i="1" s="1"/>
  <c r="Q2109" i="1" s="1"/>
  <c r="N2099" i="1"/>
  <c r="O2107" i="1" s="1"/>
  <c r="N2109" i="1" s="1"/>
  <c r="K2099" i="1"/>
  <c r="H2099" i="1"/>
  <c r="I2107" i="1" s="1"/>
  <c r="H2109" i="1" s="1"/>
  <c r="V2098" i="1"/>
  <c r="N2095" i="1"/>
  <c r="K2096" i="1" s="1"/>
  <c r="K2095" i="1"/>
  <c r="H2096" i="1" s="1"/>
  <c r="H2095" i="1"/>
  <c r="V2094" i="1"/>
  <c r="V2090" i="1"/>
  <c r="S2090" i="1"/>
  <c r="P2090" i="1"/>
  <c r="M2090" i="1"/>
  <c r="J2090" i="1"/>
  <c r="G2090" i="1"/>
  <c r="AF2087" i="1"/>
  <c r="AC2087" i="1"/>
  <c r="Z2087" i="1"/>
  <c r="W2087" i="1"/>
  <c r="T2087" i="1"/>
  <c r="Q2087" i="1"/>
  <c r="N2087" i="1"/>
  <c r="K2087" i="1"/>
  <c r="H2087" i="1"/>
  <c r="S2079" i="1"/>
  <c r="H2157" i="1" s="1"/>
  <c r="O2157" i="1" s="1"/>
  <c r="M2158" i="1" s="1"/>
  <c r="S2074" i="1"/>
  <c r="M2122" i="1" s="1"/>
  <c r="AA2073" i="1"/>
  <c r="M2126" i="1" s="1"/>
  <c r="K2073" i="1"/>
  <c r="J2118" i="1" s="1"/>
  <c r="O1922" i="1"/>
  <c r="H1933" i="1"/>
  <c r="O1933" i="1" s="1"/>
  <c r="M1934" i="1" s="1"/>
  <c r="I1931" i="1"/>
  <c r="U1931" i="1" s="1"/>
  <c r="H1925" i="1"/>
  <c r="O1925" i="1" s="1"/>
  <c r="M1926" i="1" s="1"/>
  <c r="I1923" i="1"/>
  <c r="R1923" i="1" s="1"/>
  <c r="AA1923" i="1" s="1"/>
  <c r="K1916" i="1"/>
  <c r="T1916" i="1" s="1"/>
  <c r="AC1916" i="1" s="1"/>
  <c r="K1913" i="1"/>
  <c r="R1913" i="1" s="1"/>
  <c r="AA1913" i="1" s="1"/>
  <c r="V1901" i="1"/>
  <c r="AO1901" i="1" s="1"/>
  <c r="AJ1907" i="1" s="1"/>
  <c r="BH1907" i="1" s="1"/>
  <c r="AA1908" i="1" s="1"/>
  <c r="S1901" i="1"/>
  <c r="P1901" i="1"/>
  <c r="K1901" i="1"/>
  <c r="AG1901" i="1" s="1"/>
  <c r="W1907" i="1" s="1"/>
  <c r="AY1907" i="1" s="1"/>
  <c r="O1908" i="1" s="1"/>
  <c r="M1900" i="1"/>
  <c r="AB1900" i="1" s="1"/>
  <c r="W1903" i="1" s="1"/>
  <c r="AI1923" i="1"/>
  <c r="BA1931" i="1" s="1"/>
  <c r="AP1899" i="1"/>
  <c r="BA1897" i="1"/>
  <c r="J1907" i="1" s="1"/>
  <c r="R1907" i="1" s="1"/>
  <c r="AE1907" i="1" s="1"/>
  <c r="AG1894" i="1"/>
  <c r="AN1896" i="1"/>
  <c r="E1885" i="1"/>
  <c r="E1900" i="1" s="1"/>
  <c r="T1900" i="1" s="1"/>
  <c r="E1903" i="1" s="1"/>
  <c r="J1891" i="1"/>
  <c r="H1900" i="1" s="1"/>
  <c r="W1900" i="1" s="1"/>
  <c r="M1903" i="1" s="1"/>
  <c r="T1892" i="1"/>
  <c r="O1930" i="1" s="1"/>
  <c r="AJ1565" i="1"/>
  <c r="C1565" i="1"/>
  <c r="H1606" i="1"/>
  <c r="O1606" i="1" s="1"/>
  <c r="M1607" i="1" s="1"/>
  <c r="AY1604" i="1"/>
  <c r="Q1604" i="1"/>
  <c r="AF1604" i="1" s="1"/>
  <c r="AP1604" i="1" s="1"/>
  <c r="U1600" i="1"/>
  <c r="AJ1600" i="1" s="1"/>
  <c r="AT1600" i="1" s="1"/>
  <c r="E1578" i="1"/>
  <c r="E1579" i="1" s="1"/>
  <c r="I1576" i="1"/>
  <c r="K1577" i="1" s="1"/>
  <c r="M1578" i="1" s="1"/>
  <c r="F1576" i="1"/>
  <c r="L1576" i="1" s="1"/>
  <c r="AH1570" i="1"/>
  <c r="F1570" i="1"/>
  <c r="Q1584" i="1" s="1"/>
  <c r="C1587" i="1" s="1"/>
  <c r="W1587" i="1" s="1"/>
  <c r="AL1587" i="1" s="1"/>
  <c r="BG1587" i="1" s="1"/>
  <c r="C1588" i="1" s="1"/>
  <c r="U1588" i="1" s="1"/>
  <c r="AL1588" i="1" s="1"/>
  <c r="BC1588" i="1" s="1"/>
  <c r="C1589" i="1" s="1"/>
  <c r="AX1571" i="1"/>
  <c r="AX1573" i="1" s="1"/>
  <c r="AP1571" i="1"/>
  <c r="BC1604" i="1" s="1"/>
  <c r="BB1567" i="1"/>
  <c r="AA1571" i="1"/>
  <c r="M1571" i="1"/>
  <c r="Q1576" i="1" s="1"/>
  <c r="P1577" i="1" s="1"/>
  <c r="R1578" i="1" s="1"/>
  <c r="AE1999" i="1"/>
  <c r="J2020" i="1" s="1"/>
  <c r="R2020" i="1" s="1"/>
  <c r="W1999" i="1"/>
  <c r="J2016" i="1" s="1"/>
  <c r="R2016" i="1" s="1"/>
  <c r="O2000" i="1"/>
  <c r="J2012" i="1" s="1"/>
  <c r="R2012" i="1" s="1"/>
  <c r="AU2976" i="1"/>
  <c r="AX2978" i="1"/>
  <c r="BE2978" i="1" s="1"/>
  <c r="BK2979" i="1" s="1"/>
  <c r="BA2976" i="1"/>
  <c r="O2976" i="1"/>
  <c r="I2976" i="1"/>
  <c r="BG2953" i="1"/>
  <c r="BA2953" i="1"/>
  <c r="AU2953" i="1"/>
  <c r="R2953" i="1"/>
  <c r="L2953" i="1"/>
  <c r="I2953" i="1"/>
  <c r="L2978" i="1"/>
  <c r="S2978" i="1" s="1"/>
  <c r="Y2979" i="1" s="1"/>
  <c r="Y2973" i="1"/>
  <c r="Y2976" i="1" s="1"/>
  <c r="U2973" i="1"/>
  <c r="U2976" i="1" s="1"/>
  <c r="O2973" i="1"/>
  <c r="I2973" i="1"/>
  <c r="X2965" i="1"/>
  <c r="X2966" i="1" s="1"/>
  <c r="L2955" i="1"/>
  <c r="S2955" i="1" s="1"/>
  <c r="Y2956" i="1" s="1"/>
  <c r="W2950" i="1"/>
  <c r="V2953" i="1" s="1"/>
  <c r="S2950" i="1"/>
  <c r="M2950" i="1"/>
  <c r="I2950" i="1"/>
  <c r="BK2973" i="1"/>
  <c r="BK2976" i="1" s="1"/>
  <c r="BG2973" i="1"/>
  <c r="BG2976" i="1" s="1"/>
  <c r="BA2973" i="1"/>
  <c r="AU2973" i="1"/>
  <c r="BJ2964" i="1"/>
  <c r="BJ2965" i="1" s="1"/>
  <c r="BJ2966" i="1" s="1"/>
  <c r="AX2955" i="1"/>
  <c r="BE2955" i="1" s="1"/>
  <c r="BK2956" i="1" s="1"/>
  <c r="BK2950" i="1"/>
  <c r="BK2953" i="1" s="1"/>
  <c r="BG2950" i="1"/>
  <c r="BA2950" i="1"/>
  <c r="AU2950" i="1"/>
  <c r="BJ2942" i="1"/>
  <c r="O2057" i="1"/>
  <c r="I2058" i="1"/>
  <c r="R2058" i="1" s="1"/>
  <c r="AA2058" i="1" s="1"/>
  <c r="Y2042" i="1"/>
  <c r="AJ2050" i="1" s="1"/>
  <c r="AJ2058" i="1" s="1"/>
  <c r="O2049" i="1"/>
  <c r="O2041" i="1"/>
  <c r="I2050" i="1"/>
  <c r="R2050" i="1" s="1"/>
  <c r="AA2050" i="1" s="1"/>
  <c r="I2042" i="1"/>
  <c r="R2042" i="1" s="1"/>
  <c r="K2035" i="1"/>
  <c r="T2035" i="1" s="1"/>
  <c r="AC2035" i="1" s="1"/>
  <c r="K2032" i="1"/>
  <c r="T2032" i="1" s="1"/>
  <c r="K2029" i="1"/>
  <c r="T2029" i="1" s="1"/>
  <c r="K2026" i="1"/>
  <c r="T2026" i="1" s="1"/>
  <c r="I2010" i="1"/>
  <c r="T2010" i="1" s="1"/>
  <c r="I2009" i="1"/>
  <c r="T2009" i="1" s="1"/>
  <c r="L2008" i="1"/>
  <c r="E2012" i="1" s="1"/>
  <c r="K2003" i="1"/>
  <c r="Q2009" i="1" s="1"/>
  <c r="Y2009" i="1" s="1"/>
  <c r="E2016" i="1" s="1"/>
  <c r="W2006" i="1"/>
  <c r="F1998" i="1" s="1"/>
  <c r="BJ1638" i="1"/>
  <c r="BS1638" i="1" s="1"/>
  <c r="BX1641" i="1"/>
  <c r="BN1641" i="1"/>
  <c r="U1710" i="1"/>
  <c r="L1710" i="1"/>
  <c r="F1709" i="1"/>
  <c r="I1710" i="1" s="1"/>
  <c r="E1707" i="1"/>
  <c r="I1708" i="1" s="1"/>
  <c r="O1708" i="1" s="1"/>
  <c r="E1705" i="1"/>
  <c r="I1706" i="1" s="1"/>
  <c r="O1706" i="1" s="1"/>
  <c r="O1700" i="1"/>
  <c r="L1701" i="1" s="1"/>
  <c r="L1700" i="1"/>
  <c r="M1704" i="1" s="1"/>
  <c r="L1706" i="1" s="1"/>
  <c r="L1708" i="1" s="1"/>
  <c r="I1700" i="1"/>
  <c r="H1696" i="1"/>
  <c r="O1696" i="1" s="1"/>
  <c r="M1697" i="1" s="1"/>
  <c r="AD1694" i="1"/>
  <c r="H1694" i="1"/>
  <c r="P1694" i="1" s="1"/>
  <c r="Y1694" i="1" s="1"/>
  <c r="Q1685" i="1"/>
  <c r="M1678" i="1"/>
  <c r="J1678" i="1"/>
  <c r="G1678" i="1"/>
  <c r="Q1675" i="1"/>
  <c r="T1675" i="1" s="1"/>
  <c r="N1675" i="1"/>
  <c r="H1675" i="1"/>
  <c r="E1675" i="1"/>
  <c r="BW1691" i="1"/>
  <c r="BR1695" i="1"/>
  <c r="BR1696" i="1" s="1"/>
  <c r="AW1694" i="1"/>
  <c r="AQ1683" i="1"/>
  <c r="BC1683" i="1" s="1"/>
  <c r="K1675" i="1" s="1"/>
  <c r="H1195" i="1" l="1"/>
  <c r="O1195" i="1" s="1"/>
  <c r="I2233" i="1"/>
  <c r="R2233" i="1"/>
  <c r="M2232" i="1"/>
  <c r="AB2232" i="1" s="1"/>
  <c r="AK2232" i="1" s="1"/>
  <c r="J2227" i="1"/>
  <c r="U2227" i="1" s="1"/>
  <c r="K2228" i="1" s="1"/>
  <c r="M2229" i="1" s="1"/>
  <c r="K2240" i="1"/>
  <c r="I2235" i="1"/>
  <c r="N2246" i="1" a="1"/>
  <c r="N2246" i="1" s="1"/>
  <c r="AA2220" i="1"/>
  <c r="X2220" i="1"/>
  <c r="I2220" i="1"/>
  <c r="O2220" i="1" s="1"/>
  <c r="L2220" i="1" s="1"/>
  <c r="AJ2220" i="1"/>
  <c r="AG2220" i="1" s="1"/>
  <c r="AD2220" i="1"/>
  <c r="T2240" i="1"/>
  <c r="U2235" i="1"/>
  <c r="H2263" i="1"/>
  <c r="O2263" i="1" s="1"/>
  <c r="M2264" i="1" s="1"/>
  <c r="H2255" i="1"/>
  <c r="O2255" i="1" s="1"/>
  <c r="M2256" i="1" s="1"/>
  <c r="F2221" i="1"/>
  <c r="E2200" i="1"/>
  <c r="E2201" i="1" s="1"/>
  <c r="E2217" i="1"/>
  <c r="H2104" i="1"/>
  <c r="I2127" i="1"/>
  <c r="I2128" i="1" s="1"/>
  <c r="I2129" i="1" s="1"/>
  <c r="AA2127" i="1"/>
  <c r="AG2128" i="1" s="1"/>
  <c r="AC2144" i="1" s="1"/>
  <c r="K2104" i="1"/>
  <c r="U2118" i="1"/>
  <c r="AE2118" i="1" s="1"/>
  <c r="M2119" i="1" s="1"/>
  <c r="N2104" i="1"/>
  <c r="AB2126" i="1"/>
  <c r="AQ2126" i="1" s="1"/>
  <c r="BB2126" i="1" s="1"/>
  <c r="AF2127" i="1" s="1"/>
  <c r="AO2128" i="1" s="1"/>
  <c r="AO2129" i="1" s="1"/>
  <c r="AV2132" i="1" s="1"/>
  <c r="AL2113" i="1"/>
  <c r="AB2122" i="1"/>
  <c r="AM2122" i="1" s="1"/>
  <c r="BI2122" i="1" s="1"/>
  <c r="AC2123" i="1" s="1"/>
  <c r="AG2143" i="1" s="1"/>
  <c r="T2144" i="1"/>
  <c r="U2129" i="1"/>
  <c r="K2138" i="1"/>
  <c r="I2124" i="1"/>
  <c r="K2143" i="1"/>
  <c r="P2147" i="1" a="1"/>
  <c r="P2147" i="1" s="1"/>
  <c r="E2087" i="1"/>
  <c r="E2088" i="1" s="1"/>
  <c r="H2100" i="1"/>
  <c r="Q2104" i="1"/>
  <c r="G2112" i="1"/>
  <c r="K2100" i="1"/>
  <c r="H2171" i="1"/>
  <c r="O2171" i="1" s="1"/>
  <c r="M2172" i="1" s="1"/>
  <c r="F2108" i="1"/>
  <c r="N2100" i="1"/>
  <c r="F2110" i="1"/>
  <c r="H2164" i="1"/>
  <c r="O2164" i="1" s="1"/>
  <c r="M2165" i="1" s="1"/>
  <c r="U2124" i="1"/>
  <c r="T2138" i="1"/>
  <c r="AL1901" i="1"/>
  <c r="AB1907" i="1" s="1"/>
  <c r="BD1907" i="1" s="1"/>
  <c r="W1908" i="1" s="1"/>
  <c r="Y1909" i="1" s="1"/>
  <c r="AL1899" i="1"/>
  <c r="AL1898" i="1" s="1"/>
  <c r="H1903" i="1" s="1"/>
  <c r="E1901" i="1"/>
  <c r="AA1901" i="1" s="1"/>
  <c r="E1907" i="1" s="1"/>
  <c r="AO1907" i="1" s="1"/>
  <c r="E1908" i="1" s="1"/>
  <c r="E1909" i="1" s="1"/>
  <c r="G1928" i="1" s="1"/>
  <c r="E1929" i="1" s="1"/>
  <c r="E1931" i="1" s="1"/>
  <c r="AH1931" i="1"/>
  <c r="AR1931" i="1"/>
  <c r="T1914" i="1"/>
  <c r="AC1909" i="1"/>
  <c r="Q1909" i="1"/>
  <c r="K1914" i="1"/>
  <c r="H1901" i="1"/>
  <c r="AD1901" i="1" s="1"/>
  <c r="O1907" i="1" s="1"/>
  <c r="AU1907" i="1" s="1"/>
  <c r="K1908" i="1" s="1"/>
  <c r="P1599" i="1"/>
  <c r="AC1599" i="1" s="1"/>
  <c r="AI1599" i="1" s="1"/>
  <c r="Q1603" i="1"/>
  <c r="AC1589" i="1"/>
  <c r="C1591" i="1"/>
  <c r="C1592" i="1" s="1"/>
  <c r="AC1592" i="1" s="1"/>
  <c r="C1593" i="1" s="1"/>
  <c r="AB1593" i="1" s="1"/>
  <c r="AT1593" i="1" s="1"/>
  <c r="C1594" i="1" s="1"/>
  <c r="S1594" i="1" s="1"/>
  <c r="O1581" i="1"/>
  <c r="U1579" i="1"/>
  <c r="M1580" i="1" s="1"/>
  <c r="J1581" i="1"/>
  <c r="P1579" i="1"/>
  <c r="H1580" i="1" s="1"/>
  <c r="F1577" i="1"/>
  <c r="H1578" i="1" s="1"/>
  <c r="H1579" i="1" s="1"/>
  <c r="AU2951" i="1"/>
  <c r="AT2956" i="1" s="1"/>
  <c r="AU2977" i="1"/>
  <c r="AX2979" i="1" s="1"/>
  <c r="I2977" i="1"/>
  <c r="L2979" i="1" s="1"/>
  <c r="AU2954" i="1"/>
  <c r="AX2956" i="1" s="1"/>
  <c r="I2954" i="1"/>
  <c r="L2956" i="1" s="1"/>
  <c r="I2974" i="1"/>
  <c r="H2979" i="1" s="1"/>
  <c r="AU2974" i="1"/>
  <c r="AT2979" i="1" s="1"/>
  <c r="I2951" i="1"/>
  <c r="H2956" i="1" s="1"/>
  <c r="H2044" i="1"/>
  <c r="O2044" i="1" s="1"/>
  <c r="M2045" i="1" s="1"/>
  <c r="H2052" i="1"/>
  <c r="O2052" i="1" s="1"/>
  <c r="M2053" i="1" s="1"/>
  <c r="H2060" i="1"/>
  <c r="O2060" i="1" s="1"/>
  <c r="M2061" i="1" s="1"/>
  <c r="I2008" i="1"/>
  <c r="O2012" i="1" s="1"/>
  <c r="AC2012" i="1" s="1"/>
  <c r="M2013" i="1" s="1"/>
  <c r="N2009" i="1"/>
  <c r="AD2009" i="1" s="1"/>
  <c r="N2010" i="1"/>
  <c r="Q2010" i="1"/>
  <c r="W2016" i="1"/>
  <c r="E2017" i="1" s="1"/>
  <c r="W2012" i="1"/>
  <c r="E2013" i="1" s="1"/>
  <c r="O1701" i="1"/>
  <c r="D1703" i="1"/>
  <c r="X1685" i="1"/>
  <c r="AF1685" i="1" s="1"/>
  <c r="L1686" i="1" s="1"/>
  <c r="N1687" i="1" s="1"/>
  <c r="O1691" i="1" s="1"/>
  <c r="R1710" i="1"/>
  <c r="V1699" i="1"/>
  <c r="O1710" i="1"/>
  <c r="X1710" i="1" s="1"/>
  <c r="I1701" i="1"/>
  <c r="P1693" i="1"/>
  <c r="E1676" i="1"/>
  <c r="AM1682" i="1" s="1"/>
  <c r="L1690" i="1"/>
  <c r="R1690" i="1" s="1"/>
  <c r="L1685" i="1"/>
  <c r="BQ1697" i="1"/>
  <c r="AH1694" i="1" s="1"/>
  <c r="O1985" i="1"/>
  <c r="H1988" i="1"/>
  <c r="O1988" i="1" s="1"/>
  <c r="M1989" i="1" s="1"/>
  <c r="I1986" i="1"/>
  <c r="R1986" i="1" s="1"/>
  <c r="AA1986" i="1" s="1"/>
  <c r="H1980" i="1"/>
  <c r="O1980" i="1" s="1"/>
  <c r="M1981" i="1" s="1"/>
  <c r="Y1978" i="1"/>
  <c r="AJ1986" i="1" s="1"/>
  <c r="I1978" i="1"/>
  <c r="R1978" i="1" s="1"/>
  <c r="AM1950" i="1"/>
  <c r="K1968" i="1" s="1"/>
  <c r="T1968" i="1" s="1"/>
  <c r="BJ1965" i="1"/>
  <c r="AX1962" i="1"/>
  <c r="AW1959" i="1"/>
  <c r="BS1959" i="1"/>
  <c r="AQ1949" i="1"/>
  <c r="S1947" i="1" s="1"/>
  <c r="BI1948" i="1"/>
  <c r="BI1950" i="1" s="1"/>
  <c r="BA1948" i="1"/>
  <c r="J1962" i="1" s="1"/>
  <c r="R1962" i="1" s="1"/>
  <c r="BM1944" i="1"/>
  <c r="AT1943" i="1"/>
  <c r="S1940" i="1" s="1"/>
  <c r="H1767" i="1"/>
  <c r="O1767" i="1" s="1"/>
  <c r="M1768" i="1" s="1"/>
  <c r="BO1765" i="1"/>
  <c r="O1764" i="1"/>
  <c r="L1760" i="1"/>
  <c r="W1760" i="1" s="1"/>
  <c r="H1765" i="1"/>
  <c r="S1765" i="1" s="1"/>
  <c r="AC1765" i="1" s="1"/>
  <c r="AO1765" i="1" s="1"/>
  <c r="BF1765" i="1" s="1"/>
  <c r="BH1532" i="1"/>
  <c r="BK1744" i="1"/>
  <c r="O1739" i="1"/>
  <c r="Q1736" i="1"/>
  <c r="P1737" i="1" s="1"/>
  <c r="I1736" i="1"/>
  <c r="K1737" i="1" s="1"/>
  <c r="F1736" i="1"/>
  <c r="F1737" i="1" s="1"/>
  <c r="F1738" i="1" s="1"/>
  <c r="E1739" i="1" s="1"/>
  <c r="BK1725" i="1"/>
  <c r="BP1720" i="1"/>
  <c r="BQ1738" i="1" s="1"/>
  <c r="R1744" i="1"/>
  <c r="D1747" i="1" s="1"/>
  <c r="V1747" i="1" s="1"/>
  <c r="AV1741" i="1"/>
  <c r="AU1739" i="1"/>
  <c r="AQ1727" i="1"/>
  <c r="AQ1739" i="1" s="1"/>
  <c r="AZ1726" i="1"/>
  <c r="BS1765" i="1" s="1"/>
  <c r="AT1721" i="1"/>
  <c r="AQ1732" i="1" s="1"/>
  <c r="O1656" i="1"/>
  <c r="L1666" i="1"/>
  <c r="F1665" i="1"/>
  <c r="I1666" i="1" s="1"/>
  <c r="E1663" i="1"/>
  <c r="I1664" i="1" s="1"/>
  <c r="E1661" i="1"/>
  <c r="I1662" i="1" s="1"/>
  <c r="I1656" i="1"/>
  <c r="V1655" i="1"/>
  <c r="H1652" i="1"/>
  <c r="O1652" i="1" s="1"/>
  <c r="M1653" i="1" s="1"/>
  <c r="BJ1650" i="1"/>
  <c r="H1650" i="1"/>
  <c r="S1650" i="1" s="1"/>
  <c r="AC1650" i="1" s="1"/>
  <c r="AO1650" i="1" s="1"/>
  <c r="BA1650" i="1" s="1"/>
  <c r="BF1631" i="1"/>
  <c r="O1623" i="1"/>
  <c r="H1624" i="1" s="1"/>
  <c r="F1620" i="1"/>
  <c r="F1621" i="1" s="1"/>
  <c r="F1622" i="1" s="1"/>
  <c r="E1623" i="1" s="1"/>
  <c r="E1624" i="1" s="1"/>
  <c r="AS1625" i="1"/>
  <c r="BN1650" i="1" s="1"/>
  <c r="I1620" i="1"/>
  <c r="K1621" i="1" s="1"/>
  <c r="BS1627" i="1"/>
  <c r="AZ1620" i="1"/>
  <c r="BL1620" i="1" s="1"/>
  <c r="K1614" i="1" s="1"/>
  <c r="G1617" i="1"/>
  <c r="H1614" i="1"/>
  <c r="E1614" i="1"/>
  <c r="H377" i="1"/>
  <c r="L374" i="1"/>
  <c r="N367" i="1"/>
  <c r="N366" i="1"/>
  <c r="H473" i="1"/>
  <c r="E473" i="1"/>
  <c r="Q472" i="1"/>
  <c r="H472" i="1"/>
  <c r="E472" i="1"/>
  <c r="F475" i="1" s="1"/>
  <c r="J468" i="1"/>
  <c r="G468" i="1"/>
  <c r="H464" i="1"/>
  <c r="O464" i="1" s="1"/>
  <c r="M465" i="1" s="1"/>
  <c r="AH462" i="1"/>
  <c r="K462" i="1"/>
  <c r="H462" i="1"/>
  <c r="R462" i="1" s="1"/>
  <c r="P461" i="1"/>
  <c r="E460" i="1"/>
  <c r="E462" i="1" s="1"/>
  <c r="L455" i="1"/>
  <c r="S455" i="1" s="1"/>
  <c r="AC455" i="1" s="1"/>
  <c r="I458" i="1" s="1"/>
  <c r="I455" i="1"/>
  <c r="T454" i="1"/>
  <c r="AK454" i="1" s="1"/>
  <c r="I457" i="1" s="1"/>
  <c r="L454" i="1"/>
  <c r="I454" i="1"/>
  <c r="F483" i="1"/>
  <c r="H484" i="1" s="1"/>
  <c r="Q484" i="1" s="1"/>
  <c r="E481" i="1"/>
  <c r="H482" i="1" s="1"/>
  <c r="Q482" i="1" s="1"/>
  <c r="E479" i="1"/>
  <c r="H480" i="1" s="1"/>
  <c r="Q480" i="1" s="1"/>
  <c r="U471" i="1"/>
  <c r="Z445" i="1"/>
  <c r="AL462" i="1" s="1"/>
  <c r="I444" i="1"/>
  <c r="K441" i="1"/>
  <c r="J438" i="1"/>
  <c r="C436" i="1"/>
  <c r="F1526" i="1"/>
  <c r="G1524" i="1"/>
  <c r="AU1527" i="1"/>
  <c r="AV1529" i="1"/>
  <c r="BQ1526" i="1"/>
  <c r="R1552" i="1"/>
  <c r="AG1552" i="1" s="1"/>
  <c r="AQ1552" i="1" s="1"/>
  <c r="V1548" i="1"/>
  <c r="AK1548" i="1" s="1"/>
  <c r="AU1548" i="1" s="1"/>
  <c r="P1547" i="1"/>
  <c r="AC1547" i="1" s="1"/>
  <c r="AI1547" i="1" s="1"/>
  <c r="AK1195" i="1" l="1"/>
  <c r="BK1167" i="1" s="1"/>
  <c r="AV2232" i="1"/>
  <c r="AC2233" i="1" s="1"/>
  <c r="AK2234" i="1" s="1"/>
  <c r="AK2235" i="1" s="1"/>
  <c r="W2233" i="1"/>
  <c r="AC2234" i="1" s="1"/>
  <c r="AC2235" i="1" s="1"/>
  <c r="N2233" i="1"/>
  <c r="Q2234" i="1" s="1"/>
  <c r="M2230" i="1"/>
  <c r="O2250" i="1" s="1"/>
  <c r="M2251" i="1" s="1"/>
  <c r="N2253" i="1" s="1"/>
  <c r="P2239" i="1"/>
  <c r="AB2189" i="1"/>
  <c r="E2212" i="1" s="1"/>
  <c r="E2204" i="1"/>
  <c r="AX2188" i="1" s="1"/>
  <c r="I2222" i="1"/>
  <c r="O2222" i="1" s="1"/>
  <c r="L2222" i="1" s="1"/>
  <c r="AD2222" i="1"/>
  <c r="AA2222" i="1"/>
  <c r="X2222" i="1"/>
  <c r="AJ2222" i="1"/>
  <c r="AG2222" i="1" s="1"/>
  <c r="W2258" i="1"/>
  <c r="U2259" i="1" s="1"/>
  <c r="V2261" i="1" s="1"/>
  <c r="T2243" i="1"/>
  <c r="Z2238" i="1"/>
  <c r="M2238" i="1"/>
  <c r="K2258" i="1"/>
  <c r="I2259" i="1" s="1"/>
  <c r="I2261" i="1" s="1"/>
  <c r="K2243" i="1"/>
  <c r="AA2218" i="1"/>
  <c r="AJ2218" i="1"/>
  <c r="AG2218" i="1" s="1"/>
  <c r="I2218" i="1"/>
  <c r="O2218" i="1" s="1"/>
  <c r="L2218" i="1" s="1"/>
  <c r="AD2218" i="1"/>
  <c r="X2218" i="1"/>
  <c r="AC2124" i="1"/>
  <c r="AG2140" i="1" s="1"/>
  <c r="K2144" i="1"/>
  <c r="M2132" i="1"/>
  <c r="K2141" i="1"/>
  <c r="K2167" i="1"/>
  <c r="I2169" i="1" s="1"/>
  <c r="AQ2167" i="1"/>
  <c r="AR2169" i="1" s="1"/>
  <c r="AG2129" i="1"/>
  <c r="AM2132" i="1" s="1"/>
  <c r="G2075" i="1"/>
  <c r="E2126" i="1" s="1"/>
  <c r="E2091" i="1"/>
  <c r="AE2075" i="1" s="1"/>
  <c r="W2127" i="1"/>
  <c r="AC2128" i="1" s="1"/>
  <c r="N2127" i="1"/>
  <c r="Q2128" i="1" s="1"/>
  <c r="M2120" i="1"/>
  <c r="P2134" i="1" s="1"/>
  <c r="P2137" i="1"/>
  <c r="AZ2122" i="1"/>
  <c r="Q2123" i="1" s="1"/>
  <c r="N2111" i="1"/>
  <c r="H2111" i="1"/>
  <c r="T2141" i="1"/>
  <c r="W2167" i="1"/>
  <c r="V2169" i="1" s="1"/>
  <c r="Z2132" i="1"/>
  <c r="K2160" i="1"/>
  <c r="I2162" i="1" s="1"/>
  <c r="K2135" i="1"/>
  <c r="K2140" i="1"/>
  <c r="W2109" i="1"/>
  <c r="K2109" i="1"/>
  <c r="AC2109" i="1"/>
  <c r="X2140" i="1"/>
  <c r="T2135" i="1"/>
  <c r="W2160" i="1"/>
  <c r="V2162" i="1" s="1"/>
  <c r="AO2113" i="1"/>
  <c r="AI2113" i="1"/>
  <c r="K2113" i="1"/>
  <c r="W2113" i="1"/>
  <c r="P1903" i="1"/>
  <c r="AG1903" i="1"/>
  <c r="E1904" i="1" s="1"/>
  <c r="E1905" i="1" s="1"/>
  <c r="G1920" i="1" s="1"/>
  <c r="E1921" i="1" s="1"/>
  <c r="E1923" i="1" s="1"/>
  <c r="P1914" i="1"/>
  <c r="AE1928" i="1"/>
  <c r="AC1929" i="1" s="1"/>
  <c r="AE1931" i="1" s="1"/>
  <c r="T1917" i="1"/>
  <c r="S1928" i="1"/>
  <c r="Q1929" i="1" s="1"/>
  <c r="R1931" i="1" s="1"/>
  <c r="K1917" i="1"/>
  <c r="P1917" i="1"/>
  <c r="AA1928" i="1"/>
  <c r="Y1929" i="1" s="1"/>
  <c r="AA1931" i="1" s="1"/>
  <c r="M1909" i="1"/>
  <c r="G1914" i="1"/>
  <c r="P2979" i="1"/>
  <c r="U2979" i="1" s="1"/>
  <c r="H1583" i="1"/>
  <c r="K1584" i="1" s="1"/>
  <c r="X1584" i="1" s="1"/>
  <c r="E1586" i="1" s="1"/>
  <c r="BB2956" i="1"/>
  <c r="BG2956" i="1" s="1"/>
  <c r="G1596" i="1"/>
  <c r="J1599" i="1" s="1"/>
  <c r="AC1594" i="1"/>
  <c r="AX1594" i="1" s="1"/>
  <c r="S1595" i="1" s="1"/>
  <c r="W1597" i="1" s="1"/>
  <c r="AK1594" i="1"/>
  <c r="C1595" i="1" s="1"/>
  <c r="BB2979" i="1"/>
  <c r="BP2979" i="1" s="1"/>
  <c r="P2956" i="1"/>
  <c r="AD2956" i="1" s="1"/>
  <c r="AD2010" i="1"/>
  <c r="O2020" i="1" s="1"/>
  <c r="AC2020" i="1" s="1"/>
  <c r="M2021" i="1" s="1"/>
  <c r="M2022" i="1" s="1"/>
  <c r="O2055" i="1" s="1"/>
  <c r="M2056" i="1" s="1"/>
  <c r="N2058" i="1" s="1"/>
  <c r="Y2010" i="1"/>
  <c r="E2020" i="1" s="1"/>
  <c r="W2020" i="1" s="1"/>
  <c r="E2021" i="1" s="1"/>
  <c r="E2022" i="1" s="1"/>
  <c r="G2055" i="1" s="1"/>
  <c r="E2056" i="1" s="1"/>
  <c r="E2058" i="1" s="1"/>
  <c r="E2014" i="1"/>
  <c r="G2026" i="1"/>
  <c r="M2014" i="1"/>
  <c r="P2026" i="1"/>
  <c r="E2018" i="1"/>
  <c r="G2032" i="1"/>
  <c r="G1685" i="1"/>
  <c r="AC1685" i="1" s="1"/>
  <c r="G1686" i="1" s="1"/>
  <c r="G1687" i="1" s="1"/>
  <c r="H1691" i="1" s="1"/>
  <c r="E1700" i="1"/>
  <c r="J1704" i="1"/>
  <c r="P1704" i="1" s="1"/>
  <c r="BN1680" i="1"/>
  <c r="BO1680" i="1" s="1"/>
  <c r="BP1680" i="1" s="1"/>
  <c r="BQ1680" i="1" s="1"/>
  <c r="O1690" i="1"/>
  <c r="M1694" i="1"/>
  <c r="L1692" i="1"/>
  <c r="E1679" i="1"/>
  <c r="BI1682" i="1" s="1"/>
  <c r="L1955" i="1"/>
  <c r="E1958" i="1" s="1"/>
  <c r="I1955" i="1"/>
  <c r="O1958" i="1" s="1"/>
  <c r="N1956" i="1"/>
  <c r="Q1956" i="1"/>
  <c r="Y1956" i="1" s="1"/>
  <c r="E1962" i="1" s="1"/>
  <c r="W1962" i="1" s="1"/>
  <c r="E1963" i="1" s="1"/>
  <c r="E1964" i="1" s="1"/>
  <c r="K1971" i="1"/>
  <c r="T1971" i="1" s="1"/>
  <c r="I1956" i="1"/>
  <c r="O1977" i="1"/>
  <c r="J1958" i="1"/>
  <c r="R1958" i="1" s="1"/>
  <c r="T1956" i="1"/>
  <c r="BR1955" i="1"/>
  <c r="C1947" i="1"/>
  <c r="R1666" i="1"/>
  <c r="D1659" i="1"/>
  <c r="J1660" i="1" s="1"/>
  <c r="O1666" i="1"/>
  <c r="L1761" i="1"/>
  <c r="R1656" i="1"/>
  <c r="L1656" i="1" s="1"/>
  <c r="I1657" i="1" s="1"/>
  <c r="K1738" i="1"/>
  <c r="J1739" i="1" s="1"/>
  <c r="H1740" i="1" s="1"/>
  <c r="J1741" i="1" s="1"/>
  <c r="H1743" i="1" s="1"/>
  <c r="L1744" i="1" s="1"/>
  <c r="Y1744" i="1" s="1"/>
  <c r="E1746" i="1" s="1"/>
  <c r="L1736" i="1"/>
  <c r="BJ1726" i="1"/>
  <c r="BP1734" i="1"/>
  <c r="AA1739" i="1"/>
  <c r="Q1649" i="1"/>
  <c r="Q1620" i="1"/>
  <c r="P1621" i="1" s="1"/>
  <c r="K1622" i="1" s="1"/>
  <c r="J1623" i="1" s="1"/>
  <c r="Q1624" i="1" s="1"/>
  <c r="H1625" i="1" s="1"/>
  <c r="J1626" i="1" s="1"/>
  <c r="H1628" i="1" s="1"/>
  <c r="K1629" i="1" s="1"/>
  <c r="W1629" i="1" s="1"/>
  <c r="M1645" i="1"/>
  <c r="X1645" i="1" s="1"/>
  <c r="L1620" i="1"/>
  <c r="E1615" i="1"/>
  <c r="E1618" i="1" s="1"/>
  <c r="BR1619" i="1" s="1"/>
  <c r="AA454" i="1"/>
  <c r="AP454" i="1" s="1"/>
  <c r="J457" i="1" s="1"/>
  <c r="M457" i="1" s="1" a="1"/>
  <c r="M457" i="1" s="1"/>
  <c r="F478" i="1"/>
  <c r="E480" i="1" s="1"/>
  <c r="AH455" i="1"/>
  <c r="K458" i="1" s="1"/>
  <c r="AT454" i="1"/>
  <c r="K457" i="1" s="1"/>
  <c r="AA462" i="1"/>
  <c r="V1532" i="1"/>
  <c r="D1535" i="1" s="1"/>
  <c r="X1535" i="1" s="1"/>
  <c r="AM1535" i="1" s="1"/>
  <c r="BH1535" i="1" s="1"/>
  <c r="D1536" i="1" s="1"/>
  <c r="V1536" i="1" s="1"/>
  <c r="AM1536" i="1" s="1"/>
  <c r="BD1536" i="1" s="1"/>
  <c r="D1537" i="1" s="1"/>
  <c r="I1554" i="1"/>
  <c r="P1554" i="1" s="1"/>
  <c r="N1555" i="1" s="1"/>
  <c r="AZ1552" i="1"/>
  <c r="R1551" i="1"/>
  <c r="F1527" i="1"/>
  <c r="BI1514" i="1"/>
  <c r="BA1514" i="1"/>
  <c r="BD1552" i="1" s="1"/>
  <c r="R1524" i="1"/>
  <c r="Q1525" i="1" s="1"/>
  <c r="S1526" i="1" s="1"/>
  <c r="P1529" i="1" s="1"/>
  <c r="N1531" i="1" s="1"/>
  <c r="R1532" i="1" s="1"/>
  <c r="J1524" i="1"/>
  <c r="L1525" i="1" s="1"/>
  <c r="N1526" i="1" s="1"/>
  <c r="K1529" i="1" s="1"/>
  <c r="I1531" i="1" s="1"/>
  <c r="M1532" i="1" s="1"/>
  <c r="G1525" i="1"/>
  <c r="I1526" i="1" s="1"/>
  <c r="I1527" i="1" s="1"/>
  <c r="AQ1515" i="1"/>
  <c r="BM1510" i="1"/>
  <c r="AT1509" i="1"/>
  <c r="AQ1520" i="1" s="1"/>
  <c r="AZ1469" i="1"/>
  <c r="U1479" i="1"/>
  <c r="L1480" i="1"/>
  <c r="I1481" i="1" s="1"/>
  <c r="F1480" i="1"/>
  <c r="F1481" i="1" s="1"/>
  <c r="R1476" i="1"/>
  <c r="O1476" i="1"/>
  <c r="L1476" i="1"/>
  <c r="I1476" i="1"/>
  <c r="F1476" i="1"/>
  <c r="L1474" i="1"/>
  <c r="I1474" i="1"/>
  <c r="F1474" i="1"/>
  <c r="O1480" i="1"/>
  <c r="L1481" i="1" s="1"/>
  <c r="I1480" i="1"/>
  <c r="I1499" i="1"/>
  <c r="P1499" i="1" s="1"/>
  <c r="N1500" i="1" s="1"/>
  <c r="AE1497" i="1"/>
  <c r="I1497" i="1"/>
  <c r="O1497" i="1" s="1"/>
  <c r="V1497" i="1" s="1"/>
  <c r="R1496" i="1"/>
  <c r="M1492" i="1"/>
  <c r="T1492" i="1" s="1"/>
  <c r="M1493" i="1"/>
  <c r="S1493" i="1" s="1"/>
  <c r="Z1493" i="1" s="1"/>
  <c r="AI1490" i="1"/>
  <c r="AF1490" i="1"/>
  <c r="X1490" i="1"/>
  <c r="U1490" i="1"/>
  <c r="AD1489" i="1"/>
  <c r="AA1489" i="1"/>
  <c r="T1489" i="1"/>
  <c r="Q1489" i="1"/>
  <c r="AA1488" i="1"/>
  <c r="X1488" i="1"/>
  <c r="Q1488" i="1"/>
  <c r="N1488" i="1"/>
  <c r="BD1460" i="1"/>
  <c r="BE1462" i="1"/>
  <c r="AL1467" i="1" s="1"/>
  <c r="AE1469" i="1"/>
  <c r="AI1497" i="1" s="1"/>
  <c r="V1468" i="1"/>
  <c r="AO1449" i="1"/>
  <c r="AO1447" i="1"/>
  <c r="F1451" i="1"/>
  <c r="M1452" i="1" s="1"/>
  <c r="E1449" i="1"/>
  <c r="S1450" i="1" s="1"/>
  <c r="AA1450" i="1" s="1"/>
  <c r="E1447" i="1"/>
  <c r="S1448" i="1" s="1"/>
  <c r="AA1448" i="1" s="1"/>
  <c r="Y1442" i="1"/>
  <c r="S1441" i="1"/>
  <c r="AB1441" i="1" s="1"/>
  <c r="AL1441" i="1" s="1"/>
  <c r="AU1441" i="1" s="1"/>
  <c r="U1440" i="1"/>
  <c r="M1441" i="1"/>
  <c r="L1438" i="1"/>
  <c r="S1437" i="1"/>
  <c r="AA1437" i="1" s="1"/>
  <c r="M1437" i="1"/>
  <c r="U1436" i="1"/>
  <c r="P1420" i="1"/>
  <c r="P1428" i="1"/>
  <c r="K1406" i="1"/>
  <c r="R1406" i="1" s="1"/>
  <c r="P1407" i="1" s="1"/>
  <c r="I1416" i="1" s="1"/>
  <c r="H1432" i="1"/>
  <c r="O1432" i="1" s="1"/>
  <c r="M1433" i="1" s="1"/>
  <c r="Z1429" i="1"/>
  <c r="AL1429" i="1" s="1"/>
  <c r="AY1429" i="1" s="1"/>
  <c r="BK1429" i="1" s="1"/>
  <c r="BY1429" i="1" s="1"/>
  <c r="I1429" i="1"/>
  <c r="R1429" i="1" s="1"/>
  <c r="J1409" i="1"/>
  <c r="O1409" i="1" s="1"/>
  <c r="O1410" i="1" s="1"/>
  <c r="AI1411" i="1" s="1"/>
  <c r="J1408" i="1"/>
  <c r="O1408" i="1" s="1"/>
  <c r="H1423" i="1"/>
  <c r="O1423" i="1" s="1"/>
  <c r="M1424" i="1" s="1"/>
  <c r="AT1421" i="1"/>
  <c r="K1430" i="1" s="1"/>
  <c r="I1421" i="1"/>
  <c r="R1421" i="1" s="1"/>
  <c r="Z1421" i="1" s="1"/>
  <c r="AI1421" i="1" s="1"/>
  <c r="K1404" i="1"/>
  <c r="R1404" i="1" s="1"/>
  <c r="AP1398" i="1"/>
  <c r="AZ1399" i="1" s="1"/>
  <c r="BB1400" i="1" s="1"/>
  <c r="BL1406" i="1" s="1"/>
  <c r="AK1398" i="1"/>
  <c r="AU1399" i="1" s="1"/>
  <c r="AW1400" i="1" s="1"/>
  <c r="BF1406" i="1" s="1"/>
  <c r="AH1398" i="1"/>
  <c r="AO1399" i="1" s="1"/>
  <c r="AQ1400" i="1" s="1"/>
  <c r="AT1426" i="1" s="1"/>
  <c r="AQ1427" i="1" s="1"/>
  <c r="BB1429" i="1" s="1"/>
  <c r="AA1398" i="1"/>
  <c r="AE1399" i="1" s="1"/>
  <c r="AG1400" i="1" s="1"/>
  <c r="AJ1426" i="1" s="1"/>
  <c r="AG1427" i="1" s="1"/>
  <c r="AO1429" i="1" s="1"/>
  <c r="V1398" i="1"/>
  <c r="Z1399" i="1" s="1"/>
  <c r="AB1400" i="1" s="1"/>
  <c r="AE1426" i="1" s="1"/>
  <c r="AB1427" i="1" s="1"/>
  <c r="AI1429" i="1" s="1"/>
  <c r="S1398" i="1"/>
  <c r="T1399" i="1" s="1"/>
  <c r="V1400" i="1" s="1"/>
  <c r="AC1406" i="1" s="1"/>
  <c r="N1398" i="1"/>
  <c r="L1442" i="1" s="1"/>
  <c r="K1398" i="1"/>
  <c r="W1394" i="1"/>
  <c r="AA1395" i="1" s="1"/>
  <c r="AD1396" i="1" s="1"/>
  <c r="AL1404" i="1" s="1"/>
  <c r="R1394" i="1"/>
  <c r="V1395" i="1" s="1"/>
  <c r="Y1396" i="1" s="1"/>
  <c r="AF1404" i="1" s="1"/>
  <c r="K1394" i="1"/>
  <c r="O1395" i="1" s="1"/>
  <c r="Q1396" i="1" s="1"/>
  <c r="W1404" i="1" s="1"/>
  <c r="AB1391" i="1"/>
  <c r="AE1391" i="1" s="1"/>
  <c r="AH1391" i="1"/>
  <c r="Y1391" i="1"/>
  <c r="S1391" i="1"/>
  <c r="V1391" i="1" s="1"/>
  <c r="P1391" i="1"/>
  <c r="J1391" i="1"/>
  <c r="G1391" i="1"/>
  <c r="G1392" i="1" s="1"/>
  <c r="I1414" i="1" s="1"/>
  <c r="S1389" i="1"/>
  <c r="P1389" i="1"/>
  <c r="M1389" i="1"/>
  <c r="J1389" i="1"/>
  <c r="G1389" i="1"/>
  <c r="F1385" i="1"/>
  <c r="AX1421" i="1" s="1"/>
  <c r="O1430" i="1" s="1"/>
  <c r="I1383" i="1"/>
  <c r="AN1381" i="1"/>
  <c r="M1391" i="1" s="1"/>
  <c r="K1380" i="1"/>
  <c r="J1377" i="1"/>
  <c r="C1375" i="1"/>
  <c r="AU914" i="1"/>
  <c r="AU912" i="1"/>
  <c r="AU1032" i="1"/>
  <c r="AV979" i="1"/>
  <c r="AU1343" i="1"/>
  <c r="AU1342" i="1"/>
  <c r="AB1343" i="1"/>
  <c r="AA1345" i="1" s="1"/>
  <c r="AA1347" i="1" s="1"/>
  <c r="AA1349" i="1" s="1"/>
  <c r="S1343" i="1"/>
  <c r="R1345" i="1" s="1"/>
  <c r="X1353" i="1"/>
  <c r="AC1354" i="1" s="1"/>
  <c r="AC1355" i="1" s="1"/>
  <c r="P1353" i="1"/>
  <c r="R1354" i="1" s="1"/>
  <c r="R1355" i="1" s="1"/>
  <c r="K1353" i="1"/>
  <c r="M1354" i="1" s="1"/>
  <c r="M1355" i="1" s="1"/>
  <c r="H1364" i="1"/>
  <c r="O1364" i="1" s="1"/>
  <c r="M1365" i="1" s="1"/>
  <c r="AV1362" i="1"/>
  <c r="I1362" i="1"/>
  <c r="Q1362" i="1" s="1"/>
  <c r="P1361" i="1"/>
  <c r="AS1358" i="1"/>
  <c r="U1358" i="1"/>
  <c r="AG1358" i="1" s="1"/>
  <c r="M1358" i="1"/>
  <c r="S1353" i="1"/>
  <c r="X1354" i="1" s="1"/>
  <c r="X1355" i="1" s="1"/>
  <c r="F1348" i="1"/>
  <c r="I1349" i="1" s="1"/>
  <c r="E1346" i="1"/>
  <c r="O1347" i="1" s="1"/>
  <c r="E1344" i="1"/>
  <c r="I1345" i="1" s="1"/>
  <c r="R1340" i="1"/>
  <c r="AA1339" i="1"/>
  <c r="AS1325" i="1"/>
  <c r="M1335" i="1" s="1"/>
  <c r="O1340" i="1"/>
  <c r="R1339" i="1"/>
  <c r="O1339" i="1"/>
  <c r="X1339" i="1" s="1"/>
  <c r="I1339" i="1"/>
  <c r="U1338" i="1"/>
  <c r="J1335" i="1"/>
  <c r="G1335" i="1"/>
  <c r="N1333" i="1"/>
  <c r="H1333" i="1"/>
  <c r="E1333" i="1"/>
  <c r="F1329" i="1"/>
  <c r="AZ1362" i="1" s="1"/>
  <c r="I1327" i="1"/>
  <c r="K1324" i="1"/>
  <c r="J1321" i="1"/>
  <c r="C1319" i="1"/>
  <c r="P1290" i="1"/>
  <c r="E1278" i="1"/>
  <c r="H1278" i="1"/>
  <c r="K1278" i="1"/>
  <c r="P1278" i="1" s="1"/>
  <c r="F1302" i="1"/>
  <c r="M1288" i="1"/>
  <c r="U1288" i="1" s="1"/>
  <c r="V1307" i="1"/>
  <c r="N1309" i="1"/>
  <c r="K1309" i="1"/>
  <c r="H1309" i="1"/>
  <c r="N1308" i="1"/>
  <c r="H1308" i="1"/>
  <c r="D1296" i="1"/>
  <c r="O1297" i="1" s="1"/>
  <c r="E1300" i="1"/>
  <c r="N1301" i="1" s="1"/>
  <c r="E1298" i="1"/>
  <c r="N1299" i="1" s="1"/>
  <c r="H1293" i="1"/>
  <c r="O1293" i="1" s="1"/>
  <c r="M1294" i="1" s="1"/>
  <c r="AE1291" i="1"/>
  <c r="H1291" i="1"/>
  <c r="P1291" i="1" s="1"/>
  <c r="Z1291" i="1" s="1"/>
  <c r="Q1283" i="1"/>
  <c r="J1283" i="1"/>
  <c r="F1274" i="1"/>
  <c r="AI1291" i="1" s="1"/>
  <c r="I1272" i="1"/>
  <c r="K1269" i="1"/>
  <c r="J1266" i="1"/>
  <c r="C1264" i="1"/>
  <c r="BE1092" i="1"/>
  <c r="AQ1096" i="1"/>
  <c r="AH1096" i="1"/>
  <c r="AB1096" i="1"/>
  <c r="AQ1094" i="1"/>
  <c r="AH1094" i="1"/>
  <c r="AB1094" i="1"/>
  <c r="AQ1092" i="1"/>
  <c r="AH1092" i="1"/>
  <c r="AB1092" i="1"/>
  <c r="AQ1090" i="1"/>
  <c r="AH1090" i="1"/>
  <c r="AB1090" i="1"/>
  <c r="F1095" i="1"/>
  <c r="N1096" i="1" s="1"/>
  <c r="E1093" i="1"/>
  <c r="AN1094" i="1" s="1"/>
  <c r="E1091" i="1"/>
  <c r="AE1092" i="1" s="1"/>
  <c r="Y1092" i="1" s="1"/>
  <c r="H1158" i="1"/>
  <c r="H1159" i="1" s="1"/>
  <c r="W1154" i="1"/>
  <c r="H1155" i="1"/>
  <c r="Q1155" i="1" s="1"/>
  <c r="E2213" i="1" l="1"/>
  <c r="W2213" i="1" s="1"/>
  <c r="AN2212" i="1"/>
  <c r="F2216" i="1"/>
  <c r="F2218" i="1" s="1"/>
  <c r="F2220" i="1" s="1"/>
  <c r="F2222" i="1" s="1"/>
  <c r="E2208" i="1"/>
  <c r="P2242" i="1"/>
  <c r="P2240" i="1"/>
  <c r="Q2235" i="1"/>
  <c r="AE2258" i="1"/>
  <c r="AC2259" i="1" s="1"/>
  <c r="AE2261" i="1" s="1"/>
  <c r="AI2238" i="1"/>
  <c r="AR2238" i="1"/>
  <c r="AM2258" i="1"/>
  <c r="AK2259" i="1" s="1"/>
  <c r="AN2261" i="1" s="1"/>
  <c r="E2227" i="1"/>
  <c r="E2228" i="1" s="1"/>
  <c r="E2229" i="1" s="1"/>
  <c r="AZ2201" i="1"/>
  <c r="AZ2202" i="1"/>
  <c r="E2232" i="1"/>
  <c r="AY2216" i="1"/>
  <c r="AH2225" i="1" s="1"/>
  <c r="AY2217" i="1"/>
  <c r="AH2227" i="1" s="1"/>
  <c r="Q2129" i="1"/>
  <c r="P2144" i="1"/>
  <c r="AC2129" i="1"/>
  <c r="Y2141" i="1" s="1"/>
  <c r="Y2144" i="1"/>
  <c r="AE2160" i="1"/>
  <c r="AE2162" i="1" s="1"/>
  <c r="E2095" i="1"/>
  <c r="E2096" i="1" s="1"/>
  <c r="N2096" i="1" s="1"/>
  <c r="AI2167" i="1"/>
  <c r="AI2169" i="1" s="1"/>
  <c r="E2103" i="1"/>
  <c r="E2104" i="1" s="1"/>
  <c r="Z2104" i="1" s="1"/>
  <c r="AC2141" i="1"/>
  <c r="D2106" i="1"/>
  <c r="X2107" i="1" s="1"/>
  <c r="O2153" i="1"/>
  <c r="N2155" i="1" s="1"/>
  <c r="E2122" i="1"/>
  <c r="AQ2122" i="1" s="1"/>
  <c r="E2123" i="1" s="1"/>
  <c r="E2124" i="1" s="1"/>
  <c r="E2127" i="1"/>
  <c r="E2128" i="1" s="1"/>
  <c r="E2129" i="1" s="1"/>
  <c r="AN2073" i="1"/>
  <c r="AO2073" i="1" s="1"/>
  <c r="AP2073" i="1" s="1"/>
  <c r="AQ2073" i="1" s="1"/>
  <c r="E2099" i="1"/>
  <c r="F2107" i="1" s="1"/>
  <c r="E2118" i="1"/>
  <c r="Y2118" i="1" s="1"/>
  <c r="E2119" i="1" s="1"/>
  <c r="Q2124" i="1"/>
  <c r="P2138" i="1"/>
  <c r="T2143" i="1"/>
  <c r="G1913" i="1"/>
  <c r="G1916" i="1"/>
  <c r="Z1903" i="1"/>
  <c r="AQ1903" i="1" s="1"/>
  <c r="S1904" i="1" s="1"/>
  <c r="AK1903" i="1"/>
  <c r="K1904" i="1" s="1"/>
  <c r="AC1914" i="1"/>
  <c r="O1915" i="1" s="1"/>
  <c r="G1917" i="1"/>
  <c r="AC1917" i="1" s="1"/>
  <c r="O1918" i="1" s="1"/>
  <c r="O1928" i="1"/>
  <c r="M1929" i="1" s="1"/>
  <c r="N1931" i="1" s="1"/>
  <c r="BP2956" i="1"/>
  <c r="AD2979" i="1"/>
  <c r="T1586" i="1"/>
  <c r="L1589" i="1"/>
  <c r="G1597" i="1"/>
  <c r="I1600" i="1" s="1"/>
  <c r="Z1600" i="1"/>
  <c r="X1601" i="1"/>
  <c r="U1602" i="1" s="1"/>
  <c r="V1604" i="1" s="1"/>
  <c r="BG2979" i="1"/>
  <c r="U2956" i="1"/>
  <c r="G2035" i="1"/>
  <c r="G2047" i="1"/>
  <c r="E2048" i="1" s="1"/>
  <c r="E2050" i="1" s="1"/>
  <c r="P2029" i="1"/>
  <c r="O2039" i="1"/>
  <c r="M2040" i="1" s="1"/>
  <c r="N2042" i="1" s="1"/>
  <c r="G2029" i="1"/>
  <c r="G2039" i="1"/>
  <c r="E2040" i="1" s="1"/>
  <c r="E2042" i="1" s="1"/>
  <c r="O2016" i="1"/>
  <c r="AC2016" i="1" s="1"/>
  <c r="M2017" i="1" s="1"/>
  <c r="M2018" i="1" s="1"/>
  <c r="W2026" i="1"/>
  <c r="O2028" i="1" s="1"/>
  <c r="U2048" i="1" s="1"/>
  <c r="W2050" i="1" s="1"/>
  <c r="BO1679" i="1"/>
  <c r="E1701" i="1"/>
  <c r="R1701" i="1" s="1"/>
  <c r="T1700" i="1"/>
  <c r="F1704" i="1"/>
  <c r="E1694" i="1"/>
  <c r="E1692" i="1"/>
  <c r="I1690" i="1"/>
  <c r="AD1956" i="1"/>
  <c r="O1962" i="1" s="1"/>
  <c r="AC1962" i="1" s="1"/>
  <c r="M1963" i="1" s="1"/>
  <c r="M1964" i="1" s="1"/>
  <c r="O1983" i="1" s="1"/>
  <c r="M1984" i="1" s="1"/>
  <c r="N1986" i="1" s="1"/>
  <c r="AC1958" i="1"/>
  <c r="M1959" i="1" s="1"/>
  <c r="P1968" i="1" s="1"/>
  <c r="W1958" i="1"/>
  <c r="E1959" i="1" s="1"/>
  <c r="E1960" i="1" s="1"/>
  <c r="G1975" i="1" s="1"/>
  <c r="E1976" i="1" s="1"/>
  <c r="E1978" i="1" s="1"/>
  <c r="G1983" i="1"/>
  <c r="E1984" i="1" s="1"/>
  <c r="E1986" i="1" s="1"/>
  <c r="W1761" i="1"/>
  <c r="AG1761" i="1" s="1"/>
  <c r="AS1761" i="1" s="1"/>
  <c r="BJ1761" i="1" s="1"/>
  <c r="T1746" i="1"/>
  <c r="AB1746" i="1" s="1"/>
  <c r="R1747" i="1" s="1"/>
  <c r="O1749" i="1"/>
  <c r="X1749" i="1"/>
  <c r="M1750" i="1" s="1"/>
  <c r="M1752" i="1" s="1"/>
  <c r="O1753" i="1" s="1"/>
  <c r="E1754" i="1" s="1"/>
  <c r="E1631" i="1"/>
  <c r="T1631" i="1" s="1"/>
  <c r="AV1619" i="1"/>
  <c r="AE1616" i="1" s="1"/>
  <c r="E482" i="1"/>
  <c r="O457" i="1" a="1"/>
  <c r="O457" i="1" s="1"/>
  <c r="E457" i="1" s="1"/>
  <c r="AC1532" i="1"/>
  <c r="F1534" i="1" s="1"/>
  <c r="M1537" i="1" s="1"/>
  <c r="AG1537" i="1" s="1"/>
  <c r="BI1516" i="1"/>
  <c r="BP1522" i="1"/>
  <c r="AA1527" i="1"/>
  <c r="AQ1527" i="1"/>
  <c r="AD1537" i="1"/>
  <c r="H1544" i="1" s="1"/>
  <c r="J1547" i="1" s="1"/>
  <c r="D1539" i="1"/>
  <c r="D1540" i="1" s="1"/>
  <c r="AD1540" i="1" s="1"/>
  <c r="D1541" i="1" s="1"/>
  <c r="AC1541" i="1" s="1"/>
  <c r="AU1541" i="1" s="1"/>
  <c r="D1542" i="1" s="1"/>
  <c r="T1542" i="1" s="1"/>
  <c r="Q1527" i="1"/>
  <c r="I1528" i="1" s="1"/>
  <c r="V1527" i="1"/>
  <c r="N1528" i="1" s="1"/>
  <c r="M1524" i="1"/>
  <c r="AP1489" i="1"/>
  <c r="P1492" i="1" s="1"/>
  <c r="AD1488" i="1"/>
  <c r="BA1490" i="1"/>
  <c r="N1494" i="1" s="1"/>
  <c r="K1495" i="1" s="1"/>
  <c r="L1497" i="1" s="1"/>
  <c r="AV1490" i="1"/>
  <c r="I1494" i="1" s="1"/>
  <c r="F1495" i="1" s="1"/>
  <c r="F1497" i="1" s="1"/>
  <c r="F1475" i="1"/>
  <c r="U1476" i="1"/>
  <c r="Y1465" i="1" s="1"/>
  <c r="O1481" i="1"/>
  <c r="T1480" i="1"/>
  <c r="AI1488" i="1"/>
  <c r="AK1489" i="1"/>
  <c r="J1492" i="1" s="1"/>
  <c r="M1448" i="1"/>
  <c r="P1441" i="1"/>
  <c r="S1452" i="1"/>
  <c r="AA1452" i="1" s="1"/>
  <c r="M1450" i="1"/>
  <c r="I1442" i="1"/>
  <c r="AO1441" i="1"/>
  <c r="AR1441" i="1"/>
  <c r="V1442" i="1" s="1"/>
  <c r="P1437" i="1"/>
  <c r="V1441" i="1"/>
  <c r="AX1441" i="1"/>
  <c r="AB1442" i="1"/>
  <c r="AE1441" i="1"/>
  <c r="Y1441" i="1" s="1"/>
  <c r="O1438" i="1"/>
  <c r="AD1437" i="1"/>
  <c r="AZ1426" i="1"/>
  <c r="AW1427" i="1" s="1"/>
  <c r="BH1429" i="1" s="1"/>
  <c r="Y1426" i="1"/>
  <c r="V1427" i="1" s="1"/>
  <c r="AC1429" i="1" s="1"/>
  <c r="Z1406" i="1"/>
  <c r="AL1406" i="1" s="1"/>
  <c r="AW1406" i="1" s="1"/>
  <c r="BI1406" i="1" s="1"/>
  <c r="BW1406" i="1" s="1"/>
  <c r="K1407" i="1"/>
  <c r="K1416" i="1" s="1"/>
  <c r="AI1406" i="1"/>
  <c r="AO1406" i="1"/>
  <c r="AZ1406" i="1"/>
  <c r="BE1426" i="1"/>
  <c r="BB1427" i="1" s="1"/>
  <c r="BN1429" i="1" s="1"/>
  <c r="AQ1408" i="1"/>
  <c r="P1411" i="1" s="1"/>
  <c r="AW1409" i="1"/>
  <c r="T1408" i="1"/>
  <c r="AV1408" i="1"/>
  <c r="U1411" i="1" s="1"/>
  <c r="W1408" i="1"/>
  <c r="AE1408" i="1" s="1"/>
  <c r="BC1409" i="1"/>
  <c r="AB1408" i="1"/>
  <c r="W1409" i="1"/>
  <c r="AI1409" i="1" s="1"/>
  <c r="AT1409" i="1" s="1"/>
  <c r="BF1409" i="1" s="1"/>
  <c r="Z1409" i="1"/>
  <c r="BI1409" i="1"/>
  <c r="AH1408" i="1"/>
  <c r="AF1409" i="1"/>
  <c r="J1410" i="1"/>
  <c r="AD1411" i="1" s="1"/>
  <c r="T1418" i="1"/>
  <c r="Q1419" i="1" s="1"/>
  <c r="W1421" i="1" s="1"/>
  <c r="AL1409" i="1"/>
  <c r="O1399" i="1"/>
  <c r="AB1418" i="1"/>
  <c r="Y1419" i="1" s="1"/>
  <c r="AG1418" i="1"/>
  <c r="AD1419" i="1" s="1"/>
  <c r="AL1421" i="1" s="1"/>
  <c r="K1405" i="1"/>
  <c r="K1415" i="1" s="1"/>
  <c r="Z1404" i="1"/>
  <c r="AI1404" i="1" s="1"/>
  <c r="P1405" i="1"/>
  <c r="I1415" i="1" s="1"/>
  <c r="V1389" i="1"/>
  <c r="G1390" i="1" s="1"/>
  <c r="M1413" i="1" s="1"/>
  <c r="AK1391" i="1"/>
  <c r="J1392" i="1" s="1"/>
  <c r="M1414" i="1" s="1"/>
  <c r="O1349" i="1"/>
  <c r="K1333" i="1"/>
  <c r="R1347" i="1"/>
  <c r="AA1359" i="1"/>
  <c r="X1360" i="1" s="1"/>
  <c r="AD1358" i="1"/>
  <c r="U1359" i="1"/>
  <c r="R1360" i="1" s="1"/>
  <c r="T1362" i="1" s="1"/>
  <c r="N1362" i="1" s="1"/>
  <c r="X1358" i="1"/>
  <c r="AJ1358" i="1"/>
  <c r="AF1359" i="1"/>
  <c r="AC1360" i="1" s="1"/>
  <c r="AF1362" i="1" s="1"/>
  <c r="X1347" i="1"/>
  <c r="U1347" i="1" s="1"/>
  <c r="P1359" i="1"/>
  <c r="M1360" i="1" s="1"/>
  <c r="R1358" i="1"/>
  <c r="O1345" i="1"/>
  <c r="L1345" i="1" s="1"/>
  <c r="I1347" i="1"/>
  <c r="AC1362" i="1"/>
  <c r="U1339" i="1"/>
  <c r="L1340" i="1" s="1"/>
  <c r="L1339" i="1"/>
  <c r="I1340" i="1" s="1"/>
  <c r="Q1333" i="1"/>
  <c r="T1333" i="1" s="1"/>
  <c r="Y1283" i="1"/>
  <c r="L1284" i="1" s="1"/>
  <c r="I1297" i="1"/>
  <c r="E1279" i="1"/>
  <c r="J1280" i="1"/>
  <c r="G1280" i="1"/>
  <c r="H1299" i="1"/>
  <c r="H1303" i="1"/>
  <c r="N1303" i="1" s="1"/>
  <c r="H1301" i="1"/>
  <c r="T1096" i="1"/>
  <c r="Q1096" i="1" s="1"/>
  <c r="AE1096" i="1"/>
  <c r="Y1096" i="1" s="1"/>
  <c r="AN1092" i="1"/>
  <c r="AK1096" i="1"/>
  <c r="AK1094" i="1"/>
  <c r="AN1096" i="1"/>
  <c r="AK1092" i="1"/>
  <c r="T1092" i="1"/>
  <c r="Q1092" i="1" s="1"/>
  <c r="T1094" i="1"/>
  <c r="Q1094" i="1" s="1"/>
  <c r="Q1158" i="1"/>
  <c r="AE1094" i="1"/>
  <c r="Y1094" i="1" s="1"/>
  <c r="N1094" i="1"/>
  <c r="N1092" i="1"/>
  <c r="H1156" i="1"/>
  <c r="E2209" i="1" l="1"/>
  <c r="N2209" i="1" s="1"/>
  <c r="S2208" i="1"/>
  <c r="AI2132" i="1"/>
  <c r="P2243" i="1"/>
  <c r="V2238" i="1"/>
  <c r="S2258" i="1"/>
  <c r="Q2259" i="1" s="1"/>
  <c r="R2261" i="1" s="1"/>
  <c r="E2233" i="1"/>
  <c r="E2234" i="1" s="1"/>
  <c r="G2240" i="1" s="1"/>
  <c r="AD2240" i="1" s="1"/>
  <c r="U2241" i="1" s="1"/>
  <c r="AS2222" i="1"/>
  <c r="AG2224" i="1" s="1"/>
  <c r="AS2220" i="1"/>
  <c r="U2224" i="1" s="1"/>
  <c r="E2230" i="1"/>
  <c r="G2239" i="1"/>
  <c r="AD2239" i="1" s="1"/>
  <c r="O2241" i="1" s="1"/>
  <c r="BN2228" i="1"/>
  <c r="BK2228" i="1" s="1"/>
  <c r="AM2228" i="1"/>
  <c r="AS2228" i="1" s="1"/>
  <c r="AP2228" i="1" s="1"/>
  <c r="BH2228" i="1"/>
  <c r="BE2228" i="1"/>
  <c r="BB2228" i="1"/>
  <c r="BE2226" i="1"/>
  <c r="BN2226" i="1"/>
  <c r="BK2226" i="1" s="1"/>
  <c r="AM2226" i="1"/>
  <c r="AS2226" i="1" s="1"/>
  <c r="AP2226" i="1" s="1"/>
  <c r="BH2226" i="1"/>
  <c r="BB2226" i="1"/>
  <c r="BA2202" i="1"/>
  <c r="BB2202" i="1" s="1"/>
  <c r="BC2202" i="1" s="1"/>
  <c r="BA2201" i="1"/>
  <c r="BH2201" i="1" s="1"/>
  <c r="S2095" i="1"/>
  <c r="AE2167" i="1"/>
  <c r="AE2169" i="1" s="1"/>
  <c r="S2167" i="1"/>
  <c r="R2169" i="1" s="1"/>
  <c r="P2141" i="1"/>
  <c r="V2132" i="1"/>
  <c r="AH2099" i="1"/>
  <c r="E2113" i="1"/>
  <c r="AT2113" i="1" s="1"/>
  <c r="AG2115" i="1" s="1"/>
  <c r="AT2103" i="1"/>
  <c r="G2143" i="1"/>
  <c r="AT2143" i="1" s="1"/>
  <c r="O2145" i="1" s="1"/>
  <c r="G2138" i="1"/>
  <c r="AC2138" i="1" s="1"/>
  <c r="U2139" i="1" s="1"/>
  <c r="L2107" i="1"/>
  <c r="G2144" i="1"/>
  <c r="AL2144" i="1" s="1"/>
  <c r="U2145" i="1" s="1"/>
  <c r="AD2107" i="1"/>
  <c r="E2100" i="1"/>
  <c r="T2100" i="1" s="1"/>
  <c r="G2137" i="1"/>
  <c r="AC2137" i="1" s="1"/>
  <c r="O2139" i="1" s="1"/>
  <c r="E2120" i="1"/>
  <c r="G2153" i="1" s="1"/>
  <c r="E2155" i="1" s="1"/>
  <c r="S2160" i="1"/>
  <c r="R2162" i="1" s="1"/>
  <c r="P2135" i="1"/>
  <c r="T2140" i="1"/>
  <c r="G2160" i="1"/>
  <c r="E2162" i="1" s="1"/>
  <c r="G2135" i="1"/>
  <c r="G2140" i="1"/>
  <c r="E2109" i="1"/>
  <c r="AO2072" i="1"/>
  <c r="I2132" i="1"/>
  <c r="G2141" i="1"/>
  <c r="G2167" i="1"/>
  <c r="E2169" i="1" s="1"/>
  <c r="N1913" i="1"/>
  <c r="M1905" i="1"/>
  <c r="W1913" i="1"/>
  <c r="U1905" i="1"/>
  <c r="H1601" i="1"/>
  <c r="E1602" i="1" s="1"/>
  <c r="E1604" i="1" s="1"/>
  <c r="U1589" i="1"/>
  <c r="AF1589" i="1"/>
  <c r="AB1586" i="1"/>
  <c r="R1587" i="1" s="1"/>
  <c r="K1587" i="1"/>
  <c r="Y2029" i="1"/>
  <c r="O2031" i="1" s="1"/>
  <c r="AF2035" i="1" s="1"/>
  <c r="E2043" i="1"/>
  <c r="D2045" i="1" s="1"/>
  <c r="I2045" i="1" s="1"/>
  <c r="P2035" i="1"/>
  <c r="O2047" i="1"/>
  <c r="M2048" i="1" s="1"/>
  <c r="N2050" i="1" s="1"/>
  <c r="P2032" i="1"/>
  <c r="Y2035" i="1"/>
  <c r="W2032" i="1"/>
  <c r="U1704" i="1"/>
  <c r="E1706" i="1"/>
  <c r="AD1690" i="1"/>
  <c r="U1694" i="1" s="1"/>
  <c r="E1695" i="1" s="1"/>
  <c r="D1697" i="1" s="1"/>
  <c r="I1697" i="1" s="1"/>
  <c r="M1960" i="1"/>
  <c r="P1971" i="1" s="1"/>
  <c r="G1971" i="1"/>
  <c r="G1968" i="1"/>
  <c r="W1968" i="1" s="1"/>
  <c r="O1970" i="1" s="1"/>
  <c r="U1984" i="1" s="1"/>
  <c r="W1986" i="1" s="1"/>
  <c r="Q1757" i="1"/>
  <c r="T1760" i="1" s="1"/>
  <c r="K1747" i="1"/>
  <c r="AC1747" i="1" s="1"/>
  <c r="C1748" i="1" s="1"/>
  <c r="O1748" i="1" s="1"/>
  <c r="Z1748" i="1" s="1"/>
  <c r="C1749" i="1" s="1"/>
  <c r="L1749" i="1" s="1"/>
  <c r="C1750" i="1" s="1"/>
  <c r="G1757" i="1" s="1"/>
  <c r="I1760" i="1" s="1"/>
  <c r="AA1755" i="1"/>
  <c r="T1754" i="1"/>
  <c r="AB1754" i="1" s="1"/>
  <c r="G1755" i="1" s="1"/>
  <c r="R1755" i="1" s="1"/>
  <c r="P1629" i="1"/>
  <c r="D1632" i="1" s="1"/>
  <c r="V1632" i="1" s="1"/>
  <c r="E1656" i="1"/>
  <c r="AB1631" i="1"/>
  <c r="R1632" i="1" s="1"/>
  <c r="K1632" i="1"/>
  <c r="X1634" i="1"/>
  <c r="M1635" i="1" s="1"/>
  <c r="O1634" i="1"/>
  <c r="E484" i="1"/>
  <c r="M468" i="1"/>
  <c r="Q468" i="1" s="1"/>
  <c r="AJ441" i="1" s="1"/>
  <c r="M472" i="1"/>
  <c r="N475" i="1" s="1"/>
  <c r="K473" i="1"/>
  <c r="O473" i="1" s="1"/>
  <c r="E458" i="1"/>
  <c r="T472" i="1" s="1"/>
  <c r="M460" i="1"/>
  <c r="N462" i="1" s="1"/>
  <c r="G467" i="1"/>
  <c r="U441" i="1" s="1"/>
  <c r="U1534" i="1"/>
  <c r="L1535" i="1" s="1"/>
  <c r="V1537" i="1"/>
  <c r="S1539" i="1" s="1"/>
  <c r="AF1539" i="1" s="1"/>
  <c r="AL1542" i="1"/>
  <c r="D1543" i="1" s="1"/>
  <c r="AD1542" i="1"/>
  <c r="AY1542" i="1" s="1"/>
  <c r="T1543" i="1" s="1"/>
  <c r="K1544" i="1"/>
  <c r="M1547" i="1" s="1"/>
  <c r="L1539" i="1"/>
  <c r="J1493" i="1"/>
  <c r="P1493" i="1"/>
  <c r="AD1492" i="1"/>
  <c r="V1493" i="1" s="1"/>
  <c r="X1437" i="1"/>
  <c r="AE1446" i="1"/>
  <c r="AD1448" i="1" s="1"/>
  <c r="I1438" i="1"/>
  <c r="Q1446" i="1"/>
  <c r="P1448" i="1" s="1"/>
  <c r="P1450" i="1" s="1"/>
  <c r="P1452" i="1" s="1"/>
  <c r="O1442" i="1"/>
  <c r="O1413" i="1" a="1"/>
  <c r="O1413" i="1" s="1"/>
  <c r="AY1408" i="1"/>
  <c r="X1411" i="1" s="1"/>
  <c r="AF1421" i="1"/>
  <c r="Q1400" i="1"/>
  <c r="T1409" i="1"/>
  <c r="S1405" i="1"/>
  <c r="M1415" i="1" s="1"/>
  <c r="R1349" i="1"/>
  <c r="L1349" i="1" s="1"/>
  <c r="L1347" i="1"/>
  <c r="E1281" i="1"/>
  <c r="AK1270" i="1" s="1"/>
  <c r="X1349" i="1"/>
  <c r="U1349" i="1" s="1"/>
  <c r="X1345" i="1"/>
  <c r="U1345" i="1" s="1"/>
  <c r="AQ1362" i="1"/>
  <c r="Z1362" i="1"/>
  <c r="E1334" i="1"/>
  <c r="L1297" i="1"/>
  <c r="K1308" i="1" s="1"/>
  <c r="L1285" i="1"/>
  <c r="O1289" i="1" s="1"/>
  <c r="M1291" i="1" s="1"/>
  <c r="R1288" i="1"/>
  <c r="W1270" i="1"/>
  <c r="E1283" i="1" s="1"/>
  <c r="H1146" i="1"/>
  <c r="O1146" i="1" s="1"/>
  <c r="M1147" i="1" s="1"/>
  <c r="H1144" i="1"/>
  <c r="R1144" i="1" s="1"/>
  <c r="AA1144" i="1" s="1"/>
  <c r="AJ1144" i="1" s="1"/>
  <c r="H1139" i="1"/>
  <c r="O1139" i="1" s="1"/>
  <c r="M1140" i="1" s="1"/>
  <c r="AH1137" i="1"/>
  <c r="AS1144" i="1" s="1"/>
  <c r="H1137" i="1"/>
  <c r="R1137" i="1" s="1"/>
  <c r="AA1137" i="1" s="1"/>
  <c r="P1136" i="1"/>
  <c r="J1124" i="1"/>
  <c r="Q1124" i="1" s="1"/>
  <c r="J1121" i="1"/>
  <c r="J1118" i="1"/>
  <c r="R1118" i="1" s="1"/>
  <c r="J1113" i="1"/>
  <c r="Q1113" i="1" s="1"/>
  <c r="N1115" i="1" s="1"/>
  <c r="I1128" i="1" s="1"/>
  <c r="E1106" i="1"/>
  <c r="E1159" i="1" s="1"/>
  <c r="E1101" i="1"/>
  <c r="F1082" i="1"/>
  <c r="AL1137" i="1" s="1"/>
  <c r="AW1144" i="1" s="1"/>
  <c r="I1080" i="1"/>
  <c r="AS1078" i="1"/>
  <c r="K1152" i="1" s="1"/>
  <c r="T1152" i="1" s="1"/>
  <c r="K1077" i="1"/>
  <c r="J1074" i="1"/>
  <c r="C1072" i="1"/>
  <c r="AF1032" i="1"/>
  <c r="AF1034" i="1" s="1"/>
  <c r="AF1036" i="1" s="1"/>
  <c r="AF1038" i="1" s="1"/>
  <c r="W1032" i="1"/>
  <c r="W1034" i="1" s="1"/>
  <c r="W1036" i="1" s="1"/>
  <c r="W1038" i="1" s="1"/>
  <c r="F1037" i="1"/>
  <c r="T1038" i="1" s="1"/>
  <c r="E1035" i="1"/>
  <c r="T1036" i="1" s="1"/>
  <c r="AC1036" i="1" s="1"/>
  <c r="E1033" i="1"/>
  <c r="T1034" i="1" s="1"/>
  <c r="R1029" i="1"/>
  <c r="AE1028" i="1"/>
  <c r="V1028" i="1"/>
  <c r="U1027" i="1"/>
  <c r="O1029" i="1"/>
  <c r="S1028" i="1"/>
  <c r="AB1028" i="1" s="1"/>
  <c r="M1028" i="1"/>
  <c r="H1062" i="1"/>
  <c r="O1062" i="1" s="1"/>
  <c r="M1063" i="1" s="1"/>
  <c r="AX1060" i="1"/>
  <c r="Z1060" i="1"/>
  <c r="AL1060" i="1" s="1"/>
  <c r="I1060" i="1"/>
  <c r="R1060" i="1" s="1"/>
  <c r="P1059" i="1"/>
  <c r="J1056" i="1"/>
  <c r="G1056" i="1"/>
  <c r="P1051" i="1"/>
  <c r="J1051" i="1"/>
  <c r="G1051" i="1"/>
  <c r="AF1051" i="1" s="1"/>
  <c r="J1054" i="1" s="1"/>
  <c r="K1048" i="1"/>
  <c r="R1048" i="1" s="1"/>
  <c r="X1042" i="1"/>
  <c r="AE1043" i="1" s="1"/>
  <c r="AG1044" i="1" s="1"/>
  <c r="AO1048" i="1" s="1"/>
  <c r="S1042" i="1"/>
  <c r="Z1043" i="1" s="1"/>
  <c r="AB1044" i="1" s="1"/>
  <c r="AE1058" i="1" s="1"/>
  <c r="P1042" i="1"/>
  <c r="T1043" i="1" s="1"/>
  <c r="V1044" i="1" s="1"/>
  <c r="AC1048" i="1" s="1"/>
  <c r="K1042" i="1"/>
  <c r="O1043" i="1" s="1"/>
  <c r="Q1044" i="1" s="1"/>
  <c r="T1058" i="1" s="1"/>
  <c r="F1022" i="1"/>
  <c r="BB1060" i="1" s="1"/>
  <c r="I1020" i="1"/>
  <c r="AR1018" i="1"/>
  <c r="M1056" i="1" s="1"/>
  <c r="K1017" i="1"/>
  <c r="J1014" i="1"/>
  <c r="C1012" i="1"/>
  <c r="H1001" i="1"/>
  <c r="O1001" i="1" s="1"/>
  <c r="M1002" i="1" s="1"/>
  <c r="AV999" i="1"/>
  <c r="I999" i="1"/>
  <c r="Q999" i="1" s="1"/>
  <c r="P998" i="1"/>
  <c r="AS995" i="1"/>
  <c r="U995" i="1"/>
  <c r="AG995" i="1" s="1"/>
  <c r="M995" i="1"/>
  <c r="J972" i="1"/>
  <c r="G972" i="1"/>
  <c r="N970" i="1"/>
  <c r="H970" i="1"/>
  <c r="E970" i="1"/>
  <c r="X990" i="1"/>
  <c r="AC991" i="1" s="1"/>
  <c r="AC992" i="1" s="1"/>
  <c r="AJ995" i="1" s="1"/>
  <c r="S990" i="1"/>
  <c r="X991" i="1" s="1"/>
  <c r="X992" i="1" s="1"/>
  <c r="AD995" i="1" s="1"/>
  <c r="P990" i="1"/>
  <c r="R991" i="1" s="1"/>
  <c r="R992" i="1" s="1"/>
  <c r="X995" i="1" s="1"/>
  <c r="K990" i="1"/>
  <c r="M991" i="1" s="1"/>
  <c r="M992" i="1" s="1"/>
  <c r="R995" i="1" s="1"/>
  <c r="F985" i="1"/>
  <c r="I986" i="1" s="1"/>
  <c r="E983" i="1"/>
  <c r="I984" i="1" s="1"/>
  <c r="E981" i="1"/>
  <c r="O982" i="1" s="1"/>
  <c r="AB980" i="1"/>
  <c r="AA982" i="1" s="1"/>
  <c r="AA984" i="1" s="1"/>
  <c r="AA986" i="1" s="1"/>
  <c r="S980" i="1"/>
  <c r="R982" i="1" s="1"/>
  <c r="R984" i="1" s="1"/>
  <c r="R986" i="1" s="1"/>
  <c r="R977" i="1"/>
  <c r="O977" i="1"/>
  <c r="AA976" i="1"/>
  <c r="R976" i="1"/>
  <c r="O976" i="1"/>
  <c r="X976" i="1" s="1"/>
  <c r="I976" i="1"/>
  <c r="U975" i="1"/>
  <c r="F966" i="1"/>
  <c r="AZ999" i="1" s="1"/>
  <c r="I964" i="1"/>
  <c r="AR962" i="1"/>
  <c r="Q970" i="1" s="1"/>
  <c r="T970" i="1" s="1"/>
  <c r="K961" i="1"/>
  <c r="J958" i="1"/>
  <c r="C956" i="1"/>
  <c r="Q909" i="1"/>
  <c r="N909" i="1"/>
  <c r="AE908" i="1"/>
  <c r="V908" i="1"/>
  <c r="S908" i="1"/>
  <c r="AB908" i="1" s="1"/>
  <c r="M908" i="1"/>
  <c r="U907" i="1"/>
  <c r="F917" i="1"/>
  <c r="N918" i="1" s="1"/>
  <c r="E915" i="1"/>
  <c r="T916" i="1" s="1"/>
  <c r="E913" i="1"/>
  <c r="N914" i="1" s="1"/>
  <c r="AF912" i="1"/>
  <c r="AF914" i="1" s="1"/>
  <c r="W912" i="1"/>
  <c r="W914" i="1" s="1"/>
  <c r="W916" i="1" s="1"/>
  <c r="W918" i="1" s="1"/>
  <c r="H945" i="1"/>
  <c r="O945" i="1" s="1"/>
  <c r="M946" i="1" s="1"/>
  <c r="AX943" i="1"/>
  <c r="F903" i="1"/>
  <c r="BB943" i="1" s="1"/>
  <c r="I901" i="1"/>
  <c r="K898" i="1"/>
  <c r="J895" i="1"/>
  <c r="C893" i="1"/>
  <c r="R943" i="1"/>
  <c r="Z943" i="1" s="1"/>
  <c r="AL943" i="1" s="1"/>
  <c r="I943" i="1"/>
  <c r="P942" i="1"/>
  <c r="Q939" i="1"/>
  <c r="K939" i="1"/>
  <c r="H939" i="1"/>
  <c r="J936" i="1"/>
  <c r="G936" i="1"/>
  <c r="P930" i="1"/>
  <c r="P931" i="1" s="1"/>
  <c r="J934" i="1" s="1"/>
  <c r="K930" i="1"/>
  <c r="K931" i="1" s="1"/>
  <c r="I934" i="1" s="1"/>
  <c r="K928" i="1"/>
  <c r="R928" i="1" s="1"/>
  <c r="X922" i="1"/>
  <c r="AE923" i="1" s="1"/>
  <c r="AM930" i="1" s="1"/>
  <c r="S922" i="1"/>
  <c r="Z923" i="1" s="1"/>
  <c r="P922" i="1"/>
  <c r="T923" i="1" s="1"/>
  <c r="K922" i="1"/>
  <c r="O923" i="1" s="1"/>
  <c r="AR899" i="1"/>
  <c r="T939" i="1" s="1"/>
  <c r="W939" i="1" s="1"/>
  <c r="AE619" i="1"/>
  <c r="AL619" i="1" s="1"/>
  <c r="AG620" i="1" s="1"/>
  <c r="AG621" i="1" s="1"/>
  <c r="AN617" i="1"/>
  <c r="AN618" i="1" s="1"/>
  <c r="AK617" i="1"/>
  <c r="AK618" i="1" s="1"/>
  <c r="Z604" i="1"/>
  <c r="AM605" i="1" s="1"/>
  <c r="Y602" i="1"/>
  <c r="AE603" i="1" s="1"/>
  <c r="Y600" i="1"/>
  <c r="AJ599" i="1"/>
  <c r="AJ603" i="1" s="1"/>
  <c r="AJ605" i="1" s="1"/>
  <c r="AB599" i="1"/>
  <c r="AB603" i="1" s="1"/>
  <c r="AB605" i="1" s="1"/>
  <c r="Y599" i="1"/>
  <c r="Y603" i="1" s="1"/>
  <c r="X598" i="1"/>
  <c r="AE599" i="1" s="1"/>
  <c r="AP596" i="1"/>
  <c r="AM596" i="1"/>
  <c r="AH596" i="1"/>
  <c r="AE596" i="1"/>
  <c r="AT595" i="1"/>
  <c r="AQ595" i="1"/>
  <c r="AL595" i="1"/>
  <c r="AI595" i="1"/>
  <c r="AF595" i="1"/>
  <c r="AO594" i="1"/>
  <c r="AF592" i="1"/>
  <c r="AC592" i="1"/>
  <c r="AF591" i="1"/>
  <c r="AC591" i="1"/>
  <c r="AK615" i="1"/>
  <c r="AM616" i="1" s="1"/>
  <c r="AN614" i="1"/>
  <c r="AK614" i="1"/>
  <c r="AB614" i="1"/>
  <c r="Y614" i="1"/>
  <c r="AT613" i="1"/>
  <c r="BC613" i="1" s="1"/>
  <c r="AQ613" i="1"/>
  <c r="AZ613" i="1" s="1"/>
  <c r="AB613" i="1"/>
  <c r="Y613" i="1"/>
  <c r="AH613" i="1" s="1"/>
  <c r="AT612" i="1"/>
  <c r="BC612" i="1" s="1"/>
  <c r="AQ612" i="1"/>
  <c r="AZ612" i="1" s="1"/>
  <c r="AB612" i="1"/>
  <c r="AK612" i="1" s="1"/>
  <c r="Y612" i="1"/>
  <c r="AH612" i="1" s="1"/>
  <c r="AN611" i="1"/>
  <c r="AE611" i="1"/>
  <c r="AN610" i="1"/>
  <c r="AK610" i="1"/>
  <c r="AK611" i="1" s="1"/>
  <c r="AH610" i="1"/>
  <c r="AH611" i="1" s="1"/>
  <c r="AE610" i="1"/>
  <c r="AB610" i="1"/>
  <c r="AB611" i="1" s="1"/>
  <c r="Y610" i="1"/>
  <c r="Y611" i="1" s="1"/>
  <c r="AZ610" i="1"/>
  <c r="AZ611" i="1" s="1"/>
  <c r="AW610" i="1"/>
  <c r="AW611" i="1" s="1"/>
  <c r="AT610" i="1"/>
  <c r="AT611" i="1" s="1"/>
  <c r="AQ610" i="1"/>
  <c r="AQ611" i="1" s="1"/>
  <c r="K379" i="1"/>
  <c r="R379" i="1" s="1"/>
  <c r="P380" i="1" s="1"/>
  <c r="AH377" i="1"/>
  <c r="AC377" i="1"/>
  <c r="S377" i="1"/>
  <c r="P377" i="1"/>
  <c r="K377" i="1"/>
  <c r="R376" i="1"/>
  <c r="W374" i="1"/>
  <c r="T374" i="1"/>
  <c r="O374" i="1"/>
  <c r="T366" i="1"/>
  <c r="AM690" i="1"/>
  <c r="E804" i="1"/>
  <c r="E805" i="1" s="1"/>
  <c r="E806" i="1" s="1"/>
  <c r="I821" i="1" s="1"/>
  <c r="J804" i="1"/>
  <c r="L805" i="1" s="1"/>
  <c r="L806" i="1" s="1"/>
  <c r="Q821" i="1" s="1"/>
  <c r="BD816" i="1"/>
  <c r="BO817" i="1" s="1"/>
  <c r="BO818" i="1" s="1"/>
  <c r="H826" i="1" s="1"/>
  <c r="E816" i="1"/>
  <c r="E817" i="1" s="1"/>
  <c r="E818" i="1" s="1"/>
  <c r="I825" i="1" s="1"/>
  <c r="J816" i="1"/>
  <c r="F794" i="1"/>
  <c r="H795" i="1" s="1"/>
  <c r="E792" i="1"/>
  <c r="Q793" i="1" s="1"/>
  <c r="Z793" i="1" s="1"/>
  <c r="AI793" i="1" s="1"/>
  <c r="AU793" i="1" s="1"/>
  <c r="E790" i="1"/>
  <c r="H791" i="1" s="1"/>
  <c r="O789" i="1"/>
  <c r="N791" i="1" s="1"/>
  <c r="N793" i="1" s="1"/>
  <c r="N795" i="1" s="1"/>
  <c r="AY789" i="1"/>
  <c r="AX791" i="1" s="1"/>
  <c r="AM789" i="1"/>
  <c r="AL791" i="1" s="1"/>
  <c r="AL793" i="1" s="1"/>
  <c r="AL795" i="1" s="1"/>
  <c r="AG789" i="1"/>
  <c r="AF791" i="1" s="1"/>
  <c r="AF793" i="1" s="1"/>
  <c r="AF795" i="1" s="1"/>
  <c r="AD789" i="1"/>
  <c r="AC791" i="1" s="1"/>
  <c r="AC793" i="1" s="1"/>
  <c r="AC795" i="1" s="1"/>
  <c r="U789" i="1"/>
  <c r="T791" i="1" s="1"/>
  <c r="T793" i="1" s="1"/>
  <c r="T795" i="1" s="1"/>
  <c r="L789" i="1"/>
  <c r="K791" i="1" s="1"/>
  <c r="K793" i="1" s="1"/>
  <c r="K795" i="1" s="1"/>
  <c r="J772" i="1"/>
  <c r="H775" i="1" s="1"/>
  <c r="E772" i="1"/>
  <c r="E774" i="1" s="1"/>
  <c r="U773" i="1"/>
  <c r="U768" i="1"/>
  <c r="BI782" i="1"/>
  <c r="BJ784" i="1" s="1"/>
  <c r="AF785" i="1" s="1"/>
  <c r="BD782" i="1"/>
  <c r="BD784" i="1" s="1"/>
  <c r="Z785" i="1" s="1"/>
  <c r="BA782" i="1"/>
  <c r="BA784" i="1" s="1"/>
  <c r="AS782" i="1"/>
  <c r="AR784" i="1" s="1"/>
  <c r="AN782" i="1"/>
  <c r="AL784" i="1" s="1"/>
  <c r="T785" i="1" s="1"/>
  <c r="AK782" i="1"/>
  <c r="AI784" i="1" s="1"/>
  <c r="AF782" i="1"/>
  <c r="AC782" i="1"/>
  <c r="Z782" i="1"/>
  <c r="Z784" i="1" s="1"/>
  <c r="R782" i="1"/>
  <c r="Q784" i="1" s="1"/>
  <c r="M782" i="1"/>
  <c r="K785" i="1" s="1"/>
  <c r="J782" i="1"/>
  <c r="E782" i="1"/>
  <c r="E784" i="1" s="1"/>
  <c r="N784" i="1"/>
  <c r="W784" i="1" s="1"/>
  <c r="AF784" i="1" s="1"/>
  <c r="H784" i="1"/>
  <c r="N779" i="1"/>
  <c r="W779" i="1" s="1"/>
  <c r="AF779" i="1" s="1"/>
  <c r="M777" i="1"/>
  <c r="K780" i="1" s="1"/>
  <c r="AS777" i="1"/>
  <c r="AU779" i="1" s="1"/>
  <c r="AN777" i="1"/>
  <c r="AO779" i="1" s="1"/>
  <c r="Z780" i="1" s="1"/>
  <c r="AH777" i="1"/>
  <c r="AI779" i="1" s="1"/>
  <c r="W780" i="1" s="1"/>
  <c r="AC777" i="1"/>
  <c r="AC779" i="1" s="1"/>
  <c r="Q780" i="1" s="1"/>
  <c r="Z777" i="1"/>
  <c r="Z779" i="1" s="1"/>
  <c r="R777" i="1"/>
  <c r="Q779" i="1" s="1"/>
  <c r="J777" i="1"/>
  <c r="H780" i="1" s="1"/>
  <c r="E777" i="1"/>
  <c r="W775" i="1"/>
  <c r="T775" i="1"/>
  <c r="W774" i="1"/>
  <c r="AF774" i="1" s="1"/>
  <c r="N774" i="1"/>
  <c r="H774" i="1"/>
  <c r="AH772" i="1"/>
  <c r="AI774" i="1" s="1"/>
  <c r="AC772" i="1"/>
  <c r="AC774" i="1" s="1"/>
  <c r="Q775" i="1" s="1"/>
  <c r="Z772" i="1"/>
  <c r="Z774" i="1" s="1"/>
  <c r="R772" i="1"/>
  <c r="Q774" i="1" s="1"/>
  <c r="M772" i="1"/>
  <c r="K770" i="1"/>
  <c r="N769" i="1"/>
  <c r="J767" i="1"/>
  <c r="K769" i="1" s="1"/>
  <c r="H770" i="1" s="1"/>
  <c r="H769" i="1"/>
  <c r="E767" i="1"/>
  <c r="E769" i="1" s="1"/>
  <c r="H882" i="1"/>
  <c r="O882" i="1" s="1"/>
  <c r="M883" i="1" s="1"/>
  <c r="H879" i="1"/>
  <c r="P879" i="1" s="1"/>
  <c r="AB879" i="1" s="1"/>
  <c r="AN879" i="1" s="1"/>
  <c r="BL879" i="1" s="1"/>
  <c r="I880" i="1" s="1"/>
  <c r="W880" i="1" s="1"/>
  <c r="H871" i="1"/>
  <c r="H869" i="1"/>
  <c r="H863" i="1"/>
  <c r="H861" i="1"/>
  <c r="P861" i="1" s="1"/>
  <c r="AB861" i="1" s="1"/>
  <c r="AN861" i="1" s="1"/>
  <c r="BB861" i="1" s="1"/>
  <c r="P860" i="1"/>
  <c r="H727" i="1"/>
  <c r="H855" i="1"/>
  <c r="P852" i="1"/>
  <c r="H853" i="1"/>
  <c r="P853" i="1" s="1"/>
  <c r="Z853" i="1" s="1"/>
  <c r="J838" i="1"/>
  <c r="R838" i="1" s="1"/>
  <c r="AD838" i="1" s="1"/>
  <c r="AP838" i="1" s="1"/>
  <c r="BC838" i="1" s="1"/>
  <c r="BN838" i="1" s="1"/>
  <c r="BV838" i="1" s="1"/>
  <c r="W839" i="1" s="1"/>
  <c r="AP839" i="1" s="1"/>
  <c r="M848" i="1" s="1"/>
  <c r="J837" i="1"/>
  <c r="R837" i="1" s="1"/>
  <c r="AD837" i="1" s="1"/>
  <c r="AP837" i="1" s="1"/>
  <c r="BB837" i="1" s="1"/>
  <c r="BJ837" i="1" s="1"/>
  <c r="L839" i="1" s="1"/>
  <c r="AI839" i="1" s="1"/>
  <c r="K848" i="1" s="1"/>
  <c r="J835" i="1"/>
  <c r="R835" i="1" s="1"/>
  <c r="J834" i="1"/>
  <c r="R834" i="1" s="1"/>
  <c r="AD834" i="1" s="1"/>
  <c r="AP834" i="1" s="1"/>
  <c r="J831" i="1"/>
  <c r="R831" i="1" s="1"/>
  <c r="AD831" i="1" s="1"/>
  <c r="AP831" i="1" s="1"/>
  <c r="BB831" i="1" s="1"/>
  <c r="BN831" i="1" s="1"/>
  <c r="K832" i="1" s="1"/>
  <c r="J830" i="1"/>
  <c r="R830" i="1" s="1"/>
  <c r="AD830" i="1" s="1"/>
  <c r="AP830" i="1" s="1"/>
  <c r="BB830" i="1" s="1"/>
  <c r="J828" i="1"/>
  <c r="R828" i="1" s="1"/>
  <c r="AD828" i="1" s="1"/>
  <c r="AP828" i="1" s="1"/>
  <c r="J827" i="1"/>
  <c r="R827" i="1" s="1"/>
  <c r="L825" i="1"/>
  <c r="T825" i="1" s="1"/>
  <c r="AF825" i="1" s="1"/>
  <c r="AR825" i="1" s="1"/>
  <c r="BD825" i="1" s="1"/>
  <c r="BP825" i="1" s="1"/>
  <c r="K826" i="1" s="1"/>
  <c r="W826" i="1" s="1"/>
  <c r="L823" i="1"/>
  <c r="T823" i="1" s="1"/>
  <c r="AF823" i="1" s="1"/>
  <c r="AR823" i="1" s="1"/>
  <c r="BE823" i="1" s="1"/>
  <c r="BP823" i="1" s="1"/>
  <c r="K824" i="1" s="1"/>
  <c r="M843" i="1" s="1"/>
  <c r="L822" i="1"/>
  <c r="T822" i="1" s="1"/>
  <c r="AF822" i="1" s="1"/>
  <c r="AR822" i="1" s="1"/>
  <c r="BD822" i="1" s="1"/>
  <c r="BN822" i="1" s="1"/>
  <c r="K842" i="1" s="1"/>
  <c r="L821" i="1"/>
  <c r="T821" i="1" s="1"/>
  <c r="AB821" i="1" s="1"/>
  <c r="AL821" i="1" s="1"/>
  <c r="I841" i="1" s="1"/>
  <c r="BI816" i="1"/>
  <c r="BT817" i="1" s="1"/>
  <c r="BT818" i="1" s="1"/>
  <c r="N826" i="1" s="1"/>
  <c r="BA816" i="1"/>
  <c r="BI817" i="1" s="1"/>
  <c r="BI818" i="1" s="1"/>
  <c r="BS825" i="1" s="1"/>
  <c r="AS816" i="1"/>
  <c r="AX817" i="1" s="1"/>
  <c r="AX818" i="1" s="1"/>
  <c r="BG825" i="1" s="1"/>
  <c r="AN816" i="1"/>
  <c r="AS817" i="1" s="1"/>
  <c r="AK816" i="1"/>
  <c r="AM817" i="1" s="1"/>
  <c r="AM818" i="1" s="1"/>
  <c r="AU825" i="1" s="1"/>
  <c r="AF816" i="1"/>
  <c r="AC816" i="1"/>
  <c r="Z816" i="1"/>
  <c r="AB817" i="1" s="1"/>
  <c r="AB818" i="1" s="1"/>
  <c r="AI825" i="1" s="1"/>
  <c r="R816" i="1"/>
  <c r="Q817" i="1" s="1"/>
  <c r="Q818" i="1" s="1"/>
  <c r="W825" i="1" s="1"/>
  <c r="M816" i="1"/>
  <c r="AS812" i="1"/>
  <c r="AX813" i="1" s="1"/>
  <c r="AY814" i="1" s="1"/>
  <c r="BH823" i="1" s="1"/>
  <c r="AN812" i="1"/>
  <c r="AS813" i="1" s="1"/>
  <c r="AT814" i="1" s="1"/>
  <c r="BB823" i="1" s="1"/>
  <c r="AH812" i="1"/>
  <c r="AM813" i="1" s="1"/>
  <c r="AS835" i="1" s="1"/>
  <c r="AC812" i="1"/>
  <c r="AH813" i="1" s="1"/>
  <c r="AH814" i="1" s="1"/>
  <c r="AO823" i="1" s="1"/>
  <c r="Z812" i="1"/>
  <c r="AB813" i="1" s="1"/>
  <c r="AB814" i="1" s="1"/>
  <c r="AI823" i="1" s="1"/>
  <c r="R812" i="1"/>
  <c r="Q813" i="1" s="1"/>
  <c r="Q814" i="1" s="1"/>
  <c r="W823" i="1" s="1"/>
  <c r="M812" i="1"/>
  <c r="J812" i="1"/>
  <c r="E812" i="1"/>
  <c r="E813" i="1" s="1"/>
  <c r="E814" i="1" s="1"/>
  <c r="I823" i="1" s="1"/>
  <c r="AH808" i="1"/>
  <c r="AM809" i="1" s="1"/>
  <c r="AM810" i="1" s="1"/>
  <c r="AU822" i="1" s="1"/>
  <c r="AC808" i="1"/>
  <c r="AH809" i="1" s="1"/>
  <c r="AH810" i="1" s="1"/>
  <c r="AO822" i="1" s="1"/>
  <c r="Z808" i="1"/>
  <c r="AB809" i="1" s="1"/>
  <c r="AG834" i="1" s="1"/>
  <c r="M808" i="1"/>
  <c r="R808" i="1"/>
  <c r="Q809" i="1" s="1"/>
  <c r="U834" i="1" s="1"/>
  <c r="J808" i="1"/>
  <c r="E808" i="1"/>
  <c r="E809" i="1" s="1"/>
  <c r="G834" i="1" s="1"/>
  <c r="E2235" i="1" l="1"/>
  <c r="G2258" i="1" s="1"/>
  <c r="E2259" i="1" s="1"/>
  <c r="E2261" i="1" s="1"/>
  <c r="AD2241" i="1"/>
  <c r="L2247" i="1" s="1"/>
  <c r="R2133" i="1"/>
  <c r="N2147" i="1" s="1"/>
  <c r="G2250" i="1"/>
  <c r="E2251" i="1" s="1"/>
  <c r="E2253" i="1" s="1"/>
  <c r="G2242" i="1"/>
  <c r="AK2242" i="1" s="1"/>
  <c r="R2244" i="1" s="1"/>
  <c r="BH2202" i="1"/>
  <c r="AS2218" i="1"/>
  <c r="AA2224" i="1" s="1"/>
  <c r="AJ2228" i="1"/>
  <c r="BW2228" i="1" s="1"/>
  <c r="BA2217" i="1" s="1"/>
  <c r="BG2200" i="1" s="1"/>
  <c r="AJ2226" i="1"/>
  <c r="BW2226" i="1" s="1"/>
  <c r="BA2216" i="1" s="1"/>
  <c r="AL2141" i="1"/>
  <c r="Z2142" i="1" s="1"/>
  <c r="AD2145" i="1"/>
  <c r="N2151" i="1" s="1"/>
  <c r="AI2107" i="1"/>
  <c r="AN2071" i="1" s="1"/>
  <c r="AD2139" i="1"/>
  <c r="N2149" i="1" s="1"/>
  <c r="G2134" i="1"/>
  <c r="AJ2134" i="1" s="1"/>
  <c r="R2136" i="1" s="1"/>
  <c r="BE2140" i="1"/>
  <c r="T2142" i="1" s="1"/>
  <c r="AC2135" i="1"/>
  <c r="X2136" i="1" s="1"/>
  <c r="E2111" i="1"/>
  <c r="S2111" i="1" s="1"/>
  <c r="U2115" i="1" s="1"/>
  <c r="AH2109" i="1"/>
  <c r="AA2115" i="1" s="1"/>
  <c r="W1920" i="1"/>
  <c r="U1921" i="1" s="1"/>
  <c r="W1923" i="1" s="1"/>
  <c r="Y1916" i="1"/>
  <c r="P1916" i="1"/>
  <c r="O1920" i="1"/>
  <c r="M1921" i="1" s="1"/>
  <c r="N1923" i="1" s="1"/>
  <c r="AF1913" i="1"/>
  <c r="S1915" i="1" s="1"/>
  <c r="Z1915" i="1" s="1"/>
  <c r="AK1929" i="1" s="1"/>
  <c r="AN1931" i="1" s="1"/>
  <c r="AE1587" i="1"/>
  <c r="AQ1587" i="1" s="1"/>
  <c r="BJ1587" i="1" s="1"/>
  <c r="F1588" i="1" s="1"/>
  <c r="X1588" i="1" s="1"/>
  <c r="AO1588" i="1" s="1"/>
  <c r="BF1588" i="1" s="1"/>
  <c r="F1589" i="1" s="1"/>
  <c r="K1591" i="1"/>
  <c r="J1596" i="1"/>
  <c r="M1599" i="1" s="1"/>
  <c r="AQ1589" i="1"/>
  <c r="U1596" i="1" s="1"/>
  <c r="Y1599" i="1" s="1"/>
  <c r="R1591" i="1"/>
  <c r="AE1591" i="1" s="1"/>
  <c r="AW1589" i="1"/>
  <c r="AA1596" i="1" s="1"/>
  <c r="AF1599" i="1" s="1"/>
  <c r="AA2048" i="1"/>
  <c r="AD2050" i="1" s="1"/>
  <c r="E2051" i="1" s="1"/>
  <c r="D2053" i="1" s="1"/>
  <c r="R2053" i="1" s="1"/>
  <c r="R2045" i="1"/>
  <c r="AJ2035" i="1"/>
  <c r="O2037" i="1" s="1"/>
  <c r="AA2056" i="1" s="1"/>
  <c r="AD2058" i="1" s="1"/>
  <c r="AA2032" i="1"/>
  <c r="O2034" i="1" s="1"/>
  <c r="U2056" i="1" s="1"/>
  <c r="W2058" i="1" s="1"/>
  <c r="T1706" i="1"/>
  <c r="AA1712" i="1" s="1"/>
  <c r="E1708" i="1"/>
  <c r="BN1678" i="1"/>
  <c r="H1712" i="1"/>
  <c r="O1712" i="1" s="1"/>
  <c r="R1697" i="1"/>
  <c r="Y1971" i="1"/>
  <c r="O1973" i="1" s="1"/>
  <c r="AA1984" i="1" s="1"/>
  <c r="AD1986" i="1" s="1"/>
  <c r="E1987" i="1" s="1"/>
  <c r="O1975" i="1"/>
  <c r="M1976" i="1" s="1"/>
  <c r="N1978" i="1" s="1"/>
  <c r="E1979" i="1" s="1"/>
  <c r="H1750" i="1"/>
  <c r="C1752" i="1"/>
  <c r="C1753" i="1" s="1"/>
  <c r="C1756" i="1" s="1"/>
  <c r="G1758" i="1" s="1"/>
  <c r="H1762" i="1" s="1"/>
  <c r="F1660" i="1"/>
  <c r="U1656" i="1"/>
  <c r="W1755" i="1"/>
  <c r="AQ1755" i="1"/>
  <c r="M1756" i="1"/>
  <c r="AJ1755" i="1"/>
  <c r="E1657" i="1"/>
  <c r="L1657" i="1" s="1"/>
  <c r="M1637" i="1"/>
  <c r="O1638" i="1" s="1"/>
  <c r="E1639" i="1" s="1"/>
  <c r="AC1632" i="1"/>
  <c r="C1633" i="1" s="1"/>
  <c r="O1633" i="1" s="1"/>
  <c r="Z1633" i="1" s="1"/>
  <c r="C1634" i="1" s="1"/>
  <c r="L1634" i="1" s="1"/>
  <c r="H1635" i="1" s="1"/>
  <c r="H1637" i="1" s="1"/>
  <c r="Q1642" i="1"/>
  <c r="U1645" i="1" s="1"/>
  <c r="AG374" i="1"/>
  <c r="U478" i="1"/>
  <c r="T480" i="1" s="1"/>
  <c r="T482" i="1" s="1"/>
  <c r="T484" i="1" s="1"/>
  <c r="U475" i="1"/>
  <c r="U460" i="1"/>
  <c r="W462" i="1" s="1"/>
  <c r="E463" i="1" s="1"/>
  <c r="D465" i="1" s="1"/>
  <c r="R465" i="1" s="1"/>
  <c r="AS438" i="1"/>
  <c r="AK479" i="1"/>
  <c r="G469" i="1"/>
  <c r="P438" i="1" s="1"/>
  <c r="AM478" i="1" s="1"/>
  <c r="N478" i="1"/>
  <c r="X472" i="1"/>
  <c r="X1545" i="1"/>
  <c r="Y1549" i="1" s="1"/>
  <c r="V1550" i="1" s="1"/>
  <c r="W1552" i="1" s="1"/>
  <c r="H1545" i="1"/>
  <c r="I1549" i="1" s="1"/>
  <c r="F1550" i="1" s="1"/>
  <c r="F1552" i="1" s="1"/>
  <c r="AR1537" i="1"/>
  <c r="V1544" i="1" s="1"/>
  <c r="Y1547" i="1" s="1"/>
  <c r="AX1537" i="1"/>
  <c r="AB1544" i="1" s="1"/>
  <c r="AF1547" i="1" s="1"/>
  <c r="AC1534" i="1"/>
  <c r="S1535" i="1" s="1"/>
  <c r="AF1535" i="1" s="1"/>
  <c r="AR1535" i="1" s="1"/>
  <c r="AZ1535" i="1" s="1"/>
  <c r="M1543" i="1"/>
  <c r="AP1539" i="1"/>
  <c r="AX1539" i="1" s="1"/>
  <c r="Y1540" i="1" s="1"/>
  <c r="P1495" i="1"/>
  <c r="R1497" i="1" s="1"/>
  <c r="AJ1493" i="1"/>
  <c r="V1495" i="1" s="1"/>
  <c r="Y1497" i="1" s="1"/>
  <c r="AD1450" i="1"/>
  <c r="X1448" i="1"/>
  <c r="T1410" i="1"/>
  <c r="AN1411" i="1" s="1"/>
  <c r="AU1411" i="1" s="1"/>
  <c r="W1406" i="1"/>
  <c r="T1426" i="1"/>
  <c r="Q1427" i="1" s="1"/>
  <c r="W1429" i="1" s="1"/>
  <c r="K1299" i="1"/>
  <c r="K1301" i="1" s="1"/>
  <c r="K1303" i="1" s="1"/>
  <c r="AB1324" i="1"/>
  <c r="AU1344" i="1" s="1"/>
  <c r="E1336" i="1"/>
  <c r="AY1324" i="1" s="1"/>
  <c r="AS1264" i="1"/>
  <c r="E1309" i="1"/>
  <c r="Q1309" i="1" s="1"/>
  <c r="P1143" i="1"/>
  <c r="W1157" i="1"/>
  <c r="E1102" i="1"/>
  <c r="G1113" i="1" s="1"/>
  <c r="U1115" i="1" s="1"/>
  <c r="E1156" i="1"/>
  <c r="E1107" i="1"/>
  <c r="H1152" i="1" s="1"/>
  <c r="H1150" i="1"/>
  <c r="K1150" i="1"/>
  <c r="G1121" i="1"/>
  <c r="R1121" i="1" s="1"/>
  <c r="X1124" i="1"/>
  <c r="AI1124" i="1" s="1"/>
  <c r="S1126" i="1" s="1"/>
  <c r="J1133" i="1" s="1"/>
  <c r="AD1124" i="1"/>
  <c r="N1126" i="1" s="1"/>
  <c r="I1133" i="1" s="1"/>
  <c r="AG1118" i="1"/>
  <c r="N1120" i="1" s="1"/>
  <c r="I1131" i="1" s="1"/>
  <c r="Y1118" i="1"/>
  <c r="AL1118" i="1" s="1"/>
  <c r="S1120" i="1" s="1"/>
  <c r="J1131" i="1" s="1"/>
  <c r="N1038" i="1"/>
  <c r="L1116" i="1"/>
  <c r="T1116" i="1" s="1"/>
  <c r="L1117" i="1"/>
  <c r="S1117" i="1" s="1"/>
  <c r="P1028" i="1"/>
  <c r="I1029" i="1" s="1"/>
  <c r="Q1034" i="1"/>
  <c r="Q1038" i="1"/>
  <c r="Q1036" i="1"/>
  <c r="Y1028" i="1"/>
  <c r="L1029" i="1" s="1"/>
  <c r="Y1058" i="1"/>
  <c r="AC1060" i="1" s="1"/>
  <c r="W1060" i="1" s="1"/>
  <c r="M1051" i="1"/>
  <c r="Z1036" i="1"/>
  <c r="S1051" i="1"/>
  <c r="V1051" i="1" s="1"/>
  <c r="N1036" i="1"/>
  <c r="AC1034" i="1"/>
  <c r="Z1034" i="1" s="1"/>
  <c r="AC1038" i="1"/>
  <c r="Z1038" i="1" s="1"/>
  <c r="AJ1058" i="1"/>
  <c r="AO1060" i="1" s="1"/>
  <c r="AI1060" i="1" s="1"/>
  <c r="N1034" i="1"/>
  <c r="P1049" i="1"/>
  <c r="J1053" i="1" s="1"/>
  <c r="Z1048" i="1"/>
  <c r="W1048" i="1" s="1"/>
  <c r="K1049" i="1"/>
  <c r="I1053" i="1" s="1"/>
  <c r="P996" i="1"/>
  <c r="M997" i="1" s="1"/>
  <c r="U996" i="1"/>
  <c r="R997" i="1" s="1"/>
  <c r="T999" i="1" s="1"/>
  <c r="N999" i="1" s="1"/>
  <c r="U976" i="1"/>
  <c r="L977" i="1" s="1"/>
  <c r="AF996" i="1"/>
  <c r="AC997" i="1" s="1"/>
  <c r="AF999" i="1" s="1"/>
  <c r="AA996" i="1"/>
  <c r="X997" i="1" s="1"/>
  <c r="AC999" i="1"/>
  <c r="AQ999" i="1" s="1"/>
  <c r="L976" i="1"/>
  <c r="I977" i="1" s="1"/>
  <c r="M972" i="1"/>
  <c r="K970" i="1"/>
  <c r="E971" i="1" s="1"/>
  <c r="AB961" i="1" s="1"/>
  <c r="O986" i="1"/>
  <c r="L986" i="1" s="1"/>
  <c r="I982" i="1"/>
  <c r="X982" i="1"/>
  <c r="U982" i="1" s="1"/>
  <c r="L982" i="1"/>
  <c r="O984" i="1"/>
  <c r="Y908" i="1"/>
  <c r="K909" i="1" s="1"/>
  <c r="T918" i="1"/>
  <c r="Q918" i="1" s="1"/>
  <c r="P908" i="1"/>
  <c r="T914" i="1"/>
  <c r="AC914" i="1" s="1"/>
  <c r="Z914" i="1" s="1"/>
  <c r="AC916" i="1"/>
  <c r="Q916" i="1"/>
  <c r="AF916" i="1"/>
  <c r="AF918" i="1" s="1"/>
  <c r="N916" i="1"/>
  <c r="N939" i="1"/>
  <c r="X930" i="1"/>
  <c r="M936" i="1"/>
  <c r="Z928" i="1"/>
  <c r="P929" i="1"/>
  <c r="J933" i="1" s="1"/>
  <c r="Q924" i="1"/>
  <c r="V924" i="1"/>
  <c r="AA930" i="1"/>
  <c r="AB924" i="1"/>
  <c r="AG924" i="1"/>
  <c r="K929" i="1"/>
  <c r="I933" i="1" s="1"/>
  <c r="AK591" i="1"/>
  <c r="AN587" i="1" s="1"/>
  <c r="AK592" i="1"/>
  <c r="BC610" i="1"/>
  <c r="J581" i="1" s="1"/>
  <c r="AQ614" i="1" s="1"/>
  <c r="AS596" i="1"/>
  <c r="AY595" i="1"/>
  <c r="AM603" i="1"/>
  <c r="AS603" i="1" s="1"/>
  <c r="AO607" i="1" s="1"/>
  <c r="Y605" i="1"/>
  <c r="AE605" i="1"/>
  <c r="AM599" i="1"/>
  <c r="AS599" i="1" s="1"/>
  <c r="AK613" i="1"/>
  <c r="BC611" i="1"/>
  <c r="T591" i="1" s="1"/>
  <c r="Y377" i="1"/>
  <c r="AG826" i="1"/>
  <c r="O844" i="1" s="1"/>
  <c r="S841" i="1" s="1" a="1"/>
  <c r="S841" i="1" s="1"/>
  <c r="AC784" i="1"/>
  <c r="Q785" i="1" s="1"/>
  <c r="Q791" i="1"/>
  <c r="Z791" i="1" s="1"/>
  <c r="AI791" i="1" s="1"/>
  <c r="AU791" i="1" s="1"/>
  <c r="AR791" i="1" s="1"/>
  <c r="Q795" i="1"/>
  <c r="Z795" i="1" s="1"/>
  <c r="AI795" i="1" s="1"/>
  <c r="AU795" i="1" s="1"/>
  <c r="H793" i="1"/>
  <c r="AX793" i="1"/>
  <c r="S769" i="1"/>
  <c r="K774" i="1"/>
  <c r="K784" i="1"/>
  <c r="AR779" i="1"/>
  <c r="T780" i="1"/>
  <c r="E785" i="1"/>
  <c r="AO784" i="1"/>
  <c r="AX784" i="1" s="1"/>
  <c r="BG784" i="1" s="1"/>
  <c r="K775" i="1"/>
  <c r="K779" i="1"/>
  <c r="H785" i="1"/>
  <c r="BR874" i="1"/>
  <c r="BO876" i="1" s="1"/>
  <c r="F880" i="1" s="1"/>
  <c r="AZ879" i="1"/>
  <c r="AE874" i="1"/>
  <c r="AB876" i="1" s="1"/>
  <c r="AE879" i="1" s="1"/>
  <c r="BW874" i="1"/>
  <c r="BT876" i="1" s="1"/>
  <c r="L880" i="1" s="1"/>
  <c r="AP874" i="1"/>
  <c r="AM876" i="1" s="1"/>
  <c r="AQ879" i="1" s="1"/>
  <c r="H874" i="1"/>
  <c r="E876" i="1" s="1"/>
  <c r="E879" i="1" s="1"/>
  <c r="BA874" i="1"/>
  <c r="AX876" i="1" s="1"/>
  <c r="BC879" i="1" s="1"/>
  <c r="T874" i="1"/>
  <c r="Q876" i="1" s="1"/>
  <c r="S879" i="1" s="1"/>
  <c r="BL874" i="1"/>
  <c r="BI876" i="1" s="1"/>
  <c r="BO879" i="1" s="1"/>
  <c r="T866" i="1"/>
  <c r="AE866" i="1"/>
  <c r="AK866" i="1"/>
  <c r="AW866" i="1"/>
  <c r="H866" i="1"/>
  <c r="E867" i="1" s="1"/>
  <c r="E869" i="1" s="1"/>
  <c r="BB866" i="1"/>
  <c r="P869" i="1"/>
  <c r="AB869" i="1" s="1"/>
  <c r="AN869" i="1" s="1"/>
  <c r="AZ869" i="1" s="1"/>
  <c r="BM869" i="1" s="1"/>
  <c r="AK858" i="1"/>
  <c r="O850" i="1"/>
  <c r="H850" i="1"/>
  <c r="AP858" i="1"/>
  <c r="AG838" i="1"/>
  <c r="L813" i="1"/>
  <c r="L814" i="1" s="1"/>
  <c r="O866" i="1" s="1"/>
  <c r="G835" i="1"/>
  <c r="BF838" i="1"/>
  <c r="L817" i="1"/>
  <c r="L818" i="1" s="1"/>
  <c r="AY835" i="1"/>
  <c r="U838" i="1"/>
  <c r="BE835" i="1"/>
  <c r="AH817" i="1"/>
  <c r="AH818" i="1" s="1"/>
  <c r="AM837" i="1"/>
  <c r="AM838" i="1"/>
  <c r="AS837" i="1"/>
  <c r="G838" i="1"/>
  <c r="AZ838" i="1"/>
  <c r="AG835" i="1"/>
  <c r="U835" i="1"/>
  <c r="AM834" i="1"/>
  <c r="AM835" i="1"/>
  <c r="AS834" i="1"/>
  <c r="AD835" i="1"/>
  <c r="AP835" i="1" s="1"/>
  <c r="BB835" i="1" s="1"/>
  <c r="AM828" i="1"/>
  <c r="AM830" i="1"/>
  <c r="U831" i="1"/>
  <c r="AS818" i="1"/>
  <c r="AY831" i="1"/>
  <c r="E810" i="1"/>
  <c r="H858" i="1" s="1"/>
  <c r="E859" i="1" s="1"/>
  <c r="E861" i="1" s="1"/>
  <c r="G828" i="1"/>
  <c r="Q810" i="1"/>
  <c r="T858" i="1" s="1"/>
  <c r="U828" i="1"/>
  <c r="AB810" i="1"/>
  <c r="AE858" i="1" s="1"/>
  <c r="AG828" i="1"/>
  <c r="AM814" i="1"/>
  <c r="AP866" i="1" s="1"/>
  <c r="AS830" i="1"/>
  <c r="AS828" i="1"/>
  <c r="U830" i="1"/>
  <c r="AY830" i="1"/>
  <c r="BE831" i="1"/>
  <c r="G827" i="1"/>
  <c r="BE830" i="1"/>
  <c r="AG831" i="1"/>
  <c r="O827" i="1"/>
  <c r="G831" i="1"/>
  <c r="BQ831" i="1"/>
  <c r="AG830" i="1"/>
  <c r="H832" i="1"/>
  <c r="N832" i="1"/>
  <c r="L809" i="1"/>
  <c r="O834" i="1" s="1"/>
  <c r="G830" i="1"/>
  <c r="AS831" i="1"/>
  <c r="AQ821" i="1"/>
  <c r="Q841" i="1" s="1"/>
  <c r="AK699" i="1"/>
  <c r="U698" i="1"/>
  <c r="Q664" i="1"/>
  <c r="R662" i="1"/>
  <c r="T664" i="1" s="1"/>
  <c r="M662" i="1"/>
  <c r="P733" i="1"/>
  <c r="R690" i="1"/>
  <c r="Q691" i="1" s="1"/>
  <c r="M690" i="1"/>
  <c r="W695" i="1"/>
  <c r="O695" i="1"/>
  <c r="Z669" i="1"/>
  <c r="N664" i="1"/>
  <c r="K665" i="1" s="1"/>
  <c r="W665" i="1"/>
  <c r="AB664" i="1"/>
  <c r="AK664" i="1" s="1"/>
  <c r="AT664" i="1" s="1"/>
  <c r="H664" i="1"/>
  <c r="AB662" i="1"/>
  <c r="AE664" i="1" s="1"/>
  <c r="AJ662" i="1"/>
  <c r="AN664" i="1" s="1"/>
  <c r="AR662" i="1"/>
  <c r="AW664" i="1" s="1"/>
  <c r="AM662" i="1"/>
  <c r="AQ664" i="1" s="1"/>
  <c r="T665" i="1" s="1"/>
  <c r="W662" i="1"/>
  <c r="Y664" i="1" s="1"/>
  <c r="N665" i="1" s="1"/>
  <c r="J662" i="1"/>
  <c r="K664" i="1" s="1"/>
  <c r="H665" i="1" s="1"/>
  <c r="U663" i="1"/>
  <c r="U658" i="1"/>
  <c r="U653" i="1"/>
  <c r="V659" i="1"/>
  <c r="N659" i="1"/>
  <c r="K660" i="1" s="1"/>
  <c r="H659" i="1"/>
  <c r="V657" i="1"/>
  <c r="Y659" i="1" s="1"/>
  <c r="Q657" i="1"/>
  <c r="S659" i="1" s="1"/>
  <c r="N660" i="1" s="1"/>
  <c r="J657" i="1"/>
  <c r="K659" i="1" s="1"/>
  <c r="H660" i="1" s="1"/>
  <c r="K655" i="1"/>
  <c r="H735" i="1"/>
  <c r="O735" i="1" s="1"/>
  <c r="M736" i="1" s="1"/>
  <c r="H733" i="1"/>
  <c r="P716" i="1"/>
  <c r="P724" i="1"/>
  <c r="P732" i="1"/>
  <c r="S725" i="1"/>
  <c r="H725" i="1"/>
  <c r="P725" i="1" s="1"/>
  <c r="Y725" i="1" s="1"/>
  <c r="AL725" i="1" s="1"/>
  <c r="Z717" i="1"/>
  <c r="BI699" i="1"/>
  <c r="G2243" i="1" l="1"/>
  <c r="AD2243" i="1" s="1"/>
  <c r="X2244" i="1" s="1"/>
  <c r="AJ2244" i="1" s="1"/>
  <c r="L2248" i="1" s="1"/>
  <c r="I2238" i="1"/>
  <c r="BQ2238" i="1" s="1"/>
  <c r="L2246" i="1" s="1"/>
  <c r="BG2199" i="1"/>
  <c r="BC2216" i="1"/>
  <c r="BE2216" i="1" s="1" a="1"/>
  <c r="BE2216" i="1" s="1"/>
  <c r="D2215" i="1" s="1"/>
  <c r="AN2142" i="1"/>
  <c r="N2150" i="1" s="1"/>
  <c r="H2115" i="1"/>
  <c r="O2115" i="1" s="1"/>
  <c r="AK2115" i="1" s="1"/>
  <c r="AN2070" i="1" s="1"/>
  <c r="AJ2136" i="1"/>
  <c r="N2148" i="1" s="1"/>
  <c r="AI1916" i="1"/>
  <c r="S1918" i="1" s="1"/>
  <c r="Z1918" i="1" s="1"/>
  <c r="AQ1929" i="1" s="1"/>
  <c r="AU1931" i="1" s="1"/>
  <c r="E1932" i="1" s="1"/>
  <c r="D1934" i="1" s="1"/>
  <c r="E1924" i="1"/>
  <c r="D1926" i="1" s="1"/>
  <c r="AY1587" i="1"/>
  <c r="AO1591" i="1"/>
  <c r="AW1591" i="1" s="1"/>
  <c r="X1592" i="1" s="1"/>
  <c r="L1595" i="1"/>
  <c r="AM1589" i="1"/>
  <c r="F1591" i="1"/>
  <c r="F1592" i="1" s="1"/>
  <c r="E2059" i="1"/>
  <c r="D2061" i="1" s="1"/>
  <c r="I2053" i="1"/>
  <c r="T1708" i="1"/>
  <c r="U1712" i="1" s="1"/>
  <c r="E1710" i="1"/>
  <c r="D1981" i="1"/>
  <c r="D1989" i="1"/>
  <c r="L1757" i="1"/>
  <c r="O1760" i="1" s="1"/>
  <c r="H1752" i="1"/>
  <c r="J1753" i="1" s="1"/>
  <c r="J1756" i="1" s="1"/>
  <c r="I1761" i="1"/>
  <c r="E1763" i="1"/>
  <c r="E1765" i="1" s="1"/>
  <c r="M1660" i="1"/>
  <c r="E1662" i="1"/>
  <c r="V1756" i="1"/>
  <c r="Z1758" i="1" s="1"/>
  <c r="AA1762" i="1" s="1"/>
  <c r="AU1755" i="1"/>
  <c r="AG1756" i="1" s="1"/>
  <c r="AK1758" i="1" s="1"/>
  <c r="AL1762" i="1" s="1"/>
  <c r="BB1755" i="1"/>
  <c r="AC1756" i="1"/>
  <c r="Q1758" i="1"/>
  <c r="T1761" i="1"/>
  <c r="AA1640" i="1"/>
  <c r="M1641" i="1" s="1"/>
  <c r="T1639" i="1"/>
  <c r="AB1639" i="1" s="1"/>
  <c r="G1640" i="1" s="1"/>
  <c r="R1640" i="1" s="1"/>
  <c r="AQ1640" i="1" s="1"/>
  <c r="C1635" i="1"/>
  <c r="L1642" i="1"/>
  <c r="P1645" i="1" s="1"/>
  <c r="J1638" i="1"/>
  <c r="J1641" i="1" s="1"/>
  <c r="AM479" i="1"/>
  <c r="AO478" i="1" s="1"/>
  <c r="AQ478" i="1" s="1" a="1"/>
  <c r="AQ478" i="1" s="1"/>
  <c r="D477" i="1" s="1"/>
  <c r="I478" i="1" s="1"/>
  <c r="R478" i="1" s="1"/>
  <c r="D474" i="1"/>
  <c r="I475" i="1" s="1"/>
  <c r="M480" i="1"/>
  <c r="AT438" i="1"/>
  <c r="AS437" i="1" s="1"/>
  <c r="I465" i="1"/>
  <c r="J1548" i="1"/>
  <c r="AA1548" i="1"/>
  <c r="BK1535" i="1"/>
  <c r="G1536" i="1" s="1"/>
  <c r="Y1536" i="1" s="1"/>
  <c r="AP1536" i="1" s="1"/>
  <c r="BG1536" i="1" s="1"/>
  <c r="G1537" i="1" s="1"/>
  <c r="G1539" i="1" s="1"/>
  <c r="G1540" i="1" s="1"/>
  <c r="AG1540" i="1" s="1"/>
  <c r="G1541" i="1" s="1"/>
  <c r="AF1541" i="1" s="1"/>
  <c r="AX1541" i="1" s="1"/>
  <c r="G1542" i="1" s="1"/>
  <c r="Q1545" i="1"/>
  <c r="AA1543" i="1"/>
  <c r="F1498" i="1"/>
  <c r="E1500" i="1" s="1"/>
  <c r="J1500" i="1" s="1"/>
  <c r="X1450" i="1"/>
  <c r="AD1452" i="1"/>
  <c r="X1452" i="1" s="1"/>
  <c r="BI1427" i="1"/>
  <c r="BU1429" i="1" s="1"/>
  <c r="BS1406" i="1"/>
  <c r="U1407" i="1" s="1"/>
  <c r="M1416" i="1" s="1"/>
  <c r="S1413" i="1" s="1" a="1"/>
  <c r="AV980" i="1"/>
  <c r="AX979" i="1"/>
  <c r="AW1342" i="1"/>
  <c r="E1353" i="1"/>
  <c r="F1343" i="1"/>
  <c r="AW1343" i="1"/>
  <c r="BK1321" i="1"/>
  <c r="E1339" i="1"/>
  <c r="T1283" i="1"/>
  <c r="E1284" i="1" s="1"/>
  <c r="E1285" i="1" s="1"/>
  <c r="F1297" i="1"/>
  <c r="R1297" i="1" s="1"/>
  <c r="AI1051" i="1"/>
  <c r="K1054" i="1" s="1"/>
  <c r="E1108" i="1"/>
  <c r="E1158" i="1"/>
  <c r="E1103" i="1"/>
  <c r="E1155" i="1"/>
  <c r="P1123" i="1"/>
  <c r="O1132" i="1" s="1"/>
  <c r="Z1117" i="1"/>
  <c r="AM1117" i="1" s="1"/>
  <c r="L1130" i="1" s="1"/>
  <c r="AH1117" i="1"/>
  <c r="K1130" i="1" s="1"/>
  <c r="AA1116" i="1"/>
  <c r="AP1116" i="1"/>
  <c r="K1129" i="1" s="1"/>
  <c r="O1128" i="1"/>
  <c r="L1053" i="1" a="1"/>
  <c r="L1053" i="1" s="1"/>
  <c r="AL1048" i="1"/>
  <c r="AI1048" i="1" s="1"/>
  <c r="S1049" i="1" s="1"/>
  <c r="Z999" i="1"/>
  <c r="BK958" i="1"/>
  <c r="F980" i="1"/>
  <c r="E982" i="1" s="1"/>
  <c r="AC918" i="1"/>
  <c r="Z918" i="1" s="1"/>
  <c r="E990" i="1"/>
  <c r="E973" i="1"/>
  <c r="AY961" i="1" s="1"/>
  <c r="E976" i="1"/>
  <c r="AG976" i="1" s="1"/>
  <c r="X986" i="1"/>
  <c r="U986" i="1" s="1"/>
  <c r="Q914" i="1"/>
  <c r="X984" i="1"/>
  <c r="U984" i="1" s="1"/>
  <c r="L984" i="1"/>
  <c r="H909" i="1"/>
  <c r="Z916" i="1"/>
  <c r="L933" i="1" a="1"/>
  <c r="L933" i="1" s="1"/>
  <c r="AL928" i="1"/>
  <c r="AJ930" i="1"/>
  <c r="AG930" i="1" s="1"/>
  <c r="U930" i="1"/>
  <c r="AC928" i="1"/>
  <c r="W928" i="1" s="1"/>
  <c r="AC943" i="1"/>
  <c r="W943" i="1" s="1"/>
  <c r="Y941" i="1"/>
  <c r="T941" i="1"/>
  <c r="AO928" i="1"/>
  <c r="AO943" i="1"/>
  <c r="AI943" i="1" s="1"/>
  <c r="AJ941" i="1"/>
  <c r="AE941" i="1"/>
  <c r="Z587" i="1"/>
  <c r="AN613" i="1"/>
  <c r="AE614" i="1"/>
  <c r="N581" i="1"/>
  <c r="BF613" i="1" s="1"/>
  <c r="AS605" i="1"/>
  <c r="BA607" i="1" s="1"/>
  <c r="AA601" i="1"/>
  <c r="AU607" i="1" s="1"/>
  <c r="AB607" i="1"/>
  <c r="T586" i="1"/>
  <c r="BF612" i="1"/>
  <c r="AT614" i="1"/>
  <c r="AR793" i="1"/>
  <c r="AX795" i="1"/>
  <c r="AR795" i="1" s="1"/>
  <c r="AC785" i="1"/>
  <c r="AO825" i="1"/>
  <c r="AK874" i="1"/>
  <c r="AH876" i="1" s="1"/>
  <c r="AK879" i="1" s="1"/>
  <c r="BA825" i="1"/>
  <c r="AV874" i="1"/>
  <c r="AS876" i="1" s="1"/>
  <c r="AW879" i="1" s="1"/>
  <c r="Q825" i="1"/>
  <c r="O874" i="1"/>
  <c r="L876" i="1" s="1"/>
  <c r="M879" i="1" s="1"/>
  <c r="AM867" i="1"/>
  <c r="AQ869" i="1"/>
  <c r="M869" i="1"/>
  <c r="L867" i="1"/>
  <c r="AY867" i="1"/>
  <c r="BC869" i="1"/>
  <c r="AT867" i="1"/>
  <c r="AW869" i="1"/>
  <c r="AH867" i="1"/>
  <c r="AK869" i="1"/>
  <c r="AE869" i="1"/>
  <c r="AB867" i="1"/>
  <c r="Q867" i="1"/>
  <c r="S869" i="1"/>
  <c r="Q859" i="1"/>
  <c r="S861" i="1"/>
  <c r="AB859" i="1"/>
  <c r="AE861" i="1"/>
  <c r="AM859" i="1"/>
  <c r="AQ861" i="1"/>
  <c r="AH859" i="1"/>
  <c r="AK861" i="1"/>
  <c r="O835" i="1"/>
  <c r="O831" i="1"/>
  <c r="I822" i="1"/>
  <c r="G837" i="1"/>
  <c r="AU823" i="1"/>
  <c r="AS838" i="1"/>
  <c r="O830" i="1"/>
  <c r="AM831" i="1"/>
  <c r="AI822" i="1"/>
  <c r="AG837" i="1"/>
  <c r="W822" i="1"/>
  <c r="U837" i="1"/>
  <c r="Q823" i="1"/>
  <c r="O838" i="1"/>
  <c r="L810" i="1"/>
  <c r="O858" i="1" s="1"/>
  <c r="O828" i="1"/>
  <c r="Z827" i="1"/>
  <c r="K829" i="1" s="1"/>
  <c r="Q692" i="1"/>
  <c r="T730" i="1" s="1"/>
  <c r="Q731" i="1" s="1"/>
  <c r="S733" i="1" s="1"/>
  <c r="U699" i="1"/>
  <c r="AB733" i="1"/>
  <c r="AN733" i="1" s="1"/>
  <c r="AZ733" i="1" s="1"/>
  <c r="U705" i="1"/>
  <c r="J705" i="1"/>
  <c r="R705" i="1" s="1"/>
  <c r="Z705" i="1" s="1"/>
  <c r="U704" i="1"/>
  <c r="J704" i="1"/>
  <c r="R704" i="1" s="1"/>
  <c r="U702" i="1"/>
  <c r="M702" i="1"/>
  <c r="J702" i="1"/>
  <c r="R702" i="1" s="1"/>
  <c r="AA702" i="1" s="1"/>
  <c r="AL702" i="1" s="1"/>
  <c r="AX702" i="1" s="1"/>
  <c r="AC703" i="1" s="1"/>
  <c r="AP703" i="1" s="1"/>
  <c r="I711" i="1" s="1"/>
  <c r="U701" i="1"/>
  <c r="M701" i="1"/>
  <c r="J701" i="1"/>
  <c r="R701" i="1" s="1"/>
  <c r="Z701" i="1" s="1"/>
  <c r="AL701" i="1" s="1"/>
  <c r="R703" i="1" s="1"/>
  <c r="AK703" i="1" s="1"/>
  <c r="H711" i="1" s="1"/>
  <c r="M699" i="1"/>
  <c r="J699" i="1"/>
  <c r="R699" i="1" s="1"/>
  <c r="AD699" i="1" s="1"/>
  <c r="AP699" i="1" s="1"/>
  <c r="BB699" i="1" s="1"/>
  <c r="AM696" i="1"/>
  <c r="O696" i="1"/>
  <c r="L696" i="1"/>
  <c r="T696" i="1" s="1"/>
  <c r="AF696" i="1" s="1"/>
  <c r="AR696" i="1" s="1"/>
  <c r="BD696" i="1" s="1"/>
  <c r="AJ695" i="1"/>
  <c r="AR690" i="1"/>
  <c r="AS691" i="1"/>
  <c r="AJ690" i="1"/>
  <c r="AM691" i="1" s="1"/>
  <c r="AB690" i="1"/>
  <c r="AB691" i="1" s="1"/>
  <c r="W690" i="1"/>
  <c r="W691" i="1" s="1"/>
  <c r="W692" i="1" s="1"/>
  <c r="J690" i="1"/>
  <c r="V686" i="1"/>
  <c r="X687" i="1" s="1"/>
  <c r="Y688" i="1" s="1"/>
  <c r="Q686" i="1"/>
  <c r="S687" i="1" s="1"/>
  <c r="T688" i="1" s="1"/>
  <c r="J686" i="1"/>
  <c r="L687" i="1" s="1"/>
  <c r="L688" i="1" s="1"/>
  <c r="Q695" i="1" s="1"/>
  <c r="Q2246" i="1" l="1" a="1"/>
  <c r="E2247" i="1" s="1"/>
  <c r="AT2259" i="1" s="1"/>
  <c r="AX2261" i="1" s="1"/>
  <c r="AJ2216" i="1"/>
  <c r="AG2216" i="1" s="1"/>
  <c r="I2216" i="1"/>
  <c r="AD2216" i="1"/>
  <c r="AA2216" i="1"/>
  <c r="X2216" i="1"/>
  <c r="U2147" i="1" a="1"/>
  <c r="E2150" i="1" s="1"/>
  <c r="BB2169" i="1" s="1"/>
  <c r="I1926" i="1"/>
  <c r="R1926" i="1"/>
  <c r="R1934" i="1"/>
  <c r="I1934" i="1"/>
  <c r="AF1592" i="1"/>
  <c r="F1593" i="1" s="1"/>
  <c r="AE1593" i="1" s="1"/>
  <c r="AW1593" i="1" s="1"/>
  <c r="F1594" i="1" s="1"/>
  <c r="Q1596" i="1"/>
  <c r="U1599" i="1" s="1"/>
  <c r="AV1599" i="1" s="1"/>
  <c r="Z1595" i="1"/>
  <c r="P1597" i="1"/>
  <c r="I2061" i="1"/>
  <c r="R2061" i="1"/>
  <c r="AC1710" i="1"/>
  <c r="AG1712" i="1" s="1"/>
  <c r="AK1712" i="1" s="1"/>
  <c r="BN1677" i="1" s="1"/>
  <c r="R1989" i="1"/>
  <c r="I1989" i="1"/>
  <c r="R1981" i="1"/>
  <c r="I1981" i="1"/>
  <c r="AI1760" i="1"/>
  <c r="BF1761" i="1" s="1"/>
  <c r="W1640" i="1"/>
  <c r="AJ1640" i="1"/>
  <c r="V1641" i="1" s="1"/>
  <c r="Q1761" i="1"/>
  <c r="N1758" i="1"/>
  <c r="O1762" i="1" s="1"/>
  <c r="L1763" i="1" s="1"/>
  <c r="M1765" i="1" s="1"/>
  <c r="E1664" i="1"/>
  <c r="L1662" i="1"/>
  <c r="AA1668" i="1" s="1"/>
  <c r="AD1615" i="1"/>
  <c r="H1668" i="1"/>
  <c r="O1668" i="1" s="1"/>
  <c r="AI1763" i="1"/>
  <c r="AL1765" i="1" s="1"/>
  <c r="AP1761" i="1"/>
  <c r="AD1761" i="1"/>
  <c r="X1763" i="1"/>
  <c r="Z1765" i="1" s="1"/>
  <c r="R1762" i="1"/>
  <c r="O1763" i="1" s="1"/>
  <c r="P1765" i="1" s="1"/>
  <c r="AG1758" i="1"/>
  <c r="AH1762" i="1" s="1"/>
  <c r="AE1763" i="1" s="1"/>
  <c r="AH1765" i="1" s="1"/>
  <c r="AL1761" i="1"/>
  <c r="AN1756" i="1"/>
  <c r="AR1758" i="1" s="1"/>
  <c r="AS1762" i="1" s="1"/>
  <c r="BG1755" i="1"/>
  <c r="AS1756" i="1" s="1"/>
  <c r="AW1758" i="1" s="1"/>
  <c r="AX1762" i="1" s="1"/>
  <c r="C1637" i="1"/>
  <c r="C1638" i="1" s="1"/>
  <c r="C1641" i="1" s="1"/>
  <c r="G1643" i="1" s="1"/>
  <c r="H1647" i="1" s="1"/>
  <c r="E1648" i="1" s="1"/>
  <c r="E1650" i="1" s="1"/>
  <c r="G1642" i="1"/>
  <c r="J1645" i="1"/>
  <c r="AJ1645" i="1" s="1"/>
  <c r="AV1647" i="1" s="1"/>
  <c r="AS1648" i="1" s="1"/>
  <c r="AW1650" i="1" s="1"/>
  <c r="N1643" i="1"/>
  <c r="O1647" i="1" s="1"/>
  <c r="L1648" i="1" s="1"/>
  <c r="M1650" i="1" s="1"/>
  <c r="I1646" i="1"/>
  <c r="AC1641" i="1"/>
  <c r="BB1640" i="1"/>
  <c r="Q1643" i="1"/>
  <c r="R475" i="1"/>
  <c r="Y475" i="1" s="1"/>
  <c r="M482" i="1"/>
  <c r="X480" i="1"/>
  <c r="AA486" i="1" s="1"/>
  <c r="Y478" i="1"/>
  <c r="AE1545" i="1"/>
  <c r="AF1549" i="1" s="1"/>
  <c r="AC1550" i="1" s="1"/>
  <c r="AD1552" i="1" s="1"/>
  <c r="S1548" i="1"/>
  <c r="AH1548" i="1" s="1"/>
  <c r="R1549" i="1"/>
  <c r="O1550" i="1" s="1"/>
  <c r="O1552" i="1" s="1"/>
  <c r="AN1537" i="1"/>
  <c r="R1544" i="1" s="1"/>
  <c r="U1547" i="1" s="1"/>
  <c r="AV1547" i="1" s="1"/>
  <c r="AG1542" i="1"/>
  <c r="BB1542" i="1" s="1"/>
  <c r="W1543" i="1" s="1"/>
  <c r="AA1545" i="1" s="1"/>
  <c r="W1542" i="1"/>
  <c r="AO1542" i="1" s="1"/>
  <c r="G1543" i="1" s="1"/>
  <c r="K1545" i="1" s="1"/>
  <c r="S1500" i="1"/>
  <c r="S1413" i="1"/>
  <c r="E1413" i="1" s="1"/>
  <c r="E1414" i="1"/>
  <c r="E1415" i="1"/>
  <c r="E1421" i="1" s="1"/>
  <c r="E1416" i="1"/>
  <c r="BO1427" i="1" s="1"/>
  <c r="E1430" i="1" s="1"/>
  <c r="E991" i="1"/>
  <c r="E992" i="1" s="1"/>
  <c r="H996" i="1" s="1"/>
  <c r="E997" i="1" s="1"/>
  <c r="E999" i="1" s="1"/>
  <c r="AX980" i="1"/>
  <c r="AZ979" i="1" s="1"/>
  <c r="E1354" i="1"/>
  <c r="E1355" i="1" s="1"/>
  <c r="H1359" i="1" s="1"/>
  <c r="E1360" i="1" s="1"/>
  <c r="E1362" i="1" s="1"/>
  <c r="AW1344" i="1"/>
  <c r="AY1342" i="1" s="1"/>
  <c r="BA1342" i="1" s="1" a="1"/>
  <c r="BA1342" i="1" s="1"/>
  <c r="D1342" i="1" s="1"/>
  <c r="E1345" i="1"/>
  <c r="E1340" i="1"/>
  <c r="U1340" i="1" s="1"/>
  <c r="AG1339" i="1"/>
  <c r="BL1321" i="1"/>
  <c r="BM1321" i="1" s="1"/>
  <c r="H1289" i="1"/>
  <c r="E1291" i="1" s="1"/>
  <c r="J1288" i="1"/>
  <c r="AG1288" i="1" s="1"/>
  <c r="V1291" i="1" s="1"/>
  <c r="E1308" i="1"/>
  <c r="Q1308" i="1" s="1"/>
  <c r="E1299" i="1"/>
  <c r="Q1299" i="1" s="1"/>
  <c r="E1109" i="1"/>
  <c r="I1117" i="1"/>
  <c r="AR1117" i="1" s="1"/>
  <c r="O1130" i="1" s="1"/>
  <c r="E1104" i="1"/>
  <c r="G1124" i="1"/>
  <c r="AL1124" i="1" s="1"/>
  <c r="X1126" i="1" s="1"/>
  <c r="AH1116" i="1"/>
  <c r="AZ1116" i="1" s="1"/>
  <c r="M1129" i="1" s="1"/>
  <c r="AU1116" i="1"/>
  <c r="L1129" i="1" s="1"/>
  <c r="K1053" i="1"/>
  <c r="N1053" i="1" s="1" a="1"/>
  <c r="N1053" i="1" s="1"/>
  <c r="E1053" i="1" s="1"/>
  <c r="S931" i="1"/>
  <c r="K934" i="1" s="1"/>
  <c r="BL958" i="1"/>
  <c r="BM958" i="1" s="1"/>
  <c r="E984" i="1"/>
  <c r="AG982" i="1"/>
  <c r="AA988" i="1" s="1"/>
  <c r="E977" i="1"/>
  <c r="U977" i="1" s="1"/>
  <c r="AI928" i="1"/>
  <c r="S929" i="1" s="1"/>
  <c r="K933" i="1" s="1"/>
  <c r="BI613" i="1"/>
  <c r="AF615" i="1" s="1"/>
  <c r="AI607" i="1"/>
  <c r="BE607" i="1" s="1"/>
  <c r="AH614" i="1"/>
  <c r="AW614" i="1" s="1"/>
  <c r="AN612" i="1"/>
  <c r="BI612" i="1" s="1"/>
  <c r="AP615" i="1" s="1"/>
  <c r="AR616" i="1" s="1"/>
  <c r="L859" i="1"/>
  <c r="M861" i="1"/>
  <c r="Q822" i="1"/>
  <c r="O837" i="1"/>
  <c r="BP696" i="1"/>
  <c r="L697" i="1" s="1"/>
  <c r="K709" i="1" s="1"/>
  <c r="BM733" i="1"/>
  <c r="AX691" i="1"/>
  <c r="W696" i="1"/>
  <c r="AB692" i="1"/>
  <c r="AI696" i="1" s="1"/>
  <c r="AG699" i="1"/>
  <c r="L691" i="1"/>
  <c r="L692" i="1" s="1"/>
  <c r="AC696" i="1"/>
  <c r="Z730" i="1"/>
  <c r="W731" i="1" s="1"/>
  <c r="Y733" i="1" s="1"/>
  <c r="O702" i="1"/>
  <c r="O722" i="1"/>
  <c r="L723" i="1" s="1"/>
  <c r="M725" i="1" s="1"/>
  <c r="Z695" i="1"/>
  <c r="W722" i="1"/>
  <c r="T723" i="1" s="1"/>
  <c r="V725" i="1" s="1"/>
  <c r="AF695" i="1"/>
  <c r="AB722" i="1"/>
  <c r="Y723" i="1" s="1"/>
  <c r="AB725" i="1" s="1"/>
  <c r="AS692" i="1"/>
  <c r="AY699" i="1"/>
  <c r="AM692" i="1"/>
  <c r="AP730" i="1" s="1"/>
  <c r="AM731" i="1" s="1"/>
  <c r="AQ733" i="1" s="1"/>
  <c r="AS699" i="1"/>
  <c r="W705" i="1"/>
  <c r="AC705" i="1"/>
  <c r="O705" i="1"/>
  <c r="X702" i="1"/>
  <c r="AD702" i="1"/>
  <c r="AA699" i="1"/>
  <c r="AC698" i="1"/>
  <c r="W698" i="1"/>
  <c r="O698" i="1"/>
  <c r="BA748" i="1"/>
  <c r="BB748" i="1" s="1"/>
  <c r="O871" i="1"/>
  <c r="M872" i="1" s="1"/>
  <c r="H779" i="1"/>
  <c r="E779" i="1"/>
  <c r="AE763" i="1"/>
  <c r="AB763" i="1"/>
  <c r="Y763" i="1"/>
  <c r="AX761" i="1"/>
  <c r="AU761" i="1"/>
  <c r="AO761" i="1"/>
  <c r="AR761" i="1" s="1"/>
  <c r="AL761" i="1"/>
  <c r="O863" i="1"/>
  <c r="M864" i="1" s="1"/>
  <c r="O855" i="1"/>
  <c r="M856" i="1" s="1"/>
  <c r="AI853" i="1"/>
  <c r="BK861" i="1" s="1"/>
  <c r="BV869" i="1" s="1"/>
  <c r="AF880" i="1" s="1"/>
  <c r="AF788" i="1"/>
  <c r="AD788" i="1"/>
  <c r="V763" i="1"/>
  <c r="S763" i="1"/>
  <c r="P763" i="1"/>
  <c r="M763" i="1"/>
  <c r="J763" i="1"/>
  <c r="G763" i="1"/>
  <c r="AI761" i="1"/>
  <c r="AF761" i="1"/>
  <c r="Z761" i="1"/>
  <c r="AC761" i="1" s="1"/>
  <c r="W761" i="1"/>
  <c r="Q761" i="1"/>
  <c r="K761" i="1"/>
  <c r="N761" i="1" s="1"/>
  <c r="H761" i="1"/>
  <c r="E761" i="1"/>
  <c r="F756" i="1"/>
  <c r="AM853" i="1" s="1"/>
  <c r="BO861" i="1" s="1"/>
  <c r="BZ869" i="1" s="1"/>
  <c r="AJ880" i="1" s="1"/>
  <c r="I754" i="1"/>
  <c r="AM751" i="1"/>
  <c r="K751" i="1"/>
  <c r="J748" i="1"/>
  <c r="C746" i="1"/>
  <c r="E2248" i="1" l="1"/>
  <c r="AZ2259" i="1" s="1"/>
  <c r="BE2261" i="1" s="1"/>
  <c r="E2262" i="1" s="1"/>
  <c r="D2264" i="1" s="1"/>
  <c r="Q2246" i="1"/>
  <c r="E2246" i="1" s="1"/>
  <c r="X2253" i="1" s="1"/>
  <c r="E2254" i="1" s="1"/>
  <c r="D2256" i="1" s="1"/>
  <c r="O2216" i="1"/>
  <c r="L2216" i="1" s="1"/>
  <c r="AS2216" i="1" s="1"/>
  <c r="H2224" i="1" s="1"/>
  <c r="E2148" i="1"/>
  <c r="AO2162" i="1" s="1"/>
  <c r="E2151" i="1"/>
  <c r="BI2169" i="1" s="1"/>
  <c r="E2170" i="1" s="1"/>
  <c r="D2172" i="1" s="1"/>
  <c r="R2172" i="1" s="1"/>
  <c r="E2149" i="1"/>
  <c r="AV2162" i="1" s="1"/>
  <c r="U2147" i="1"/>
  <c r="E2147" i="1" s="1"/>
  <c r="X2155" i="1" s="1"/>
  <c r="E2156" i="1" s="1"/>
  <c r="D2158" i="1" s="1"/>
  <c r="R2158" i="1" s="1"/>
  <c r="AD1597" i="1"/>
  <c r="AE1601" i="1" s="1"/>
  <c r="AB1602" i="1" s="1"/>
  <c r="AC1604" i="1" s="1"/>
  <c r="Q1601" i="1"/>
  <c r="N1602" i="1" s="1"/>
  <c r="N1604" i="1" s="1"/>
  <c r="R1600" i="1"/>
  <c r="AG1600" i="1" s="1"/>
  <c r="AP1600" i="1"/>
  <c r="AJ1602" i="1"/>
  <c r="AL1604" i="1" s="1"/>
  <c r="V1594" i="1"/>
  <c r="AN1594" i="1" s="1"/>
  <c r="F1595" i="1" s="1"/>
  <c r="AF1594" i="1"/>
  <c r="BA1594" i="1" s="1"/>
  <c r="V1595" i="1" s="1"/>
  <c r="Z1597" i="1" s="1"/>
  <c r="AU1640" i="1"/>
  <c r="AG1641" i="1" s="1"/>
  <c r="BA1762" i="1"/>
  <c r="AX1763" i="1" s="1"/>
  <c r="BB1765" i="1" s="1"/>
  <c r="E1666" i="1"/>
  <c r="U1666" i="1" s="1"/>
  <c r="AG1668" i="1" s="1"/>
  <c r="L1664" i="1"/>
  <c r="U1668" i="1" s="1"/>
  <c r="BC1761" i="1"/>
  <c r="AU1763" i="1"/>
  <c r="AY1765" i="1" s="1"/>
  <c r="AX1761" i="1"/>
  <c r="AP1763" i="1"/>
  <c r="AT1765" i="1" s="1"/>
  <c r="BG1640" i="1"/>
  <c r="AS1641" i="1" s="1"/>
  <c r="AN1641" i="1"/>
  <c r="Z1643" i="1"/>
  <c r="AK1643" i="1" s="1"/>
  <c r="R1647" i="1"/>
  <c r="AG1643" i="1"/>
  <c r="H486" i="1"/>
  <c r="O486" i="1" s="1"/>
  <c r="AR436" i="1"/>
  <c r="M484" i="1"/>
  <c r="X484" i="1" s="1"/>
  <c r="AG486" i="1" s="1"/>
  <c r="X482" i="1"/>
  <c r="U486" i="1" s="1"/>
  <c r="M1548" i="1"/>
  <c r="L1549" i="1"/>
  <c r="I1550" i="1" s="1"/>
  <c r="I1552" i="1" s="1"/>
  <c r="AB1549" i="1"/>
  <c r="Y1550" i="1" s="1"/>
  <c r="Z1552" i="1" s="1"/>
  <c r="AD1548" i="1"/>
  <c r="AQ1548" i="1"/>
  <c r="AK1550" i="1"/>
  <c r="AM1552" i="1" s="1"/>
  <c r="W1375" i="1"/>
  <c r="E1441" i="1"/>
  <c r="AS1380" i="1"/>
  <c r="AH1441" i="1"/>
  <c r="R1442" i="1" s="1"/>
  <c r="I1437" i="1"/>
  <c r="I1441" i="1"/>
  <c r="E1442" i="1" s="1"/>
  <c r="E1429" i="1"/>
  <c r="E1437" i="1"/>
  <c r="AU1429" i="1"/>
  <c r="N1429" i="1"/>
  <c r="N1421" i="1"/>
  <c r="E1422" i="1" s="1"/>
  <c r="D1424" i="1" s="1"/>
  <c r="I1424" i="1" s="1"/>
  <c r="AB1380" i="1"/>
  <c r="I1358" i="1"/>
  <c r="BA1358" i="1" s="1"/>
  <c r="AJ1360" i="1" s="1"/>
  <c r="AM1362" i="1" s="1"/>
  <c r="E1363" i="1" s="1"/>
  <c r="D1365" i="1" s="1"/>
  <c r="I1365" i="1" s="1"/>
  <c r="P1343" i="1"/>
  <c r="Y1343" i="1" s="1"/>
  <c r="V1343" i="1" s="1"/>
  <c r="J1343" i="1"/>
  <c r="I995" i="1"/>
  <c r="BA995" i="1" s="1"/>
  <c r="AJ997" i="1" s="1"/>
  <c r="AM999" i="1" s="1"/>
  <c r="E1000" i="1" s="1"/>
  <c r="D1002" i="1" s="1"/>
  <c r="I1002" i="1" s="1"/>
  <c r="E1347" i="1"/>
  <c r="AG1345" i="1"/>
  <c r="AA1351" i="1" s="1"/>
  <c r="BL1320" i="1"/>
  <c r="E1292" i="1"/>
  <c r="D1294" i="1" s="1"/>
  <c r="I1294" i="1" s="1"/>
  <c r="AR1263" i="1"/>
  <c r="H1305" i="1"/>
  <c r="AA1305" i="1"/>
  <c r="E1301" i="1"/>
  <c r="Q1301" i="1" s="1"/>
  <c r="Q1128" i="1" a="1"/>
  <c r="Q1128" i="1" s="1"/>
  <c r="O1133" i="1"/>
  <c r="I1116" i="1"/>
  <c r="BE1116" i="1" s="1"/>
  <c r="O1129" i="1" s="1"/>
  <c r="H1142" i="1"/>
  <c r="E1144" i="1" s="1"/>
  <c r="H1135" i="1"/>
  <c r="E1137" i="1" s="1"/>
  <c r="G1118" i="1"/>
  <c r="AO1118" i="1" s="1"/>
  <c r="X1120" i="1" s="1"/>
  <c r="O1131" i="1" s="1"/>
  <c r="W1012" i="1"/>
  <c r="E1060" i="1"/>
  <c r="E1054" i="1"/>
  <c r="N933" i="1" a="1"/>
  <c r="E934" i="1" s="1"/>
  <c r="E937" i="1" s="1"/>
  <c r="AY898" i="1" s="1"/>
  <c r="BL957" i="1"/>
  <c r="E986" i="1"/>
  <c r="AG986" i="1" s="1"/>
  <c r="AG988" i="1" s="1"/>
  <c r="AG984" i="1"/>
  <c r="U988" i="1" s="1"/>
  <c r="AU615" i="1"/>
  <c r="AW616" i="1" s="1"/>
  <c r="AG616" i="1"/>
  <c r="AZ615" i="1"/>
  <c r="P878" i="1"/>
  <c r="U783" i="1"/>
  <c r="U778" i="1"/>
  <c r="T761" i="1"/>
  <c r="E762" i="1" s="1"/>
  <c r="E764" i="1" s="1"/>
  <c r="P868" i="1"/>
  <c r="O699" i="1"/>
  <c r="AE730" i="1"/>
  <c r="AB731" i="1" s="1"/>
  <c r="AE733" i="1" s="1"/>
  <c r="AX692" i="1"/>
  <c r="BE699" i="1"/>
  <c r="Q696" i="1"/>
  <c r="O730" i="1"/>
  <c r="L731" i="1" s="1"/>
  <c r="M733" i="1" s="1"/>
  <c r="AU696" i="1"/>
  <c r="BA696" i="1"/>
  <c r="AV730" i="1"/>
  <c r="AS731" i="1" s="1"/>
  <c r="AW733" i="1" s="1"/>
  <c r="E770" i="1"/>
  <c r="N770" i="1" s="1"/>
  <c r="E775" i="1"/>
  <c r="E780" i="1"/>
  <c r="AD668" i="1"/>
  <c r="AF668" i="1"/>
  <c r="F674" i="1"/>
  <c r="O675" i="1" s="1"/>
  <c r="E672" i="1"/>
  <c r="O673" i="1" s="1"/>
  <c r="E670" i="1"/>
  <c r="O671" i="1" s="1"/>
  <c r="N654" i="1"/>
  <c r="H654" i="1"/>
  <c r="O727" i="1"/>
  <c r="M728" i="1" s="1"/>
  <c r="H719" i="1"/>
  <c r="O719" i="1" s="1"/>
  <c r="M720" i="1" s="1"/>
  <c r="AE717" i="1"/>
  <c r="AQ725" i="1" s="1"/>
  <c r="BV733" i="1" s="1"/>
  <c r="F641" i="1"/>
  <c r="AI717" i="1" s="1"/>
  <c r="AU725" i="1" s="1"/>
  <c r="BZ733" i="1" s="1"/>
  <c r="I639" i="1"/>
  <c r="K636" i="1"/>
  <c r="J633" i="1"/>
  <c r="C631" i="1"/>
  <c r="S717" i="1"/>
  <c r="J698" i="1"/>
  <c r="R698" i="1" s="1"/>
  <c r="Z698" i="1" s="1"/>
  <c r="L695" i="1"/>
  <c r="T695" i="1" s="1"/>
  <c r="AC695" i="1" s="1"/>
  <c r="AN695" i="1" s="1"/>
  <c r="BB695" i="1" s="1"/>
  <c r="I708" i="1" s="1"/>
  <c r="O708" i="1" s="1" a="1"/>
  <c r="O708" i="1" s="1"/>
  <c r="J682" i="1"/>
  <c r="L683" i="1" s="1"/>
  <c r="R2264" i="1" l="1"/>
  <c r="I2264" i="1"/>
  <c r="R2256" i="1"/>
  <c r="I2256" i="1"/>
  <c r="E2163" i="1"/>
  <c r="D2165" i="1" s="1"/>
  <c r="I2165" i="1" s="1"/>
  <c r="O2224" i="1"/>
  <c r="AK2224" i="1" s="1"/>
  <c r="BG2198" i="1" s="1"/>
  <c r="I2158" i="1"/>
  <c r="I2172" i="1"/>
  <c r="AC1600" i="1"/>
  <c r="AA1601" i="1"/>
  <c r="X1602" i="1" s="1"/>
  <c r="Y1604" i="1" s="1"/>
  <c r="J1597" i="1"/>
  <c r="BT1761" i="1"/>
  <c r="BG1762" i="1" s="1"/>
  <c r="BD1763" i="1" s="1"/>
  <c r="BI1765" i="1" s="1"/>
  <c r="E1766" i="1" s="1"/>
  <c r="D1768" i="1" s="1"/>
  <c r="R1768" i="1" s="1"/>
  <c r="AK1668" i="1"/>
  <c r="AD1614" i="1" s="1"/>
  <c r="AW1643" i="1"/>
  <c r="N1646" i="1"/>
  <c r="X1646" i="1" s="1"/>
  <c r="AR1643" i="1"/>
  <c r="AH1647" i="1"/>
  <c r="AA1647" i="1"/>
  <c r="AL1647" i="1" s="1"/>
  <c r="O1648" i="1"/>
  <c r="AK486" i="1"/>
  <c r="AR435" i="1" s="1"/>
  <c r="BE1548" i="1"/>
  <c r="AQ1550" i="1" s="1"/>
  <c r="AT1552" i="1" s="1"/>
  <c r="F1553" i="1" s="1"/>
  <c r="AE1442" i="1"/>
  <c r="AG1437" i="1"/>
  <c r="F1446" i="1"/>
  <c r="E1448" i="1" s="1"/>
  <c r="BG1376" i="1"/>
  <c r="BH1376" i="1" s="1"/>
  <c r="BI1376" i="1" s="1"/>
  <c r="BJ1376" i="1" s="1"/>
  <c r="BK1376" i="1" s="1"/>
  <c r="BL1376" i="1" s="1"/>
  <c r="BM1376" i="1" s="1"/>
  <c r="AO1448" i="1"/>
  <c r="AQ1448" i="1" s="1"/>
  <c r="AQ1449" i="1"/>
  <c r="AQ1447" i="1"/>
  <c r="AQ1446" i="1"/>
  <c r="E1438" i="1"/>
  <c r="R1438" i="1" s="1"/>
  <c r="J1446" i="1"/>
  <c r="I1448" i="1" s="1"/>
  <c r="I1450" i="1" s="1"/>
  <c r="I1452" i="1" s="1"/>
  <c r="BD1441" i="1"/>
  <c r="E1431" i="1"/>
  <c r="D1433" i="1" s="1"/>
  <c r="I1433" i="1" s="1"/>
  <c r="R1424" i="1"/>
  <c r="M1343" i="1"/>
  <c r="AH1343" i="1" s="1"/>
  <c r="H1351" i="1" s="1"/>
  <c r="O1351" i="1" s="1"/>
  <c r="R1365" i="1"/>
  <c r="AW1031" i="1"/>
  <c r="E1349" i="1"/>
  <c r="AG1349" i="1" s="1"/>
  <c r="AG1351" i="1" s="1"/>
  <c r="AG1347" i="1"/>
  <c r="U1351" i="1" s="1"/>
  <c r="E1303" i="1"/>
  <c r="U1305" i="1"/>
  <c r="O1305" i="1"/>
  <c r="R1294" i="1"/>
  <c r="W1128" i="1" a="1"/>
  <c r="E1133" i="1" s="1"/>
  <c r="AM1144" i="1" s="1"/>
  <c r="R1002" i="1"/>
  <c r="E1057" i="1"/>
  <c r="AY1017" i="1" s="1"/>
  <c r="AB898" i="1"/>
  <c r="N943" i="1"/>
  <c r="AB1017" i="1"/>
  <c r="AU1033" i="1" s="1"/>
  <c r="N1060" i="1"/>
  <c r="N933" i="1"/>
  <c r="E933" i="1" s="1"/>
  <c r="E943" i="1" s="1"/>
  <c r="BB616" i="1"/>
  <c r="BI616" i="1" s="1"/>
  <c r="AG617" i="1" s="1"/>
  <c r="AU617" i="1" s="1"/>
  <c r="X620" i="1" s="1"/>
  <c r="BG615" i="1"/>
  <c r="AG618" i="1" s="1"/>
  <c r="AU618" i="1" s="1"/>
  <c r="X621" i="1" s="1"/>
  <c r="BG696" i="1"/>
  <c r="BA730" i="1"/>
  <c r="AX731" i="1" s="1"/>
  <c r="BC733" i="1" s="1"/>
  <c r="F789" i="1"/>
  <c r="L684" i="1"/>
  <c r="O701" i="1" s="1"/>
  <c r="O704" i="1"/>
  <c r="E851" i="1"/>
  <c r="E853" i="1" s="1"/>
  <c r="AC750" i="1"/>
  <c r="AQ750" i="1"/>
  <c r="I673" i="1"/>
  <c r="W673" i="1" s="1"/>
  <c r="I671" i="1"/>
  <c r="W671" i="1" s="1"/>
  <c r="I675" i="1"/>
  <c r="W675" i="1" s="1"/>
  <c r="J652" i="1"/>
  <c r="Z671" i="1"/>
  <c r="H717" i="1"/>
  <c r="V648" i="1"/>
  <c r="S648" i="1"/>
  <c r="P648" i="1"/>
  <c r="M648" i="1"/>
  <c r="J648" i="1"/>
  <c r="G648" i="1"/>
  <c r="AI646" i="1"/>
  <c r="AF646" i="1"/>
  <c r="Z646" i="1"/>
  <c r="AC646" i="1" s="1"/>
  <c r="W646" i="1"/>
  <c r="AF636" i="1"/>
  <c r="Q646" i="1"/>
  <c r="K646" i="1"/>
  <c r="N646" i="1" s="1"/>
  <c r="H646" i="1"/>
  <c r="E646" i="1"/>
  <c r="AC553" i="1"/>
  <c r="AH554" i="1" s="1"/>
  <c r="AB551" i="1"/>
  <c r="AH552" i="1" s="1"/>
  <c r="AB549" i="1"/>
  <c r="AM548" i="1"/>
  <c r="AM552" i="1" s="1"/>
  <c r="AM554" i="1" s="1"/>
  <c r="AE548" i="1"/>
  <c r="AE552" i="1" s="1"/>
  <c r="AE554" i="1" s="1"/>
  <c r="AB548" i="1"/>
  <c r="AB552" i="1" s="1"/>
  <c r="AB554" i="1" s="1"/>
  <c r="AA547" i="1"/>
  <c r="AH548" i="1" s="1"/>
  <c r="Z514" i="1"/>
  <c r="AM515" i="1" s="1"/>
  <c r="Y512" i="1"/>
  <c r="AE513" i="1" s="1"/>
  <c r="Y510" i="1"/>
  <c r="AJ509" i="1"/>
  <c r="AJ513" i="1" s="1"/>
  <c r="AJ515" i="1" s="1"/>
  <c r="AB509" i="1"/>
  <c r="AB513" i="1" s="1"/>
  <c r="AB515" i="1" s="1"/>
  <c r="Y509" i="1"/>
  <c r="Y513" i="1" s="1"/>
  <c r="Y515" i="1" s="1"/>
  <c r="X508" i="1"/>
  <c r="AM509" i="1" s="1"/>
  <c r="F416" i="1"/>
  <c r="U417" i="1" s="1"/>
  <c r="E414" i="1"/>
  <c r="U415" i="1" s="1"/>
  <c r="E412" i="1"/>
  <c r="P413" i="1" s="1"/>
  <c r="M410" i="1"/>
  <c r="M413" i="1" s="1"/>
  <c r="M415" i="1" s="1"/>
  <c r="M417" i="1" s="1"/>
  <c r="H410" i="1"/>
  <c r="H413" i="1" s="1"/>
  <c r="H415" i="1" s="1"/>
  <c r="H417" i="1" s="1"/>
  <c r="E410" i="1"/>
  <c r="E413" i="1" s="1"/>
  <c r="E415" i="1" s="1"/>
  <c r="D409" i="1"/>
  <c r="P410" i="1" s="1"/>
  <c r="AP545" i="1"/>
  <c r="AK545" i="1"/>
  <c r="AH545" i="1"/>
  <c r="AT544" i="1"/>
  <c r="AL544" i="1"/>
  <c r="AI544" i="1"/>
  <c r="AR543" i="1"/>
  <c r="AS545" i="1"/>
  <c r="AW544" i="1"/>
  <c r="AO544" i="1"/>
  <c r="AP506" i="1"/>
  <c r="AM506" i="1"/>
  <c r="AH506" i="1"/>
  <c r="AE506" i="1"/>
  <c r="AL505" i="1"/>
  <c r="AT505" i="1"/>
  <c r="AQ505" i="1"/>
  <c r="AI505" i="1"/>
  <c r="AF505" i="1"/>
  <c r="AO504" i="1"/>
  <c r="AE568" i="1"/>
  <c r="AB568" i="1"/>
  <c r="AT563" i="1"/>
  <c r="BC563" i="1" s="1"/>
  <c r="AZ561" i="1"/>
  <c r="AH561" i="1"/>
  <c r="AT560" i="1"/>
  <c r="AT561" i="1" s="1"/>
  <c r="AK560" i="1"/>
  <c r="AK561" i="1" s="1"/>
  <c r="AH560" i="1"/>
  <c r="AE560" i="1"/>
  <c r="AE561" i="1" s="1"/>
  <c r="AB560" i="1"/>
  <c r="AB561" i="1" s="1"/>
  <c r="AO559" i="1"/>
  <c r="AI559" i="1"/>
  <c r="AF559" i="1"/>
  <c r="AC559" i="1"/>
  <c r="AB524" i="1"/>
  <c r="AI524" i="1" s="1"/>
  <c r="AG525" i="1" s="1"/>
  <c r="AS523" i="1"/>
  <c r="AL523" i="1"/>
  <c r="AI523" i="1"/>
  <c r="AE562" i="1"/>
  <c r="AN562" i="1" s="1"/>
  <c r="AB562" i="1"/>
  <c r="AE565" i="1" s="1"/>
  <c r="AN565" i="1" s="1"/>
  <c r="AZ568" i="1"/>
  <c r="AN568" i="1"/>
  <c r="AE563" i="1"/>
  <c r="AN563" i="1" s="1"/>
  <c r="AT562" i="1"/>
  <c r="BC562" i="1" s="1"/>
  <c r="AH574" i="1"/>
  <c r="AO574" i="1" s="1"/>
  <c r="AJ575" i="1" s="1"/>
  <c r="AJ576" i="1" s="1"/>
  <c r="AQ572" i="1"/>
  <c r="AQ573" i="1" s="1"/>
  <c r="AN572" i="1"/>
  <c r="AN573" i="1" s="1"/>
  <c r="AN570" i="1"/>
  <c r="AP571" i="1" s="1"/>
  <c r="AI541" i="1"/>
  <c r="AF541" i="1"/>
  <c r="AI540" i="1"/>
  <c r="AF540" i="1"/>
  <c r="V548" i="1"/>
  <c r="BR561" i="1" s="1"/>
  <c r="J532" i="1"/>
  <c r="H536" i="1" s="1"/>
  <c r="AB563" i="1" s="1"/>
  <c r="AK563" i="1" s="1"/>
  <c r="T543" i="1"/>
  <c r="AE569" i="1" s="1"/>
  <c r="Q549" i="1"/>
  <c r="AW563" i="1" s="1"/>
  <c r="R509" i="1"/>
  <c r="R2165" i="1" l="1"/>
  <c r="L1600" i="1"/>
  <c r="BD1600" i="1" s="1"/>
  <c r="AP1602" i="1" s="1"/>
  <c r="AS1604" i="1" s="1"/>
  <c r="K1601" i="1"/>
  <c r="H1602" i="1" s="1"/>
  <c r="H1604" i="1" s="1"/>
  <c r="I1768" i="1"/>
  <c r="BB1647" i="1"/>
  <c r="AY1648" i="1" s="1"/>
  <c r="BD1650" i="1" s="1"/>
  <c r="X1648" i="1"/>
  <c r="P1650" i="1"/>
  <c r="AE1648" i="1"/>
  <c r="AS1647" i="1"/>
  <c r="E1555" i="1"/>
  <c r="J1555" i="1" s="1"/>
  <c r="AS1446" i="1"/>
  <c r="AU1446" i="1" s="1" a="1"/>
  <c r="AU1446" i="1" s="1"/>
  <c r="D1445" i="1" s="1"/>
  <c r="T1446" i="1" s="1"/>
  <c r="AB1446" i="1" s="1"/>
  <c r="Y1446" i="1" s="1"/>
  <c r="AG1448" i="1"/>
  <c r="AA1454" i="1" s="1"/>
  <c r="E1450" i="1"/>
  <c r="BG1375" i="1"/>
  <c r="R1433" i="1"/>
  <c r="BL895" i="1"/>
  <c r="BM895" i="1" s="1"/>
  <c r="BN895" i="1" s="1"/>
  <c r="AU913" i="1"/>
  <c r="AW1033" i="1"/>
  <c r="AW1032" i="1"/>
  <c r="BK1319" i="1"/>
  <c r="AK1351" i="1"/>
  <c r="BK1318" i="1" s="1"/>
  <c r="Q1303" i="1"/>
  <c r="AG1305" i="1" s="1"/>
  <c r="AK1305" i="1" s="1"/>
  <c r="AR1262" i="1" s="1"/>
  <c r="E1131" i="1"/>
  <c r="E1129" i="1"/>
  <c r="T1155" i="1" s="1"/>
  <c r="E1130" i="1"/>
  <c r="P1152" i="1" s="1"/>
  <c r="W1128" i="1"/>
  <c r="E1128" i="1" s="1"/>
  <c r="E1132" i="1"/>
  <c r="AF1144" i="1" s="1"/>
  <c r="E944" i="1"/>
  <c r="D946" i="1" s="1"/>
  <c r="I908" i="1"/>
  <c r="E909" i="1" s="1"/>
  <c r="T909" i="1" s="1"/>
  <c r="BL1014" i="1"/>
  <c r="BM1014" i="1" s="1"/>
  <c r="BN1014" i="1" s="1"/>
  <c r="BL1013" i="1" s="1"/>
  <c r="J1032" i="1"/>
  <c r="J1034" i="1" s="1"/>
  <c r="J1036" i="1" s="1"/>
  <c r="J1038" i="1" s="1"/>
  <c r="I1028" i="1"/>
  <c r="E1029" i="1" s="1"/>
  <c r="U1029" i="1" s="1"/>
  <c r="W893" i="1"/>
  <c r="J912" i="1"/>
  <c r="J914" i="1" s="1"/>
  <c r="J916" i="1" s="1"/>
  <c r="J918" i="1" s="1"/>
  <c r="E939" i="1"/>
  <c r="E940" i="1" s="1"/>
  <c r="BD893" i="1" s="1"/>
  <c r="AW914" i="1" s="1"/>
  <c r="AL621" i="1"/>
  <c r="AC621" i="1"/>
  <c r="AC620" i="1"/>
  <c r="AL620" i="1"/>
  <c r="U782" i="1"/>
  <c r="T784" i="1" s="1"/>
  <c r="X789" i="1"/>
  <c r="W791" i="1" s="1"/>
  <c r="W793" i="1" s="1"/>
  <c r="W795" i="1" s="1"/>
  <c r="E791" i="1"/>
  <c r="AV816" i="1"/>
  <c r="BD817" i="1" s="1"/>
  <c r="BK831" i="1" s="1"/>
  <c r="AV782" i="1"/>
  <c r="AU784" i="1" s="1"/>
  <c r="W785" i="1" s="1"/>
  <c r="U777" i="1"/>
  <c r="T779" i="1" s="1"/>
  <c r="U772" i="1"/>
  <c r="T774" i="1" s="1"/>
  <c r="AO774" i="1" s="1"/>
  <c r="U808" i="1"/>
  <c r="W809" i="1" s="1"/>
  <c r="AA834" i="1" s="1"/>
  <c r="BB834" i="1" s="1"/>
  <c r="K836" i="1" s="1"/>
  <c r="U816" i="1"/>
  <c r="W817" i="1" s="1"/>
  <c r="U812" i="1"/>
  <c r="W813" i="1" s="1"/>
  <c r="AA835" i="1" s="1"/>
  <c r="BN835" i="1" s="1"/>
  <c r="Q836" i="1" s="1"/>
  <c r="O714" i="1"/>
  <c r="L715" i="1" s="1"/>
  <c r="M717" i="1" s="1"/>
  <c r="T671" i="1"/>
  <c r="S787" i="1"/>
  <c r="Y787" i="1" s="1"/>
  <c r="S788" i="1"/>
  <c r="Y788" i="1" s="1"/>
  <c r="P717" i="1"/>
  <c r="BC748" i="1"/>
  <c r="BD748" i="1" s="1"/>
  <c r="BE748" i="1" s="1"/>
  <c r="BF748" i="1" s="1"/>
  <c r="BG748" i="1" s="1"/>
  <c r="BH748" i="1" s="1"/>
  <c r="Z673" i="1"/>
  <c r="T673" i="1" s="1"/>
  <c r="K654" i="1"/>
  <c r="L669" i="1" s="1"/>
  <c r="L671" i="1" s="1"/>
  <c r="L673" i="1" s="1"/>
  <c r="L675" i="1" s="1"/>
  <c r="H655" i="1"/>
  <c r="Q655" i="1" s="1"/>
  <c r="T646" i="1"/>
  <c r="AE509" i="1"/>
  <c r="AS509" i="1" s="1"/>
  <c r="AB517" i="1" s="1"/>
  <c r="AM513" i="1"/>
  <c r="AS513" i="1" s="1"/>
  <c r="AE515" i="1"/>
  <c r="AS515" i="1" s="1"/>
  <c r="BA517" i="1" s="1"/>
  <c r="AP552" i="1"/>
  <c r="AV552" i="1" s="1"/>
  <c r="AR556" i="1" s="1"/>
  <c r="AP548" i="1"/>
  <c r="AV548" i="1" s="1"/>
  <c r="AP554" i="1"/>
  <c r="AV554" i="1" s="1"/>
  <c r="BD556" i="1" s="1"/>
  <c r="P415" i="1"/>
  <c r="AB415" i="1" s="1"/>
  <c r="U419" i="1" s="1"/>
  <c r="U410" i="1"/>
  <c r="AB410" i="1" s="1"/>
  <c r="E417" i="1"/>
  <c r="U413" i="1"/>
  <c r="AB413" i="1" s="1"/>
  <c r="AA419" i="1" s="1"/>
  <c r="P417" i="1"/>
  <c r="AK562" i="1"/>
  <c r="AL559" i="1"/>
  <c r="AS506" i="1"/>
  <c r="AY505" i="1"/>
  <c r="AV545" i="1"/>
  <c r="BB544" i="1"/>
  <c r="AN560" i="1"/>
  <c r="AN561" i="1" s="1"/>
  <c r="BI560" i="1"/>
  <c r="BI561" i="1"/>
  <c r="AX559" i="1"/>
  <c r="AZ560" i="1"/>
  <c r="BD559" i="1"/>
  <c r="BL560" i="1"/>
  <c r="BL561" i="1" s="1"/>
  <c r="AE564" i="1"/>
  <c r="AW565" i="1"/>
  <c r="BF565" i="1" s="1"/>
  <c r="AQ561" i="1"/>
  <c r="BF563" i="1"/>
  <c r="AT566" i="1"/>
  <c r="BC566" i="1" s="1"/>
  <c r="BC560" i="1"/>
  <c r="BC561" i="1" s="1"/>
  <c r="AR559" i="1"/>
  <c r="BF560" i="1"/>
  <c r="BF561" i="1" s="1"/>
  <c r="AW566" i="1"/>
  <c r="BF566" i="1" s="1"/>
  <c r="AU559" i="1"/>
  <c r="AB566" i="1"/>
  <c r="AK566" i="1" s="1"/>
  <c r="AB565" i="1"/>
  <c r="AK565" i="1" s="1"/>
  <c r="AE566" i="1"/>
  <c r="AN566" i="1" s="1"/>
  <c r="BA559" i="1"/>
  <c r="AQ560" i="1"/>
  <c r="BO560" i="1"/>
  <c r="BO561" i="1" s="1"/>
  <c r="BR560" i="1"/>
  <c r="AW560" i="1"/>
  <c r="AW561" i="1" s="1"/>
  <c r="AB564" i="1"/>
  <c r="AN541" i="1"/>
  <c r="BL568" i="1"/>
  <c r="AN540" i="1"/>
  <c r="AD536" i="1" s="1"/>
  <c r="BO568" i="1"/>
  <c r="AB569" i="1"/>
  <c r="AW562" i="1"/>
  <c r="BC568" i="1"/>
  <c r="AQ568" i="1"/>
  <c r="E1605" i="1" l="1"/>
  <c r="D1607" i="1" s="1"/>
  <c r="R1607" i="1" s="1"/>
  <c r="AI1648" i="1"/>
  <c r="AL1650" i="1" s="1"/>
  <c r="Z1650" i="1"/>
  <c r="AP1648" i="1"/>
  <c r="AT1650" i="1" s="1"/>
  <c r="AH1650" i="1"/>
  <c r="R946" i="1"/>
  <c r="I946" i="1"/>
  <c r="S1555" i="1"/>
  <c r="N1446" i="1"/>
  <c r="AH1446" i="1" s="1"/>
  <c r="BF1374" i="1" s="1"/>
  <c r="AG1450" i="1"/>
  <c r="U1454" i="1" s="1"/>
  <c r="E1452" i="1"/>
  <c r="AG1452" i="1" s="1"/>
  <c r="AG1454" i="1" s="1"/>
  <c r="AY1031" i="1"/>
  <c r="BA1031" i="1" s="1" a="1"/>
  <c r="BA1031" i="1" s="1"/>
  <c r="D1031" i="1" s="1"/>
  <c r="BL894" i="1"/>
  <c r="E908" i="1"/>
  <c r="AK908" i="1" s="1"/>
  <c r="AW911" i="1"/>
  <c r="AW913" i="1"/>
  <c r="AW912" i="1"/>
  <c r="W1144" i="1"/>
  <c r="W1152" i="1"/>
  <c r="AA1152" i="1" s="1"/>
  <c r="BD1072" i="1" s="1"/>
  <c r="BG1092" i="1" s="1"/>
  <c r="M1155" i="1"/>
  <c r="X1155" i="1" s="1"/>
  <c r="H1149" i="1"/>
  <c r="AB1077" i="1" s="1"/>
  <c r="BE1089" i="1" s="1"/>
  <c r="K1156" i="1"/>
  <c r="O1156" i="1" s="1"/>
  <c r="H1151" i="1"/>
  <c r="W1137" i="1"/>
  <c r="T1158" i="1"/>
  <c r="N1137" i="1"/>
  <c r="K1159" i="1"/>
  <c r="O1159" i="1" s="1"/>
  <c r="M1158" i="1"/>
  <c r="N1150" i="1"/>
  <c r="R1150" i="1" s="1"/>
  <c r="AY1077" i="1" s="1"/>
  <c r="N1144" i="1"/>
  <c r="F912" i="1"/>
  <c r="F914" i="1" s="1"/>
  <c r="AL914" i="1" s="1"/>
  <c r="AA920" i="1" s="1"/>
  <c r="E1061" i="1"/>
  <c r="D1063" i="1" s="1"/>
  <c r="I1063" i="1" s="1"/>
  <c r="F1032" i="1"/>
  <c r="F1034" i="1" s="1"/>
  <c r="E1028" i="1"/>
  <c r="AK1028" i="1" s="1"/>
  <c r="BP784" i="1"/>
  <c r="BD818" i="1"/>
  <c r="BM825" i="1" s="1"/>
  <c r="N785" i="1"/>
  <c r="AI785" i="1" s="1"/>
  <c r="E793" i="1"/>
  <c r="BA791" i="1"/>
  <c r="N775" i="1"/>
  <c r="Z775" i="1" s="1"/>
  <c r="N780" i="1"/>
  <c r="AC780" i="1" s="1"/>
  <c r="AX779" i="1"/>
  <c r="AB836" i="1"/>
  <c r="Q847" i="1" s="1"/>
  <c r="W814" i="1"/>
  <c r="Z866" i="1" s="1"/>
  <c r="AA830" i="1"/>
  <c r="BN830" i="1" s="1"/>
  <c r="K833" i="1" s="1"/>
  <c r="W818" i="1"/>
  <c r="AA831" i="1"/>
  <c r="W810" i="1"/>
  <c r="Z858" i="1" s="1"/>
  <c r="AA828" i="1"/>
  <c r="BB828" i="1" s="1"/>
  <c r="Q829" i="1" s="1"/>
  <c r="AB829" i="1" s="1"/>
  <c r="Q845" i="1" s="1"/>
  <c r="BD747" i="1"/>
  <c r="AD787" i="1"/>
  <c r="AF787" i="1" s="1" a="1"/>
  <c r="AF787" i="1" s="1"/>
  <c r="D788" i="1" s="1"/>
  <c r="I789" i="1" s="1"/>
  <c r="E647" i="1"/>
  <c r="E649" i="1" s="1"/>
  <c r="AJ635" i="1" s="1"/>
  <c r="Z675" i="1"/>
  <c r="T675" i="1" s="1"/>
  <c r="AD550" i="1"/>
  <c r="AX556" i="1" s="1"/>
  <c r="AE556" i="1"/>
  <c r="AO517" i="1"/>
  <c r="AA511" i="1"/>
  <c r="AU517" i="1" s="1"/>
  <c r="AB417" i="1"/>
  <c r="AG419" i="1" s="1"/>
  <c r="BG559" i="1"/>
  <c r="BU560" i="1" s="1"/>
  <c r="BU561" i="1" s="1"/>
  <c r="BY561" i="1" s="1"/>
  <c r="C536" i="1" s="1"/>
  <c r="AT568" i="1" s="1"/>
  <c r="AN564" i="1"/>
  <c r="AB567" i="1"/>
  <c r="AK567" i="1" s="1"/>
  <c r="AR536" i="1"/>
  <c r="AK564" i="1"/>
  <c r="AE567" i="1"/>
  <c r="AN567" i="1" s="1"/>
  <c r="BF562" i="1"/>
  <c r="AT565" i="1"/>
  <c r="BC565" i="1" s="1"/>
  <c r="I1607" i="1" l="1"/>
  <c r="E1651" i="1"/>
  <c r="D1653" i="1" s="1"/>
  <c r="R1653" i="1" s="1"/>
  <c r="H1454" i="1"/>
  <c r="O1454" i="1" s="1"/>
  <c r="AK1454" i="1" s="1"/>
  <c r="BF1373" i="1" s="1"/>
  <c r="AY911" i="1"/>
  <c r="BA911" i="1" s="1" a="1"/>
  <c r="BA911" i="1" s="1"/>
  <c r="D911" i="1" s="1"/>
  <c r="T912" i="1" s="1"/>
  <c r="AC912" i="1" s="1"/>
  <c r="Z912" i="1" s="1"/>
  <c r="E1145" i="1"/>
  <c r="D1147" i="1" s="1"/>
  <c r="I1147" i="1" s="1"/>
  <c r="BE1090" i="1"/>
  <c r="W1072" i="1"/>
  <c r="X1158" i="1"/>
  <c r="E1138" i="1"/>
  <c r="D1140" i="1" s="1"/>
  <c r="I1140" i="1" s="1"/>
  <c r="BL1074" i="1"/>
  <c r="J1090" i="1"/>
  <c r="F916" i="1"/>
  <c r="AL916" i="1" s="1"/>
  <c r="U920" i="1" s="1"/>
  <c r="R1063" i="1"/>
  <c r="F1036" i="1"/>
  <c r="AL1034" i="1"/>
  <c r="AA1040" i="1" s="1"/>
  <c r="N1032" i="1"/>
  <c r="T1032" i="1"/>
  <c r="BG874" i="1"/>
  <c r="BD876" i="1" s="1"/>
  <c r="BI879" i="1" s="1"/>
  <c r="W832" i="1"/>
  <c r="Q833" i="1" s="1"/>
  <c r="AB833" i="1" s="1"/>
  <c r="Q846" i="1" s="1"/>
  <c r="R789" i="1"/>
  <c r="AA789" i="1" s="1"/>
  <c r="E795" i="1"/>
  <c r="BA795" i="1" s="1"/>
  <c r="BA793" i="1"/>
  <c r="AC825" i="1"/>
  <c r="Z874" i="1"/>
  <c r="W876" i="1" s="1"/>
  <c r="Y879" i="1" s="1"/>
  <c r="Y869" i="1"/>
  <c r="W867" i="1"/>
  <c r="W859" i="1"/>
  <c r="Y861" i="1"/>
  <c r="AC822" i="1"/>
  <c r="BS822" i="1" s="1"/>
  <c r="Q842" i="1" s="1"/>
  <c r="AA837" i="1"/>
  <c r="BO837" i="1" s="1"/>
  <c r="Q839" i="1" s="1"/>
  <c r="AC823" i="1"/>
  <c r="P824" i="1" s="1"/>
  <c r="Q843" i="1" s="1"/>
  <c r="AA838" i="1"/>
  <c r="CA838" i="1" s="1"/>
  <c r="AB839" i="1" s="1"/>
  <c r="AE690" i="1"/>
  <c r="AH691" i="1" s="1"/>
  <c r="AH692" i="1" s="1"/>
  <c r="AE662" i="1"/>
  <c r="AH664" i="1" s="1"/>
  <c r="Q665" i="1" s="1"/>
  <c r="AJ789" i="1"/>
  <c r="AV789" i="1" s="1"/>
  <c r="AS789" i="1" s="1"/>
  <c r="L851" i="1"/>
  <c r="M853" i="1" s="1"/>
  <c r="V635" i="1"/>
  <c r="E662" i="1" s="1"/>
  <c r="E664" i="1" s="1"/>
  <c r="AL556" i="1"/>
  <c r="BH556" i="1" s="1"/>
  <c r="AI517" i="1"/>
  <c r="BE517" i="1" s="1"/>
  <c r="BY560" i="1"/>
  <c r="J554" i="1" s="1"/>
  <c r="BF568" i="1"/>
  <c r="AH568" i="1"/>
  <c r="BI562" i="1"/>
  <c r="C546" i="1"/>
  <c r="BR568" i="1" s="1"/>
  <c r="AQ562" i="1"/>
  <c r="AQ563" i="1"/>
  <c r="AF502" i="1"/>
  <c r="AC502" i="1"/>
  <c r="AF501" i="1"/>
  <c r="AC501" i="1"/>
  <c r="AT522" i="1"/>
  <c r="AB522" i="1"/>
  <c r="Y522" i="1"/>
  <c r="AH520" i="1"/>
  <c r="AC520" i="1"/>
  <c r="AP521" i="1"/>
  <c r="AJ521" i="1"/>
  <c r="AE521" i="1"/>
  <c r="AB521" i="1"/>
  <c r="T497" i="1"/>
  <c r="T506" i="1"/>
  <c r="M493" i="1"/>
  <c r="P504" i="1"/>
  <c r="P497" i="1"/>
  <c r="M510" i="1"/>
  <c r="D421" i="1"/>
  <c r="AC423" i="1" s="1"/>
  <c r="R407" i="1"/>
  <c r="W365" i="1"/>
  <c r="Z399" i="1"/>
  <c r="T423" i="1" s="1"/>
  <c r="L403" i="1"/>
  <c r="I403" i="1"/>
  <c r="H425" i="1"/>
  <c r="O425" i="1" s="1"/>
  <c r="M426" i="1" s="1"/>
  <c r="AT423" i="1"/>
  <c r="AF423" i="1"/>
  <c r="H423" i="1"/>
  <c r="AN423" i="1"/>
  <c r="O423" i="1"/>
  <c r="E423" i="1"/>
  <c r="M407" i="1"/>
  <c r="J407" i="1"/>
  <c r="O406" i="1"/>
  <c r="W406" i="1"/>
  <c r="R406" i="1"/>
  <c r="K402" i="1"/>
  <c r="H402" i="1"/>
  <c r="I398" i="1"/>
  <c r="K395" i="1"/>
  <c r="J392" i="1"/>
  <c r="C390" i="1"/>
  <c r="I357" i="1"/>
  <c r="K354" i="1"/>
  <c r="J351" i="1"/>
  <c r="C349" i="1"/>
  <c r="H363" i="1"/>
  <c r="I1653" i="1" l="1"/>
  <c r="F918" i="1"/>
  <c r="AL918" i="1" s="1"/>
  <c r="AG920" i="1" s="1"/>
  <c r="Q912" i="1"/>
  <c r="N912" i="1"/>
  <c r="BG1091" i="1"/>
  <c r="BG1090" i="1"/>
  <c r="BG1089" i="1"/>
  <c r="F1090" i="1"/>
  <c r="F1092" i="1" s="1"/>
  <c r="F1094" i="1" s="1"/>
  <c r="F1096" i="1" s="1"/>
  <c r="R1140" i="1"/>
  <c r="J1092" i="1"/>
  <c r="BM1074" i="1"/>
  <c r="BN1074" i="1" s="1"/>
  <c r="R1147" i="1"/>
  <c r="Q1032" i="1"/>
  <c r="AC1032" i="1"/>
  <c r="Z1032" i="1" s="1"/>
  <c r="F1038" i="1"/>
  <c r="AL1038" i="1" s="1"/>
  <c r="AG1040" i="1" s="1"/>
  <c r="AL1036" i="1"/>
  <c r="U1040" i="1" s="1"/>
  <c r="AL826" i="1"/>
  <c r="Q844" i="1" s="1"/>
  <c r="BB789" i="1"/>
  <c r="AU839" i="1"/>
  <c r="Q848" i="1" s="1"/>
  <c r="BC664" i="1"/>
  <c r="AM699" i="1"/>
  <c r="E665" i="1"/>
  <c r="Z665" i="1" s="1"/>
  <c r="AO696" i="1"/>
  <c r="AK730" i="1"/>
  <c r="AH731" i="1" s="1"/>
  <c r="AK733" i="1" s="1"/>
  <c r="AY641" i="1"/>
  <c r="AZ641" i="1" s="1"/>
  <c r="BA641" i="1" s="1"/>
  <c r="BB641" i="1" s="1"/>
  <c r="BC641" i="1" s="1"/>
  <c r="BD641" i="1" s="1"/>
  <c r="AZ632" i="1" s="1"/>
  <c r="E690" i="1"/>
  <c r="E691" i="1" s="1"/>
  <c r="E686" i="1"/>
  <c r="S667" i="1"/>
  <c r="S668" i="1"/>
  <c r="Y668" i="1" s="1"/>
  <c r="E682" i="1"/>
  <c r="AW568" i="1"/>
  <c r="AK568" i="1"/>
  <c r="Q554" i="1"/>
  <c r="AQ566" i="1"/>
  <c r="BI565" i="1"/>
  <c r="BI568" i="1"/>
  <c r="AQ565" i="1"/>
  <c r="AQ564" i="1"/>
  <c r="BI563" i="1"/>
  <c r="AH569" i="1"/>
  <c r="AY521" i="1"/>
  <c r="AQ520" i="1"/>
  <c r="AK502" i="1"/>
  <c r="AK501" i="1"/>
  <c r="AO497" i="1" s="1"/>
  <c r="AS521" i="1"/>
  <c r="AV521" i="1"/>
  <c r="AN520" i="1"/>
  <c r="Y521" i="1"/>
  <c r="Z520" i="1"/>
  <c r="AH522" i="1"/>
  <c r="AK522" i="1"/>
  <c r="AM521" i="1"/>
  <c r="AK520" i="1"/>
  <c r="AQ522" i="1"/>
  <c r="Q402" i="1"/>
  <c r="AN391" i="1" s="1"/>
  <c r="U405" i="1"/>
  <c r="O421" i="1"/>
  <c r="Q403" i="1"/>
  <c r="AJ395" i="1" s="1"/>
  <c r="Z406" i="1"/>
  <c r="AE406" i="1"/>
  <c r="U407" i="1"/>
  <c r="AK423" i="1"/>
  <c r="AQ423" i="1"/>
  <c r="AL912" i="1" l="1"/>
  <c r="H920" i="1" s="1"/>
  <c r="O920" i="1" s="1"/>
  <c r="AK920" i="1" s="1"/>
  <c r="BK892" i="1" s="1"/>
  <c r="BI1089" i="1"/>
  <c r="BK1089" i="1" s="1" a="1"/>
  <c r="BK1089" i="1" s="1"/>
  <c r="D1089" i="1" s="1"/>
  <c r="BL1073" i="1"/>
  <c r="J1094" i="1"/>
  <c r="AW1092" i="1"/>
  <c r="AA1098" i="1" s="1"/>
  <c r="AL1032" i="1"/>
  <c r="AA841" i="1" a="1"/>
  <c r="E847" i="1" s="1"/>
  <c r="F877" i="1" s="1"/>
  <c r="S880" i="1" s="1"/>
  <c r="E692" i="1"/>
  <c r="G699" i="1"/>
  <c r="BM699" i="1" s="1"/>
  <c r="E683" i="1"/>
  <c r="G704" i="1" s="1"/>
  <c r="Z704" i="1" s="1"/>
  <c r="L706" i="1" s="1"/>
  <c r="E652" i="1"/>
  <c r="E655" i="1" s="1"/>
  <c r="N655" i="1" s="1"/>
  <c r="T655" i="1" s="1"/>
  <c r="AD667" i="1"/>
  <c r="AF667" i="1" s="1" a="1"/>
  <c r="AF667" i="1" s="1"/>
  <c r="D668" i="1" s="1"/>
  <c r="Y667" i="1"/>
  <c r="E687" i="1"/>
  <c r="E657" i="1"/>
  <c r="E659" i="1" s="1"/>
  <c r="AB659" i="1" s="1"/>
  <c r="AK569" i="1"/>
  <c r="AQ567" i="1"/>
  <c r="BU568" i="1"/>
  <c r="BI566" i="1"/>
  <c r="AT564" i="1"/>
  <c r="AS570" i="1" s="1"/>
  <c r="AU571" i="1" s="1"/>
  <c r="AT520" i="1"/>
  <c r="BC521" i="1" s="1"/>
  <c r="BG521" i="1" s="1"/>
  <c r="AA497" i="1"/>
  <c r="AZ522" i="1"/>
  <c r="AX523" i="1" s="1"/>
  <c r="BC523" i="1" s="1"/>
  <c r="X525" i="1" s="1"/>
  <c r="P392" i="1"/>
  <c r="E411" i="1" s="1"/>
  <c r="H419" i="1" s="1"/>
  <c r="E424" i="1"/>
  <c r="D426" i="1" s="1"/>
  <c r="U395" i="1"/>
  <c r="AL406" i="1"/>
  <c r="Q366" i="1"/>
  <c r="Y356" i="1"/>
  <c r="AL377" i="1" s="1"/>
  <c r="H378" i="1" s="1"/>
  <c r="T363" i="1"/>
  <c r="Q363" i="1"/>
  <c r="N363" i="1"/>
  <c r="K363" i="1"/>
  <c r="N361" i="1"/>
  <c r="K361" i="1"/>
  <c r="H361" i="1"/>
  <c r="Z301" i="1"/>
  <c r="AT336" i="1" s="1"/>
  <c r="AY27" i="1"/>
  <c r="BN33" i="1" s="1"/>
  <c r="AR85" i="1"/>
  <c r="AK142" i="1"/>
  <c r="AV148" i="1" s="1"/>
  <c r="AD199" i="1"/>
  <c r="AM205" i="1" s="1"/>
  <c r="W255" i="1"/>
  <c r="AD261" i="1" s="1"/>
  <c r="Y24" i="1"/>
  <c r="V82" i="1"/>
  <c r="S139" i="1"/>
  <c r="P196" i="1"/>
  <c r="M252" i="1"/>
  <c r="AR21" i="1"/>
  <c r="AL79" i="1"/>
  <c r="AF136" i="1"/>
  <c r="Z193" i="1"/>
  <c r="T249" i="1"/>
  <c r="W54" i="1"/>
  <c r="O111" i="1"/>
  <c r="N168" i="1"/>
  <c r="BL224" i="1"/>
  <c r="BA280" i="1"/>
  <c r="AP336" i="1"/>
  <c r="I426" i="1" l="1"/>
  <c r="R426" i="1"/>
  <c r="BK893" i="1"/>
  <c r="T1090" i="1"/>
  <c r="Q1090" i="1" s="1"/>
  <c r="N1090" i="1"/>
  <c r="AK1090" i="1"/>
  <c r="AE1090" i="1"/>
  <c r="Y1090" i="1" s="1"/>
  <c r="AN1090" i="1"/>
  <c r="J1096" i="1"/>
  <c r="AW1096" i="1" s="1"/>
  <c r="AG1098" i="1" s="1"/>
  <c r="AW1094" i="1"/>
  <c r="U1098" i="1" s="1"/>
  <c r="H1040" i="1"/>
  <c r="O1040" i="1" s="1"/>
  <c r="AK1040" i="1" s="1"/>
  <c r="BK1011" i="1" s="1"/>
  <c r="BK1012" i="1"/>
  <c r="G380" i="1"/>
  <c r="K367" i="1"/>
  <c r="E848" i="1"/>
  <c r="L877" i="1" s="1"/>
  <c r="Z880" i="1" s="1"/>
  <c r="E881" i="1" s="1"/>
  <c r="D883" i="1" s="1"/>
  <c r="I883" i="1" s="1"/>
  <c r="E844" i="1"/>
  <c r="AZ859" i="1" s="1"/>
  <c r="E846" i="1"/>
  <c r="BP869" i="1" s="1"/>
  <c r="E845" i="1"/>
  <c r="BE867" i="1" s="1"/>
  <c r="BI869" i="1" s="1"/>
  <c r="E843" i="1"/>
  <c r="AT859" i="1" s="1"/>
  <c r="E842" i="1"/>
  <c r="Z851" i="1" s="1"/>
  <c r="AC853" i="1" s="1"/>
  <c r="AA841" i="1"/>
  <c r="E841" i="1" s="1"/>
  <c r="T851" i="1" s="1"/>
  <c r="V853" i="1" s="1"/>
  <c r="I696" i="1"/>
  <c r="F697" i="1" s="1"/>
  <c r="H730" i="1"/>
  <c r="E731" i="1" s="1"/>
  <c r="E733" i="1" s="1"/>
  <c r="R700" i="1"/>
  <c r="G698" i="1"/>
  <c r="G705" i="1"/>
  <c r="AL705" i="1" s="1"/>
  <c r="R706" i="1" s="1"/>
  <c r="AC706" i="1" s="1"/>
  <c r="M712" i="1" s="1"/>
  <c r="AA797" i="1"/>
  <c r="H797" i="1"/>
  <c r="BC746" i="1"/>
  <c r="E660" i="1"/>
  <c r="Q660" i="1" s="1"/>
  <c r="E688" i="1"/>
  <c r="H722" i="1" s="1"/>
  <c r="O669" i="1"/>
  <c r="I669" i="1"/>
  <c r="W669" i="1" s="1"/>
  <c r="T669" i="1" s="1"/>
  <c r="E684" i="1"/>
  <c r="G701" i="1" s="1"/>
  <c r="AF701" i="1" s="1"/>
  <c r="L703" i="1" s="1"/>
  <c r="O419" i="1"/>
  <c r="AK419" i="1" s="1"/>
  <c r="AT567" i="1"/>
  <c r="AI570" i="1" s="1"/>
  <c r="AN569" i="1"/>
  <c r="AJ571" i="1" s="1"/>
  <c r="AL525" i="1"/>
  <c r="AC525" i="1"/>
  <c r="I513" i="1"/>
  <c r="BD95" i="1"/>
  <c r="BE91" i="1"/>
  <c r="AF271" i="1"/>
  <c r="AE272" i="1" s="1"/>
  <c r="AG275" i="1" s="1"/>
  <c r="AE277" i="1" s="1"/>
  <c r="AB278" i="1" s="1"/>
  <c r="AI280" i="1" s="1"/>
  <c r="AC267" i="1"/>
  <c r="AC265" i="1"/>
  <c r="AC263" i="1"/>
  <c r="AN215" i="1"/>
  <c r="AM216" i="1" s="1"/>
  <c r="AR219" i="1" s="1"/>
  <c r="AM221" i="1" s="1"/>
  <c r="AJ222" i="1" s="1"/>
  <c r="AT224" i="1" s="1"/>
  <c r="AL207" i="1"/>
  <c r="AL209" i="1" s="1"/>
  <c r="AL211" i="1" s="1"/>
  <c r="AV158" i="1"/>
  <c r="AU159" i="1" s="1"/>
  <c r="BC162" i="1" s="1"/>
  <c r="AU164" i="1" s="1"/>
  <c r="AR165" i="1" s="1"/>
  <c r="BE167" i="1" s="1"/>
  <c r="AU150" i="1"/>
  <c r="AU152" i="1" s="1"/>
  <c r="AU154" i="1" s="1"/>
  <c r="BD101" i="1"/>
  <c r="BC102" i="1" s="1"/>
  <c r="BN105" i="1" s="1"/>
  <c r="BC107" i="1" s="1"/>
  <c r="AZ108" i="1" s="1"/>
  <c r="BP110" i="1" s="1"/>
  <c r="BD93" i="1"/>
  <c r="BL43" i="1"/>
  <c r="BK44" i="1" s="1"/>
  <c r="P48" i="1" s="1"/>
  <c r="BK50" i="1" s="1"/>
  <c r="BH51" i="1" s="1"/>
  <c r="E54" i="1" s="1"/>
  <c r="BM35" i="1"/>
  <c r="BM37" i="1" s="1"/>
  <c r="BN39" i="1" s="1"/>
  <c r="W363" i="1"/>
  <c r="R351" i="1" s="1"/>
  <c r="H366" i="1" s="1"/>
  <c r="H362" i="1"/>
  <c r="V354" i="1" s="1"/>
  <c r="K366" i="1" s="1"/>
  <c r="H367" i="1" s="1"/>
  <c r="AC257" i="1"/>
  <c r="N258" i="1" s="1"/>
  <c r="AL201" i="1"/>
  <c r="Q202" i="1" s="1"/>
  <c r="BD87" i="1"/>
  <c r="W88" i="1" s="1"/>
  <c r="AU144" i="1"/>
  <c r="T145" i="1" s="1"/>
  <c r="BM29" i="1"/>
  <c r="Z30" i="1" s="1"/>
  <c r="AB331" i="1"/>
  <c r="P311" i="1"/>
  <c r="U317" i="1" s="1"/>
  <c r="J308" i="1"/>
  <c r="N305" i="1"/>
  <c r="M311" i="1"/>
  <c r="R317" i="1" s="1"/>
  <c r="I311" i="1"/>
  <c r="G308" i="1"/>
  <c r="K305" i="1"/>
  <c r="H305" i="1"/>
  <c r="I301" i="1"/>
  <c r="AB299" i="1"/>
  <c r="K298" i="1"/>
  <c r="J295" i="1"/>
  <c r="C293" i="1"/>
  <c r="AV27" i="1"/>
  <c r="AR27" i="1"/>
  <c r="V24" i="1"/>
  <c r="AO21" i="1"/>
  <c r="AL21" i="1"/>
  <c r="AI21" i="1"/>
  <c r="AC21" i="1"/>
  <c r="W21" i="1"/>
  <c r="Q21" i="1"/>
  <c r="K21" i="1"/>
  <c r="AL15" i="1"/>
  <c r="F38" i="1" s="1"/>
  <c r="I39" i="1" s="1"/>
  <c r="O39" i="1" s="1"/>
  <c r="AO27" i="1"/>
  <c r="AK27" i="1"/>
  <c r="AH27" i="1"/>
  <c r="AD27" i="1"/>
  <c r="AA27" i="1"/>
  <c r="W27" i="1"/>
  <c r="T27" i="1"/>
  <c r="P27" i="1"/>
  <c r="M27" i="1"/>
  <c r="I27" i="1"/>
  <c r="S24" i="1"/>
  <c r="P24" i="1"/>
  <c r="M24" i="1"/>
  <c r="J24" i="1"/>
  <c r="G24" i="1"/>
  <c r="AF21" i="1"/>
  <c r="Z21" i="1"/>
  <c r="T21" i="1"/>
  <c r="N21" i="1"/>
  <c r="H21" i="1"/>
  <c r="Z17" i="1"/>
  <c r="AA54" i="1" s="1"/>
  <c r="I17" i="1"/>
  <c r="K14" i="1"/>
  <c r="J11" i="1"/>
  <c r="C9" i="1"/>
  <c r="Q249" i="1"/>
  <c r="K249" i="1"/>
  <c r="AD243" i="1"/>
  <c r="T255" i="1"/>
  <c r="AA261" i="1" s="1"/>
  <c r="P255" i="1"/>
  <c r="M255" i="1"/>
  <c r="R261" i="1" s="1"/>
  <c r="I255" i="1"/>
  <c r="J252" i="1"/>
  <c r="G252" i="1"/>
  <c r="N249" i="1"/>
  <c r="H249" i="1"/>
  <c r="Z245" i="1"/>
  <c r="BE280" i="1" s="1"/>
  <c r="I245" i="1"/>
  <c r="K242" i="1"/>
  <c r="J239" i="1"/>
  <c r="C237" i="1"/>
  <c r="W193" i="1"/>
  <c r="Q193" i="1"/>
  <c r="K193" i="1"/>
  <c r="AE187" i="1"/>
  <c r="D223" i="1" s="1"/>
  <c r="AA199" i="1"/>
  <c r="W199" i="1"/>
  <c r="T199" i="1"/>
  <c r="P199" i="1"/>
  <c r="M199" i="1"/>
  <c r="I199" i="1"/>
  <c r="M196" i="1"/>
  <c r="J196" i="1"/>
  <c r="G196" i="1"/>
  <c r="T193" i="1"/>
  <c r="N193" i="1"/>
  <c r="H193" i="1"/>
  <c r="Z189" i="1"/>
  <c r="BP224" i="1" s="1"/>
  <c r="I189" i="1"/>
  <c r="K186" i="1"/>
  <c r="J183" i="1"/>
  <c r="C181" i="1"/>
  <c r="AC136" i="1"/>
  <c r="W136" i="1"/>
  <c r="Q136" i="1"/>
  <c r="K136" i="1"/>
  <c r="AG130" i="1"/>
  <c r="AH142" i="1"/>
  <c r="AD142" i="1"/>
  <c r="AA142" i="1"/>
  <c r="W142" i="1"/>
  <c r="T142" i="1"/>
  <c r="P142" i="1"/>
  <c r="M142" i="1"/>
  <c r="I142" i="1"/>
  <c r="P139" i="1"/>
  <c r="M139" i="1"/>
  <c r="J139" i="1"/>
  <c r="G139" i="1"/>
  <c r="Z136" i="1"/>
  <c r="T136" i="1"/>
  <c r="N136" i="1"/>
  <c r="H136" i="1"/>
  <c r="Z132" i="1"/>
  <c r="R168" i="1" s="1"/>
  <c r="I132" i="1"/>
  <c r="K129" i="1"/>
  <c r="J126" i="1"/>
  <c r="C124" i="1"/>
  <c r="Z75" i="1"/>
  <c r="S111" i="1" s="1"/>
  <c r="I75" i="1"/>
  <c r="K72" i="1"/>
  <c r="J69" i="1"/>
  <c r="C67" i="1"/>
  <c r="Q367" i="1" l="1"/>
  <c r="Y366" i="1"/>
  <c r="L380" i="1"/>
  <c r="U380" i="1"/>
  <c r="AW1090" i="1"/>
  <c r="BE861" i="1"/>
  <c r="E854" i="1"/>
  <c r="D856" i="1" s="1"/>
  <c r="I856" i="1" s="1"/>
  <c r="E870" i="1"/>
  <c r="D872" i="1" s="1"/>
  <c r="BK867" i="1"/>
  <c r="AX861" i="1"/>
  <c r="R883" i="1"/>
  <c r="AM698" i="1"/>
  <c r="N700" i="1" s="1"/>
  <c r="Y700" i="1" s="1"/>
  <c r="M710" i="1" s="1"/>
  <c r="M709" i="1"/>
  <c r="I695" i="1"/>
  <c r="AV695" i="1" s="1"/>
  <c r="M708" i="1" s="1"/>
  <c r="G702" i="1"/>
  <c r="U797" i="1"/>
  <c r="O797" i="1"/>
  <c r="E723" i="1"/>
  <c r="E725" i="1" s="1"/>
  <c r="E654" i="1"/>
  <c r="S654" i="1" s="1"/>
  <c r="H714" i="1"/>
  <c r="E715" i="1" s="1"/>
  <c r="E717" i="1" s="1"/>
  <c r="AX570" i="1"/>
  <c r="AZ571" i="1" s="1"/>
  <c r="BC570" i="1"/>
  <c r="BE571" i="1" s="1"/>
  <c r="M513" i="1"/>
  <c r="BD97" i="1"/>
  <c r="Q207" i="1"/>
  <c r="Q209" i="1" s="1"/>
  <c r="Q211" i="1" s="1"/>
  <c r="R205" i="1"/>
  <c r="Z207" i="1"/>
  <c r="Z209" i="1" s="1"/>
  <c r="Z211" i="1" s="1"/>
  <c r="AA205" i="1"/>
  <c r="AI207" i="1"/>
  <c r="AI209" i="1" s="1"/>
  <c r="AI211" i="1" s="1"/>
  <c r="AJ205" i="1"/>
  <c r="Q150" i="1"/>
  <c r="Q152" i="1" s="1"/>
  <c r="Q154" i="1" s="1"/>
  <c r="R148" i="1"/>
  <c r="Z150" i="1"/>
  <c r="Z152" i="1" s="1"/>
  <c r="Z154" i="1" s="1"/>
  <c r="AA148" i="1"/>
  <c r="AI150" i="1"/>
  <c r="AJ148" i="1"/>
  <c r="AR150" i="1"/>
  <c r="AR152" i="1" s="1"/>
  <c r="AR154" i="1" s="1"/>
  <c r="AS148" i="1"/>
  <c r="BJ35" i="1"/>
  <c r="BJ37" i="1" s="1"/>
  <c r="BK39" i="1" s="1"/>
  <c r="BK33" i="1"/>
  <c r="AR35" i="1"/>
  <c r="AR37" i="1" s="1"/>
  <c r="AS39" i="1" s="1"/>
  <c r="AS33" i="1"/>
  <c r="Q35" i="1"/>
  <c r="Q37" i="1" s="1"/>
  <c r="R39" i="1" s="1"/>
  <c r="L39" i="1" s="1"/>
  <c r="R33" i="1"/>
  <c r="BA35" i="1"/>
  <c r="BA37" i="1" s="1"/>
  <c r="BB39" i="1" s="1"/>
  <c r="BB33" i="1"/>
  <c r="AI35" i="1"/>
  <c r="AI37" i="1" s="1"/>
  <c r="AJ39" i="1" s="1"/>
  <c r="AJ33" i="1"/>
  <c r="Z35" i="1"/>
  <c r="Z37" i="1" s="1"/>
  <c r="AA39" i="1" s="1"/>
  <c r="AA33" i="1"/>
  <c r="Q321" i="1"/>
  <c r="Q323" i="1"/>
  <c r="Q319" i="1"/>
  <c r="E320" i="1"/>
  <c r="H321" i="1" s="1"/>
  <c r="N321" i="1" s="1"/>
  <c r="F322" i="1"/>
  <c r="H323" i="1" s="1"/>
  <c r="N323" i="1" s="1"/>
  <c r="E318" i="1"/>
  <c r="H319" i="1" s="1"/>
  <c r="N319" i="1" s="1"/>
  <c r="T313" i="1"/>
  <c r="K314" i="1" s="1"/>
  <c r="T321" i="1"/>
  <c r="T323" i="1"/>
  <c r="T319" i="1"/>
  <c r="Q263" i="1"/>
  <c r="Q267" i="1"/>
  <c r="Q265" i="1"/>
  <c r="Z267" i="1"/>
  <c r="Z263" i="1"/>
  <c r="Z265" i="1"/>
  <c r="E264" i="1"/>
  <c r="H265" i="1" s="1"/>
  <c r="N265" i="1" s="1"/>
  <c r="F266" i="1"/>
  <c r="H267" i="1" s="1"/>
  <c r="N267" i="1" s="1"/>
  <c r="E262" i="1"/>
  <c r="H263" i="1" s="1"/>
  <c r="N263" i="1" s="1"/>
  <c r="X39" i="1"/>
  <c r="E206" i="1"/>
  <c r="H207" i="1" s="1"/>
  <c r="N207" i="1" s="1"/>
  <c r="E208" i="1"/>
  <c r="H209" i="1" s="1"/>
  <c r="N209" i="1" s="1"/>
  <c r="F210" i="1"/>
  <c r="H211" i="1" s="1"/>
  <c r="N211" i="1" s="1"/>
  <c r="F153" i="1"/>
  <c r="H154" i="1" s="1"/>
  <c r="N154" i="1" s="1"/>
  <c r="E151" i="1"/>
  <c r="H152" i="1" s="1"/>
  <c r="N152" i="1" s="1"/>
  <c r="E149" i="1"/>
  <c r="H150" i="1" s="1"/>
  <c r="N150" i="1" s="1"/>
  <c r="E34" i="1"/>
  <c r="H35" i="1" s="1"/>
  <c r="N35" i="1" s="1"/>
  <c r="W35" i="1" s="1"/>
  <c r="AF35" i="1" s="1"/>
  <c r="AO35" i="1" s="1"/>
  <c r="E36" i="1"/>
  <c r="H37" i="1" s="1"/>
  <c r="N37" i="1" s="1"/>
  <c r="P335" i="1"/>
  <c r="D312" i="1"/>
  <c r="V312" i="1" s="1"/>
  <c r="D52" i="1"/>
  <c r="P52" i="1" s="1"/>
  <c r="D28" i="1"/>
  <c r="D166" i="1"/>
  <c r="P166" i="1" s="1"/>
  <c r="D143" i="1"/>
  <c r="P223" i="1"/>
  <c r="D200" i="1"/>
  <c r="D256" i="1"/>
  <c r="D279" i="1"/>
  <c r="P279" i="1" s="1"/>
  <c r="X327" i="1"/>
  <c r="W328" i="1" s="1"/>
  <c r="W333" i="1" s="1"/>
  <c r="T334" i="1" s="1"/>
  <c r="X336" i="1" s="1"/>
  <c r="O327" i="1"/>
  <c r="N328" i="1" s="1"/>
  <c r="N333" i="1" s="1"/>
  <c r="K334" i="1" s="1"/>
  <c r="S327" i="1"/>
  <c r="R328" i="1" s="1"/>
  <c r="R333" i="1" s="1"/>
  <c r="O334" i="1" s="1"/>
  <c r="S336" i="1" s="1"/>
  <c r="Q313" i="1"/>
  <c r="O271" i="1"/>
  <c r="N272" i="1" s="1"/>
  <c r="K275" i="1" s="1"/>
  <c r="S271" i="1"/>
  <c r="R272" i="1" s="1"/>
  <c r="Q275" i="1" s="1"/>
  <c r="Q257" i="1"/>
  <c r="W271" i="1"/>
  <c r="V272" i="1" s="1"/>
  <c r="V277" i="1" s="1"/>
  <c r="S278" i="1" s="1"/>
  <c r="AA271" i="1"/>
  <c r="Z272" i="1" s="1"/>
  <c r="AB275" i="1" s="1"/>
  <c r="Z257" i="1"/>
  <c r="S215" i="1"/>
  <c r="R216" i="1" s="1"/>
  <c r="Q219" i="1" s="1"/>
  <c r="Q201" i="1"/>
  <c r="W215" i="1"/>
  <c r="V216" i="1" s="1"/>
  <c r="V219" i="1" s="1"/>
  <c r="AA215" i="1"/>
  <c r="Z216" i="1" s="1"/>
  <c r="AB219" i="1" s="1"/>
  <c r="Z201" i="1"/>
  <c r="O215" i="1"/>
  <c r="N216" i="1" s="1"/>
  <c r="K219" i="1" s="1"/>
  <c r="AE215" i="1"/>
  <c r="AD216" i="1" s="1"/>
  <c r="AD221" i="1" s="1"/>
  <c r="AA222" i="1" s="1"/>
  <c r="AI215" i="1"/>
  <c r="AH216" i="1" s="1"/>
  <c r="AM219" i="1" s="1"/>
  <c r="AI201" i="1"/>
  <c r="O158" i="1"/>
  <c r="N159" i="1" s="1"/>
  <c r="N164" i="1" s="1"/>
  <c r="K165" i="1" s="1"/>
  <c r="S158" i="1"/>
  <c r="R159" i="1" s="1"/>
  <c r="R164" i="1" s="1"/>
  <c r="O165" i="1" s="1"/>
  <c r="S167" i="1" s="1"/>
  <c r="Q144" i="1"/>
  <c r="AM158" i="1"/>
  <c r="AL159" i="1" s="1"/>
  <c r="AR162" i="1" s="1"/>
  <c r="AQ158" i="1"/>
  <c r="AP159" i="1" s="1"/>
  <c r="AX162" i="1" s="1"/>
  <c r="AR144" i="1"/>
  <c r="AA158" i="1"/>
  <c r="Z159" i="1" s="1"/>
  <c r="Z164" i="1" s="1"/>
  <c r="W165" i="1" s="1"/>
  <c r="AD167" i="1" s="1"/>
  <c r="Z144" i="1"/>
  <c r="W158" i="1"/>
  <c r="V159" i="1" s="1"/>
  <c r="V162" i="1" s="1"/>
  <c r="AE158" i="1"/>
  <c r="AD159" i="1" s="1"/>
  <c r="AD164" i="1" s="1"/>
  <c r="AA165" i="1" s="1"/>
  <c r="AI158" i="1"/>
  <c r="AH159" i="1" s="1"/>
  <c r="AM162" i="1" s="1"/>
  <c r="AI144" i="1"/>
  <c r="AI43" i="1"/>
  <c r="AH44" i="1" s="1"/>
  <c r="AH50" i="1" s="1"/>
  <c r="AE51" i="1" s="1"/>
  <c r="AO53" i="1" s="1"/>
  <c r="AI29" i="1"/>
  <c r="O43" i="1"/>
  <c r="N44" i="1" s="1"/>
  <c r="N50" i="1" s="1"/>
  <c r="K51" i="1" s="1"/>
  <c r="AU43" i="1"/>
  <c r="AT44" i="1" s="1"/>
  <c r="AT50" i="1" s="1"/>
  <c r="AQ51" i="1" s="1"/>
  <c r="AM43" i="1"/>
  <c r="AL44" i="1" s="1"/>
  <c r="AR47" i="1" s="1"/>
  <c r="S43" i="1"/>
  <c r="R44" i="1" s="1"/>
  <c r="R50" i="1" s="1"/>
  <c r="O51" i="1" s="1"/>
  <c r="S53" i="1" s="1"/>
  <c r="Q29" i="1"/>
  <c r="AY43" i="1"/>
  <c r="AX44" i="1" s="1"/>
  <c r="AX50" i="1" s="1"/>
  <c r="AU51" i="1" s="1"/>
  <c r="BK53" i="1" s="1"/>
  <c r="BA29" i="1"/>
  <c r="W43" i="1"/>
  <c r="V44" i="1" s="1"/>
  <c r="V50" i="1" s="1"/>
  <c r="S51" i="1" s="1"/>
  <c r="AQ43" i="1"/>
  <c r="AP44" i="1" s="1"/>
  <c r="AX47" i="1" s="1"/>
  <c r="AR29" i="1"/>
  <c r="AA43" i="1"/>
  <c r="Z44" i="1" s="1"/>
  <c r="Z50" i="1" s="1"/>
  <c r="W51" i="1" s="1"/>
  <c r="AD53" i="1" s="1"/>
  <c r="Z29" i="1"/>
  <c r="BC43" i="1"/>
  <c r="BB44" i="1" s="1"/>
  <c r="E48" i="1" s="1"/>
  <c r="AE43" i="1"/>
  <c r="AD44" i="1" s="1"/>
  <c r="AD50" i="1" s="1"/>
  <c r="AA51" i="1" s="1"/>
  <c r="BG43" i="1"/>
  <c r="BF44" i="1" s="1"/>
  <c r="BF50" i="1" s="1"/>
  <c r="BC51" i="1" s="1"/>
  <c r="BV53" i="1" s="1"/>
  <c r="BJ29" i="1"/>
  <c r="E193" i="1"/>
  <c r="AC193" i="1"/>
  <c r="AF193" i="1"/>
  <c r="S196" i="1"/>
  <c r="D274" i="1"/>
  <c r="F275" i="1" s="1"/>
  <c r="P252" i="1"/>
  <c r="Z249" i="1"/>
  <c r="W249" i="1"/>
  <c r="E136" i="1"/>
  <c r="V139" i="1"/>
  <c r="AL136" i="1"/>
  <c r="AI136" i="1"/>
  <c r="D46" i="1"/>
  <c r="F47" i="1" s="1"/>
  <c r="AX21" i="1"/>
  <c r="AB24" i="1"/>
  <c r="AU21" i="1"/>
  <c r="M308" i="1"/>
  <c r="T305" i="1"/>
  <c r="H338" i="1"/>
  <c r="O338" i="1" s="1"/>
  <c r="M339" i="1" s="1"/>
  <c r="D330" i="1"/>
  <c r="N331" i="1" s="1"/>
  <c r="AE331" i="1" s="1"/>
  <c r="E305" i="1"/>
  <c r="Q305" i="1"/>
  <c r="H56" i="1"/>
  <c r="O56" i="1" s="1"/>
  <c r="M57" i="1" s="1"/>
  <c r="E21" i="1"/>
  <c r="E249" i="1"/>
  <c r="H282" i="1"/>
  <c r="O282" i="1" s="1"/>
  <c r="M283" i="1" s="1"/>
  <c r="D218" i="1"/>
  <c r="H226" i="1"/>
  <c r="O226" i="1" s="1"/>
  <c r="M227" i="1" s="1"/>
  <c r="D161" i="1"/>
  <c r="N162" i="1" s="1"/>
  <c r="Y162" i="1" s="1"/>
  <c r="AJ162" i="1" s="1"/>
  <c r="AU162" i="1" s="1"/>
  <c r="H170" i="1"/>
  <c r="O170" i="1" s="1"/>
  <c r="M171" i="1" s="1"/>
  <c r="AO85" i="1"/>
  <c r="AK85" i="1"/>
  <c r="AH85" i="1"/>
  <c r="AD85" i="1"/>
  <c r="AA85" i="1"/>
  <c r="W85" i="1"/>
  <c r="T85" i="1"/>
  <c r="P85" i="1"/>
  <c r="M85" i="1"/>
  <c r="I85" i="1"/>
  <c r="S82" i="1"/>
  <c r="P82" i="1"/>
  <c r="M82" i="1"/>
  <c r="J82" i="1"/>
  <c r="G82" i="1"/>
  <c r="AI79" i="1"/>
  <c r="AF79" i="1"/>
  <c r="AC79" i="1"/>
  <c r="Z79" i="1"/>
  <c r="W79" i="1"/>
  <c r="T79" i="1"/>
  <c r="Q79" i="1"/>
  <c r="N79" i="1"/>
  <c r="K79" i="1"/>
  <c r="H79" i="1"/>
  <c r="AJ73" i="1"/>
  <c r="R872" i="1" l="1"/>
  <c r="I872" i="1"/>
  <c r="BK1072" i="1"/>
  <c r="H1098" i="1"/>
  <c r="E862" i="1"/>
  <c r="D864" i="1" s="1"/>
  <c r="R856" i="1"/>
  <c r="AR702" i="1"/>
  <c r="W703" i="1" s="1"/>
  <c r="AU703" i="1" s="1"/>
  <c r="M711" i="1" s="1"/>
  <c r="T708" i="1" s="1" a="1"/>
  <c r="AG797" i="1"/>
  <c r="AK797" i="1" s="1"/>
  <c r="BC745" i="1" s="1"/>
  <c r="F669" i="1"/>
  <c r="BL571" i="1"/>
  <c r="AJ572" i="1" s="1"/>
  <c r="AX572" i="1" s="1"/>
  <c r="AA575" i="1" s="1"/>
  <c r="BJ570" i="1"/>
  <c r="AJ573" i="1" s="1"/>
  <c r="AX573" i="1" s="1"/>
  <c r="AA576" i="1" s="1"/>
  <c r="AF576" i="1" s="1"/>
  <c r="AI152" i="1"/>
  <c r="AI154" i="1" s="1"/>
  <c r="Q93" i="1"/>
  <c r="Q95" i="1" s="1"/>
  <c r="Q97" i="1" s="1"/>
  <c r="R91" i="1"/>
  <c r="AR93" i="1"/>
  <c r="AR95" i="1" s="1"/>
  <c r="AR97" i="1" s="1"/>
  <c r="AS91" i="1"/>
  <c r="BA93" i="1"/>
  <c r="BA95" i="1" s="1"/>
  <c r="BA97" i="1" s="1"/>
  <c r="BB91" i="1"/>
  <c r="Z93" i="1"/>
  <c r="Z95" i="1" s="1"/>
  <c r="Z97" i="1" s="1"/>
  <c r="AA91" i="1"/>
  <c r="AI93" i="1"/>
  <c r="AI95" i="1" s="1"/>
  <c r="AI97" i="1" s="1"/>
  <c r="AJ91" i="1"/>
  <c r="AL35" i="1"/>
  <c r="K323" i="1"/>
  <c r="W323" i="1"/>
  <c r="K319" i="1"/>
  <c r="W319" i="1"/>
  <c r="K321" i="1"/>
  <c r="W321" i="1"/>
  <c r="W263" i="1"/>
  <c r="K263" i="1"/>
  <c r="K267" i="1"/>
  <c r="W267" i="1"/>
  <c r="K265" i="1"/>
  <c r="W265" i="1"/>
  <c r="W37" i="1"/>
  <c r="K37" i="1"/>
  <c r="K209" i="1"/>
  <c r="W209" i="1"/>
  <c r="K207" i="1"/>
  <c r="W207" i="1"/>
  <c r="W152" i="1"/>
  <c r="K152" i="1"/>
  <c r="W211" i="1"/>
  <c r="K211" i="1"/>
  <c r="W154" i="1"/>
  <c r="K154" i="1"/>
  <c r="AG39" i="1"/>
  <c r="U39" i="1"/>
  <c r="K150" i="1"/>
  <c r="W150" i="1"/>
  <c r="T35" i="1"/>
  <c r="E94" i="1"/>
  <c r="H95" i="1" s="1"/>
  <c r="N95" i="1" s="1"/>
  <c r="E92" i="1"/>
  <c r="H93" i="1" s="1"/>
  <c r="N93" i="1" s="1"/>
  <c r="F96" i="1"/>
  <c r="H97" i="1" s="1"/>
  <c r="N97" i="1" s="1"/>
  <c r="AC35" i="1"/>
  <c r="K35" i="1"/>
  <c r="H313" i="1"/>
  <c r="N313" i="1" s="1"/>
  <c r="K313" i="1" s="1"/>
  <c r="H314" i="1" s="1"/>
  <c r="AX35" i="1"/>
  <c r="AU35" i="1" s="1"/>
  <c r="H144" i="1"/>
  <c r="N144" i="1" s="1"/>
  <c r="W144" i="1" s="1"/>
  <c r="AF144" i="1" s="1"/>
  <c r="AC144" i="1" s="1"/>
  <c r="N145" i="1" s="1"/>
  <c r="U143" i="1"/>
  <c r="H29" i="1"/>
  <c r="N29" i="1" s="1"/>
  <c r="W29" i="1" s="1"/>
  <c r="U28" i="1"/>
  <c r="P336" i="1"/>
  <c r="AA336" i="1" s="1"/>
  <c r="H201" i="1"/>
  <c r="N201" i="1" s="1"/>
  <c r="W201" i="1" s="1"/>
  <c r="AF201" i="1" s="1"/>
  <c r="AO201" i="1" s="1"/>
  <c r="T202" i="1" s="1"/>
  <c r="U200" i="1"/>
  <c r="H257" i="1"/>
  <c r="N257" i="1" s="1"/>
  <c r="W257" i="1" s="1"/>
  <c r="T257" i="1" s="1"/>
  <c r="K258" i="1" s="1"/>
  <c r="U256" i="1"/>
  <c r="V221" i="1"/>
  <c r="S222" i="1" s="1"/>
  <c r="K48" i="1"/>
  <c r="D109" i="1"/>
  <c r="P109" i="1" s="1"/>
  <c r="D86" i="1"/>
  <c r="AH221" i="1"/>
  <c r="AE222" i="1" s="1"/>
  <c r="AO224" i="1" s="1"/>
  <c r="R277" i="1"/>
  <c r="O278" i="1" s="1"/>
  <c r="S280" i="1" s="1"/>
  <c r="Q331" i="1"/>
  <c r="V331" i="1"/>
  <c r="Z221" i="1"/>
  <c r="W222" i="1" s="1"/>
  <c r="AD224" i="1" s="1"/>
  <c r="V275" i="1"/>
  <c r="K331" i="1"/>
  <c r="N277" i="1"/>
  <c r="K278" i="1" s="1"/>
  <c r="AL164" i="1"/>
  <c r="AI165" i="1" s="1"/>
  <c r="V164" i="1"/>
  <c r="S165" i="1" s="1"/>
  <c r="Z277" i="1"/>
  <c r="W278" i="1" s="1"/>
  <c r="AD280" i="1" s="1"/>
  <c r="K47" i="1"/>
  <c r="AG219" i="1"/>
  <c r="Q162" i="1"/>
  <c r="N221" i="1"/>
  <c r="K222" i="1" s="1"/>
  <c r="BI47" i="1"/>
  <c r="R221" i="1"/>
  <c r="O222" i="1" s="1"/>
  <c r="S224" i="1" s="1"/>
  <c r="BC47" i="1"/>
  <c r="AG47" i="1"/>
  <c r="BB50" i="1"/>
  <c r="AY51" i="1" s="1"/>
  <c r="V47" i="1"/>
  <c r="AG162" i="1"/>
  <c r="AB162" i="1"/>
  <c r="K162" i="1"/>
  <c r="AH164" i="1"/>
  <c r="AE165" i="1" s="1"/>
  <c r="AO167" i="1" s="1"/>
  <c r="AP164" i="1"/>
  <c r="AM165" i="1" s="1"/>
  <c r="AZ167" i="1" s="1"/>
  <c r="AM47" i="1"/>
  <c r="AL50" i="1"/>
  <c r="AI51" i="1" s="1"/>
  <c r="O101" i="1"/>
  <c r="N102" i="1" s="1"/>
  <c r="K105" i="1" s="1"/>
  <c r="AU101" i="1"/>
  <c r="AT102" i="1" s="1"/>
  <c r="BC105" i="1" s="1"/>
  <c r="AE101" i="1"/>
  <c r="AD102" i="1" s="1"/>
  <c r="AD107" i="1" s="1"/>
  <c r="AA108" i="1" s="1"/>
  <c r="AY101" i="1"/>
  <c r="AX102" i="1" s="1"/>
  <c r="AX107" i="1" s="1"/>
  <c r="AU108" i="1" s="1"/>
  <c r="BK110" i="1" s="1"/>
  <c r="BA87" i="1"/>
  <c r="AB47" i="1"/>
  <c r="AP50" i="1"/>
  <c r="AM51" i="1" s="1"/>
  <c r="AZ53" i="1" s="1"/>
  <c r="AI101" i="1"/>
  <c r="AH102" i="1" s="1"/>
  <c r="AM105" i="1" s="1"/>
  <c r="AI87" i="1"/>
  <c r="Q47" i="1"/>
  <c r="AM101" i="1"/>
  <c r="AL102" i="1" s="1"/>
  <c r="AL107" i="1" s="1"/>
  <c r="AI108" i="1" s="1"/>
  <c r="AQ101" i="1"/>
  <c r="AP102" i="1" s="1"/>
  <c r="AP107" i="1" s="1"/>
  <c r="AM108" i="1" s="1"/>
  <c r="AZ110" i="1" s="1"/>
  <c r="AR87" i="1"/>
  <c r="S101" i="1"/>
  <c r="R102" i="1" s="1"/>
  <c r="R107" i="1" s="1"/>
  <c r="O108" i="1" s="1"/>
  <c r="S110" i="1" s="1"/>
  <c r="Q87" i="1"/>
  <c r="W101" i="1"/>
  <c r="V102" i="1" s="1"/>
  <c r="V107" i="1" s="1"/>
  <c r="S108" i="1" s="1"/>
  <c r="AA101" i="1"/>
  <c r="Z102" i="1" s="1"/>
  <c r="Z107" i="1" s="1"/>
  <c r="W108" i="1" s="1"/>
  <c r="AD110" i="1" s="1"/>
  <c r="Z87" i="1"/>
  <c r="N47" i="1"/>
  <c r="Y47" i="1" s="1"/>
  <c r="AJ47" i="1" s="1"/>
  <c r="AU47" i="1" s="1"/>
  <c r="BF47" i="1" s="1"/>
  <c r="Y48" i="1" s="1"/>
  <c r="N275" i="1"/>
  <c r="Y275" i="1" s="1"/>
  <c r="AP275" i="1" s="1"/>
  <c r="E194" i="1"/>
  <c r="U184" i="1" s="1"/>
  <c r="E22" i="1"/>
  <c r="E25" i="1" s="1"/>
  <c r="BD12" i="1" s="1"/>
  <c r="BL162" i="1"/>
  <c r="BF162" i="1"/>
  <c r="E250" i="1"/>
  <c r="E253" i="1" s="1"/>
  <c r="AM240" i="1" s="1"/>
  <c r="E137" i="1"/>
  <c r="E140" i="1" s="1"/>
  <c r="AT127" i="1" s="1"/>
  <c r="AO79" i="1"/>
  <c r="AR79" i="1"/>
  <c r="Y82" i="1"/>
  <c r="Y331" i="1"/>
  <c r="H336" i="1"/>
  <c r="E306" i="1"/>
  <c r="F331" i="1"/>
  <c r="P53" i="1"/>
  <c r="H53" i="1"/>
  <c r="P280" i="1"/>
  <c r="AA280" i="1" s="1"/>
  <c r="H280" i="1"/>
  <c r="P224" i="1"/>
  <c r="AA224" i="1" s="1"/>
  <c r="H224" i="1"/>
  <c r="N219" i="1"/>
  <c r="Y219" i="1" s="1"/>
  <c r="AJ219" i="1" s="1"/>
  <c r="F219" i="1"/>
  <c r="F162" i="1"/>
  <c r="P167" i="1"/>
  <c r="AA167" i="1" s="1"/>
  <c r="AL167" i="1" s="1"/>
  <c r="H167" i="1"/>
  <c r="E79" i="1"/>
  <c r="H113" i="1"/>
  <c r="O113" i="1" s="1"/>
  <c r="M114" i="1" s="1"/>
  <c r="D104" i="1"/>
  <c r="R864" i="1" l="1"/>
  <c r="I864" i="1"/>
  <c r="E199" i="1"/>
  <c r="I215" i="1" s="1"/>
  <c r="H216" i="1" s="1"/>
  <c r="C219" i="1" s="1"/>
  <c r="O1098" i="1"/>
  <c r="AK1098" i="1" s="1"/>
  <c r="BK1071" i="1" s="1"/>
  <c r="T708" i="1"/>
  <c r="E708" i="1" s="1"/>
  <c r="T715" i="1" s="1"/>
  <c r="V717" i="1" s="1"/>
  <c r="E718" i="1" s="1"/>
  <c r="E710" i="1"/>
  <c r="AK723" i="1" s="1"/>
  <c r="E709" i="1"/>
  <c r="AE723" i="1" s="1"/>
  <c r="AH725" i="1" s="1"/>
  <c r="E726" i="1" s="1"/>
  <c r="E711" i="1"/>
  <c r="BE731" i="1" s="1"/>
  <c r="BI733" i="1" s="1"/>
  <c r="E712" i="1"/>
  <c r="BK731" i="1" s="1"/>
  <c r="BP733" i="1" s="1"/>
  <c r="F671" i="1"/>
  <c r="AC669" i="1"/>
  <c r="AO576" i="1"/>
  <c r="AO575" i="1"/>
  <c r="AF575" i="1"/>
  <c r="T263" i="1"/>
  <c r="AF263" i="1"/>
  <c r="T267" i="1"/>
  <c r="AF267" i="1"/>
  <c r="T265" i="1"/>
  <c r="AF265" i="1"/>
  <c r="AF152" i="1"/>
  <c r="T152" i="1"/>
  <c r="T207" i="1"/>
  <c r="AF207" i="1"/>
  <c r="AP39" i="1"/>
  <c r="AD39" i="1"/>
  <c r="W97" i="1"/>
  <c r="K97" i="1"/>
  <c r="T209" i="1"/>
  <c r="AF209" i="1"/>
  <c r="AF154" i="1"/>
  <c r="T154" i="1"/>
  <c r="W95" i="1"/>
  <c r="K95" i="1"/>
  <c r="AF211" i="1"/>
  <c r="T211" i="1"/>
  <c r="AF37" i="1"/>
  <c r="T37" i="1"/>
  <c r="T150" i="1"/>
  <c r="AF150" i="1"/>
  <c r="K93" i="1"/>
  <c r="W93" i="1"/>
  <c r="W313" i="1"/>
  <c r="N314" i="1" s="1"/>
  <c r="AO144" i="1"/>
  <c r="AX144" i="1" s="1"/>
  <c r="W145" i="1" s="1"/>
  <c r="M336" i="1"/>
  <c r="BG35" i="1"/>
  <c r="BD35" i="1" s="1"/>
  <c r="K144" i="1"/>
  <c r="H145" i="1" s="1"/>
  <c r="T144" i="1"/>
  <c r="K145" i="1" s="1"/>
  <c r="K29" i="1"/>
  <c r="H30" i="1" s="1"/>
  <c r="AF257" i="1"/>
  <c r="Q258" i="1" s="1"/>
  <c r="AK336" i="1"/>
  <c r="K257" i="1"/>
  <c r="H258" i="1" s="1"/>
  <c r="H87" i="1"/>
  <c r="N87" i="1" s="1"/>
  <c r="K87" i="1" s="1"/>
  <c r="H88" i="1" s="1"/>
  <c r="U86" i="1"/>
  <c r="AC201" i="1"/>
  <c r="N202" i="1" s="1"/>
  <c r="K201" i="1"/>
  <c r="H202" i="1" s="1"/>
  <c r="T201" i="1"/>
  <c r="K202" i="1" s="1"/>
  <c r="X280" i="1"/>
  <c r="M280" i="1"/>
  <c r="M224" i="1"/>
  <c r="AL224" i="1"/>
  <c r="AI224" i="1" s="1"/>
  <c r="X224" i="1"/>
  <c r="AW167" i="1"/>
  <c r="AT167" i="1" s="1"/>
  <c r="AI167" i="1"/>
  <c r="X167" i="1"/>
  <c r="M167" i="1"/>
  <c r="AF29" i="1"/>
  <c r="T29" i="1"/>
  <c r="K30" i="1" s="1"/>
  <c r="AA53" i="1"/>
  <c r="M53" i="1"/>
  <c r="AB105" i="1"/>
  <c r="AR105" i="1"/>
  <c r="AG105" i="1"/>
  <c r="V105" i="1"/>
  <c r="AT107" i="1"/>
  <c r="AQ108" i="1" s="1"/>
  <c r="AH107" i="1"/>
  <c r="AE108" i="1" s="1"/>
  <c r="AO110" i="1" s="1"/>
  <c r="Q105" i="1"/>
  <c r="AX105" i="1"/>
  <c r="N107" i="1"/>
  <c r="K108" i="1" s="1"/>
  <c r="BI105" i="1"/>
  <c r="E80" i="1"/>
  <c r="E83" i="1" s="1"/>
  <c r="AY70" i="1" s="1"/>
  <c r="H48" i="1"/>
  <c r="S48" i="1" s="1"/>
  <c r="AJ275" i="1"/>
  <c r="U127" i="1"/>
  <c r="E197" i="1"/>
  <c r="AO184" i="1" s="1"/>
  <c r="AZ182" i="1" s="1"/>
  <c r="U240" i="1"/>
  <c r="AV280" i="1"/>
  <c r="AL280" i="1"/>
  <c r="BA219" i="1"/>
  <c r="AU219" i="1"/>
  <c r="U296" i="1"/>
  <c r="E309" i="1"/>
  <c r="AI296" i="1" s="1"/>
  <c r="U12" i="1"/>
  <c r="H110" i="1"/>
  <c r="P110" i="1"/>
  <c r="N105" i="1"/>
  <c r="Y105" i="1" s="1"/>
  <c r="AJ105" i="1" s="1"/>
  <c r="AU105" i="1" s="1"/>
  <c r="BF105" i="1" s="1"/>
  <c r="F105" i="1"/>
  <c r="F205" i="1" l="1"/>
  <c r="E207" i="1"/>
  <c r="E209" i="1" s="1"/>
  <c r="E211" i="1" s="1"/>
  <c r="E201" i="1"/>
  <c r="E202" i="1" s="1"/>
  <c r="E311" i="1"/>
  <c r="F317" i="1" s="1"/>
  <c r="AS294" i="1"/>
  <c r="E255" i="1"/>
  <c r="F261" i="1" s="1"/>
  <c r="AW238" i="1"/>
  <c r="E142" i="1"/>
  <c r="F148" i="1" s="1"/>
  <c r="BH125" i="1"/>
  <c r="E27" i="1"/>
  <c r="F33" i="1" s="1"/>
  <c r="BL9" i="1"/>
  <c r="E734" i="1"/>
  <c r="D736" i="1" s="1"/>
  <c r="I736" i="1" s="1"/>
  <c r="D720" i="1"/>
  <c r="D728" i="1"/>
  <c r="H677" i="1"/>
  <c r="AY631" i="1"/>
  <c r="F673" i="1"/>
  <c r="AC671" i="1"/>
  <c r="AA677" i="1" s="1"/>
  <c r="AC207" i="1"/>
  <c r="AO207" i="1"/>
  <c r="AY39" i="1"/>
  <c r="AM39" i="1"/>
  <c r="AO37" i="1"/>
  <c r="AC37" i="1"/>
  <c r="AO154" i="1"/>
  <c r="AC154" i="1"/>
  <c r="AC209" i="1"/>
  <c r="AO209" i="1"/>
  <c r="AF97" i="1"/>
  <c r="T97" i="1"/>
  <c r="AF95" i="1"/>
  <c r="T95" i="1"/>
  <c r="AO211" i="1"/>
  <c r="AC211" i="1"/>
  <c r="AO152" i="1"/>
  <c r="AC152" i="1"/>
  <c r="AO150" i="1"/>
  <c r="AC150" i="1"/>
  <c r="T93" i="1"/>
  <c r="AF93" i="1"/>
  <c r="AL144" i="1"/>
  <c r="Q145" i="1" s="1"/>
  <c r="BP35" i="1"/>
  <c r="W87" i="1"/>
  <c r="T87" i="1" s="1"/>
  <c r="K88" i="1" s="1"/>
  <c r="BG224" i="1"/>
  <c r="AW224" i="1"/>
  <c r="H221" i="1"/>
  <c r="E222" i="1" s="1"/>
  <c r="E224" i="1" s="1"/>
  <c r="BH167" i="1"/>
  <c r="I168" i="1"/>
  <c r="AO29" i="1"/>
  <c r="AC29" i="1"/>
  <c r="N30" i="1" s="1"/>
  <c r="AL53" i="1"/>
  <c r="X53" i="1"/>
  <c r="AA110" i="1"/>
  <c r="M110" i="1"/>
  <c r="E220" i="1"/>
  <c r="AU221" i="1" s="1"/>
  <c r="AR222" i="1" s="1"/>
  <c r="BC224" i="1" s="1"/>
  <c r="U70" i="1"/>
  <c r="BW105" i="1"/>
  <c r="BQ105" i="1"/>
  <c r="AT201" i="1" l="1"/>
  <c r="R728" i="1"/>
  <c r="I728" i="1"/>
  <c r="R720" i="1"/>
  <c r="I720" i="1"/>
  <c r="E257" i="1"/>
  <c r="AK257" i="1" s="1"/>
  <c r="I327" i="1"/>
  <c r="H328" i="1" s="1"/>
  <c r="H333" i="1" s="1"/>
  <c r="E334" i="1" s="1"/>
  <c r="E336" i="1" s="1"/>
  <c r="E29" i="1"/>
  <c r="E30" i="1" s="1"/>
  <c r="E313" i="1"/>
  <c r="AB313" i="1" s="1"/>
  <c r="E267" i="1"/>
  <c r="AK267" i="1" s="1"/>
  <c r="AG269" i="1" s="1"/>
  <c r="E263" i="1"/>
  <c r="AK263" i="1" s="1"/>
  <c r="AA269" i="1" s="1"/>
  <c r="E323" i="1"/>
  <c r="AB323" i="1" s="1"/>
  <c r="AG325" i="1" s="1"/>
  <c r="E321" i="1"/>
  <c r="AB321" i="1" s="1"/>
  <c r="U325" i="1" s="1"/>
  <c r="E319" i="1"/>
  <c r="AB319" i="1" s="1"/>
  <c r="AA325" i="1" s="1"/>
  <c r="I158" i="1"/>
  <c r="H159" i="1" s="1"/>
  <c r="C162" i="1" s="1"/>
  <c r="E163" i="1" s="1"/>
  <c r="BC164" i="1" s="1"/>
  <c r="AZ165" i="1" s="1"/>
  <c r="E168" i="1" s="1"/>
  <c r="E144" i="1"/>
  <c r="E145" i="1" s="1"/>
  <c r="E150" i="1"/>
  <c r="E152" i="1" s="1"/>
  <c r="E154" i="1" s="1"/>
  <c r="I271" i="1"/>
  <c r="H272" i="1" s="1"/>
  <c r="C275" i="1" s="1"/>
  <c r="E276" i="1" s="1"/>
  <c r="AM277" i="1" s="1"/>
  <c r="AJ278" i="1" s="1"/>
  <c r="AR280" i="1" s="1"/>
  <c r="E265" i="1"/>
  <c r="AK265" i="1" s="1"/>
  <c r="U269" i="1" s="1"/>
  <c r="E85" i="1"/>
  <c r="E93" i="1" s="1"/>
  <c r="E95" i="1" s="1"/>
  <c r="E97" i="1" s="1"/>
  <c r="BH68" i="1"/>
  <c r="I43" i="1"/>
  <c r="H44" i="1" s="1"/>
  <c r="H50" i="1" s="1"/>
  <c r="E51" i="1" s="1"/>
  <c r="E53" i="1" s="1"/>
  <c r="R736" i="1"/>
  <c r="O677" i="1"/>
  <c r="F675" i="1"/>
  <c r="AC675" i="1" s="1"/>
  <c r="AG677" i="1" s="1"/>
  <c r="AC673" i="1"/>
  <c r="U677" i="1" s="1"/>
  <c r="W202" i="1"/>
  <c r="D204" i="1"/>
  <c r="I205" i="1" s="1"/>
  <c r="AT211" i="1"/>
  <c r="AG213" i="1" s="1"/>
  <c r="AT207" i="1"/>
  <c r="AA213" i="1" s="1"/>
  <c r="AO95" i="1"/>
  <c r="AC95" i="1"/>
  <c r="BH39" i="1"/>
  <c r="AV39" i="1"/>
  <c r="AO97" i="1"/>
  <c r="AC97" i="1"/>
  <c r="AX152" i="1"/>
  <c r="AL152" i="1"/>
  <c r="AT209" i="1"/>
  <c r="U213" i="1" s="1"/>
  <c r="AX154" i="1"/>
  <c r="AL154" i="1"/>
  <c r="AX37" i="1"/>
  <c r="AL37" i="1"/>
  <c r="AL150" i="1"/>
  <c r="AX150" i="1"/>
  <c r="AC93" i="1"/>
  <c r="AO93" i="1"/>
  <c r="AF87" i="1"/>
  <c r="AO87" i="1" s="1"/>
  <c r="AL87" i="1" s="1"/>
  <c r="Q88" i="1" s="1"/>
  <c r="E225" i="1"/>
  <c r="D227" i="1" s="1"/>
  <c r="AX29" i="1"/>
  <c r="AL29" i="1"/>
  <c r="Q30" i="1" s="1"/>
  <c r="AW53" i="1"/>
  <c r="AI53" i="1"/>
  <c r="AL110" i="1"/>
  <c r="X110" i="1"/>
  <c r="E35" i="1" l="1"/>
  <c r="E37" i="1" s="1"/>
  <c r="F39" i="1" s="1"/>
  <c r="E258" i="1"/>
  <c r="T258" i="1" s="1"/>
  <c r="C331" i="1"/>
  <c r="E332" i="1" s="1"/>
  <c r="AE333" i="1" s="1"/>
  <c r="AB334" i="1" s="1"/>
  <c r="AG336" i="1" s="1"/>
  <c r="E337" i="1" s="1"/>
  <c r="D339" i="1" s="1"/>
  <c r="I339" i="1" s="1"/>
  <c r="E314" i="1"/>
  <c r="D316" i="1" s="1"/>
  <c r="I317" i="1" s="1"/>
  <c r="O317" i="1" s="1"/>
  <c r="BC144" i="1"/>
  <c r="H277" i="1"/>
  <c r="E278" i="1" s="1"/>
  <c r="E280" i="1" s="1"/>
  <c r="E281" i="1" s="1"/>
  <c r="D283" i="1" s="1"/>
  <c r="I283" i="1" s="1"/>
  <c r="I101" i="1"/>
  <c r="H102" i="1" s="1"/>
  <c r="C105" i="1" s="1"/>
  <c r="E106" i="1" s="1"/>
  <c r="BK107" i="1" s="1"/>
  <c r="BH108" i="1" s="1"/>
  <c r="F111" i="1" s="1"/>
  <c r="F91" i="1"/>
  <c r="E87" i="1"/>
  <c r="E88" i="1" s="1"/>
  <c r="H164" i="1"/>
  <c r="E165" i="1" s="1"/>
  <c r="E167" i="1" s="1"/>
  <c r="E169" i="1" s="1"/>
  <c r="D171" i="1" s="1"/>
  <c r="R171" i="1" s="1"/>
  <c r="C47" i="1"/>
  <c r="E49" i="1" s="1"/>
  <c r="BS50" i="1" s="1"/>
  <c r="BP51" i="1" s="1"/>
  <c r="N54" i="1" s="1"/>
  <c r="AK677" i="1"/>
  <c r="AY630" i="1" s="1"/>
  <c r="O205" i="1"/>
  <c r="Z145" i="1"/>
  <c r="D147" i="1"/>
  <c r="I148" i="1" s="1"/>
  <c r="AX97" i="1"/>
  <c r="AL97" i="1"/>
  <c r="AU37" i="1"/>
  <c r="BG37" i="1"/>
  <c r="BQ39" i="1"/>
  <c r="BE39" i="1"/>
  <c r="AX95" i="1"/>
  <c r="AL95" i="1"/>
  <c r="BC150" i="1"/>
  <c r="AA156" i="1" s="1"/>
  <c r="AL93" i="1"/>
  <c r="AX93" i="1"/>
  <c r="AX87" i="1"/>
  <c r="BG87" i="1" s="1"/>
  <c r="Z88" i="1" s="1"/>
  <c r="AC87" i="1"/>
  <c r="N88" i="1" s="1"/>
  <c r="R227" i="1"/>
  <c r="I227" i="1"/>
  <c r="BG29" i="1"/>
  <c r="AU29" i="1"/>
  <c r="T30" i="1" s="1"/>
  <c r="BH53" i="1"/>
  <c r="AT53" i="1"/>
  <c r="AW110" i="1"/>
  <c r="AI110" i="1"/>
  <c r="Q314" i="1" l="1"/>
  <c r="BU35" i="1"/>
  <c r="AA41" i="1" s="1"/>
  <c r="D260" i="1"/>
  <c r="I261" i="1" s="1"/>
  <c r="O261" i="1" s="1"/>
  <c r="R283" i="1"/>
  <c r="H107" i="1"/>
  <c r="E108" i="1" s="1"/>
  <c r="E110" i="1" s="1"/>
  <c r="L317" i="1"/>
  <c r="X317" i="1"/>
  <c r="X205" i="1"/>
  <c r="L205" i="1"/>
  <c r="O148" i="1"/>
  <c r="BV39" i="1"/>
  <c r="AG41" i="1" s="1"/>
  <c r="BD37" i="1"/>
  <c r="BP37" i="1"/>
  <c r="BG95" i="1"/>
  <c r="AU95" i="1"/>
  <c r="BG97" i="1"/>
  <c r="AU97" i="1"/>
  <c r="BC154" i="1"/>
  <c r="AG156" i="1" s="1"/>
  <c r="BC152" i="1"/>
  <c r="U156" i="1" s="1"/>
  <c r="AU93" i="1"/>
  <c r="BG93" i="1"/>
  <c r="AU87" i="1"/>
  <c r="T88" i="1" s="1"/>
  <c r="AC88" i="1" s="1"/>
  <c r="I171" i="1"/>
  <c r="BP29" i="1"/>
  <c r="AC30" i="1" s="1"/>
  <c r="BD29" i="1"/>
  <c r="W30" i="1" s="1"/>
  <c r="D32" i="1" s="1"/>
  <c r="I33" i="1" s="1"/>
  <c r="BE53" i="1"/>
  <c r="R54" i="1"/>
  <c r="BS53" i="1"/>
  <c r="BH110" i="1"/>
  <c r="AT110" i="1"/>
  <c r="R339" i="1"/>
  <c r="AC317" i="1" l="1"/>
  <c r="X261" i="1"/>
  <c r="L261" i="1"/>
  <c r="AG205" i="1"/>
  <c r="U205" i="1"/>
  <c r="L148" i="1"/>
  <c r="X148" i="1"/>
  <c r="D90" i="1"/>
  <c r="I91" i="1" s="1"/>
  <c r="O91" i="1" s="1"/>
  <c r="O33" i="1"/>
  <c r="BL97" i="1"/>
  <c r="AG99" i="1" s="1"/>
  <c r="BU37" i="1"/>
  <c r="U41" i="1" s="1"/>
  <c r="BL95" i="1"/>
  <c r="U99" i="1" s="1"/>
  <c r="BL93" i="1"/>
  <c r="AA99" i="1" s="1"/>
  <c r="BL87" i="1"/>
  <c r="AF30" i="1"/>
  <c r="BU29" i="1"/>
  <c r="H54" i="1"/>
  <c r="BP53" i="1"/>
  <c r="BE110" i="1"/>
  <c r="J111" i="1"/>
  <c r="BS110" i="1"/>
  <c r="H325" i="1" l="1"/>
  <c r="O325" i="1" s="1"/>
  <c r="AK325" i="1" s="1"/>
  <c r="AR292" i="1" s="1"/>
  <c r="AR293" i="1"/>
  <c r="AG261" i="1"/>
  <c r="U261" i="1"/>
  <c r="AD205" i="1"/>
  <c r="AP205" i="1"/>
  <c r="U148" i="1"/>
  <c r="AG148" i="1"/>
  <c r="L91" i="1"/>
  <c r="X91" i="1"/>
  <c r="L33" i="1"/>
  <c r="X33" i="1"/>
  <c r="E112" i="1"/>
  <c r="D114" i="1" s="1"/>
  <c r="R114" i="1" s="1"/>
  <c r="E55" i="1"/>
  <c r="D57" i="1" s="1"/>
  <c r="R57" i="1" s="1"/>
  <c r="AU205" i="1" l="1"/>
  <c r="AL261" i="1"/>
  <c r="AD148" i="1"/>
  <c r="AP148" i="1"/>
  <c r="U91" i="1"/>
  <c r="AG91" i="1"/>
  <c r="U33" i="1"/>
  <c r="AG33" i="1"/>
  <c r="I114" i="1"/>
  <c r="I57" i="1"/>
  <c r="H269" i="1" l="1"/>
  <c r="O269" i="1" s="1"/>
  <c r="AK269" i="1" s="1"/>
  <c r="AV236" i="1" s="1"/>
  <c r="AV237" i="1"/>
  <c r="H213" i="1"/>
  <c r="O213" i="1" s="1"/>
  <c r="AK213" i="1" s="1"/>
  <c r="AY180" i="1" s="1"/>
  <c r="AY181" i="1"/>
  <c r="AY148" i="1"/>
  <c r="AM148" i="1"/>
  <c r="AD91" i="1"/>
  <c r="AP91" i="1"/>
  <c r="AD33" i="1"/>
  <c r="AP33" i="1"/>
  <c r="BD148" i="1" l="1"/>
  <c r="AM91" i="1"/>
  <c r="AY91" i="1"/>
  <c r="AM33" i="1"/>
  <c r="AY33" i="1"/>
  <c r="H156" i="1" l="1"/>
  <c r="O156" i="1" s="1"/>
  <c r="AK156" i="1" s="1"/>
  <c r="BG123" i="1" s="1"/>
  <c r="BG124" i="1"/>
  <c r="AV91" i="1"/>
  <c r="BH91" i="1"/>
  <c r="AV33" i="1"/>
  <c r="BH33" i="1"/>
  <c r="BM91" i="1" l="1"/>
  <c r="BE33" i="1"/>
  <c r="BQ33" i="1"/>
  <c r="H99" i="1" l="1"/>
  <c r="O99" i="1" s="1"/>
  <c r="AK99" i="1" s="1"/>
  <c r="BG66" i="1" s="1"/>
  <c r="BG67" i="1"/>
  <c r="BV33" i="1"/>
  <c r="H41" i="1" l="1"/>
  <c r="O41" i="1" s="1"/>
  <c r="AK41" i="1" s="1"/>
  <c r="BK7" i="1" s="1"/>
  <c r="BK8" i="1"/>
  <c r="BB979" i="1" a="1"/>
  <c r="BB979" i="1" s="1"/>
  <c r="D979" i="1" s="1"/>
  <c r="J980" i="1" l="1"/>
  <c r="P980" i="1"/>
  <c r="M980" i="1" l="1"/>
  <c r="Y980" i="1"/>
  <c r="V980" i="1" s="1"/>
  <c r="AH980" i="1" l="1"/>
  <c r="BK956" i="1" s="1"/>
  <c r="H988" i="1" l="1"/>
  <c r="O988" i="1" l="1"/>
  <c r="AK988" i="1" s="1"/>
  <c r="BK95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<sst xmlns="http://schemas.openxmlformats.org/spreadsheetml/2006/main" count="17849" uniqueCount="829">
  <si>
    <t>KN</t>
  </si>
  <si>
    <t>m</t>
  </si>
  <si>
    <t>A=</t>
  </si>
  <si>
    <t>B=</t>
  </si>
  <si>
    <t>A</t>
  </si>
  <si>
    <t>*</t>
  </si>
  <si>
    <t>-</t>
  </si>
  <si>
    <t>=</t>
  </si>
  <si>
    <t>A =</t>
  </si>
  <si>
    <t>+</t>
  </si>
  <si>
    <t>B</t>
  </si>
  <si>
    <t>B =</t>
  </si>
  <si>
    <t>Mx =</t>
  </si>
  <si>
    <t>x</t>
  </si>
  <si>
    <t>*(</t>
  </si>
  <si>
    <t>*(  x -</t>
  </si>
  <si>
    <t>)-</t>
  </si>
  <si>
    <t xml:space="preserve"> *  x  -</t>
  </si>
  <si>
    <t>*  x²  /</t>
  </si>
  <si>
    <t>)² / 2 -</t>
  </si>
  <si>
    <t>)² / 2</t>
  </si>
  <si>
    <r>
      <t>*  x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 /</t>
    </r>
  </si>
  <si>
    <r>
      <t>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6 -</t>
    </r>
  </si>
  <si>
    <r>
      <t>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6</t>
    </r>
  </si>
  <si>
    <t>C1</t>
  </si>
  <si>
    <t xml:space="preserve"> + C1 * x + C2</t>
  </si>
  <si>
    <t>x = 0 ; y = 0 ; C2 = 0</t>
  </si>
  <si>
    <t>x=</t>
  </si>
  <si>
    <t>;</t>
  </si>
  <si>
    <t>y = 0</t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</si>
  <si>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/</t>
    </r>
  </si>
  <si>
    <r>
      <t>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/</t>
    </r>
  </si>
  <si>
    <t>C1 =</t>
  </si>
  <si>
    <t>y =</t>
  </si>
  <si>
    <t>y=</t>
  </si>
  <si>
    <t>y = (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</si>
  <si>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=</t>
    </r>
  </si>
  <si>
    <t>cm4</t>
  </si>
  <si>
    <t>E =</t>
  </si>
  <si>
    <t>N/mm²</t>
  </si>
  <si>
    <t>)</t>
  </si>
  <si>
    <t>mm</t>
  </si>
  <si>
    <t>m. ' deki sehim miktarı</t>
  </si>
  <si>
    <r>
      <t xml:space="preserve">çeşitli </t>
    </r>
    <r>
      <rPr>
        <b/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profiller</t>
    </r>
  </si>
  <si>
    <t>profil</t>
  </si>
  <si>
    <t>h (mm.)</t>
  </si>
  <si>
    <t>b (mm.)</t>
  </si>
  <si>
    <t>s (mm.)</t>
  </si>
  <si>
    <t>t (mm.)</t>
  </si>
  <si>
    <r>
      <t>Jx (cm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>.)</t>
    </r>
  </si>
  <si>
    <r>
      <t xml:space="preserve">normal </t>
    </r>
    <r>
      <rPr>
        <b/>
        <sz val="8"/>
        <rFont val="Symbol"/>
        <family val="1"/>
        <charset val="2"/>
      </rPr>
      <t>I</t>
    </r>
    <r>
      <rPr>
        <b/>
        <sz val="8"/>
        <rFont val="Arial"/>
        <family val="2"/>
        <charset val="162"/>
      </rPr>
      <t xml:space="preserve"> profiller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</si>
  <si>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80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</si>
  <si>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100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</si>
  <si>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120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</si>
  <si>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140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</si>
  <si>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160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</si>
  <si>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180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</si>
  <si>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200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</si>
  <si>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220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</si>
  <si>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240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</si>
  <si>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260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</si>
  <si>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280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</si>
  <si>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300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</si>
  <si>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320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</si>
  <si>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340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</si>
  <si>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360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</si>
  <si>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380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</si>
  <si>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400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</si>
  <si>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425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</si>
  <si>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450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</si>
  <si>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475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</si>
  <si>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500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</si>
  <si>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550</t>
    </r>
  </si>
  <si>
    <r>
      <t xml:space="preserve">normal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600</t>
    </r>
  </si>
  <si>
    <r>
      <t>I</t>
    </r>
    <r>
      <rPr>
        <b/>
        <sz val="8"/>
        <rFont val="Arial"/>
        <family val="2"/>
        <charset val="162"/>
      </rPr>
      <t>PE profiller</t>
    </r>
  </si>
  <si>
    <r>
      <t>I</t>
    </r>
    <r>
      <rPr>
        <sz val="8"/>
        <rFont val="Arial"/>
        <family val="2"/>
        <charset val="162"/>
      </rPr>
      <t>PE 80</t>
    </r>
  </si>
  <si>
    <r>
      <t>I</t>
    </r>
    <r>
      <rPr>
        <sz val="8"/>
        <rFont val="Arial"/>
        <family val="2"/>
        <charset val="162"/>
      </rPr>
      <t>PE 100</t>
    </r>
  </si>
  <si>
    <r>
      <t>I</t>
    </r>
    <r>
      <rPr>
        <sz val="8"/>
        <rFont val="Arial"/>
        <family val="2"/>
        <charset val="162"/>
      </rPr>
      <t>PE 120</t>
    </r>
  </si>
  <si>
    <r>
      <t>I</t>
    </r>
    <r>
      <rPr>
        <sz val="8"/>
        <rFont val="Arial"/>
        <family val="2"/>
        <charset val="162"/>
      </rPr>
      <t>PE 140</t>
    </r>
  </si>
  <si>
    <r>
      <t>I</t>
    </r>
    <r>
      <rPr>
        <sz val="8"/>
        <rFont val="Arial"/>
        <family val="2"/>
        <charset val="162"/>
      </rPr>
      <t>PE 160</t>
    </r>
  </si>
  <si>
    <r>
      <t>I</t>
    </r>
    <r>
      <rPr>
        <sz val="8"/>
        <rFont val="Arial"/>
        <family val="2"/>
        <charset val="162"/>
      </rPr>
      <t>PE 180</t>
    </r>
  </si>
  <si>
    <r>
      <t>I</t>
    </r>
    <r>
      <rPr>
        <sz val="8"/>
        <rFont val="Arial"/>
        <family val="2"/>
        <charset val="162"/>
      </rPr>
      <t>PE 200</t>
    </r>
  </si>
  <si>
    <r>
      <t>I</t>
    </r>
    <r>
      <rPr>
        <sz val="8"/>
        <rFont val="Arial"/>
        <family val="2"/>
        <charset val="162"/>
      </rPr>
      <t>PE 220</t>
    </r>
  </si>
  <si>
    <r>
      <t>I</t>
    </r>
    <r>
      <rPr>
        <sz val="8"/>
        <rFont val="Arial"/>
        <family val="2"/>
        <charset val="162"/>
      </rPr>
      <t>PE 240</t>
    </r>
  </si>
  <si>
    <r>
      <t>I</t>
    </r>
    <r>
      <rPr>
        <sz val="8"/>
        <rFont val="Arial"/>
        <family val="2"/>
        <charset val="162"/>
      </rPr>
      <t>PE 270</t>
    </r>
  </si>
  <si>
    <r>
      <t>I</t>
    </r>
    <r>
      <rPr>
        <sz val="8"/>
        <rFont val="Arial"/>
        <family val="2"/>
        <charset val="162"/>
      </rPr>
      <t>PE 300</t>
    </r>
  </si>
  <si>
    <r>
      <t>I</t>
    </r>
    <r>
      <rPr>
        <sz val="8"/>
        <rFont val="Arial"/>
        <family val="2"/>
        <charset val="162"/>
      </rPr>
      <t>PE 330</t>
    </r>
  </si>
  <si>
    <r>
      <t>I</t>
    </r>
    <r>
      <rPr>
        <sz val="8"/>
        <rFont val="Arial"/>
        <family val="2"/>
        <charset val="162"/>
      </rPr>
      <t>PE 360</t>
    </r>
  </si>
  <si>
    <r>
      <t>I</t>
    </r>
    <r>
      <rPr>
        <sz val="8"/>
        <rFont val="Arial"/>
        <family val="2"/>
        <charset val="162"/>
      </rPr>
      <t>PE 400</t>
    </r>
  </si>
  <si>
    <r>
      <t>I</t>
    </r>
    <r>
      <rPr>
        <sz val="8"/>
        <rFont val="Arial"/>
        <family val="2"/>
        <charset val="162"/>
      </rPr>
      <t>PE 450</t>
    </r>
  </si>
  <si>
    <r>
      <t>I</t>
    </r>
    <r>
      <rPr>
        <sz val="8"/>
        <rFont val="Arial"/>
        <family val="2"/>
        <charset val="162"/>
      </rPr>
      <t>PE 500</t>
    </r>
  </si>
  <si>
    <r>
      <t>I</t>
    </r>
    <r>
      <rPr>
        <sz val="8"/>
        <rFont val="Arial"/>
        <family val="2"/>
        <charset val="162"/>
      </rPr>
      <t>PE 550</t>
    </r>
  </si>
  <si>
    <r>
      <t>I</t>
    </r>
    <r>
      <rPr>
        <sz val="8"/>
        <rFont val="Arial"/>
        <family val="2"/>
        <charset val="162"/>
      </rPr>
      <t>PE 600</t>
    </r>
  </si>
  <si>
    <r>
      <t>I</t>
    </r>
    <r>
      <rPr>
        <b/>
        <sz val="8"/>
        <rFont val="Arial"/>
        <family val="2"/>
        <charset val="162"/>
      </rPr>
      <t>PBL (HE-A) profiller</t>
    </r>
  </si>
  <si>
    <r>
      <t>I</t>
    </r>
    <r>
      <rPr>
        <sz val="8"/>
        <rFont val="Arial"/>
        <family val="2"/>
        <charset val="162"/>
      </rPr>
      <t>PBL (HE-A) 100</t>
    </r>
  </si>
  <si>
    <r>
      <t>I</t>
    </r>
    <r>
      <rPr>
        <sz val="8"/>
        <rFont val="Arial"/>
        <family val="2"/>
        <charset val="162"/>
      </rPr>
      <t>PBL (HE-A) 120</t>
    </r>
  </si>
  <si>
    <r>
      <t>I</t>
    </r>
    <r>
      <rPr>
        <sz val="8"/>
        <rFont val="Arial"/>
        <family val="2"/>
        <charset val="162"/>
      </rPr>
      <t>PBL (HE-A) 140</t>
    </r>
  </si>
  <si>
    <r>
      <t>I</t>
    </r>
    <r>
      <rPr>
        <sz val="8"/>
        <rFont val="Arial"/>
        <family val="2"/>
        <charset val="162"/>
      </rPr>
      <t>PBL (HE-A) 160</t>
    </r>
  </si>
  <si>
    <r>
      <t>I</t>
    </r>
    <r>
      <rPr>
        <sz val="8"/>
        <rFont val="Arial"/>
        <family val="2"/>
        <charset val="162"/>
      </rPr>
      <t>PBL (HE-A) 180</t>
    </r>
  </si>
  <si>
    <r>
      <t>I</t>
    </r>
    <r>
      <rPr>
        <sz val="8"/>
        <rFont val="Arial"/>
        <family val="2"/>
        <charset val="162"/>
      </rPr>
      <t>PBL (HE-A) 200</t>
    </r>
  </si>
  <si>
    <r>
      <t>I</t>
    </r>
    <r>
      <rPr>
        <sz val="8"/>
        <rFont val="Arial"/>
        <family val="2"/>
        <charset val="162"/>
      </rPr>
      <t>PBL (HE-A) 220</t>
    </r>
  </si>
  <si>
    <r>
      <t>I</t>
    </r>
    <r>
      <rPr>
        <sz val="8"/>
        <rFont val="Arial"/>
        <family val="2"/>
        <charset val="162"/>
      </rPr>
      <t>PBL (HE-A) 240</t>
    </r>
  </si>
  <si>
    <r>
      <t>I</t>
    </r>
    <r>
      <rPr>
        <sz val="8"/>
        <rFont val="Arial"/>
        <family val="2"/>
        <charset val="162"/>
      </rPr>
      <t>PBL (HE-A) 260</t>
    </r>
  </si>
  <si>
    <r>
      <t>I</t>
    </r>
    <r>
      <rPr>
        <sz val="8"/>
        <rFont val="Arial"/>
        <family val="2"/>
        <charset val="162"/>
      </rPr>
      <t>PBL (HE-A) 280</t>
    </r>
  </si>
  <si>
    <r>
      <t>I</t>
    </r>
    <r>
      <rPr>
        <sz val="8"/>
        <rFont val="Arial"/>
        <family val="2"/>
        <charset val="162"/>
      </rPr>
      <t>PBL (HE-A) 300</t>
    </r>
  </si>
  <si>
    <r>
      <t>I</t>
    </r>
    <r>
      <rPr>
        <sz val="8"/>
        <rFont val="Arial"/>
        <family val="2"/>
        <charset val="162"/>
      </rPr>
      <t>PBL (HE-A) 320</t>
    </r>
  </si>
  <si>
    <r>
      <t>I</t>
    </r>
    <r>
      <rPr>
        <sz val="8"/>
        <rFont val="Arial"/>
        <family val="2"/>
        <charset val="162"/>
      </rPr>
      <t>PBL (HE-A) 340</t>
    </r>
  </si>
  <si>
    <r>
      <t>I</t>
    </r>
    <r>
      <rPr>
        <sz val="8"/>
        <rFont val="Arial"/>
        <family val="2"/>
        <charset val="162"/>
      </rPr>
      <t>PBL (HE-A) 360</t>
    </r>
  </si>
  <si>
    <r>
      <t>I</t>
    </r>
    <r>
      <rPr>
        <sz val="8"/>
        <rFont val="Arial"/>
        <family val="2"/>
        <charset val="162"/>
      </rPr>
      <t>PBL (HE-A) 400</t>
    </r>
  </si>
  <si>
    <r>
      <t>I</t>
    </r>
    <r>
      <rPr>
        <sz val="8"/>
        <rFont val="Arial"/>
        <family val="2"/>
        <charset val="162"/>
      </rPr>
      <t>PBL (HE-A) 450</t>
    </r>
  </si>
  <si>
    <r>
      <t>I</t>
    </r>
    <r>
      <rPr>
        <sz val="8"/>
        <rFont val="Arial"/>
        <family val="2"/>
        <charset val="162"/>
      </rPr>
      <t>PBL (HE-A) 500</t>
    </r>
  </si>
  <si>
    <r>
      <t>I</t>
    </r>
    <r>
      <rPr>
        <sz val="8"/>
        <rFont val="Arial"/>
        <family val="2"/>
        <charset val="162"/>
      </rPr>
      <t>PBL (HE-A) 550</t>
    </r>
  </si>
  <si>
    <r>
      <t>I</t>
    </r>
    <r>
      <rPr>
        <sz val="8"/>
        <rFont val="Arial"/>
        <family val="2"/>
        <charset val="162"/>
      </rPr>
      <t>PBL (HE-A) 600</t>
    </r>
  </si>
  <si>
    <r>
      <t>I</t>
    </r>
    <r>
      <rPr>
        <sz val="8"/>
        <rFont val="Arial"/>
        <family val="2"/>
        <charset val="162"/>
      </rPr>
      <t>PBL (HE-A) 650</t>
    </r>
  </si>
  <si>
    <r>
      <t>I</t>
    </r>
    <r>
      <rPr>
        <sz val="8"/>
        <rFont val="Arial"/>
        <family val="2"/>
        <charset val="162"/>
      </rPr>
      <t>PBL (HE-A) 700</t>
    </r>
  </si>
  <si>
    <r>
      <t>I</t>
    </r>
    <r>
      <rPr>
        <sz val="8"/>
        <rFont val="Arial"/>
        <family val="2"/>
        <charset val="162"/>
      </rPr>
      <t>PBL (HE-A) 800</t>
    </r>
  </si>
  <si>
    <r>
      <t>I</t>
    </r>
    <r>
      <rPr>
        <sz val="8"/>
        <rFont val="Arial"/>
        <family val="2"/>
        <charset val="162"/>
      </rPr>
      <t>PBL (HE-A) 900</t>
    </r>
  </si>
  <si>
    <r>
      <t>I</t>
    </r>
    <r>
      <rPr>
        <sz val="8"/>
        <rFont val="Arial"/>
        <family val="2"/>
        <charset val="162"/>
      </rPr>
      <t>PBL (HE-A) 1000</t>
    </r>
  </si>
  <si>
    <r>
      <t>I</t>
    </r>
    <r>
      <rPr>
        <b/>
        <sz val="8"/>
        <rFont val="Arial"/>
        <family val="2"/>
        <charset val="162"/>
      </rPr>
      <t>PB (HE-B) profiller</t>
    </r>
  </si>
  <si>
    <r>
      <t>I</t>
    </r>
    <r>
      <rPr>
        <sz val="8"/>
        <rFont val="Arial"/>
        <family val="2"/>
        <charset val="162"/>
      </rPr>
      <t>PB (HE-B) 100</t>
    </r>
  </si>
  <si>
    <r>
      <t>I</t>
    </r>
    <r>
      <rPr>
        <sz val="8"/>
        <rFont val="Arial"/>
        <family val="2"/>
        <charset val="162"/>
      </rPr>
      <t>PB (HE-B) 120</t>
    </r>
  </si>
  <si>
    <r>
      <t>I</t>
    </r>
    <r>
      <rPr>
        <sz val="8"/>
        <rFont val="Arial"/>
        <family val="2"/>
        <charset val="162"/>
      </rPr>
      <t>PB (HE-B) 140</t>
    </r>
  </si>
  <si>
    <r>
      <t>I</t>
    </r>
    <r>
      <rPr>
        <sz val="8"/>
        <rFont val="Arial"/>
        <family val="2"/>
        <charset val="162"/>
      </rPr>
      <t>PB (HE-B) 160</t>
    </r>
  </si>
  <si>
    <r>
      <t>I</t>
    </r>
    <r>
      <rPr>
        <sz val="8"/>
        <rFont val="Arial"/>
        <family val="2"/>
        <charset val="162"/>
      </rPr>
      <t>PB (HE-B) 180</t>
    </r>
  </si>
  <si>
    <r>
      <t>I</t>
    </r>
    <r>
      <rPr>
        <sz val="8"/>
        <rFont val="Arial"/>
        <family val="2"/>
        <charset val="162"/>
      </rPr>
      <t>PB (HE-B) 200</t>
    </r>
  </si>
  <si>
    <r>
      <t>I</t>
    </r>
    <r>
      <rPr>
        <sz val="8"/>
        <rFont val="Arial"/>
        <family val="2"/>
        <charset val="162"/>
      </rPr>
      <t>PB (HE-B) 220</t>
    </r>
  </si>
  <si>
    <r>
      <t>I</t>
    </r>
    <r>
      <rPr>
        <sz val="8"/>
        <rFont val="Arial"/>
        <family val="2"/>
        <charset val="162"/>
      </rPr>
      <t>PB (HE-B) 240</t>
    </r>
  </si>
  <si>
    <r>
      <t>I</t>
    </r>
    <r>
      <rPr>
        <sz val="8"/>
        <rFont val="Arial"/>
        <family val="2"/>
        <charset val="162"/>
      </rPr>
      <t>PB (HE-B) 260</t>
    </r>
  </si>
  <si>
    <r>
      <t>I</t>
    </r>
    <r>
      <rPr>
        <sz val="8"/>
        <rFont val="Arial"/>
        <family val="2"/>
        <charset val="162"/>
      </rPr>
      <t>PB (HE-B) 280</t>
    </r>
  </si>
  <si>
    <r>
      <t>I</t>
    </r>
    <r>
      <rPr>
        <sz val="8"/>
        <rFont val="Arial"/>
        <family val="2"/>
        <charset val="162"/>
      </rPr>
      <t>PB (HE-B) 300</t>
    </r>
  </si>
  <si>
    <r>
      <t>I</t>
    </r>
    <r>
      <rPr>
        <sz val="8"/>
        <rFont val="Arial"/>
        <family val="2"/>
        <charset val="162"/>
      </rPr>
      <t>PB (HE-B) 320</t>
    </r>
  </si>
  <si>
    <r>
      <t>I</t>
    </r>
    <r>
      <rPr>
        <sz val="8"/>
        <rFont val="Arial"/>
        <family val="2"/>
        <charset val="162"/>
      </rPr>
      <t>PB (HE-B) 340</t>
    </r>
  </si>
  <si>
    <r>
      <t>I</t>
    </r>
    <r>
      <rPr>
        <sz val="8"/>
        <rFont val="Arial"/>
        <family val="2"/>
        <charset val="162"/>
      </rPr>
      <t>PB (HE-B) 360</t>
    </r>
  </si>
  <si>
    <r>
      <t>I</t>
    </r>
    <r>
      <rPr>
        <sz val="8"/>
        <rFont val="Arial"/>
        <family val="2"/>
        <charset val="162"/>
      </rPr>
      <t>PB (HE-B) 400</t>
    </r>
  </si>
  <si>
    <r>
      <t>I</t>
    </r>
    <r>
      <rPr>
        <sz val="8"/>
        <rFont val="Arial"/>
        <family val="2"/>
        <charset val="162"/>
      </rPr>
      <t>PB (HE-B) 450</t>
    </r>
  </si>
  <si>
    <r>
      <t>I</t>
    </r>
    <r>
      <rPr>
        <sz val="8"/>
        <rFont val="Arial"/>
        <family val="2"/>
        <charset val="162"/>
      </rPr>
      <t>PB (HE-B) 500</t>
    </r>
  </si>
  <si>
    <r>
      <t>I</t>
    </r>
    <r>
      <rPr>
        <sz val="8"/>
        <rFont val="Arial"/>
        <family val="2"/>
        <charset val="162"/>
      </rPr>
      <t>PB (HE-B) 550</t>
    </r>
  </si>
  <si>
    <r>
      <t>I</t>
    </r>
    <r>
      <rPr>
        <sz val="8"/>
        <rFont val="Arial"/>
        <family val="2"/>
        <charset val="162"/>
      </rPr>
      <t>PB (HE-B) 600</t>
    </r>
  </si>
  <si>
    <r>
      <t>I</t>
    </r>
    <r>
      <rPr>
        <sz val="8"/>
        <rFont val="Arial"/>
        <family val="2"/>
        <charset val="162"/>
      </rPr>
      <t>PB (HE-B) 650</t>
    </r>
  </si>
  <si>
    <r>
      <t>I</t>
    </r>
    <r>
      <rPr>
        <sz val="8"/>
        <rFont val="Arial"/>
        <family val="2"/>
        <charset val="162"/>
      </rPr>
      <t>PB (HE-B) 700</t>
    </r>
  </si>
  <si>
    <r>
      <t>I</t>
    </r>
    <r>
      <rPr>
        <sz val="8"/>
        <rFont val="Arial"/>
        <family val="2"/>
        <charset val="162"/>
      </rPr>
      <t>PB (HE-B) 800</t>
    </r>
  </si>
  <si>
    <r>
      <t>I</t>
    </r>
    <r>
      <rPr>
        <sz val="8"/>
        <rFont val="Arial"/>
        <family val="2"/>
        <charset val="162"/>
      </rPr>
      <t>PB (HE-B) 900</t>
    </r>
  </si>
  <si>
    <r>
      <t>I</t>
    </r>
    <r>
      <rPr>
        <sz val="8"/>
        <rFont val="Arial"/>
        <family val="2"/>
        <charset val="162"/>
      </rPr>
      <t>PB (HE-B) 1000</t>
    </r>
  </si>
  <si>
    <r>
      <t>I</t>
    </r>
    <r>
      <rPr>
        <b/>
        <sz val="8"/>
        <rFont val="Arial"/>
        <family val="2"/>
        <charset val="162"/>
      </rPr>
      <t>PBv (HE-M) profiller</t>
    </r>
  </si>
  <si>
    <r>
      <t>I</t>
    </r>
    <r>
      <rPr>
        <sz val="8"/>
        <rFont val="Arial"/>
        <family val="2"/>
        <charset val="162"/>
      </rPr>
      <t>PBv (HE-M) 100</t>
    </r>
  </si>
  <si>
    <r>
      <t>I</t>
    </r>
    <r>
      <rPr>
        <sz val="8"/>
        <rFont val="Arial"/>
        <family val="2"/>
        <charset val="162"/>
      </rPr>
      <t>PBv (HE-M) 120</t>
    </r>
  </si>
  <si>
    <r>
      <t>I</t>
    </r>
    <r>
      <rPr>
        <sz val="8"/>
        <rFont val="Arial"/>
        <family val="2"/>
        <charset val="162"/>
      </rPr>
      <t>PBv (HE-M) 140</t>
    </r>
  </si>
  <si>
    <r>
      <t>I</t>
    </r>
    <r>
      <rPr>
        <sz val="8"/>
        <rFont val="Arial"/>
        <family val="2"/>
        <charset val="162"/>
      </rPr>
      <t>PBv (HE-M) 160</t>
    </r>
  </si>
  <si>
    <r>
      <t>I</t>
    </r>
    <r>
      <rPr>
        <sz val="8"/>
        <rFont val="Arial"/>
        <family val="2"/>
        <charset val="162"/>
      </rPr>
      <t>PBv (HE-M) 180</t>
    </r>
  </si>
  <si>
    <r>
      <t>I</t>
    </r>
    <r>
      <rPr>
        <sz val="8"/>
        <rFont val="Arial"/>
        <family val="2"/>
        <charset val="162"/>
      </rPr>
      <t>PBv (HE-M) 200</t>
    </r>
  </si>
  <si>
    <r>
      <t>I</t>
    </r>
    <r>
      <rPr>
        <sz val="8"/>
        <rFont val="Arial"/>
        <family val="2"/>
        <charset val="162"/>
      </rPr>
      <t>PBv (HE-M) 220</t>
    </r>
  </si>
  <si>
    <r>
      <t>I</t>
    </r>
    <r>
      <rPr>
        <sz val="8"/>
        <rFont val="Arial"/>
        <family val="2"/>
        <charset val="162"/>
      </rPr>
      <t>PBv (HE-M) 240</t>
    </r>
  </si>
  <si>
    <r>
      <t>I</t>
    </r>
    <r>
      <rPr>
        <sz val="8"/>
        <rFont val="Arial"/>
        <family val="2"/>
        <charset val="162"/>
      </rPr>
      <t>PBv (HE-M) 260</t>
    </r>
  </si>
  <si>
    <r>
      <t>I</t>
    </r>
    <r>
      <rPr>
        <sz val="8"/>
        <rFont val="Arial"/>
        <family val="2"/>
        <charset val="162"/>
      </rPr>
      <t>PBv (HE-M) 280</t>
    </r>
  </si>
  <si>
    <r>
      <t>I</t>
    </r>
    <r>
      <rPr>
        <sz val="8"/>
        <rFont val="Arial"/>
        <family val="2"/>
        <charset val="162"/>
      </rPr>
      <t>PBv (HE-M) 300</t>
    </r>
  </si>
  <si>
    <r>
      <t>I</t>
    </r>
    <r>
      <rPr>
        <sz val="8"/>
        <rFont val="Arial"/>
        <family val="2"/>
        <charset val="162"/>
      </rPr>
      <t>PBv (HE-M) 320/305</t>
    </r>
  </si>
  <si>
    <r>
      <t>I</t>
    </r>
    <r>
      <rPr>
        <sz val="8"/>
        <rFont val="Arial"/>
        <family val="2"/>
        <charset val="162"/>
      </rPr>
      <t>PBv (HE-M) 320</t>
    </r>
  </si>
  <si>
    <r>
      <t>I</t>
    </r>
    <r>
      <rPr>
        <sz val="8"/>
        <rFont val="Arial"/>
        <family val="2"/>
        <charset val="162"/>
      </rPr>
      <t>PBv (HE-M) 340</t>
    </r>
  </si>
  <si>
    <r>
      <t>I</t>
    </r>
    <r>
      <rPr>
        <sz val="8"/>
        <rFont val="Arial"/>
        <family val="2"/>
        <charset val="162"/>
      </rPr>
      <t>PBv (HE-M) 360</t>
    </r>
  </si>
  <si>
    <r>
      <t>I</t>
    </r>
    <r>
      <rPr>
        <sz val="8"/>
        <rFont val="Arial"/>
        <family val="2"/>
        <charset val="162"/>
      </rPr>
      <t>PBv (HE-M) 400</t>
    </r>
  </si>
  <si>
    <r>
      <t>I</t>
    </r>
    <r>
      <rPr>
        <sz val="8"/>
        <rFont val="Arial"/>
        <family val="2"/>
        <charset val="162"/>
      </rPr>
      <t>PBv (HE-M) 450</t>
    </r>
  </si>
  <si>
    <r>
      <t>I</t>
    </r>
    <r>
      <rPr>
        <sz val="8"/>
        <rFont val="Arial"/>
        <family val="2"/>
        <charset val="162"/>
      </rPr>
      <t>PBv (HE-M) 500</t>
    </r>
  </si>
  <si>
    <r>
      <t>I</t>
    </r>
    <r>
      <rPr>
        <sz val="8"/>
        <rFont val="Arial"/>
        <family val="2"/>
        <charset val="162"/>
      </rPr>
      <t>PBv (HE-M) 550</t>
    </r>
  </si>
  <si>
    <r>
      <t>I</t>
    </r>
    <r>
      <rPr>
        <sz val="8"/>
        <rFont val="Arial"/>
        <family val="2"/>
        <charset val="162"/>
      </rPr>
      <t>PBv (HE-M) 600</t>
    </r>
  </si>
  <si>
    <r>
      <t>I</t>
    </r>
    <r>
      <rPr>
        <sz val="8"/>
        <rFont val="Arial"/>
        <family val="2"/>
        <charset val="162"/>
      </rPr>
      <t>PBv (HE-M) 650</t>
    </r>
  </si>
  <si>
    <r>
      <t>I</t>
    </r>
    <r>
      <rPr>
        <sz val="8"/>
        <rFont val="Arial"/>
        <family val="2"/>
        <charset val="162"/>
      </rPr>
      <t>PBv (HE-M) 700</t>
    </r>
  </si>
  <si>
    <r>
      <t>I</t>
    </r>
    <r>
      <rPr>
        <sz val="8"/>
        <rFont val="Arial"/>
        <family val="2"/>
        <charset val="162"/>
      </rPr>
      <t>PBv (HE-M) 800</t>
    </r>
  </si>
  <si>
    <r>
      <t>I</t>
    </r>
    <r>
      <rPr>
        <sz val="8"/>
        <rFont val="Arial"/>
        <family val="2"/>
        <charset val="162"/>
      </rPr>
      <t>PBv (HE-M) 900</t>
    </r>
  </si>
  <si>
    <r>
      <t>I</t>
    </r>
    <r>
      <rPr>
        <sz val="8"/>
        <rFont val="Arial"/>
        <family val="2"/>
        <charset val="162"/>
      </rPr>
      <t>PBv (HE-M) 1000</t>
    </r>
  </si>
  <si>
    <t>YENİ</t>
  </si>
  <si>
    <t>y</t>
  </si>
  <si>
    <t>IPE 600</t>
  </si>
  <si>
    <t>ymax = L / 300 =</t>
  </si>
  <si>
    <t xml:space="preserve"> /</t>
  </si>
  <si>
    <t>ymax =</t>
  </si>
  <si>
    <t>(kiriş atalet momenti)</t>
  </si>
  <si>
    <t>Dikkat sadece sarı hücrelere data girilecek.</t>
  </si>
  <si>
    <r>
      <t>M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 0    (sağ mesnette moment sıfır şartından)</t>
    </r>
  </si>
  <si>
    <t>(sol mesnet tepkisi)</t>
  </si>
  <si>
    <t>(sağ mesnet tepkisi)</t>
  </si>
  <si>
    <t>(integral)</t>
  </si>
  <si>
    <r>
      <t>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6 </t>
    </r>
  </si>
  <si>
    <t xml:space="preserve">)² / 2 </t>
  </si>
  <si>
    <t>x²</t>
  </si>
  <si>
    <r>
      <t>x</t>
    </r>
    <r>
      <rPr>
        <vertAlign val="superscript"/>
        <sz val="8"/>
        <color theme="1"/>
        <rFont val="Arial"/>
        <family val="2"/>
        <charset val="162"/>
      </rPr>
      <t>3</t>
    </r>
  </si>
  <si>
    <r>
      <t>x</t>
    </r>
    <r>
      <rPr>
        <vertAlign val="superscript"/>
        <sz val="8"/>
        <color theme="1"/>
        <rFont val="Arial"/>
        <family val="2"/>
        <charset val="162"/>
      </rPr>
      <t>4</t>
    </r>
  </si>
  <si>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>/</t>
    </r>
  </si>
  <si>
    <t>KN/m</t>
  </si>
  <si>
    <r>
      <rPr>
        <vertAlign val="superscript"/>
        <sz val="8"/>
        <color theme="1"/>
        <rFont val="Arial"/>
        <family val="2"/>
        <charset val="162"/>
      </rPr>
      <t xml:space="preserve"> 4</t>
    </r>
    <r>
      <rPr>
        <sz val="8"/>
        <color theme="1"/>
        <rFont val="Arial"/>
        <family val="2"/>
        <charset val="162"/>
      </rPr>
      <t>/</t>
    </r>
  </si>
  <si>
    <t>Fy = 0    (düşey denge denklemi yazılırsa)</t>
  </si>
  <si>
    <t>²/</t>
  </si>
  <si>
    <t>KNm</t>
  </si>
  <si>
    <t>(izin verilebilir çelik kiriş max sehim miktarı)</t>
  </si>
  <si>
    <r>
      <t>)*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/ (</t>
    </r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</si>
  <si>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dy / dx =</t>
    </r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</si>
  <si>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* y =</t>
    </r>
  </si>
  <si>
    <r>
      <t>x ) *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/ 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</t>
    </r>
  </si>
  <si>
    <t>L=</t>
  </si>
  <si>
    <t>M =</t>
  </si>
  <si>
    <t>M=</t>
  </si>
  <si>
    <t>)²</t>
  </si>
  <si>
    <t>)=</t>
  </si>
  <si>
    <t>ymax = L / 200 =</t>
  </si>
  <si>
    <r>
      <rPr>
        <b/>
        <sz val="12"/>
        <color theme="5" tint="-0.499984740745262"/>
        <rFont val="Arial"/>
        <family val="2"/>
        <charset val="162"/>
      </rPr>
      <t>TEKİL &amp; YAYILI YÜKLÜ ÇELİK BASİT KİRİŞ SEHİM HESABI (6 adet tekil yüklü)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</si>
  <si>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r>
      <rPr>
        <b/>
        <sz val="12"/>
        <color theme="5" tint="-0.499984740745262"/>
        <rFont val="Arial"/>
        <family val="2"/>
        <charset val="162"/>
      </rPr>
      <t>TEKİL &amp; YAYILI YÜKLÜ ÇELİK BASİT KİRİŞ SEHİM HESABI (5 adet tekil yüklü)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</si>
  <si>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r>
      <rPr>
        <b/>
        <sz val="12"/>
        <color theme="5" tint="-0.499984740745262"/>
        <rFont val="Arial"/>
        <family val="2"/>
        <charset val="162"/>
      </rPr>
      <t>TEKİL &amp; YAYILI YÜKLÜ ÇELİK BASİT KİRİŞ SEHİM HESABI (4 adet tekil yüklü)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</si>
  <si>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r>
      <rPr>
        <b/>
        <sz val="12"/>
        <color theme="5" tint="-0.499984740745262"/>
        <rFont val="Arial"/>
        <family val="2"/>
        <charset val="162"/>
      </rPr>
      <t>TEKİL &amp; YAYILI YÜKLÜ ÇELİK BASİT KİRİŞ SEHİM HESABI (3 adet tekil yüklü)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</si>
  <si>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r>
      <rPr>
        <b/>
        <sz val="12"/>
        <color theme="5" tint="-0.499984740745262"/>
        <rFont val="Arial"/>
        <family val="2"/>
        <charset val="162"/>
      </rPr>
      <t>TEKİL &amp; YAYILI YÜKLÜ ÇELİK BASİT KİRİŞ SEHİM HESABI (2 adet tekil yüklü)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</si>
  <si>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r>
      <rPr>
        <b/>
        <sz val="12"/>
        <color theme="5" tint="-0.499984740745262"/>
        <rFont val="Arial"/>
        <family val="2"/>
        <charset val="162"/>
      </rPr>
      <t>TEKİL &amp; YAYILI YÜKLÜ ÇELİK BASİT KİRİŞ SEHİM HESABI (1 adet tekil yüklü)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</si>
  <si>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w =</t>
  </si>
  <si>
    <t>M = w * L² / 12 =</t>
  </si>
  <si>
    <t>²-</t>
  </si>
  <si>
    <t>² ) /</t>
  </si>
  <si>
    <t>m. ' deki moment ve kesme kuvveti miktarı</t>
  </si>
  <si>
    <r>
      <t>y = w * 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( 24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* ( x² / L² - 2 * x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+ x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)</t>
    </r>
  </si>
  <si>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>/(</t>
    </r>
  </si>
  <si>
    <t>)*(</t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</si>
  <si>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+</t>
    </r>
  </si>
  <si>
    <t>A = B = w * L / 2 =</t>
  </si>
  <si>
    <r>
      <rPr>
        <vertAlign val="superscript"/>
        <sz val="8"/>
        <color theme="1"/>
        <rFont val="Arial"/>
        <family val="2"/>
        <charset val="162"/>
      </rPr>
      <t xml:space="preserve">4 </t>
    </r>
    <r>
      <rPr>
        <sz val="8"/>
        <color theme="1"/>
        <rFont val="Arial"/>
        <family val="2"/>
        <charset val="162"/>
      </rPr>
      <t>) * 10</t>
    </r>
    <r>
      <rPr>
        <vertAlign val="superscript"/>
        <sz val="8"/>
        <color theme="1"/>
        <rFont val="Arial"/>
        <family val="2"/>
        <charset val="162"/>
      </rPr>
      <t>12</t>
    </r>
  </si>
  <si>
    <t>Vx =</t>
  </si>
  <si>
    <t>MESNET TEPKİLERİ</t>
  </si>
  <si>
    <t>ARA KESİT TESİRLERİ</t>
  </si>
  <si>
    <t>SEHİM HESABI</t>
  </si>
  <si>
    <t>MAKSİMUM SEHİM SINIRLARI</t>
  </si>
  <si>
    <t>ÇELİK İÇİN :</t>
  </si>
  <si>
    <t>Kirişler</t>
  </si>
  <si>
    <t xml:space="preserve">L &gt;= 5m  ise </t>
  </si>
  <si>
    <t>fmax = L / 300</t>
  </si>
  <si>
    <t xml:space="preserve">L &lt; 5m  ise </t>
  </si>
  <si>
    <t>fmax = önemsiz</t>
  </si>
  <si>
    <t>Beton içinde çelik profil ise</t>
  </si>
  <si>
    <t>fmax = L / 200</t>
  </si>
  <si>
    <t>Aşık ve mertekler</t>
  </si>
  <si>
    <t>Bağlantı kirişleri ve çok yüklü kirişler</t>
  </si>
  <si>
    <t xml:space="preserve">L &gt;= 7m  ise </t>
  </si>
  <si>
    <t>fmax = L / 500</t>
  </si>
  <si>
    <t>Beton içinde</t>
  </si>
  <si>
    <t>Konsol kiriş</t>
  </si>
  <si>
    <t>AHŞAP :</t>
  </si>
  <si>
    <t>Asma çatılar</t>
  </si>
  <si>
    <t>Döşeme kirişlerİ</t>
  </si>
  <si>
    <t>fmax = L / 150</t>
  </si>
  <si>
    <t>Kafes kirişler</t>
  </si>
  <si>
    <t>fmax = L / 700</t>
  </si>
  <si>
    <t>KAYNAK: Prof.Orhan GÜNSOY (Yapı Statiği Cilt 1. baskı yılı 1971)</t>
  </si>
  <si>
    <r>
      <rPr>
        <b/>
        <sz val="12"/>
        <color theme="5" tint="-0.499984740745262"/>
        <rFont val="Arial"/>
        <family val="2"/>
        <charset val="162"/>
      </rPr>
      <t>YAYILI YÜKLÜ ÇELİK İKİ UCU ANKASTRE KİRİŞ SEHİM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</si>
  <si>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L / 2 =</t>
  </si>
  <si>
    <t>L / 4 =</t>
  </si>
  <si>
    <r>
      <t>M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 =</t>
    </r>
  </si>
  <si>
    <t>3 * L / 4 =</t>
  </si>
  <si>
    <r>
      <t>M</t>
    </r>
    <r>
      <rPr>
        <vertAlign val="subscript"/>
        <sz val="8"/>
        <color theme="1"/>
        <rFont val="Arial"/>
        <family val="2"/>
        <charset val="162"/>
      </rPr>
      <t>C</t>
    </r>
    <r>
      <rPr>
        <sz val="8"/>
        <color theme="1"/>
        <rFont val="Arial"/>
        <family val="2"/>
        <charset val="162"/>
      </rPr>
      <t xml:space="preserve"> =</t>
    </r>
  </si>
  <si>
    <t>m. ' deki moment miktarı</t>
  </si>
  <si>
    <r>
      <t>EĞİLME HESABINDA KULLANILMAK ÜZERE Cb KATSAYISI İÇİN ( Mmax ; M</t>
    </r>
    <r>
      <rPr>
        <i/>
        <u/>
        <vertAlign val="subscript"/>
        <sz val="8"/>
        <color theme="1"/>
        <rFont val="Arial"/>
        <family val="2"/>
        <charset val="162"/>
      </rPr>
      <t>A</t>
    </r>
    <r>
      <rPr>
        <i/>
        <u/>
        <sz val="8"/>
        <color theme="1"/>
        <rFont val="Arial"/>
        <family val="2"/>
        <charset val="162"/>
      </rPr>
      <t xml:space="preserve"> ; M</t>
    </r>
    <r>
      <rPr>
        <i/>
        <u/>
        <vertAlign val="subscript"/>
        <sz val="8"/>
        <color theme="1"/>
        <rFont val="Arial"/>
        <family val="2"/>
        <charset val="162"/>
      </rPr>
      <t>B</t>
    </r>
    <r>
      <rPr>
        <i/>
        <u/>
        <sz val="8"/>
        <color theme="1"/>
        <rFont val="Arial"/>
        <family val="2"/>
        <charset val="162"/>
      </rPr>
      <t xml:space="preserve"> ; M</t>
    </r>
    <r>
      <rPr>
        <i/>
        <u/>
        <vertAlign val="subscript"/>
        <sz val="8"/>
        <color theme="1"/>
        <rFont val="Arial"/>
        <family val="2"/>
        <charset val="162"/>
      </rPr>
      <t>C</t>
    </r>
    <r>
      <rPr>
        <i/>
        <u/>
        <sz val="8"/>
        <color theme="1"/>
        <rFont val="Arial"/>
        <family val="2"/>
        <charset val="162"/>
      </rPr>
      <t xml:space="preserve"> ) HESABI (Çelik yönetmelik madde 9.1.(c) uyarınca)</t>
    </r>
  </si>
  <si>
    <t>² /</t>
  </si>
  <si>
    <t>)/(</t>
  </si>
  <si>
    <r>
      <rPr>
        <b/>
        <sz val="12"/>
        <color theme="5" tint="-0.499984740745262"/>
        <rFont val="Arial"/>
        <family val="2"/>
        <charset val="162"/>
      </rPr>
      <t>YAYILI YÜKLÜ ÇELİK BİR UCU ANKASTRE KİRİŞ SEHİM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</si>
  <si>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m. ' deki max moment miktarı</t>
  </si>
  <si>
    <t>Mx = - w * ( L² - 6 * L * x + 6 * x² ) / 12 =</t>
  </si>
  <si>
    <t>Vx = w * ( L / 2 - x ) =</t>
  </si>
  <si>
    <t>Mmax =</t>
  </si>
  <si>
    <r>
      <t>M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</t>
    </r>
  </si>
  <si>
    <t>m. ' deki max açıklık moment miktarı</t>
  </si>
  <si>
    <r>
      <t>( M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 L / 2 mesafedeki gerekli eğilme momentinin mutlak değeri )</t>
    </r>
  </si>
  <si>
    <r>
      <t>( M</t>
    </r>
    <r>
      <rPr>
        <vertAlign val="subscript"/>
        <sz val="8"/>
        <color theme="1"/>
        <rFont val="Arial"/>
        <family val="2"/>
        <charset val="162"/>
      </rPr>
      <t>C</t>
    </r>
    <r>
      <rPr>
        <sz val="8"/>
        <color theme="1"/>
        <rFont val="Arial"/>
        <family val="2"/>
        <charset val="162"/>
      </rPr>
      <t xml:space="preserve"> = 3 * L / 4 mesafedeki gerekli eğilme momentinin mutlak değeri )</t>
    </r>
  </si>
  <si>
    <r>
      <t>( M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 = L / 4 mesafedeki gerekli eğilme momentinin mutlak değeri )</t>
    </r>
  </si>
  <si>
    <t>Çelik yönetmelik madde 9.1.(c) uyarınca</t>
  </si>
  <si>
    <t>x = (</t>
  </si>
  <si>
    <t>) ) /</t>
  </si>
  <si>
    <t>mm²</t>
  </si>
  <si>
    <t>mm4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</si>
  <si>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y =</t>
    </r>
  </si>
  <si>
    <t>Mmax = w * L² / 8 =</t>
  </si>
  <si>
    <t>Aalan =</t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</si>
  <si>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y / ( E * (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x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y -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xy² ) ) =</t>
    </r>
  </si>
  <si>
    <t xml:space="preserve"> /(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</si>
  <si>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xy =</t>
    </r>
  </si>
  <si>
    <t>² ) ) =</t>
  </si>
  <si>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xy / ( E * (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x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y -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xy² ) ) =</t>
    </r>
  </si>
  <si>
    <r>
      <t xml:space="preserve">y = 5 *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* w * 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384 =</t>
    </r>
  </si>
  <si>
    <r>
      <t xml:space="preserve">x = 5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* w * 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384 =</t>
    </r>
  </si>
  <si>
    <t>(düşey sehim)</t>
  </si>
  <si>
    <t>(yatay sehim)</t>
  </si>
  <si>
    <t>ağr.mrkz.</t>
  </si>
  <si>
    <t>xmax =</t>
  </si>
  <si>
    <r>
      <rPr>
        <b/>
        <sz val="12"/>
        <color theme="5" tint="-0.499984740745262"/>
        <rFont val="Arial"/>
        <family val="2"/>
        <charset val="162"/>
      </rPr>
      <t>YAYILI YÜKLÜ ÇELİK BASİT KİRİŞ SEHİM HESABI (enkesiti simetrik olmayan)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</si>
  <si>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ymax = xmax = L / 300 =</t>
  </si>
  <si>
    <t>)/</t>
  </si>
  <si>
    <t>²+</t>
  </si>
  <si>
    <t>²=</t>
  </si>
  <si>
    <t>Not : sehim hesabında (G + Q) yük terimleri kullanılmalı.</t>
  </si>
  <si>
    <t>Mx = w * L * x / 2 - w * x² / 2 =</t>
  </si>
  <si>
    <t>Vx = w * L / 2 - w * x / 2 =</t>
  </si>
  <si>
    <t>MESNET TEPKİLERİ VE AÇIKLIK MOMENTİ</t>
  </si>
  <si>
    <r>
      <t>y = 5 * w * 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1"/>
        <charset val="2"/>
      </rPr>
      <t xml:space="preserve"> / ( 384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1"/>
        <charset val="2"/>
      </rPr>
      <t>x ) =</t>
    </r>
  </si>
  <si>
    <t>SEHİM HESABI (açıklık ortasında)</t>
  </si>
  <si>
    <t>Not: Kirişin eğilme dayanımı hesapları için "celik2016_tali_kiris_hesapları" excel dosyasında "profil_kiris_hesabi" sayfasını kullanabilirsiniz.</t>
  </si>
  <si>
    <t>Max =</t>
  </si>
  <si>
    <t>Çelik yönetmelik madde 9.1.(c) uyarınca konsol kirişte Cb = 1 alınır.</t>
  </si>
  <si>
    <r>
      <t>M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 Max =</t>
    </r>
  </si>
  <si>
    <r>
      <t>Cb = 12,5 * Mmax / ( 2,5 * Mmax + 3 * M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 + 4 * M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+ 3 * M</t>
    </r>
    <r>
      <rPr>
        <vertAlign val="subscript"/>
        <sz val="8"/>
        <color theme="1"/>
        <rFont val="Arial"/>
        <family val="2"/>
        <charset val="162"/>
      </rPr>
      <t>C</t>
    </r>
    <r>
      <rPr>
        <sz val="8"/>
        <color theme="1"/>
        <rFont val="Arial"/>
        <family val="2"/>
        <charset val="162"/>
      </rPr>
      <t xml:space="preserve"> )</t>
    </r>
  </si>
  <si>
    <t>Cb =</t>
  </si>
  <si>
    <t>(kiriş elastisite modülü)</t>
  </si>
  <si>
    <t>1.ci bölgede :</t>
  </si>
  <si>
    <t xml:space="preserve">v1' = </t>
  </si>
  <si>
    <t xml:space="preserve">v1'' = </t>
  </si>
  <si>
    <t>)+</t>
  </si>
  <si>
    <t>C2</t>
  </si>
  <si>
    <t>2.ci bölgede :</t>
  </si>
  <si>
    <t xml:space="preserve">v2'' = </t>
  </si>
  <si>
    <t xml:space="preserve">v1 = </t>
  </si>
  <si>
    <r>
      <t>)</t>
    </r>
    <r>
      <rPr>
        <vertAlign val="superscript"/>
        <sz val="8"/>
        <color theme="1"/>
        <rFont val="Arial"/>
        <family val="2"/>
        <charset val="162"/>
      </rPr>
      <t>3</t>
    </r>
  </si>
  <si>
    <t xml:space="preserve">v2' = </t>
  </si>
  <si>
    <t>D1</t>
  </si>
  <si>
    <t xml:space="preserve">v2 = </t>
  </si>
  <si>
    <t>D2</t>
  </si>
  <si>
    <t>( x = 0) v1 = 0</t>
  </si>
  <si>
    <t>Uygunluk koşulları</t>
  </si>
  <si>
    <t>sınır ve uygunluk şartları :</t>
  </si>
  <si>
    <t>x = 0 ; v1 = 0</t>
  </si>
  <si>
    <t>x = L ; v1' =</t>
  </si>
  <si>
    <r>
      <rPr>
        <vertAlign val="superscript"/>
        <sz val="8"/>
        <color theme="1"/>
        <rFont val="Arial"/>
        <family val="2"/>
        <charset val="162"/>
      </rPr>
      <t xml:space="preserve">3 </t>
    </r>
    <r>
      <rPr>
        <sz val="8"/>
        <color theme="1"/>
        <rFont val="Arial"/>
        <family val="2"/>
        <charset val="162"/>
      </rPr>
      <t>/</t>
    </r>
  </si>
  <si>
    <r>
      <t>) *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/ 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</t>
    </r>
  </si>
  <si>
    <r>
      <rPr>
        <b/>
        <sz val="12"/>
        <color theme="5" tint="-0.499984740745262"/>
        <rFont val="Arial"/>
        <family val="2"/>
        <charset val="162"/>
      </rPr>
      <t>TEKİL &amp; YAYILI YÜKLÜ ÇELİK TEK AÇIKLIKLI KONSOLLU KİRİŞ SEHİM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</si>
  <si>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x = L ; v1 = 0</t>
  </si>
  <si>
    <t>x1=</t>
  </si>
  <si>
    <t>x2=</t>
  </si>
  <si>
    <t>M1 =</t>
  </si>
  <si>
    <t>M2 =</t>
  </si>
  <si>
    <t>(max moment)</t>
  </si>
  <si>
    <t>Vmax =</t>
  </si>
  <si>
    <t>(max kesme kuvveti)</t>
  </si>
  <si>
    <t>3.cü bölgede :</t>
  </si>
  <si>
    <t xml:space="preserve">v3'' = </t>
  </si>
  <si>
    <t xml:space="preserve">v3' = </t>
  </si>
  <si>
    <t>E1</t>
  </si>
  <si>
    <t xml:space="preserve">v3 = </t>
  </si>
  <si>
    <t>E2</t>
  </si>
  <si>
    <t>3.cü bölgede elastik eğri denklemi</t>
  </si>
  <si>
    <t>2.ci bölgede elastik eğri denklemi</t>
  </si>
  <si>
    <t>1.ci bölgede elastik eğri denklemi</t>
  </si>
  <si>
    <t>eğilme ve kesme tasarımında kullanılacak değerler</t>
  </si>
  <si>
    <r>
      <t>)</t>
    </r>
    <r>
      <rPr>
        <vertAlign val="superscript"/>
        <sz val="8"/>
        <color theme="1"/>
        <rFont val="Arial"/>
        <family val="2"/>
        <charset val="162"/>
      </rPr>
      <t>4</t>
    </r>
  </si>
  <si>
    <t>3.ci bölgede :</t>
  </si>
  <si>
    <t>( x = L) v2 = ( x = L) v3 = 0</t>
  </si>
  <si>
    <t>x = L ; v2 = 0</t>
  </si>
  <si>
    <t>x = L ; v3 = 0</t>
  </si>
  <si>
    <t>x = L ; v2' =</t>
  </si>
  <si>
    <t>(x = L) v2' = (x = L) v3'</t>
  </si>
  <si>
    <t>x = L ; v3' =</t>
  </si>
  <si>
    <t xml:space="preserve">(x = L ; v2') = ( x = L ; v3' ) = </t>
  </si>
  <si>
    <t>(2.denklem)</t>
  </si>
  <si>
    <t>(1.denklem)</t>
  </si>
  <si>
    <t>(3.denklem)</t>
  </si>
  <si>
    <t>D1 =</t>
  </si>
  <si>
    <t>D2 =</t>
  </si>
  <si>
    <t>E1 =</t>
  </si>
  <si>
    <t>E2 =</t>
  </si>
  <si>
    <t>x = L ; v1 =</t>
  </si>
  <si>
    <t>x = L ; v2 =</t>
  </si>
  <si>
    <t>(x = L  ; v1 ) = ( x = L ; v2 ) =</t>
  </si>
  <si>
    <t>(4.denklem)</t>
  </si>
  <si>
    <t>(x = L  ; v1' ) = ( x = L ; v2' ) =</t>
  </si>
  <si>
    <t>(5.denklem)</t>
  </si>
  <si>
    <t>1.ve 2.ci bölgede :</t>
  </si>
  <si>
    <t>(1.ci ve 2.ci bölge için)</t>
  </si>
  <si>
    <t>(3.cü bölge için Cb = 1 alınır.)</t>
  </si>
  <si>
    <t>beş adet denklem beş adet bilinmeyen çözülürse :</t>
  </si>
  <si>
    <t>F1</t>
  </si>
  <si>
    <t>4.cü bölgede :</t>
  </si>
  <si>
    <t xml:space="preserve">v4'' = </t>
  </si>
  <si>
    <t xml:space="preserve">v4' = </t>
  </si>
  <si>
    <t xml:space="preserve">v4 = </t>
  </si>
  <si>
    <t>F2</t>
  </si>
  <si>
    <t>(x = L) v1' = (x = L) v2'</t>
  </si>
  <si>
    <t>( x = L) v1  = ( x = L) v2 = 0</t>
  </si>
  <si>
    <t>x = L ; v4 = 0</t>
  </si>
  <si>
    <t>(x = L) v1' =</t>
  </si>
  <si>
    <t>(x = L) v2' =</t>
  </si>
  <si>
    <t>(x = L) v1' = (x = L) v2' =</t>
  </si>
  <si>
    <t>(x = L) v3' =</t>
  </si>
  <si>
    <t>(x = L) v3' = (x = L) v4'</t>
  </si>
  <si>
    <t>( x = L) v3 = ( x = L) v4 = 0</t>
  </si>
  <si>
    <t>(x = L) v4' =</t>
  </si>
  <si>
    <t>(x = L) v3' = (x = L) v4' =</t>
  </si>
  <si>
    <t>(6.denklem)</t>
  </si>
  <si>
    <t>(x = L) v2' = (x = L) v3' =</t>
  </si>
  <si>
    <t>(x = L) v2 = (x = L) v3 =</t>
  </si>
  <si>
    <t>(7.denklem)</t>
  </si>
  <si>
    <t>(x = L) v2 =</t>
  </si>
  <si>
    <t>(x = L) v3 =</t>
  </si>
  <si>
    <t>(8.denklem)</t>
  </si>
  <si>
    <t>C2 =</t>
  </si>
  <si>
    <t>F2 =</t>
  </si>
  <si>
    <t>F1 =</t>
  </si>
  <si>
    <t>sekiz adet denklem sekiz adet bilinmeyen çözülürse :</t>
  </si>
  <si>
    <t>4.cü bölgede elastik eğri denklemi</t>
  </si>
  <si>
    <t>2.ve 3.cü bölgede :</t>
  </si>
  <si>
    <t>(1.ve 4.cü bölge için Cb = 1 alınır.)</t>
  </si>
  <si>
    <t>(2.ci ve 3.cü bölge için)</t>
  </si>
  <si>
    <t xml:space="preserve">M = - P * x - w * x ² / 2 </t>
  </si>
  <si>
    <t>x = L ; v = 0</t>
  </si>
  <si>
    <t>x = L ; v' = 0</t>
  </si>
  <si>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</t>
    </r>
  </si>
  <si>
    <t>v'' =</t>
  </si>
  <si>
    <t>Ma =</t>
  </si>
  <si>
    <t>Mb =</t>
  </si>
  <si>
    <t>Ma +</t>
  </si>
  <si>
    <t>v' =</t>
  </si>
  <si>
    <t>v =</t>
  </si>
  <si>
    <t>x = 0 ; v = 0</t>
  </si>
  <si>
    <t>C2 = 0</t>
  </si>
  <si>
    <t>Ma  *</t>
  </si>
  <si>
    <t>(1. denklem)</t>
  </si>
  <si>
    <t>(2. denklem)</t>
  </si>
  <si>
    <t>x = 0 ; v' = 0</t>
  </si>
  <si>
    <t>C1 = 0</t>
  </si>
  <si>
    <t>iki adet denklem iki adet bilinmeyen çözülürse :</t>
  </si>
  <si>
    <t>düşey denge denkleminden</t>
  </si>
  <si>
    <t>sağ konsola göre moment alınırsa</t>
  </si>
  <si>
    <t>Mb = 0</t>
  </si>
  <si>
    <r>
      <rPr>
        <b/>
        <sz val="12"/>
        <color theme="5" tint="-0.499984740745262"/>
        <rFont val="Arial"/>
        <family val="2"/>
        <charset val="162"/>
      </rPr>
      <t>TEKİL &amp; YAYILI YÜKLÜ ÇELİK TEK AÇIKLIKLI ANKASTRE KİRİŞ SEHİM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</si>
  <si>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 xml:space="preserve">MESNET TEPKİLERİ </t>
  </si>
  <si>
    <t>( x = 0) v = 0</t>
  </si>
  <si>
    <t>( x = L) v = 0</t>
  </si>
  <si>
    <r>
      <rPr>
        <b/>
        <sz val="12"/>
        <color theme="5" tint="-0.499984740745262"/>
        <rFont val="Arial"/>
        <family val="2"/>
        <charset val="162"/>
      </rPr>
      <t>TEKİL &amp; YAYILI YÜKLÜ ÇELİK TEK AÇIKLIKLI BASİT KİRİŞ SEHİM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</si>
  <si>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r>
      <rPr>
        <b/>
        <sz val="12"/>
        <color theme="5" tint="-0.499984740745262"/>
        <rFont val="Arial"/>
        <family val="2"/>
        <charset val="162"/>
      </rPr>
      <t>TEKİL &amp; YAYILI YÜKLÜ ÇELİK TEK AÇIKLIKLI BİR UÇ ANKASTRE BİR UÇ KAYICI MESNETLİ KİRİŞ SEHİM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</si>
  <si>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sağ mesnette moment sıfır şartından</t>
  </si>
  <si>
    <t>z</t>
  </si>
  <si>
    <t>v1'' =</t>
  </si>
  <si>
    <t>v2' =</t>
  </si>
  <si>
    <t>v1 =</t>
  </si>
  <si>
    <t>v1' =</t>
  </si>
  <si>
    <t>v2'' =</t>
  </si>
  <si>
    <t>v1''' =</t>
  </si>
  <si>
    <t>v2 =</t>
  </si>
  <si>
    <t>x = 0 ; v1' = 0</t>
  </si>
  <si>
    <t>x = L ; v2' = 0</t>
  </si>
  <si>
    <t>(1.ci denklem)</t>
  </si>
  <si>
    <t>(2.ci denklem)</t>
  </si>
  <si>
    <t>C3</t>
  </si>
  <si>
    <t>C4</t>
  </si>
  <si>
    <t>v2''' =</t>
  </si>
  <si>
    <t>z²</t>
  </si>
  <si>
    <r>
      <t>z</t>
    </r>
    <r>
      <rPr>
        <vertAlign val="superscript"/>
        <sz val="8"/>
        <color theme="1"/>
        <rFont val="Arial"/>
        <family val="2"/>
        <charset val="162"/>
      </rPr>
      <t>3</t>
    </r>
  </si>
  <si>
    <r>
      <t>z</t>
    </r>
    <r>
      <rPr>
        <vertAlign val="superscript"/>
        <sz val="8"/>
        <color theme="1"/>
        <rFont val="Arial"/>
        <family val="2"/>
        <charset val="162"/>
      </rPr>
      <t>4</t>
    </r>
  </si>
  <si>
    <t>D3</t>
  </si>
  <si>
    <t>D4</t>
  </si>
  <si>
    <t>C4 = 0</t>
  </si>
  <si>
    <t>C3 = 0</t>
  </si>
  <si>
    <t>z = 0 ; v2'' =</t>
  </si>
  <si>
    <t>x = L ; v1'' =</t>
  </si>
  <si>
    <t>( x = L ; v1'' ) = ( z = 0 ; v2'' ) =</t>
  </si>
  <si>
    <t>z = L ; v2 = 0</t>
  </si>
  <si>
    <t>z = L ; v2' = 0</t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</si>
  <si>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</t>
    </r>
  </si>
  <si>
    <t>(3.ci denklem)</t>
  </si>
  <si>
    <t>( x = L ; v1 ) = ( z = 0 ; v2 ) =</t>
  </si>
  <si>
    <t>z = 0 ; v2 =</t>
  </si>
  <si>
    <t>(4.ci denklem)</t>
  </si>
  <si>
    <t>( x = L ; v1'' ) = ( z = 0 ; v2'' )</t>
  </si>
  <si>
    <t>( x = L ; v1 ) = ( z = 0 ; v2 )</t>
  </si>
  <si>
    <t>D4 =</t>
  </si>
  <si>
    <t>D3 =</t>
  </si>
  <si>
    <t>( x = L ; v1''' ) = ( z = 0 ; v2''')</t>
  </si>
  <si>
    <t>x = L ; v1''' =</t>
  </si>
  <si>
    <t>z = 0 ; v2''' =</t>
  </si>
  <si>
    <t>( x = L ; v1''' ) = ( z = 0 ; v2''') =</t>
  </si>
  <si>
    <t>(5.ci denklem)</t>
  </si>
  <si>
    <t>( x = L ; v1' ) = ( z = 0 ; v2')</t>
  </si>
  <si>
    <t>z = 0 ; v2' =</t>
  </si>
  <si>
    <t>( x = L ; v1' ) = ( z = 0 ; v2') =</t>
  </si>
  <si>
    <t>(6.ci denklem)</t>
  </si>
  <si>
    <t>(x = 0 ; v1''') =</t>
  </si>
  <si>
    <t>(A mesnet tepkisi)</t>
  </si>
  <si>
    <t>(z = L ; v2''') =</t>
  </si>
  <si>
    <t>(x = 0 ; v1'') =</t>
  </si>
  <si>
    <t>(B mesnet tepkisi)</t>
  </si>
  <si>
    <t>(Ma mesnet tepkisi)</t>
  </si>
  <si>
    <t>1.ci bölgede  x =</t>
  </si>
  <si>
    <t>m. 'de ki moment ve kesme kuvveti miktarı</t>
  </si>
  <si>
    <t>2.ci bölgede  z =</t>
  </si>
  <si>
    <t>z=</t>
  </si>
  <si>
    <t>(z = L ; v2'') =</t>
  </si>
  <si>
    <t>(Mb mesnet tepkisi)</t>
  </si>
  <si>
    <t>altı adet denklem altı adet bilinmeyen çözülürse :</t>
  </si>
  <si>
    <r>
      <t>x</t>
    </r>
    <r>
      <rPr>
        <vertAlign val="superscript"/>
        <sz val="8"/>
        <color theme="1"/>
        <rFont val="Arial"/>
        <family val="2"/>
        <charset val="162"/>
      </rPr>
      <t>5</t>
    </r>
  </si>
  <si>
    <r>
      <rPr>
        <vertAlign val="superscript"/>
        <sz val="8"/>
        <color theme="1"/>
        <rFont val="Arial"/>
        <family val="2"/>
        <charset val="162"/>
      </rPr>
      <t>5</t>
    </r>
    <r>
      <rPr>
        <sz val="8"/>
        <color theme="1"/>
        <rFont val="Arial"/>
        <family val="2"/>
        <charset val="162"/>
      </rPr>
      <t>/</t>
    </r>
  </si>
  <si>
    <r>
      <t>3</t>
    </r>
    <r>
      <rPr>
        <sz val="8"/>
        <color theme="1"/>
        <rFont val="Arial"/>
        <family val="2"/>
        <charset val="162"/>
      </rPr>
      <t xml:space="preserve"> =</t>
    </r>
  </si>
  <si>
    <t xml:space="preserve">M = </t>
  </si>
  <si>
    <t xml:space="preserve">V = </t>
  </si>
  <si>
    <t xml:space="preserve">Mx = </t>
  </si>
  <si>
    <t xml:space="preserve">Vx = </t>
  </si>
  <si>
    <r>
      <rPr>
        <b/>
        <sz val="12"/>
        <color theme="5" tint="-0.499984740745262"/>
        <rFont val="Arial"/>
        <family val="2"/>
        <charset val="162"/>
      </rPr>
      <t>ÜÇGEN YAYILI YÜKLÜ ÇELİK TEK AÇIKLIKLI BASİT KİRİŞ SEHİM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</si>
  <si>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( x = L / 2 ) v' = 0</t>
  </si>
  <si>
    <t>( x = L / 2 ) v'  = 0</t>
  </si>
  <si>
    <t>( L / 4 ile 3 * L / 4 deki moment aynı değerdedir.)</t>
  </si>
  <si>
    <t>kiriş ucu enkesiti</t>
  </si>
  <si>
    <t>kiriş mesnet enkesiti</t>
  </si>
  <si>
    <t>h ( x ) =</t>
  </si>
  <si>
    <r>
      <rPr>
        <b/>
        <sz val="12"/>
        <color theme="5" tint="-0.499984740745262"/>
        <rFont val="Arial"/>
        <family val="2"/>
        <charset val="162"/>
      </rPr>
      <t>TEKİL &amp; YAYILI YÜKLÜ ÇELİK KONSOL KİRİŞ SEHİM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</si>
  <si>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r>
      <rPr>
        <b/>
        <sz val="12"/>
        <color theme="5" tint="-0.499984740745262"/>
        <rFont val="Arial"/>
        <family val="2"/>
        <charset val="162"/>
      </rPr>
      <t>TEKİL &amp; YAYILI YÜKLÜ ÇELİK TEK AÇIKLIKLI BİR UÇ ANKASTRE BİR MESNET KAYICI MESNETLİ KİRİŞ SEHİM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</si>
  <si>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(düşey denge denkleminden)</t>
  </si>
  <si>
    <t>(kayıcı mesnette moment sıfır şartından)</t>
  </si>
  <si>
    <t>(2.ci bölge)</t>
  </si>
  <si>
    <t>(1.ci bölge)</t>
  </si>
  <si>
    <t>(3.cü bölge)</t>
  </si>
  <si>
    <t>(4.cü bölge)</t>
  </si>
  <si>
    <t>Ma *</t>
  </si>
  <si>
    <r>
      <rPr>
        <vertAlign val="superscript"/>
        <sz val="8"/>
        <color theme="1"/>
        <rFont val="Arial"/>
        <family val="2"/>
        <charset val="162"/>
      </rPr>
      <t xml:space="preserve">4 </t>
    </r>
    <r>
      <rPr>
        <sz val="8"/>
        <color theme="1"/>
        <rFont val="Arial"/>
        <family val="2"/>
        <charset val="162"/>
      </rPr>
      <t>/</t>
    </r>
  </si>
  <si>
    <t>( x = L ; v1' ) = ( x = L ; v2' )</t>
  </si>
  <si>
    <t>( x = L ; v1' ) =</t>
  </si>
  <si>
    <t>( x = L ; v2' ) =</t>
  </si>
  <si>
    <t>(3.cü denklem)</t>
  </si>
  <si>
    <t>(4.cü denklem)</t>
  </si>
  <si>
    <t>dört adet denklem dört adet bilinmeyen çözülürse :</t>
  </si>
  <si>
    <t>(1.ci bölge için)</t>
  </si>
  <si>
    <t>(2.ci bölge için Cb = 1 alınır.)</t>
  </si>
  <si>
    <t>(</t>
  </si>
  <si>
    <t>)*</t>
  </si>
  <si>
    <t>b ( x ) = bo * x / L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</si>
  <si>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= b * h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12 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</si>
  <si>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=</t>
    </r>
  </si>
  <si>
    <t>M = - w * x² / 2 - P * x</t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</si>
  <si>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-</t>
    </r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</si>
  <si>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 ( x ) = b ( x ) * h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12 = bo * x / L * h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12 =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* x / L</t>
    </r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</si>
  <si>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x =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* (</t>
    </r>
  </si>
  <si>
    <t>M = - P * x</t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</si>
  <si>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* v'' = - w * L * x / 2 - P * L =</t>
    </r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</si>
  <si>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* v' = - w * L * x² / 4 - P * L * x + C1 =</t>
    </r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</si>
  <si>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* v = - w * L * x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12 - P * L * x² / 2  + C1 * x + C2 =</t>
    </r>
  </si>
  <si>
    <r>
      <t xml:space="preserve">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* x / L ) * v'' = - w * x² / 2 - P * x</t>
    </r>
  </si>
  <si>
    <r>
      <t xml:space="preserve">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* (</t>
    </r>
  </si>
  <si>
    <r>
      <t>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) * v'' = - P * x</t>
    </r>
  </si>
  <si>
    <r>
      <t>) 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 /</t>
    </r>
  </si>
  <si>
    <t>) ) +</t>
  </si>
  <si>
    <t>Ln  (</t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</si>
  <si>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/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* y =</t>
    </r>
  </si>
  <si>
    <r>
      <t>) *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/ 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)</t>
    </r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</si>
  <si>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* v''  =    - P * x / (</t>
    </r>
  </si>
  <si>
    <r>
      <t>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 =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</si>
  <si>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=</t>
    </r>
    <r>
      <rPr>
        <sz val="8"/>
        <color theme="1"/>
        <rFont val="Arial"/>
        <family val="1"/>
        <charset val="2"/>
      </rPr>
      <t xml:space="preserve"> 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1"/>
        <charset val="2"/>
      </rPr>
      <t>o * (</t>
    </r>
  </si>
  <si>
    <t>u</t>
  </si>
  <si>
    <t xml:space="preserve"> =</t>
  </si>
  <si>
    <t>dx</t>
  </si>
  <si>
    <t>du</t>
  </si>
  <si>
    <t>ʃ</t>
  </si>
  <si>
    <r>
      <t>u</t>
    </r>
    <r>
      <rPr>
        <vertAlign val="superscript"/>
        <sz val="8"/>
        <color theme="1"/>
        <rFont val="Arial"/>
        <family val="2"/>
        <charset val="162"/>
      </rPr>
      <t>3</t>
    </r>
  </si>
  <si>
    <t>u²</t>
  </si>
  <si>
    <t xml:space="preserve">)* </t>
  </si>
  <si>
    <t>) )</t>
  </si>
  <si>
    <t>u  değeri yerine koyulursa</t>
  </si>
  <si>
    <t>v</t>
  </si>
  <si>
    <t>dv</t>
  </si>
  <si>
    <t>v²</t>
  </si>
  <si>
    <t>( ʃ</t>
  </si>
  <si>
    <t>Ln v</t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</si>
  <si>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* v' =</t>
    </r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</si>
  <si>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* v =</t>
    </r>
  </si>
  <si>
    <t>(moment diyagramı)</t>
  </si>
  <si>
    <t>(kesme kuvveti diyagramı)</t>
  </si>
  <si>
    <t>(konsol ucu sehim için  x = 0  giriniz.)</t>
  </si>
  <si>
    <t>konsol kiriş 3 boyut çizimi</t>
  </si>
  <si>
    <t>v''' = w * x + C1</t>
  </si>
  <si>
    <t>v'' = w * x² / 2 + C1 * x + C2</t>
  </si>
  <si>
    <r>
      <t>v' = w * x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6 + C1 * x² / 2 + C2 * x + C3</t>
    </r>
  </si>
  <si>
    <r>
      <t>v = w * x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24 + C1 * x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6 + C2 * x² / 2 + C3 * x + C4</t>
    </r>
  </si>
  <si>
    <t>x = L ; v'' = 0</t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</si>
  <si>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* y = w * x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24 + C1 * x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6 + C2 * x² / 2 + C3 * x + C4</t>
    </r>
  </si>
  <si>
    <t>x= 0 ; v''' =</t>
  </si>
  <si>
    <t>x= 0 ; v'' =</t>
  </si>
  <si>
    <t>(mesnet momenti)</t>
  </si>
  <si>
    <t>x= L ; v''' =</t>
  </si>
  <si>
    <t>m.deki max açıklık moment miktarı</t>
  </si>
  <si>
    <t>Mxaç =</t>
  </si>
  <si>
    <t xml:space="preserve">v'' = P * x + w * x² / 2 </t>
  </si>
  <si>
    <r>
      <t>v' = P * x² / 2 + w * x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6 + C1</t>
    </r>
  </si>
  <si>
    <r>
      <t>v =  P * x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6 + w * x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24 + C1 * x + C2</t>
    </r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</si>
  <si>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* y = P * x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6 + w * x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24 + C1 * x + C2</t>
    </r>
  </si>
  <si>
    <r>
      <rPr>
        <b/>
        <sz val="12"/>
        <color theme="5" tint="-0.499984740745262"/>
        <rFont val="Arial"/>
        <family val="2"/>
        <charset val="162"/>
      </rPr>
      <t>TEKİL YÜKLÜ ÇELİK KONSOL KİRİŞ SEHİM HESABI (değişken kesit)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</si>
  <si>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r>
      <rPr>
        <b/>
        <sz val="12"/>
        <color theme="5" tint="-0.499984740745262"/>
        <rFont val="Arial"/>
        <family val="2"/>
        <charset val="162"/>
      </rPr>
      <t>TEKİL &amp; YAYILI YÜKLÜ ÇELİK KONSOL KİRİŞ SEHİM HESABI (değişken kesit)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</si>
  <si>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C</t>
  </si>
  <si>
    <t>üç adet denklem üç adet bilinmeyen çözülürse :</t>
  </si>
  <si>
    <t>(1. bölge için max moment)</t>
  </si>
  <si>
    <t>(2. bölge için max moment)</t>
  </si>
  <si>
    <t>(1.ci bölge için max kesme kuvveti)</t>
  </si>
  <si>
    <t>(2.ci bölge için max kesme kuvveti)</t>
  </si>
  <si>
    <t>(1.ci bölge kirişi)</t>
  </si>
  <si>
    <t>(2.ci bölge kirişi)</t>
  </si>
  <si>
    <t>Detay C (moment aktaran birleşim)</t>
  </si>
  <si>
    <t>2.ci integral hesabı</t>
  </si>
  <si>
    <t>1.ci integral hesabı</t>
  </si>
  <si>
    <t>b ( x ) =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</si>
  <si>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1"/>
        <charset val="2"/>
      </rPr>
      <t>o =</t>
    </r>
  </si>
  <si>
    <t>Ln ( u ) ) =</t>
  </si>
  <si>
    <t>Ln</t>
  </si>
  <si>
    <t>Ln ( u ) /</t>
  </si>
  <si>
    <t>Ln (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</si>
  <si>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1"/>
        <charset val="2"/>
      </rPr>
      <t>x =</t>
    </r>
  </si>
  <si>
    <t>x = L / 2  ; v' = 0</t>
  </si>
  <si>
    <t>*((</t>
  </si>
  <si>
    <t>) ) * v'' = A * x</t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</si>
  <si>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* v'' = A * x / (</t>
    </r>
  </si>
  <si>
    <r>
      <rPr>
        <b/>
        <sz val="12"/>
        <color theme="5" tint="-0.499984740745262"/>
        <rFont val="Arial"/>
        <family val="2"/>
        <charset val="162"/>
      </rPr>
      <t>TEKİL YÜKLÜ ÇELİK BASİT KİRİŞ SEHİM HESABI (değişken kesit)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</si>
  <si>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M = A * x</t>
  </si>
  <si>
    <t>Plan</t>
  </si>
  <si>
    <t>) ) * v'' = - P * x</t>
  </si>
  <si>
    <t>)  =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</si>
  <si>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1 =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</si>
  <si>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2 =</t>
    </r>
  </si>
  <si>
    <t>Mx2 =</t>
  </si>
  <si>
    <r>
      <t>) *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/  E </t>
    </r>
  </si>
  <si>
    <r>
      <t>)*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/</t>
    </r>
  </si>
  <si>
    <t>Mx1 = Ma + A * x =</t>
  </si>
  <si>
    <t>2. bölge kiriş enkesiti</t>
  </si>
  <si>
    <t>1. bölge kiriş enkesiti</t>
  </si>
  <si>
    <t>(3.ci bölge)</t>
  </si>
  <si>
    <t>v3'' =</t>
  </si>
  <si>
    <t>v3' =</t>
  </si>
  <si>
    <t>v3 =</t>
  </si>
  <si>
    <t>(1. ci denklem)</t>
  </si>
  <si>
    <t>(2. ci denklem)</t>
  </si>
  <si>
    <t>(3. ci denklem)</t>
  </si>
  <si>
    <t>(4. ci denklem)</t>
  </si>
  <si>
    <t>(5. ci denklem)</t>
  </si>
  <si>
    <r>
      <t>E /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* y =</t>
    </r>
  </si>
  <si>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=</t>
    </r>
  </si>
  <si>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2</t>
    </r>
    <r>
      <rPr>
        <sz val="8"/>
        <color theme="1"/>
        <rFont val="Arial"/>
        <family val="2"/>
        <charset val="162"/>
      </rPr>
      <t xml:space="preserve"> =</t>
    </r>
  </si>
  <si>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1</t>
    </r>
    <r>
      <rPr>
        <sz val="8"/>
        <color theme="1"/>
        <rFont val="Arial"/>
        <family val="2"/>
        <charset val="162"/>
      </rPr>
      <t xml:space="preserve"> =</t>
    </r>
  </si>
  <si>
    <r>
      <rPr>
        <b/>
        <sz val="12"/>
        <color theme="5" tint="-0.499984740745262"/>
        <rFont val="Arial"/>
        <family val="2"/>
        <charset val="162"/>
      </rPr>
      <t>YAYILI YÜKLÜ ÇELİK BASİT KİRİŞ SEHİM HESABI (değişken kesit)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</si>
  <si>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kiriş ortası enkesiti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</si>
  <si>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=</t>
    </r>
    <r>
      <rPr>
        <sz val="8"/>
        <color theme="1"/>
        <rFont val="Arial"/>
        <family val="1"/>
        <charset val="2"/>
      </rPr>
      <t xml:space="preserve"> b * h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1"/>
        <charset val="2"/>
      </rPr>
      <t xml:space="preserve"> / 12</t>
    </r>
  </si>
  <si>
    <t xml:space="preserve">b ( x ) = bo * x / L 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</si>
  <si>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x = </t>
    </r>
    <r>
      <rPr>
        <sz val="8"/>
        <color theme="1"/>
        <rFont val="Arial"/>
        <family val="1"/>
        <charset val="2"/>
      </rPr>
      <t>b * x / L * h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1"/>
        <charset val="2"/>
      </rPr>
      <t xml:space="preserve"> / 12 =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1"/>
        <charset val="2"/>
      </rPr>
      <t>o * x / L</t>
    </r>
  </si>
  <si>
    <t>Mx = A * x - w * x² / 2</t>
  </si>
  <si>
    <r>
      <t xml:space="preserve">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* v'' =</t>
    </r>
  </si>
  <si>
    <t>(boy için sistemin yarısı ele alınacak)</t>
  </si>
  <si>
    <t>IPE 500</t>
  </si>
  <si>
    <t>IPE 300</t>
  </si>
  <si>
    <t>( x = L ; v1' ) = ( z = 0 ; v2' )</t>
  </si>
  <si>
    <t>k</t>
  </si>
  <si>
    <t>k²</t>
  </si>
  <si>
    <r>
      <t>k</t>
    </r>
    <r>
      <rPr>
        <vertAlign val="superscript"/>
        <sz val="8"/>
        <color theme="1"/>
        <rFont val="Arial"/>
        <family val="2"/>
        <charset val="162"/>
      </rPr>
      <t>3</t>
    </r>
  </si>
  <si>
    <r>
      <t>k</t>
    </r>
    <r>
      <rPr>
        <vertAlign val="superscript"/>
        <sz val="8"/>
        <color theme="1"/>
        <rFont val="Arial"/>
        <family val="2"/>
        <charset val="162"/>
      </rPr>
      <t>4</t>
    </r>
  </si>
  <si>
    <t>(z = L ; v2' ) = (k = 0 ; v3' )</t>
  </si>
  <si>
    <t>(z = L ; v2 ) = (k = 0 ; v3 )</t>
  </si>
  <si>
    <t>(x = L ; v1 ) = (z = 0 ; v2 )</t>
  </si>
  <si>
    <t>(x = L ; v1' ) = (z = 0 ; v2' )</t>
  </si>
  <si>
    <t>k = L ; v3 = 0</t>
  </si>
  <si>
    <t>x = 0 ; v2' =</t>
  </si>
  <si>
    <t xml:space="preserve">z = L ; v2 = </t>
  </si>
  <si>
    <t>k = 0 ; v3 =</t>
  </si>
  <si>
    <t>z = L ; v2' =</t>
  </si>
  <si>
    <t>k = 0 ; v3' =</t>
  </si>
  <si>
    <t>k=</t>
  </si>
  <si>
    <t>kiriş enkesitleri</t>
  </si>
  <si>
    <t>Mx3 =</t>
  </si>
  <si>
    <t>( z = L ; v2' ) = ( k = 0 ; v3' )</t>
  </si>
  <si>
    <t>z = L ; v2 =</t>
  </si>
  <si>
    <t>( z = L ; v2 ) = ( k = 0 ; v3 )</t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</si>
  <si>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/(</t>
    </r>
  </si>
  <si>
    <t>Üç adet profil serbest birleştirilmiş konsol kiriş ucu sehim hesabı</t>
  </si>
  <si>
    <t>İki adet profil serbest birleştirilmiş konsol kiriş ucu sehim hesabı</t>
  </si>
  <si>
    <r>
      <t>y = P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( 3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     (tekil yüklü konsol kiriş ucu sehim formülü)</t>
    </r>
  </si>
  <si>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=</t>
    </r>
  </si>
  <si>
    <r>
      <t>y = w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* 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( 8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     (yayılı yüklü konsol kiriş ucu sehim formülü)</t>
    </r>
  </si>
  <si>
    <r>
      <rPr>
        <vertAlign val="superscript"/>
        <sz val="8"/>
        <color theme="1"/>
        <rFont val="Arial"/>
        <family val="2"/>
        <charset val="162"/>
      </rPr>
      <t xml:space="preserve">4 </t>
    </r>
    <r>
      <rPr>
        <sz val="8"/>
        <color theme="1"/>
        <rFont val="Arial"/>
        <family val="2"/>
        <charset val="162"/>
      </rPr>
      <t>*</t>
    </r>
  </si>
  <si>
    <t>Dört adet profil serbest birleştirilmiş konsol kiriş ucu sehim hesabı</t>
  </si>
  <si>
    <t>profiller arasında serbest kayma olduğu varsayıldığında, P yükü ve w yükü 4 adet profil arasında eşit olarak taşınacaktır.</t>
  </si>
  <si>
    <t>profiller arasında serbest kayma olduğu varsayıldığında, P yükü ve w yükü 3 adet profil arasında eşit olarak taşınacaktır.</t>
  </si>
  <si>
    <t>profiller arasında serbest kayma olduğu varsayıldığında, P yükü ve w yükü 2 adet profil arasında eşit olarak taşınacaktır.</t>
  </si>
  <si>
    <r>
      <rPr>
        <b/>
        <sz val="12"/>
        <color theme="5" tint="-0.499984740745262"/>
        <rFont val="Arial"/>
        <family val="2"/>
        <charset val="162"/>
      </rPr>
      <t>TEKİL &amp; YÜKLÜ ÇELİK KONSOL KİRİŞ SEHİM HESABI (profiller arası serbest birleştirilmiş.)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</si>
  <si>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Bir adet profil konsol kiriş ucu sehim hesabı</t>
  </si>
  <si>
    <r>
      <t>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) * v'' = A * x</t>
    </r>
  </si>
  <si>
    <t>kesit b - b</t>
  </si>
  <si>
    <t>kesit a - a</t>
  </si>
  <si>
    <t>a</t>
  </si>
  <si>
    <t>b</t>
  </si>
  <si>
    <t>Mx1 =</t>
  </si>
  <si>
    <r>
      <t>) *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/ </t>
    </r>
  </si>
  <si>
    <r>
      <t>) *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/</t>
    </r>
  </si>
  <si>
    <r>
      <t>)*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/ </t>
    </r>
  </si>
  <si>
    <r>
      <t>) *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/ E </t>
    </r>
  </si>
  <si>
    <r>
      <rPr>
        <b/>
        <sz val="12"/>
        <color theme="5" tint="-0.499984740745262"/>
        <rFont val="Arial"/>
        <family val="2"/>
        <charset val="162"/>
      </rPr>
      <t>YAYILI YÜKLÜ BİNDİRMELİ ÇELİK BASİT KİRİŞ SEHİM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</si>
  <si>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alttaki kiriş</t>
  </si>
  <si>
    <t>D</t>
  </si>
  <si>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1</t>
    </r>
    <r>
      <rPr>
        <sz val="8"/>
        <color theme="1"/>
        <rFont val="Arial"/>
        <family val="1"/>
        <charset val="2"/>
      </rPr>
      <t xml:space="preserve"> =</t>
    </r>
  </si>
  <si>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1</t>
    </r>
  </si>
  <si>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2</t>
    </r>
    <r>
      <rPr>
        <sz val="8"/>
        <color theme="1"/>
        <rFont val="Arial"/>
        <family val="1"/>
        <charset val="2"/>
      </rPr>
      <t xml:space="preserve"> =</t>
    </r>
  </si>
  <si>
    <t>(kirişlerin elastisite modülü)</t>
  </si>
  <si>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2</t>
    </r>
  </si>
  <si>
    <t>üstteki kiriş</t>
  </si>
  <si>
    <t>P=</t>
  </si>
  <si>
    <t>B mesnetinde moment sıfır şartından</t>
  </si>
  <si>
    <t>P</t>
  </si>
  <si>
    <t xml:space="preserve"> =(</t>
  </si>
  <si>
    <t>1.ci bölge için</t>
  </si>
  <si>
    <t>v1'' =(</t>
  </si>
  <si>
    <t>v1' =(</t>
  </si>
  <si>
    <t>v1 = (</t>
  </si>
  <si>
    <t>2.ci bölge için</t>
  </si>
  <si>
    <t>v2'' =(</t>
  </si>
  <si>
    <t>v2' = (</t>
  </si>
  <si>
    <t>v2 = (</t>
  </si>
  <si>
    <t>x = L ; v1 = (</t>
  </si>
  <si>
    <t>z = 0 ; v2 = (</t>
  </si>
  <si>
    <t>x = L ; v1' = (</t>
  </si>
  <si>
    <t>z = 0 ; v2' = (</t>
  </si>
  <si>
    <r>
      <t xml:space="preserve">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1 ) * y = (</t>
    </r>
  </si>
  <si>
    <t>y1 = (</t>
  </si>
  <si>
    <t>E</t>
  </si>
  <si>
    <t>P =</t>
  </si>
  <si>
    <t>C=</t>
  </si>
  <si>
    <t>D=</t>
  </si>
  <si>
    <r>
      <t>y2 = P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( 48 * E * </t>
    </r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2</t>
    </r>
    <r>
      <rPr>
        <sz val="8"/>
        <color theme="1"/>
        <rFont val="Arial"/>
        <family val="2"/>
        <charset val="162"/>
      </rPr>
      <t xml:space="preserve"> ) =</t>
    </r>
  </si>
  <si>
    <t>(E noktasındaki sehim)</t>
  </si>
  <si>
    <t>y1 = y2 (iki kirişin çökmeleri eşitliği prensibinden)</t>
  </si>
  <si>
    <t>( C-D kirişi ) Alttaki kirişin E noktasındaki sehim</t>
  </si>
  <si>
    <t>y2 =</t>
  </si>
  <si>
    <t>D noktasına göre moment sıfır şartından</t>
  </si>
  <si>
    <t>E noktasındaki sehim</t>
  </si>
  <si>
    <t>z = 0 ; v2 = 0</t>
  </si>
  <si>
    <r>
      <t xml:space="preserve">C noktasındaki sehim   ( x = 0 ; v1 )  i çin   ( E * </t>
    </r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1</t>
    </r>
    <r>
      <rPr>
        <sz val="8"/>
        <color theme="1"/>
        <rFont val="Arial"/>
        <family val="2"/>
        <charset val="162"/>
      </rPr>
      <t xml:space="preserve"> ) * y = C2</t>
    </r>
  </si>
  <si>
    <r>
      <t xml:space="preserve">y = C2 / ( E * </t>
    </r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1</t>
    </r>
    <r>
      <rPr>
        <sz val="8"/>
        <color theme="1"/>
        <rFont val="Arial"/>
        <family val="2"/>
        <charset val="162"/>
      </rPr>
      <t xml:space="preserve"> )</t>
    </r>
  </si>
  <si>
    <t>y = y2 (iki kirişin çökmeleri eşitliği prensibinden)</t>
  </si>
  <si>
    <r>
      <t xml:space="preserve">C2 / 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1 ) =</t>
    </r>
  </si>
  <si>
    <r>
      <t>)*10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/ (</t>
    </r>
  </si>
  <si>
    <t>(C noktasındaki sehim)</t>
  </si>
  <si>
    <t>üstteki kiriş enkesiti</t>
  </si>
  <si>
    <t>alttaki kiriş enkesiti</t>
  </si>
  <si>
    <t>B-C çubuğu için :</t>
  </si>
  <si>
    <t>cm²</t>
  </si>
  <si>
    <t>A-B-D çubuğu için :</t>
  </si>
  <si>
    <t>Ax =</t>
  </si>
  <si>
    <t>Ay =</t>
  </si>
  <si>
    <t>A mesnetinde moment sıfır şartından</t>
  </si>
  <si>
    <t>düşey denge denklemi yazılırsa</t>
  </si>
  <si>
    <t>Ay  +</t>
  </si>
  <si>
    <t>Ay  =</t>
  </si>
  <si>
    <t>B-C çubuğu boy değişimi</t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</si>
  <si>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Arial"/>
        <family val="1"/>
        <charset val="2"/>
      </rPr>
      <t xml:space="preserve"> P * L / ( A * E )</t>
    </r>
  </si>
  <si>
    <t>B noktasındaki sehim</t>
  </si>
  <si>
    <r>
      <t xml:space="preserve">( E * </t>
    </r>
    <r>
      <rPr>
        <sz val="8"/>
        <color theme="1"/>
        <rFont val="Symbol"/>
        <family val="1"/>
        <charset val="2"/>
      </rPr>
      <t xml:space="preserve">I </t>
    </r>
    <r>
      <rPr>
        <sz val="8"/>
        <color theme="1"/>
        <rFont val="Arial"/>
        <family val="2"/>
        <charset val="162"/>
      </rPr>
      <t>) / y =</t>
    </r>
  </si>
  <si>
    <t>B-C çubuğu uzamasıyla B noktası çökmesi eşitliği ilkesinden</t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</si>
  <si>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Arial"/>
        <family val="1"/>
        <charset val="2"/>
      </rPr>
      <t xml:space="preserve"> P * L / ( A * E ) = y = (</t>
    </r>
  </si>
  <si>
    <r>
      <t xml:space="preserve">( E * </t>
    </r>
    <r>
      <rPr>
        <sz val="8"/>
        <color theme="1"/>
        <rFont val="Symbol"/>
        <family val="1"/>
        <charset val="2"/>
      </rPr>
      <t xml:space="preserve">I </t>
    </r>
    <r>
      <rPr>
        <sz val="8"/>
        <color theme="1"/>
        <rFont val="Arial"/>
        <family val="2"/>
        <charset val="162"/>
      </rPr>
      <t>) /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* y =</t>
    </r>
  </si>
  <si>
    <r>
      <t>) * 10</t>
    </r>
    <r>
      <rPr>
        <vertAlign val="superscript"/>
        <sz val="8"/>
        <color theme="1"/>
        <rFont val="Arial"/>
        <family val="2"/>
        <charset val="162"/>
      </rPr>
      <t>8</t>
    </r>
    <r>
      <rPr>
        <sz val="8"/>
        <color theme="1"/>
        <rFont val="Arial"/>
        <family val="2"/>
        <charset val="162"/>
      </rPr>
      <t xml:space="preserve"> / (</t>
    </r>
  </si>
  <si>
    <t>yatay kiriş enkesiti</t>
  </si>
  <si>
    <t>düşey kiriş enkesiti</t>
  </si>
  <si>
    <t>A(cm²)</t>
  </si>
  <si>
    <r>
      <rPr>
        <b/>
        <sz val="12"/>
        <color theme="5" tint="-0.499984740745262"/>
        <rFont val="Arial"/>
        <family val="2"/>
        <charset val="162"/>
      </rPr>
      <t>TEKİL &amp; YAYILI YÜKLÜ ASKILI ÇELİK KİRİŞ SEHİM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</si>
  <si>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(2. bölge)</t>
  </si>
  <si>
    <t>Dx =</t>
  </si>
  <si>
    <t>Dy =</t>
  </si>
  <si>
    <t>D mesnetinde moment sıfır şartından</t>
  </si>
  <si>
    <t>Ay *</t>
  </si>
  <si>
    <t>Ay = (</t>
  </si>
  <si>
    <t>A-B-C Kirişinde sehim hesabı</t>
  </si>
  <si>
    <t>1.ci bölgede</t>
  </si>
  <si>
    <t>2.ci bölgede</t>
  </si>
  <si>
    <t>y = ((</t>
  </si>
  <si>
    <t>mesnet tepkileri</t>
  </si>
  <si>
    <t>Dy *</t>
  </si>
  <si>
    <t>çubukların elastisite modülü :</t>
  </si>
  <si>
    <t>düşey çubık enkesiti</t>
  </si>
  <si>
    <t>yatay çubuk enkesiti</t>
  </si>
  <si>
    <t>E noktasındaki (konsol ucu) sehim</t>
  </si>
  <si>
    <t>x = L ; v2'' = 0</t>
  </si>
  <si>
    <t>(6.cı denklem)</t>
  </si>
  <si>
    <t>z = L ; v2'' =</t>
  </si>
  <si>
    <t>üç boyut çizimi</t>
  </si>
  <si>
    <t>d ( x ) =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</si>
  <si>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o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d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64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</si>
  <si>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x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d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64 </t>
    </r>
    <r>
      <rPr>
        <sz val="8"/>
        <color theme="1"/>
        <rFont val="Arial"/>
        <family val="1"/>
        <charset val="2"/>
      </rPr>
      <t>=</t>
    </r>
  </si>
  <si>
    <t>p</t>
  </si>
  <si>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>*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</si>
  <si>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</t>
    </r>
  </si>
  <si>
    <t>v''</t>
  </si>
  <si>
    <r>
      <t>u</t>
    </r>
    <r>
      <rPr>
        <vertAlign val="superscript"/>
        <sz val="8"/>
        <color theme="1"/>
        <rFont val="Arial"/>
        <family val="2"/>
        <charset val="162"/>
      </rPr>
      <t>4</t>
    </r>
  </si>
  <si>
    <t>))</t>
  </si>
  <si>
    <t xml:space="preserve"> )² ) -</t>
  </si>
  <si>
    <r>
      <t xml:space="preserve"> 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) )</t>
    </r>
  </si>
  <si>
    <t xml:space="preserve"> )² </t>
  </si>
  <si>
    <r>
      <t xml:space="preserve"> 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</t>
    </r>
  </si>
  <si>
    <t xml:space="preserve"> ) ) -</t>
  </si>
  <si>
    <t>)² )</t>
  </si>
  <si>
    <t>/(</t>
  </si>
  <si>
    <t xml:space="preserve"> )-</t>
  </si>
  <si>
    <t xml:space="preserve">)² </t>
  </si>
  <si>
    <t>t =</t>
  </si>
  <si>
    <r>
      <t xml:space="preserve">( t / dm )² =&lt; 1  ise   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o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t * d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8    hesaplanabilir.</t>
    </r>
  </si>
  <si>
    <t>( t / dm )² = (</t>
  </si>
  <si>
    <t>)² =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</si>
  <si>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x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t * d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8</t>
    </r>
    <r>
      <rPr>
        <sz val="8"/>
        <color theme="1"/>
        <rFont val="Arial"/>
        <family val="1"/>
        <charset val="2"/>
      </rPr>
      <t xml:space="preserve"> =</t>
    </r>
  </si>
  <si>
    <r>
      <t>) 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</t>
    </r>
  </si>
  <si>
    <t xml:space="preserve"> )² ) )</t>
  </si>
  <si>
    <t xml:space="preserve"> )- </t>
  </si>
  <si>
    <t xml:space="preserve"> )² ) * dx</t>
  </si>
  <si>
    <t xml:space="preserve"> )* </t>
  </si>
  <si>
    <t xml:space="preserve"> )² * dx</t>
  </si>
  <si>
    <t>* Ln (</t>
  </si>
  <si>
    <t>) ) )</t>
  </si>
  <si>
    <t>2.ci bölgede konsol ucundaki sehim :</t>
  </si>
  <si>
    <t>sağ uçta moment sıfır şartından</t>
  </si>
  <si>
    <t>z = L ; v2'' = 0</t>
  </si>
  <si>
    <t>( C-D kirişi ) Alttaki kirişin B noktasındaki sehim</t>
  </si>
  <si>
    <r>
      <t>y2 = B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( 48 * E * </t>
    </r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2</t>
    </r>
    <r>
      <rPr>
        <sz val="8"/>
        <color theme="1"/>
        <rFont val="Arial"/>
        <family val="2"/>
        <charset val="162"/>
      </rPr>
      <t xml:space="preserve"> ) =</t>
    </r>
  </si>
  <si>
    <t>( A-B kirişi ) üstteki kirişin sehimi</t>
  </si>
  <si>
    <t>X=</t>
  </si>
  <si>
    <t>X</t>
  </si>
  <si>
    <t>1.ci bölge sonundaki sehim :</t>
  </si>
  <si>
    <r>
      <t>y2 = X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( 3 * E * </t>
    </r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2</t>
    </r>
    <r>
      <rPr>
        <sz val="8"/>
        <color theme="1"/>
        <rFont val="Arial"/>
        <family val="2"/>
        <charset val="162"/>
      </rPr>
      <t xml:space="preserve"> ) =</t>
    </r>
  </si>
  <si>
    <t>X =</t>
  </si>
  <si>
    <t>Üstteki kiriş için:</t>
  </si>
  <si>
    <t>Alttaki kiriş ( D-E kirişi) için konsol ucu ( E noktası) sehim :</t>
  </si>
  <si>
    <r>
      <rPr>
        <b/>
        <sz val="12"/>
        <color theme="5" tint="-0.499984740745262"/>
        <rFont val="Arial"/>
        <family val="2"/>
        <charset val="162"/>
      </rPr>
      <t>YAYILI &amp; TEKİL YÜKLÜ BİNDİRMELİ ÇELİK BASİT KİRİŞ SEHİM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</si>
  <si>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r>
      <rPr>
        <b/>
        <sz val="12"/>
        <color theme="5" tint="-0.499984740745262"/>
        <rFont val="Arial"/>
        <family val="2"/>
        <charset val="162"/>
      </rPr>
      <t>YAYILI &amp; TEKİL YÜKLÜ BİNDİRMELİ ÇELİK KONSOL KİRİŞ SEHİM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</t>
    </r>
  </si>
  <si>
    <t>yayılı yükten dolayı sehim</t>
  </si>
  <si>
    <r>
      <t>y1 = 5 * q * 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( 384 * E * </t>
    </r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1</t>
    </r>
    <r>
      <rPr>
        <sz val="8"/>
        <color theme="1"/>
        <rFont val="Arial"/>
        <family val="2"/>
        <charset val="162"/>
      </rPr>
      <t>x ) =</t>
    </r>
  </si>
  <si>
    <r>
      <t>y2 = ( P -  X )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( 48 * E * </t>
    </r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2</t>
    </r>
    <r>
      <rPr>
        <sz val="8"/>
        <color theme="1"/>
        <rFont val="Arial"/>
        <family val="2"/>
        <charset val="162"/>
      </rPr>
      <t>x ) = (</t>
    </r>
  </si>
  <si>
    <t>toplam sehim  y3 = y1 + y2 =</t>
  </si>
  <si>
    <t>Alttaki kiriş için:</t>
  </si>
  <si>
    <t>tekil yükten dolayı sehim</t>
  </si>
  <si>
    <r>
      <t>y4 = X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( 48 * E * </t>
    </r>
    <r>
      <rPr>
        <sz val="8"/>
        <color theme="1"/>
        <rFont val="Symbol"/>
        <family val="1"/>
        <charset val="2"/>
      </rPr>
      <t>I</t>
    </r>
    <r>
      <rPr>
        <vertAlign val="subscript"/>
        <sz val="8"/>
        <color theme="1"/>
        <rFont val="Arial"/>
        <family val="2"/>
        <charset val="162"/>
      </rPr>
      <t>2</t>
    </r>
    <r>
      <rPr>
        <sz val="8"/>
        <color theme="1"/>
        <rFont val="Arial"/>
        <family val="2"/>
        <charset val="162"/>
      </rPr>
      <t>x) =</t>
    </r>
  </si>
  <si>
    <t>üstteki kirişin sehimi ile alttaki kirişin sehimlerinin eşitliğinden</t>
  </si>
  <si>
    <t xml:space="preserve">y3 = y4 </t>
  </si>
  <si>
    <t>y1 =</t>
  </si>
  <si>
    <t>y4 =</t>
  </si>
  <si>
    <t>y3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</si>
</sst>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00000"/>
    <numFmt numFmtId="165" formatCode="0.0000000"/>
    <numFmt numFmtId="166" formatCode="0.000000"/>
    <numFmt numFmtId="167" formatCode="0.00000E+00"/>
    <numFmt numFmtId="168" formatCode="0.0000000000E+00"/>
  </numFmts>
  <fonts count="21"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vertAlign val="superscript"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1"/>
      <charset val="2"/>
    </font>
    <font>
      <sz val="8"/>
      <name val="Arial"/>
      <family val="2"/>
      <charset val="162"/>
    </font>
    <font>
      <b/>
      <sz val="8"/>
      <name val="Symbol"/>
      <family val="1"/>
      <charset val="2"/>
    </font>
    <font>
      <vertAlign val="superscript"/>
      <sz val="8"/>
      <name val="Arial"/>
      <family val="2"/>
      <charset val="162"/>
    </font>
    <font>
      <b/>
      <sz val="8"/>
      <name val="Arial"/>
      <family val="2"/>
      <charset val="162"/>
    </font>
    <font>
      <sz val="8"/>
      <name val="Symbol"/>
      <family val="1"/>
      <charset val="2"/>
    </font>
    <font>
      <b/>
      <sz val="8"/>
      <color rgb="FFFF0000"/>
      <name val="Arial"/>
      <family val="2"/>
      <charset val="162"/>
    </font>
    <font>
      <b/>
      <sz val="8"/>
      <color theme="5" tint="-0.499984740745262"/>
      <name val="Arial"/>
      <family val="2"/>
      <charset val="162"/>
    </font>
    <font>
      <b/>
      <sz val="12"/>
      <color theme="5" tint="-0.499984740745262"/>
      <name val="Arial"/>
      <family val="2"/>
      <charset val="162"/>
    </font>
    <font>
      <vertAlign val="subscript"/>
      <sz val="8"/>
      <color theme="1"/>
      <name val="Arial"/>
      <family val="2"/>
      <charset val="162"/>
    </font>
    <font>
      <i/>
      <u/>
      <sz val="8"/>
      <color theme="1"/>
      <name val="Arial"/>
      <family val="2"/>
      <charset val="162"/>
    </font>
    <font>
      <i/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i/>
      <u/>
      <sz val="8"/>
      <color theme="1"/>
      <name val="Arial"/>
      <family val="2"/>
      <charset val="162"/>
    </font>
    <font>
      <i/>
      <u/>
      <vertAlign val="subscript"/>
      <sz val="8"/>
      <color theme="1"/>
      <name val="Arial"/>
      <family val="2"/>
      <charset val="162"/>
    </font>
    <font>
      <sz val="8"/>
      <color theme="0"/>
      <name val="Arial"/>
      <family val="2"/>
      <charset val="162"/>
    </font>
    <font>
      <i/>
      <u/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13" xfId="0" applyBorder="1" applyAlignment="1" applyProtection="1">
      <alignment vertical="center"/>
      <protection hidden="1"/>
    </xf>
    <xf numFmtId="0" fontId="0" fillId="4" borderId="1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6" xfId="0" applyFill="1" applyBorder="1" applyAlignment="1">
      <alignment vertical="center"/>
    </xf>
    <xf numFmtId="0" fontId="16" fillId="4" borderId="15" xfId="0" applyFont="1" applyFill="1" applyBorder="1" applyAlignment="1">
      <alignment vertical="center"/>
    </xf>
    <xf numFmtId="0" fontId="0" fillId="4" borderId="0" xfId="0" applyFill="1" applyAlignment="1" applyProtection="1">
      <alignment vertical="center"/>
      <protection hidden="1"/>
    </xf>
    <xf numFmtId="0" fontId="0" fillId="4" borderId="16" xfId="0" applyFill="1" applyBorder="1" applyAlignment="1" applyProtection="1">
      <alignment vertical="center"/>
      <protection hidden="1"/>
    </xf>
    <xf numFmtId="0" fontId="0" fillId="4" borderId="15" xfId="0" applyFill="1" applyBorder="1" applyAlignment="1" applyProtection="1">
      <alignment vertical="center"/>
      <protection hidden="1"/>
    </xf>
    <xf numFmtId="0" fontId="0" fillId="4" borderId="17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66" fontId="5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 textRotation="90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 textRotation="90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4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textRotation="90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textRotation="90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 textRotation="90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</xdr:colOff>
      <xdr:row>529</xdr:row>
      <xdr:rowOff>57152</xdr:rowOff>
    </xdr:from>
    <xdr:to>
      <xdr:col>24</xdr:col>
      <xdr:colOff>90488</xdr:colOff>
      <xdr:row>554</xdr:row>
      <xdr:rowOff>95250</xdr:rowOff>
    </xdr:to>
    <xdr:grpSp>
      <xdr:nvGrpSpPr>
        <xdr:cNvPr id="907" name="Group 906">
          <a:extLst>
            <a:ext uri="{FF2B5EF4-FFF2-40B4-BE49-F238E27FC236}">
              <a16:creationId xmlns:a16="http://schemas.microsoft.com/office/drawing/2014/main" id="{82B141EC-573D-6D69-85D7-91E7C3B4542A}"/>
            </a:ext>
          </a:extLst>
        </xdr:cNvPr>
        <xdr:cNvGrpSpPr/>
      </xdr:nvGrpSpPr>
      <xdr:grpSpPr>
        <a:xfrm>
          <a:off x="414337" y="80972027"/>
          <a:ext cx="3562351" cy="3609973"/>
          <a:chOff x="414337" y="72399527"/>
          <a:chExt cx="3562351" cy="3609973"/>
        </a:xfrm>
      </xdr:grpSpPr>
      <xdr:sp macro="" textlink="">
        <xdr:nvSpPr>
          <xdr:cNvPr id="753" name="Freeform: Shape 752">
            <a:extLst>
              <a:ext uri="{FF2B5EF4-FFF2-40B4-BE49-F238E27FC236}">
                <a16:creationId xmlns:a16="http://schemas.microsoft.com/office/drawing/2014/main" id="{BDD213FE-3D4B-4D08-E72A-40B0B30E13D0}"/>
              </a:ext>
            </a:extLst>
          </xdr:cNvPr>
          <xdr:cNvSpPr/>
        </xdr:nvSpPr>
        <xdr:spPr>
          <a:xfrm>
            <a:off x="1133475" y="72771000"/>
            <a:ext cx="2109788" cy="2576512"/>
          </a:xfrm>
          <a:custGeom>
            <a:avLst/>
            <a:gdLst>
              <a:gd name="connsiteX0" fmla="*/ 0 w 2109788"/>
              <a:gd name="connsiteY0" fmla="*/ 433387 h 2576512"/>
              <a:gd name="connsiteX1" fmla="*/ 0 w 2109788"/>
              <a:gd name="connsiteY1" fmla="*/ 0 h 2576512"/>
              <a:gd name="connsiteX2" fmla="*/ 971550 w 2109788"/>
              <a:gd name="connsiteY2" fmla="*/ 0 h 2576512"/>
              <a:gd name="connsiteX3" fmla="*/ 971550 w 2109788"/>
              <a:gd name="connsiteY3" fmla="*/ 2433637 h 2576512"/>
              <a:gd name="connsiteX4" fmla="*/ 1943100 w 2109788"/>
              <a:gd name="connsiteY4" fmla="*/ 2433637 h 2576512"/>
              <a:gd name="connsiteX5" fmla="*/ 1943100 w 2109788"/>
              <a:gd name="connsiteY5" fmla="*/ 2147887 h 2576512"/>
              <a:gd name="connsiteX6" fmla="*/ 2109788 w 2109788"/>
              <a:gd name="connsiteY6" fmla="*/ 2147887 h 2576512"/>
              <a:gd name="connsiteX7" fmla="*/ 2109788 w 2109788"/>
              <a:gd name="connsiteY7" fmla="*/ 2576512 h 2576512"/>
              <a:gd name="connsiteX8" fmla="*/ 814388 w 2109788"/>
              <a:gd name="connsiteY8" fmla="*/ 2576512 h 2576512"/>
              <a:gd name="connsiteX9" fmla="*/ 814388 w 2109788"/>
              <a:gd name="connsiteY9" fmla="*/ 152400 h 2576512"/>
              <a:gd name="connsiteX10" fmla="*/ 161925 w 2109788"/>
              <a:gd name="connsiteY10" fmla="*/ 152400 h 2576512"/>
              <a:gd name="connsiteX11" fmla="*/ 161925 w 2109788"/>
              <a:gd name="connsiteY11" fmla="*/ 433387 h 2576512"/>
              <a:gd name="connsiteX12" fmla="*/ 0 w 2109788"/>
              <a:gd name="connsiteY12" fmla="*/ 433387 h 25765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109788" h="2576512">
                <a:moveTo>
                  <a:pt x="0" y="433387"/>
                </a:moveTo>
                <a:lnTo>
                  <a:pt x="0" y="0"/>
                </a:lnTo>
                <a:lnTo>
                  <a:pt x="971550" y="0"/>
                </a:lnTo>
                <a:lnTo>
                  <a:pt x="971550" y="2433637"/>
                </a:lnTo>
                <a:lnTo>
                  <a:pt x="1943100" y="2433637"/>
                </a:lnTo>
                <a:lnTo>
                  <a:pt x="1943100" y="2147887"/>
                </a:lnTo>
                <a:lnTo>
                  <a:pt x="2109788" y="2147887"/>
                </a:lnTo>
                <a:lnTo>
                  <a:pt x="2109788" y="2576512"/>
                </a:lnTo>
                <a:lnTo>
                  <a:pt x="814388" y="2576512"/>
                </a:lnTo>
                <a:lnTo>
                  <a:pt x="814388" y="152400"/>
                </a:lnTo>
                <a:lnTo>
                  <a:pt x="161925" y="152400"/>
                </a:lnTo>
                <a:lnTo>
                  <a:pt x="161925" y="433387"/>
                </a:lnTo>
                <a:lnTo>
                  <a:pt x="0" y="433387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836" name="Straight Connector 835">
            <a:extLst>
              <a:ext uri="{FF2B5EF4-FFF2-40B4-BE49-F238E27FC236}">
                <a16:creationId xmlns:a16="http://schemas.microsoft.com/office/drawing/2014/main" id="{6864C962-51AA-729B-EC78-19B95D870BDA}"/>
              </a:ext>
            </a:extLst>
          </xdr:cNvPr>
          <xdr:cNvCxnSpPr/>
        </xdr:nvCxnSpPr>
        <xdr:spPr>
          <a:xfrm flipV="1">
            <a:off x="3562349" y="74837926"/>
            <a:ext cx="0" cy="585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" name="Straight Connector 720">
            <a:extLst>
              <a:ext uri="{FF2B5EF4-FFF2-40B4-BE49-F238E27FC236}">
                <a16:creationId xmlns:a16="http://schemas.microsoft.com/office/drawing/2014/main" id="{76EB2FE3-B743-6277-4FC8-44BFA18A2617}"/>
              </a:ext>
            </a:extLst>
          </xdr:cNvPr>
          <xdr:cNvCxnSpPr/>
        </xdr:nvCxnSpPr>
        <xdr:spPr>
          <a:xfrm flipV="1">
            <a:off x="1133475" y="72399527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" name="Straight Connector 723">
            <a:extLst>
              <a:ext uri="{FF2B5EF4-FFF2-40B4-BE49-F238E27FC236}">
                <a16:creationId xmlns:a16="http://schemas.microsoft.com/office/drawing/2014/main" id="{B1A3AAC1-28A6-1498-82EF-39D8B92887E1}"/>
              </a:ext>
            </a:extLst>
          </xdr:cNvPr>
          <xdr:cNvCxnSpPr/>
        </xdr:nvCxnSpPr>
        <xdr:spPr>
          <a:xfrm>
            <a:off x="1057275" y="72485251"/>
            <a:ext cx="1114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" name="Straight Connector 726">
            <a:extLst>
              <a:ext uri="{FF2B5EF4-FFF2-40B4-BE49-F238E27FC236}">
                <a16:creationId xmlns:a16="http://schemas.microsoft.com/office/drawing/2014/main" id="{EBC2B3BD-6F0B-E210-9F8C-B25DB176A349}"/>
              </a:ext>
            </a:extLst>
          </xdr:cNvPr>
          <xdr:cNvCxnSpPr/>
        </xdr:nvCxnSpPr>
        <xdr:spPr>
          <a:xfrm flipH="1">
            <a:off x="1090612" y="7244715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" name="Straight Connector 730">
            <a:extLst>
              <a:ext uri="{FF2B5EF4-FFF2-40B4-BE49-F238E27FC236}">
                <a16:creationId xmlns:a16="http://schemas.microsoft.com/office/drawing/2014/main" id="{C2065ECD-3AF4-46CD-9F15-D3032549147E}"/>
              </a:ext>
            </a:extLst>
          </xdr:cNvPr>
          <xdr:cNvCxnSpPr/>
        </xdr:nvCxnSpPr>
        <xdr:spPr>
          <a:xfrm flipV="1">
            <a:off x="2105025" y="72399527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" name="Straight Connector 734">
            <a:extLst>
              <a:ext uri="{FF2B5EF4-FFF2-40B4-BE49-F238E27FC236}">
                <a16:creationId xmlns:a16="http://schemas.microsoft.com/office/drawing/2014/main" id="{54B5B31A-DA00-422B-89AC-0E58A210780F}"/>
              </a:ext>
            </a:extLst>
          </xdr:cNvPr>
          <xdr:cNvCxnSpPr/>
        </xdr:nvCxnSpPr>
        <xdr:spPr>
          <a:xfrm flipH="1">
            <a:off x="2062162" y="7244715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" name="Straight Connector 742">
            <a:extLst>
              <a:ext uri="{FF2B5EF4-FFF2-40B4-BE49-F238E27FC236}">
                <a16:creationId xmlns:a16="http://schemas.microsoft.com/office/drawing/2014/main" id="{4C50B7D7-9724-9911-1F2D-14CBBF10783D}"/>
              </a:ext>
            </a:extLst>
          </xdr:cNvPr>
          <xdr:cNvCxnSpPr/>
        </xdr:nvCxnSpPr>
        <xdr:spPr>
          <a:xfrm flipH="1">
            <a:off x="723900" y="73199625"/>
            <a:ext cx="35242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" name="Straight Connector 746">
            <a:extLst>
              <a:ext uri="{FF2B5EF4-FFF2-40B4-BE49-F238E27FC236}">
                <a16:creationId xmlns:a16="http://schemas.microsoft.com/office/drawing/2014/main" id="{73B2CACE-CEB9-02D3-5073-5F41AF7DB243}"/>
              </a:ext>
            </a:extLst>
          </xdr:cNvPr>
          <xdr:cNvCxnSpPr/>
        </xdr:nvCxnSpPr>
        <xdr:spPr>
          <a:xfrm flipV="1">
            <a:off x="809626" y="72694800"/>
            <a:ext cx="0" cy="5810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" name="Straight Connector 754">
            <a:extLst>
              <a:ext uri="{FF2B5EF4-FFF2-40B4-BE49-F238E27FC236}">
                <a16:creationId xmlns:a16="http://schemas.microsoft.com/office/drawing/2014/main" id="{EFC7D9AB-F14B-49DD-B6F3-D60811BB6EEF}"/>
              </a:ext>
            </a:extLst>
          </xdr:cNvPr>
          <xdr:cNvCxnSpPr/>
        </xdr:nvCxnSpPr>
        <xdr:spPr>
          <a:xfrm flipH="1">
            <a:off x="766762" y="7316151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" name="Straight Connector 756">
            <a:extLst>
              <a:ext uri="{FF2B5EF4-FFF2-40B4-BE49-F238E27FC236}">
                <a16:creationId xmlns:a16="http://schemas.microsoft.com/office/drawing/2014/main" id="{EA227BD9-EC81-4E0E-9082-CDA4D35E7322}"/>
              </a:ext>
            </a:extLst>
          </xdr:cNvPr>
          <xdr:cNvCxnSpPr/>
        </xdr:nvCxnSpPr>
        <xdr:spPr>
          <a:xfrm flipH="1">
            <a:off x="419100" y="72771000"/>
            <a:ext cx="65722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" name="Straight Connector 763">
            <a:extLst>
              <a:ext uri="{FF2B5EF4-FFF2-40B4-BE49-F238E27FC236}">
                <a16:creationId xmlns:a16="http://schemas.microsoft.com/office/drawing/2014/main" id="{C80E17B8-B74F-4B76-9E79-53B663BA1410}"/>
              </a:ext>
            </a:extLst>
          </xdr:cNvPr>
          <xdr:cNvCxnSpPr/>
        </xdr:nvCxnSpPr>
        <xdr:spPr>
          <a:xfrm flipH="1">
            <a:off x="766762" y="7273289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" name="Straight Connector 767">
            <a:extLst>
              <a:ext uri="{FF2B5EF4-FFF2-40B4-BE49-F238E27FC236}">
                <a16:creationId xmlns:a16="http://schemas.microsoft.com/office/drawing/2014/main" id="{3D21D7EA-0768-40D9-8AE1-4CAB8329950D}"/>
              </a:ext>
            </a:extLst>
          </xdr:cNvPr>
          <xdr:cNvCxnSpPr/>
        </xdr:nvCxnSpPr>
        <xdr:spPr>
          <a:xfrm flipV="1">
            <a:off x="1943093" y="75418949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" name="Straight Connector 768">
            <a:extLst>
              <a:ext uri="{FF2B5EF4-FFF2-40B4-BE49-F238E27FC236}">
                <a16:creationId xmlns:a16="http://schemas.microsoft.com/office/drawing/2014/main" id="{F2889F60-352A-460E-B221-46DDD19079BA}"/>
              </a:ext>
            </a:extLst>
          </xdr:cNvPr>
          <xdr:cNvCxnSpPr/>
        </xdr:nvCxnSpPr>
        <xdr:spPr>
          <a:xfrm>
            <a:off x="1881188" y="75628501"/>
            <a:ext cx="14335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" name="Straight Connector 770">
            <a:extLst>
              <a:ext uri="{FF2B5EF4-FFF2-40B4-BE49-F238E27FC236}">
                <a16:creationId xmlns:a16="http://schemas.microsoft.com/office/drawing/2014/main" id="{0572D08C-EA3A-4BE9-915C-A061C6ED8599}"/>
              </a:ext>
            </a:extLst>
          </xdr:cNvPr>
          <xdr:cNvCxnSpPr/>
        </xdr:nvCxnSpPr>
        <xdr:spPr>
          <a:xfrm flipH="1">
            <a:off x="1900230" y="7559040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" name="Straight Connector 775">
            <a:extLst>
              <a:ext uri="{FF2B5EF4-FFF2-40B4-BE49-F238E27FC236}">
                <a16:creationId xmlns:a16="http://schemas.microsoft.com/office/drawing/2014/main" id="{C3E5FB0B-43CE-4C64-BE18-CAA51C2DF118}"/>
              </a:ext>
            </a:extLst>
          </xdr:cNvPr>
          <xdr:cNvCxnSpPr/>
        </xdr:nvCxnSpPr>
        <xdr:spPr>
          <a:xfrm flipV="1">
            <a:off x="3238500" y="75418949"/>
            <a:ext cx="0" cy="5667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Straight Connector 777">
            <a:extLst>
              <a:ext uri="{FF2B5EF4-FFF2-40B4-BE49-F238E27FC236}">
                <a16:creationId xmlns:a16="http://schemas.microsoft.com/office/drawing/2014/main" id="{23375FD2-7E92-4DF6-AB42-8B6ABC074D57}"/>
              </a:ext>
            </a:extLst>
          </xdr:cNvPr>
          <xdr:cNvCxnSpPr/>
        </xdr:nvCxnSpPr>
        <xdr:spPr>
          <a:xfrm flipH="1">
            <a:off x="3195637" y="7559040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" name="Straight Connector 784">
            <a:extLst>
              <a:ext uri="{FF2B5EF4-FFF2-40B4-BE49-F238E27FC236}">
                <a16:creationId xmlns:a16="http://schemas.microsoft.com/office/drawing/2014/main" id="{500CA56D-0FD2-48AA-BEDE-CC579EAC86A7}"/>
              </a:ext>
            </a:extLst>
          </xdr:cNvPr>
          <xdr:cNvCxnSpPr/>
        </xdr:nvCxnSpPr>
        <xdr:spPr>
          <a:xfrm>
            <a:off x="1066806" y="73628248"/>
            <a:ext cx="3095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" name="Straight Connector 785">
            <a:extLst>
              <a:ext uri="{FF2B5EF4-FFF2-40B4-BE49-F238E27FC236}">
                <a16:creationId xmlns:a16="http://schemas.microsoft.com/office/drawing/2014/main" id="{40A255F6-F867-476C-AD14-E6F094F5A03F}"/>
              </a:ext>
            </a:extLst>
          </xdr:cNvPr>
          <xdr:cNvCxnSpPr/>
        </xdr:nvCxnSpPr>
        <xdr:spPr>
          <a:xfrm flipH="1">
            <a:off x="1090617" y="73594912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" name="Straight Connector 788">
            <a:extLst>
              <a:ext uri="{FF2B5EF4-FFF2-40B4-BE49-F238E27FC236}">
                <a16:creationId xmlns:a16="http://schemas.microsoft.com/office/drawing/2014/main" id="{44A1F629-6964-4A83-8C22-39CCF0C0425B}"/>
              </a:ext>
            </a:extLst>
          </xdr:cNvPr>
          <xdr:cNvCxnSpPr/>
        </xdr:nvCxnSpPr>
        <xdr:spPr>
          <a:xfrm flipH="1">
            <a:off x="1257306" y="735901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" name="Straight Connector 801">
            <a:extLst>
              <a:ext uri="{FF2B5EF4-FFF2-40B4-BE49-F238E27FC236}">
                <a16:creationId xmlns:a16="http://schemas.microsoft.com/office/drawing/2014/main" id="{84FA7610-94CB-41A7-BEE1-88E2CC6E3722}"/>
              </a:ext>
            </a:extLst>
          </xdr:cNvPr>
          <xdr:cNvCxnSpPr/>
        </xdr:nvCxnSpPr>
        <xdr:spPr>
          <a:xfrm flipV="1">
            <a:off x="1133475" y="73266300"/>
            <a:ext cx="0" cy="4238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" name="Straight Connector 802">
            <a:extLst>
              <a:ext uri="{FF2B5EF4-FFF2-40B4-BE49-F238E27FC236}">
                <a16:creationId xmlns:a16="http://schemas.microsoft.com/office/drawing/2014/main" id="{CDE6FDA5-70B8-4F54-BE78-C8B6DEA7F018}"/>
              </a:ext>
            </a:extLst>
          </xdr:cNvPr>
          <xdr:cNvCxnSpPr/>
        </xdr:nvCxnSpPr>
        <xdr:spPr>
          <a:xfrm flipV="1">
            <a:off x="1295401" y="73275825"/>
            <a:ext cx="0" cy="4238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" name="Straight Connector 822">
            <a:extLst>
              <a:ext uri="{FF2B5EF4-FFF2-40B4-BE49-F238E27FC236}">
                <a16:creationId xmlns:a16="http://schemas.microsoft.com/office/drawing/2014/main" id="{3BF88351-1C6E-47B5-97B7-8968C0B6C258}"/>
              </a:ext>
            </a:extLst>
          </xdr:cNvPr>
          <xdr:cNvCxnSpPr/>
        </xdr:nvCxnSpPr>
        <xdr:spPr>
          <a:xfrm>
            <a:off x="3009906" y="74628366"/>
            <a:ext cx="3095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" name="Straight Connector 823">
            <a:extLst>
              <a:ext uri="{FF2B5EF4-FFF2-40B4-BE49-F238E27FC236}">
                <a16:creationId xmlns:a16="http://schemas.microsoft.com/office/drawing/2014/main" id="{10225975-DEC1-4FEB-89F0-845F95F8AFA3}"/>
              </a:ext>
            </a:extLst>
          </xdr:cNvPr>
          <xdr:cNvCxnSpPr/>
        </xdr:nvCxnSpPr>
        <xdr:spPr>
          <a:xfrm flipH="1">
            <a:off x="3033717" y="7459503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" name="Straight Connector 824">
            <a:extLst>
              <a:ext uri="{FF2B5EF4-FFF2-40B4-BE49-F238E27FC236}">
                <a16:creationId xmlns:a16="http://schemas.microsoft.com/office/drawing/2014/main" id="{EE40A660-1D2F-4260-AC33-BF644232C99D}"/>
              </a:ext>
            </a:extLst>
          </xdr:cNvPr>
          <xdr:cNvCxnSpPr/>
        </xdr:nvCxnSpPr>
        <xdr:spPr>
          <a:xfrm flipH="1">
            <a:off x="3200406" y="74590272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" name="Straight Connector 827">
            <a:extLst>
              <a:ext uri="{FF2B5EF4-FFF2-40B4-BE49-F238E27FC236}">
                <a16:creationId xmlns:a16="http://schemas.microsoft.com/office/drawing/2014/main" id="{44D3D811-A868-4800-8243-847F52F46817}"/>
              </a:ext>
            </a:extLst>
          </xdr:cNvPr>
          <xdr:cNvCxnSpPr/>
        </xdr:nvCxnSpPr>
        <xdr:spPr>
          <a:xfrm flipV="1">
            <a:off x="3076575" y="74556938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" name="Straight Connector 828">
            <a:extLst>
              <a:ext uri="{FF2B5EF4-FFF2-40B4-BE49-F238E27FC236}">
                <a16:creationId xmlns:a16="http://schemas.microsoft.com/office/drawing/2014/main" id="{877416FF-8D2C-4D07-B666-4A85A7E0930E}"/>
              </a:ext>
            </a:extLst>
          </xdr:cNvPr>
          <xdr:cNvCxnSpPr/>
        </xdr:nvCxnSpPr>
        <xdr:spPr>
          <a:xfrm flipV="1">
            <a:off x="3238501" y="74552175"/>
            <a:ext cx="0" cy="290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1" name="Straight Connector 830">
            <a:extLst>
              <a:ext uri="{FF2B5EF4-FFF2-40B4-BE49-F238E27FC236}">
                <a16:creationId xmlns:a16="http://schemas.microsoft.com/office/drawing/2014/main" id="{1E07BC98-3FEB-A014-F976-D4D3287C771E}"/>
              </a:ext>
            </a:extLst>
          </xdr:cNvPr>
          <xdr:cNvCxnSpPr/>
        </xdr:nvCxnSpPr>
        <xdr:spPr>
          <a:xfrm>
            <a:off x="3314696" y="75342750"/>
            <a:ext cx="6619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2" name="Straight Connector 831">
            <a:extLst>
              <a:ext uri="{FF2B5EF4-FFF2-40B4-BE49-F238E27FC236}">
                <a16:creationId xmlns:a16="http://schemas.microsoft.com/office/drawing/2014/main" id="{BDF68A0D-845D-43A4-B380-085DE426581E}"/>
              </a:ext>
            </a:extLst>
          </xdr:cNvPr>
          <xdr:cNvCxnSpPr/>
        </xdr:nvCxnSpPr>
        <xdr:spPr>
          <a:xfrm>
            <a:off x="3319462" y="74914124"/>
            <a:ext cx="319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3" name="Straight Connector 832">
            <a:extLst>
              <a:ext uri="{FF2B5EF4-FFF2-40B4-BE49-F238E27FC236}">
                <a16:creationId xmlns:a16="http://schemas.microsoft.com/office/drawing/2014/main" id="{D105D92B-7B51-4E03-B25C-7511A0584876}"/>
              </a:ext>
            </a:extLst>
          </xdr:cNvPr>
          <xdr:cNvCxnSpPr/>
        </xdr:nvCxnSpPr>
        <xdr:spPr>
          <a:xfrm flipH="1">
            <a:off x="3524244" y="748760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7" name="Straight Connector 836">
            <a:extLst>
              <a:ext uri="{FF2B5EF4-FFF2-40B4-BE49-F238E27FC236}">
                <a16:creationId xmlns:a16="http://schemas.microsoft.com/office/drawing/2014/main" id="{7F7A2F35-1AC7-4BFC-9E19-C053B3A3288C}"/>
              </a:ext>
            </a:extLst>
          </xdr:cNvPr>
          <xdr:cNvCxnSpPr/>
        </xdr:nvCxnSpPr>
        <xdr:spPr>
          <a:xfrm flipH="1">
            <a:off x="3519493" y="753046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1" name="Straight Connector 840">
            <a:extLst>
              <a:ext uri="{FF2B5EF4-FFF2-40B4-BE49-F238E27FC236}">
                <a16:creationId xmlns:a16="http://schemas.microsoft.com/office/drawing/2014/main" id="{B3F05121-8425-4352-9479-5D6DAE05989B}"/>
              </a:ext>
            </a:extLst>
          </xdr:cNvPr>
          <xdr:cNvCxnSpPr/>
        </xdr:nvCxnSpPr>
        <xdr:spPr>
          <a:xfrm flipV="1">
            <a:off x="3886201" y="72704325"/>
            <a:ext cx="0" cy="27193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2" name="Straight Connector 841">
            <a:extLst>
              <a:ext uri="{FF2B5EF4-FFF2-40B4-BE49-F238E27FC236}">
                <a16:creationId xmlns:a16="http://schemas.microsoft.com/office/drawing/2014/main" id="{62A90B4D-89DB-4A85-9B1C-E6174AA9BF6C}"/>
              </a:ext>
            </a:extLst>
          </xdr:cNvPr>
          <xdr:cNvCxnSpPr/>
        </xdr:nvCxnSpPr>
        <xdr:spPr>
          <a:xfrm>
            <a:off x="2481263" y="72770988"/>
            <a:ext cx="14811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3" name="Straight Connector 842">
            <a:extLst>
              <a:ext uri="{FF2B5EF4-FFF2-40B4-BE49-F238E27FC236}">
                <a16:creationId xmlns:a16="http://schemas.microsoft.com/office/drawing/2014/main" id="{7AFD3F1F-A0D7-4ECB-B557-0DBA3C13A88C}"/>
              </a:ext>
            </a:extLst>
          </xdr:cNvPr>
          <xdr:cNvCxnSpPr/>
        </xdr:nvCxnSpPr>
        <xdr:spPr>
          <a:xfrm flipH="1">
            <a:off x="3848096" y="7273288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4" name="Straight Connector 843">
            <a:extLst>
              <a:ext uri="{FF2B5EF4-FFF2-40B4-BE49-F238E27FC236}">
                <a16:creationId xmlns:a16="http://schemas.microsoft.com/office/drawing/2014/main" id="{5E862317-1EDA-4612-B548-80F0E0FE5357}"/>
              </a:ext>
            </a:extLst>
          </xdr:cNvPr>
          <xdr:cNvCxnSpPr/>
        </xdr:nvCxnSpPr>
        <xdr:spPr>
          <a:xfrm flipH="1">
            <a:off x="3843345" y="75304647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7" name="Straight Connector 846">
            <a:extLst>
              <a:ext uri="{FF2B5EF4-FFF2-40B4-BE49-F238E27FC236}">
                <a16:creationId xmlns:a16="http://schemas.microsoft.com/office/drawing/2014/main" id="{FC29232B-D597-48C9-B4B1-7A72B48EB0D9}"/>
              </a:ext>
            </a:extLst>
          </xdr:cNvPr>
          <xdr:cNvCxnSpPr/>
        </xdr:nvCxnSpPr>
        <xdr:spPr>
          <a:xfrm>
            <a:off x="1876424" y="73342500"/>
            <a:ext cx="3048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8" name="Straight Connector 847">
            <a:extLst>
              <a:ext uri="{FF2B5EF4-FFF2-40B4-BE49-F238E27FC236}">
                <a16:creationId xmlns:a16="http://schemas.microsoft.com/office/drawing/2014/main" id="{B7A87C4D-DD39-46A4-ADD4-7AEB3F8B0781}"/>
              </a:ext>
            </a:extLst>
          </xdr:cNvPr>
          <xdr:cNvCxnSpPr/>
        </xdr:nvCxnSpPr>
        <xdr:spPr>
          <a:xfrm flipH="1">
            <a:off x="1900235" y="7330916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9" name="Straight Connector 848">
            <a:extLst>
              <a:ext uri="{FF2B5EF4-FFF2-40B4-BE49-F238E27FC236}">
                <a16:creationId xmlns:a16="http://schemas.microsoft.com/office/drawing/2014/main" id="{A4A1924A-E870-4662-9A12-B36327C7DBCB}"/>
              </a:ext>
            </a:extLst>
          </xdr:cNvPr>
          <xdr:cNvCxnSpPr/>
        </xdr:nvCxnSpPr>
        <xdr:spPr>
          <a:xfrm flipH="1">
            <a:off x="2066924" y="7330440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0" name="Straight Connector 849">
            <a:extLst>
              <a:ext uri="{FF2B5EF4-FFF2-40B4-BE49-F238E27FC236}">
                <a16:creationId xmlns:a16="http://schemas.microsoft.com/office/drawing/2014/main" id="{7EDEC181-2EDE-4F98-9C42-5263BDB93F89}"/>
              </a:ext>
            </a:extLst>
          </xdr:cNvPr>
          <xdr:cNvCxnSpPr/>
        </xdr:nvCxnSpPr>
        <xdr:spPr>
          <a:xfrm>
            <a:off x="1619249" y="72694799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1" name="Straight Connector 850">
            <a:extLst>
              <a:ext uri="{FF2B5EF4-FFF2-40B4-BE49-F238E27FC236}">
                <a16:creationId xmlns:a16="http://schemas.microsoft.com/office/drawing/2014/main" id="{5384799A-993F-4B58-9B30-DF349AABE4B7}"/>
              </a:ext>
            </a:extLst>
          </xdr:cNvPr>
          <xdr:cNvCxnSpPr/>
        </xdr:nvCxnSpPr>
        <xdr:spPr>
          <a:xfrm flipH="1">
            <a:off x="1581150" y="7288053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2" name="Straight Connector 851">
            <a:extLst>
              <a:ext uri="{FF2B5EF4-FFF2-40B4-BE49-F238E27FC236}">
                <a16:creationId xmlns:a16="http://schemas.microsoft.com/office/drawing/2014/main" id="{83D0ABD0-F86D-4AEF-A94B-6F1F777B32D4}"/>
              </a:ext>
            </a:extLst>
          </xdr:cNvPr>
          <xdr:cNvCxnSpPr/>
        </xdr:nvCxnSpPr>
        <xdr:spPr>
          <a:xfrm flipH="1">
            <a:off x="1581150" y="72737667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3" name="Straight Connector 852">
            <a:extLst>
              <a:ext uri="{FF2B5EF4-FFF2-40B4-BE49-F238E27FC236}">
                <a16:creationId xmlns:a16="http://schemas.microsoft.com/office/drawing/2014/main" id="{16B501B3-720E-4AF8-8076-931DB2D6F3C5}"/>
              </a:ext>
            </a:extLst>
          </xdr:cNvPr>
          <xdr:cNvCxnSpPr/>
        </xdr:nvCxnSpPr>
        <xdr:spPr>
          <a:xfrm>
            <a:off x="2752724" y="75123674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4" name="Straight Connector 853">
            <a:extLst>
              <a:ext uri="{FF2B5EF4-FFF2-40B4-BE49-F238E27FC236}">
                <a16:creationId xmlns:a16="http://schemas.microsoft.com/office/drawing/2014/main" id="{B9AF299F-2F8C-41D8-9E4B-052962EE8205}"/>
              </a:ext>
            </a:extLst>
          </xdr:cNvPr>
          <xdr:cNvCxnSpPr/>
        </xdr:nvCxnSpPr>
        <xdr:spPr>
          <a:xfrm flipH="1">
            <a:off x="2714625" y="7530941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5" name="Straight Connector 854">
            <a:extLst>
              <a:ext uri="{FF2B5EF4-FFF2-40B4-BE49-F238E27FC236}">
                <a16:creationId xmlns:a16="http://schemas.microsoft.com/office/drawing/2014/main" id="{6A421971-126D-41C3-B1F9-B8ED5873FF20}"/>
              </a:ext>
            </a:extLst>
          </xdr:cNvPr>
          <xdr:cNvCxnSpPr/>
        </xdr:nvCxnSpPr>
        <xdr:spPr>
          <a:xfrm flipH="1">
            <a:off x="2714625" y="75166542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7" name="Straight Connector 856">
            <a:extLst>
              <a:ext uri="{FF2B5EF4-FFF2-40B4-BE49-F238E27FC236}">
                <a16:creationId xmlns:a16="http://schemas.microsoft.com/office/drawing/2014/main" id="{B8C79907-6CCA-5F55-6CAB-172FE153D132}"/>
              </a:ext>
            </a:extLst>
          </xdr:cNvPr>
          <xdr:cNvCxnSpPr/>
        </xdr:nvCxnSpPr>
        <xdr:spPr>
          <a:xfrm>
            <a:off x="1014413" y="74199755"/>
            <a:ext cx="2414587" cy="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0" name="Oval 859">
            <a:extLst>
              <a:ext uri="{FF2B5EF4-FFF2-40B4-BE49-F238E27FC236}">
                <a16:creationId xmlns:a16="http://schemas.microsoft.com/office/drawing/2014/main" id="{0C0DBDA5-B188-431B-85A8-B259BDCBC7A7}"/>
              </a:ext>
            </a:extLst>
          </xdr:cNvPr>
          <xdr:cNvSpPr/>
        </xdr:nvSpPr>
        <xdr:spPr>
          <a:xfrm>
            <a:off x="2324099" y="74171177"/>
            <a:ext cx="57150" cy="5715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62" name="Straight Connector 861">
            <a:extLst>
              <a:ext uri="{FF2B5EF4-FFF2-40B4-BE49-F238E27FC236}">
                <a16:creationId xmlns:a16="http://schemas.microsoft.com/office/drawing/2014/main" id="{BBC2E547-3059-E1AD-5A7D-1BBD0B546DFE}"/>
              </a:ext>
            </a:extLst>
          </xdr:cNvPr>
          <xdr:cNvCxnSpPr/>
        </xdr:nvCxnSpPr>
        <xdr:spPr>
          <a:xfrm>
            <a:off x="2352677" y="72604313"/>
            <a:ext cx="0" cy="287655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" name="Straight Connector 795">
            <a:extLst>
              <a:ext uri="{FF2B5EF4-FFF2-40B4-BE49-F238E27FC236}">
                <a16:creationId xmlns:a16="http://schemas.microsoft.com/office/drawing/2014/main" id="{927164D4-C331-45D2-B7AE-1C6A43AD6B42}"/>
              </a:ext>
            </a:extLst>
          </xdr:cNvPr>
          <xdr:cNvCxnSpPr/>
        </xdr:nvCxnSpPr>
        <xdr:spPr>
          <a:xfrm flipV="1">
            <a:off x="485776" y="72694800"/>
            <a:ext cx="0" cy="27193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" name="Straight Connector 796">
            <a:extLst>
              <a:ext uri="{FF2B5EF4-FFF2-40B4-BE49-F238E27FC236}">
                <a16:creationId xmlns:a16="http://schemas.microsoft.com/office/drawing/2014/main" id="{A7579256-74FB-4F0F-A3EC-052A4BC26D41}"/>
              </a:ext>
            </a:extLst>
          </xdr:cNvPr>
          <xdr:cNvCxnSpPr/>
        </xdr:nvCxnSpPr>
        <xdr:spPr>
          <a:xfrm flipH="1">
            <a:off x="442912" y="7273289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" name="Straight Connector 825">
            <a:extLst>
              <a:ext uri="{FF2B5EF4-FFF2-40B4-BE49-F238E27FC236}">
                <a16:creationId xmlns:a16="http://schemas.microsoft.com/office/drawing/2014/main" id="{5A696711-58B6-4767-987C-B419C31F7CA8}"/>
              </a:ext>
            </a:extLst>
          </xdr:cNvPr>
          <xdr:cNvCxnSpPr/>
        </xdr:nvCxnSpPr>
        <xdr:spPr>
          <a:xfrm flipH="1">
            <a:off x="419091" y="75342759"/>
            <a:ext cx="147162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" name="Straight Connector 826">
            <a:extLst>
              <a:ext uri="{FF2B5EF4-FFF2-40B4-BE49-F238E27FC236}">
                <a16:creationId xmlns:a16="http://schemas.microsoft.com/office/drawing/2014/main" id="{4A1DFA3B-49EB-499D-B1A0-6AF9E16D496C}"/>
              </a:ext>
            </a:extLst>
          </xdr:cNvPr>
          <xdr:cNvCxnSpPr/>
        </xdr:nvCxnSpPr>
        <xdr:spPr>
          <a:xfrm flipH="1">
            <a:off x="442903" y="7530465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4" name="Straight Connector 833">
            <a:extLst>
              <a:ext uri="{FF2B5EF4-FFF2-40B4-BE49-F238E27FC236}">
                <a16:creationId xmlns:a16="http://schemas.microsoft.com/office/drawing/2014/main" id="{104249CD-3F17-44C1-A0B2-319DEE7B8A16}"/>
              </a:ext>
            </a:extLst>
          </xdr:cNvPr>
          <xdr:cNvCxnSpPr/>
        </xdr:nvCxnSpPr>
        <xdr:spPr>
          <a:xfrm flipH="1">
            <a:off x="414337" y="74199760"/>
            <a:ext cx="5238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5" name="Straight Connector 834">
            <a:extLst>
              <a:ext uri="{FF2B5EF4-FFF2-40B4-BE49-F238E27FC236}">
                <a16:creationId xmlns:a16="http://schemas.microsoft.com/office/drawing/2014/main" id="{0514C3C8-BC9B-4BB9-8F93-3592D2C3BF5D}"/>
              </a:ext>
            </a:extLst>
          </xdr:cNvPr>
          <xdr:cNvCxnSpPr/>
        </xdr:nvCxnSpPr>
        <xdr:spPr>
          <a:xfrm flipH="1">
            <a:off x="438149" y="7416165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0" name="Straight Connector 839">
            <a:extLst>
              <a:ext uri="{FF2B5EF4-FFF2-40B4-BE49-F238E27FC236}">
                <a16:creationId xmlns:a16="http://schemas.microsoft.com/office/drawing/2014/main" id="{2AF7BB01-2552-4E81-8496-EB3FED66B03B}"/>
              </a:ext>
            </a:extLst>
          </xdr:cNvPr>
          <xdr:cNvCxnSpPr/>
        </xdr:nvCxnSpPr>
        <xdr:spPr>
          <a:xfrm>
            <a:off x="1038225" y="75914252"/>
            <a:ext cx="2276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5" name="Straight Connector 844">
            <a:extLst>
              <a:ext uri="{FF2B5EF4-FFF2-40B4-BE49-F238E27FC236}">
                <a16:creationId xmlns:a16="http://schemas.microsoft.com/office/drawing/2014/main" id="{990B38E5-3A3D-4A1E-89A9-132DDF20111E}"/>
              </a:ext>
            </a:extLst>
          </xdr:cNvPr>
          <xdr:cNvCxnSpPr/>
        </xdr:nvCxnSpPr>
        <xdr:spPr>
          <a:xfrm flipH="1">
            <a:off x="3195637" y="7587615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6" name="Straight Connector 855">
            <a:extLst>
              <a:ext uri="{FF2B5EF4-FFF2-40B4-BE49-F238E27FC236}">
                <a16:creationId xmlns:a16="http://schemas.microsoft.com/office/drawing/2014/main" id="{E53BB099-C139-DD5C-04F0-40B0DAA87EC4}"/>
              </a:ext>
            </a:extLst>
          </xdr:cNvPr>
          <xdr:cNvCxnSpPr/>
        </xdr:nvCxnSpPr>
        <xdr:spPr>
          <a:xfrm>
            <a:off x="1133475" y="73775888"/>
            <a:ext cx="0" cy="385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1" name="Straight Connector 860">
            <a:extLst>
              <a:ext uri="{FF2B5EF4-FFF2-40B4-BE49-F238E27FC236}">
                <a16:creationId xmlns:a16="http://schemas.microsoft.com/office/drawing/2014/main" id="{DE6E92F0-E33A-0582-5ABA-AF04C0C2DF2E}"/>
              </a:ext>
            </a:extLst>
          </xdr:cNvPr>
          <xdr:cNvCxnSpPr/>
        </xdr:nvCxnSpPr>
        <xdr:spPr>
          <a:xfrm>
            <a:off x="1133475" y="74309288"/>
            <a:ext cx="0" cy="1000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4" name="Straight Connector 863">
            <a:extLst>
              <a:ext uri="{FF2B5EF4-FFF2-40B4-BE49-F238E27FC236}">
                <a16:creationId xmlns:a16="http://schemas.microsoft.com/office/drawing/2014/main" id="{E60B0C7B-10BB-BBFD-A021-3C2ECE0F45FF}"/>
              </a:ext>
            </a:extLst>
          </xdr:cNvPr>
          <xdr:cNvCxnSpPr/>
        </xdr:nvCxnSpPr>
        <xdr:spPr>
          <a:xfrm>
            <a:off x="1133475" y="75395138"/>
            <a:ext cx="0" cy="6143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3" name="Straight Connector 872">
            <a:extLst>
              <a:ext uri="{FF2B5EF4-FFF2-40B4-BE49-F238E27FC236}">
                <a16:creationId xmlns:a16="http://schemas.microsoft.com/office/drawing/2014/main" id="{6B559B48-2994-47D0-ABAF-E7390D61FEA1}"/>
              </a:ext>
            </a:extLst>
          </xdr:cNvPr>
          <xdr:cNvCxnSpPr/>
        </xdr:nvCxnSpPr>
        <xdr:spPr>
          <a:xfrm flipH="1">
            <a:off x="1090608" y="7587615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Straight Connector 876">
            <a:extLst>
              <a:ext uri="{FF2B5EF4-FFF2-40B4-BE49-F238E27FC236}">
                <a16:creationId xmlns:a16="http://schemas.microsoft.com/office/drawing/2014/main" id="{7A54B168-72B1-43FB-BD7B-0C08B69326D1}"/>
              </a:ext>
            </a:extLst>
          </xdr:cNvPr>
          <xdr:cNvCxnSpPr/>
        </xdr:nvCxnSpPr>
        <xdr:spPr>
          <a:xfrm flipV="1">
            <a:off x="2352676" y="75695175"/>
            <a:ext cx="0" cy="29051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9" name="Straight Connector 898">
            <a:extLst>
              <a:ext uri="{FF2B5EF4-FFF2-40B4-BE49-F238E27FC236}">
                <a16:creationId xmlns:a16="http://schemas.microsoft.com/office/drawing/2014/main" id="{13070A84-DEA3-475B-A213-756D5EC0D4F4}"/>
              </a:ext>
            </a:extLst>
          </xdr:cNvPr>
          <xdr:cNvCxnSpPr/>
        </xdr:nvCxnSpPr>
        <xdr:spPr>
          <a:xfrm flipH="1">
            <a:off x="2309813" y="75876155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80963</xdr:colOff>
      <xdr:row>490</xdr:row>
      <xdr:rowOff>66675</xdr:rowOff>
    </xdr:from>
    <xdr:to>
      <xdr:col>20</xdr:col>
      <xdr:colOff>95250</xdr:colOff>
      <xdr:row>513</xdr:row>
      <xdr:rowOff>119063</xdr:rowOff>
    </xdr:to>
    <xdr:grpSp>
      <xdr:nvGrpSpPr>
        <xdr:cNvPr id="908" name="Group 907">
          <a:extLst>
            <a:ext uri="{FF2B5EF4-FFF2-40B4-BE49-F238E27FC236}">
              <a16:creationId xmlns:a16="http://schemas.microsoft.com/office/drawing/2014/main" id="{48096D92-339F-7511-2BCF-3447CADA3854}"/>
            </a:ext>
          </a:extLst>
        </xdr:cNvPr>
        <xdr:cNvGrpSpPr/>
      </xdr:nvGrpSpPr>
      <xdr:grpSpPr>
        <a:xfrm>
          <a:off x="890588" y="74923650"/>
          <a:ext cx="2443162" cy="3338513"/>
          <a:chOff x="890588" y="67779900"/>
          <a:chExt cx="2443162" cy="3338513"/>
        </a:xfrm>
      </xdr:grpSpPr>
      <xdr:cxnSp macro="">
        <xdr:nvCxnSpPr>
          <xdr:cNvPr id="712" name="Straight Connector 711">
            <a:extLst>
              <a:ext uri="{FF2B5EF4-FFF2-40B4-BE49-F238E27FC236}">
                <a16:creationId xmlns:a16="http://schemas.microsoft.com/office/drawing/2014/main" id="{DCED96E2-08F5-42EE-A722-C04EB8F70E12}"/>
              </a:ext>
            </a:extLst>
          </xdr:cNvPr>
          <xdr:cNvCxnSpPr/>
        </xdr:nvCxnSpPr>
        <xdr:spPr>
          <a:xfrm>
            <a:off x="2914657" y="70208778"/>
            <a:ext cx="0" cy="5714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1" name="Freeform: Shape 680">
            <a:extLst>
              <a:ext uri="{FF2B5EF4-FFF2-40B4-BE49-F238E27FC236}">
                <a16:creationId xmlns:a16="http://schemas.microsoft.com/office/drawing/2014/main" id="{ACE23B0F-08DE-8C31-4BC1-009ED762A321}"/>
              </a:ext>
            </a:extLst>
          </xdr:cNvPr>
          <xdr:cNvSpPr/>
        </xdr:nvSpPr>
        <xdr:spPr>
          <a:xfrm>
            <a:off x="1295401" y="68146614"/>
            <a:ext cx="1300163" cy="2571750"/>
          </a:xfrm>
          <a:custGeom>
            <a:avLst/>
            <a:gdLst>
              <a:gd name="connsiteX0" fmla="*/ 1290638 w 1300163"/>
              <a:gd name="connsiteY0" fmla="*/ 428625 h 2571750"/>
              <a:gd name="connsiteX1" fmla="*/ 1290638 w 1300163"/>
              <a:gd name="connsiteY1" fmla="*/ 0 h 2571750"/>
              <a:gd name="connsiteX2" fmla="*/ 0 w 1300163"/>
              <a:gd name="connsiteY2" fmla="*/ 0 h 2571750"/>
              <a:gd name="connsiteX3" fmla="*/ 0 w 1300163"/>
              <a:gd name="connsiteY3" fmla="*/ 2571750 h 2571750"/>
              <a:gd name="connsiteX4" fmla="*/ 1300163 w 1300163"/>
              <a:gd name="connsiteY4" fmla="*/ 2571750 h 2571750"/>
              <a:gd name="connsiteX5" fmla="*/ 1300163 w 1300163"/>
              <a:gd name="connsiteY5" fmla="*/ 2147888 h 2571750"/>
              <a:gd name="connsiteX6" fmla="*/ 1133475 w 1300163"/>
              <a:gd name="connsiteY6" fmla="*/ 2147888 h 2571750"/>
              <a:gd name="connsiteX7" fmla="*/ 1133475 w 1300163"/>
              <a:gd name="connsiteY7" fmla="*/ 2428875 h 2571750"/>
              <a:gd name="connsiteX8" fmla="*/ 161925 w 1300163"/>
              <a:gd name="connsiteY8" fmla="*/ 2428875 h 2571750"/>
              <a:gd name="connsiteX9" fmla="*/ 161925 w 1300163"/>
              <a:gd name="connsiteY9" fmla="*/ 147638 h 2571750"/>
              <a:gd name="connsiteX10" fmla="*/ 1138238 w 1300163"/>
              <a:gd name="connsiteY10" fmla="*/ 147638 h 2571750"/>
              <a:gd name="connsiteX11" fmla="*/ 1138238 w 1300163"/>
              <a:gd name="connsiteY11" fmla="*/ 428625 h 2571750"/>
              <a:gd name="connsiteX12" fmla="*/ 1290638 w 1300163"/>
              <a:gd name="connsiteY12" fmla="*/ 428625 h 2571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300163" h="2571750">
                <a:moveTo>
                  <a:pt x="1290638" y="428625"/>
                </a:moveTo>
                <a:lnTo>
                  <a:pt x="1290638" y="0"/>
                </a:lnTo>
                <a:lnTo>
                  <a:pt x="0" y="0"/>
                </a:lnTo>
                <a:lnTo>
                  <a:pt x="0" y="2571750"/>
                </a:lnTo>
                <a:lnTo>
                  <a:pt x="1300163" y="2571750"/>
                </a:lnTo>
                <a:lnTo>
                  <a:pt x="1300163" y="2147888"/>
                </a:lnTo>
                <a:lnTo>
                  <a:pt x="1133475" y="2147888"/>
                </a:lnTo>
                <a:lnTo>
                  <a:pt x="1133475" y="2428875"/>
                </a:lnTo>
                <a:lnTo>
                  <a:pt x="161925" y="2428875"/>
                </a:lnTo>
                <a:lnTo>
                  <a:pt x="161925" y="147638"/>
                </a:lnTo>
                <a:lnTo>
                  <a:pt x="1138238" y="147638"/>
                </a:lnTo>
                <a:lnTo>
                  <a:pt x="1138238" y="428625"/>
                </a:lnTo>
                <a:lnTo>
                  <a:pt x="1290638" y="428625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02" name="Straight Connector 701">
            <a:extLst>
              <a:ext uri="{FF2B5EF4-FFF2-40B4-BE49-F238E27FC236}">
                <a16:creationId xmlns:a16="http://schemas.microsoft.com/office/drawing/2014/main" id="{C8A53933-D5DD-1D8F-E246-71FB4E1A7B52}"/>
              </a:ext>
            </a:extLst>
          </xdr:cNvPr>
          <xdr:cNvCxnSpPr/>
        </xdr:nvCxnSpPr>
        <xdr:spPr>
          <a:xfrm>
            <a:off x="900113" y="68141851"/>
            <a:ext cx="3476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" name="Straight Connector 712">
            <a:extLst>
              <a:ext uri="{FF2B5EF4-FFF2-40B4-BE49-F238E27FC236}">
                <a16:creationId xmlns:a16="http://schemas.microsoft.com/office/drawing/2014/main" id="{7CE620B4-2F1B-F208-C0B0-54085008B8AD}"/>
              </a:ext>
            </a:extLst>
          </xdr:cNvPr>
          <xdr:cNvCxnSpPr/>
        </xdr:nvCxnSpPr>
        <xdr:spPr>
          <a:xfrm>
            <a:off x="971550" y="68060887"/>
            <a:ext cx="0" cy="27336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" name="Straight Connector 715">
            <a:extLst>
              <a:ext uri="{FF2B5EF4-FFF2-40B4-BE49-F238E27FC236}">
                <a16:creationId xmlns:a16="http://schemas.microsoft.com/office/drawing/2014/main" id="{96838276-B21C-78E9-6199-0E99B54A76A2}"/>
              </a:ext>
            </a:extLst>
          </xdr:cNvPr>
          <xdr:cNvCxnSpPr/>
        </xdr:nvCxnSpPr>
        <xdr:spPr>
          <a:xfrm flipH="1">
            <a:off x="933449" y="681037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" name="Straight Connector 716">
            <a:extLst>
              <a:ext uri="{FF2B5EF4-FFF2-40B4-BE49-F238E27FC236}">
                <a16:creationId xmlns:a16="http://schemas.microsoft.com/office/drawing/2014/main" id="{4ECC294C-6D38-4A03-BFC3-FFC9DEC37DB0}"/>
              </a:ext>
            </a:extLst>
          </xdr:cNvPr>
          <xdr:cNvCxnSpPr/>
        </xdr:nvCxnSpPr>
        <xdr:spPr>
          <a:xfrm>
            <a:off x="890588" y="70713601"/>
            <a:ext cx="3571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" name="Straight Connector 717">
            <a:extLst>
              <a:ext uri="{FF2B5EF4-FFF2-40B4-BE49-F238E27FC236}">
                <a16:creationId xmlns:a16="http://schemas.microsoft.com/office/drawing/2014/main" id="{31B9D290-6E8B-40EA-9434-2A5B2C77DAFA}"/>
              </a:ext>
            </a:extLst>
          </xdr:cNvPr>
          <xdr:cNvCxnSpPr/>
        </xdr:nvCxnSpPr>
        <xdr:spPr>
          <a:xfrm flipH="1">
            <a:off x="933449" y="706755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" name="Straight Connector 722">
            <a:extLst>
              <a:ext uri="{FF2B5EF4-FFF2-40B4-BE49-F238E27FC236}">
                <a16:creationId xmlns:a16="http://schemas.microsoft.com/office/drawing/2014/main" id="{6FDAB38E-6660-B9BB-6D7B-E42CBC4FE546}"/>
              </a:ext>
            </a:extLst>
          </xdr:cNvPr>
          <xdr:cNvCxnSpPr/>
        </xdr:nvCxnSpPr>
        <xdr:spPr>
          <a:xfrm flipV="1">
            <a:off x="1295401" y="67779900"/>
            <a:ext cx="0" cy="290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" name="Straight Connector 724">
            <a:extLst>
              <a:ext uri="{FF2B5EF4-FFF2-40B4-BE49-F238E27FC236}">
                <a16:creationId xmlns:a16="http://schemas.microsoft.com/office/drawing/2014/main" id="{92D4CB61-54A3-61E5-6E3B-01372645CEEE}"/>
              </a:ext>
            </a:extLst>
          </xdr:cNvPr>
          <xdr:cNvCxnSpPr/>
        </xdr:nvCxnSpPr>
        <xdr:spPr>
          <a:xfrm>
            <a:off x="1214439" y="67856101"/>
            <a:ext cx="14430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" name="Straight Connector 727">
            <a:extLst>
              <a:ext uri="{FF2B5EF4-FFF2-40B4-BE49-F238E27FC236}">
                <a16:creationId xmlns:a16="http://schemas.microsoft.com/office/drawing/2014/main" id="{9A20C9E3-1744-D4BB-86DC-0F0F21FE3092}"/>
              </a:ext>
            </a:extLst>
          </xdr:cNvPr>
          <xdr:cNvCxnSpPr/>
        </xdr:nvCxnSpPr>
        <xdr:spPr>
          <a:xfrm flipH="1">
            <a:off x="1257300" y="678180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" name="Straight Connector 728">
            <a:extLst>
              <a:ext uri="{FF2B5EF4-FFF2-40B4-BE49-F238E27FC236}">
                <a16:creationId xmlns:a16="http://schemas.microsoft.com/office/drawing/2014/main" id="{8196E181-147D-4354-B21E-6D4ACED7B487}"/>
              </a:ext>
            </a:extLst>
          </xdr:cNvPr>
          <xdr:cNvCxnSpPr/>
        </xdr:nvCxnSpPr>
        <xdr:spPr>
          <a:xfrm flipV="1">
            <a:off x="2590801" y="67779900"/>
            <a:ext cx="0" cy="290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" name="Straight Connector 729">
            <a:extLst>
              <a:ext uri="{FF2B5EF4-FFF2-40B4-BE49-F238E27FC236}">
                <a16:creationId xmlns:a16="http://schemas.microsoft.com/office/drawing/2014/main" id="{A76765F5-B02A-46B9-8302-D3CC173E8B88}"/>
              </a:ext>
            </a:extLst>
          </xdr:cNvPr>
          <xdr:cNvCxnSpPr/>
        </xdr:nvCxnSpPr>
        <xdr:spPr>
          <a:xfrm flipH="1">
            <a:off x="2552700" y="678180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" name="Straight Connector 731">
            <a:extLst>
              <a:ext uri="{FF2B5EF4-FFF2-40B4-BE49-F238E27FC236}">
                <a16:creationId xmlns:a16="http://schemas.microsoft.com/office/drawing/2014/main" id="{76908905-D8EA-158F-B05E-4218E37E2CBB}"/>
              </a:ext>
            </a:extLst>
          </xdr:cNvPr>
          <xdr:cNvCxnSpPr/>
        </xdr:nvCxnSpPr>
        <xdr:spPr>
          <a:xfrm>
            <a:off x="1228724" y="68713350"/>
            <a:ext cx="3048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" name="Straight Connector 732">
            <a:extLst>
              <a:ext uri="{FF2B5EF4-FFF2-40B4-BE49-F238E27FC236}">
                <a16:creationId xmlns:a16="http://schemas.microsoft.com/office/drawing/2014/main" id="{5506FF70-A8A9-45D0-AEB1-7FA42F6ADD3F}"/>
              </a:ext>
            </a:extLst>
          </xdr:cNvPr>
          <xdr:cNvCxnSpPr/>
        </xdr:nvCxnSpPr>
        <xdr:spPr>
          <a:xfrm flipH="1">
            <a:off x="1252535" y="6868001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" name="Straight Connector 733">
            <a:extLst>
              <a:ext uri="{FF2B5EF4-FFF2-40B4-BE49-F238E27FC236}">
                <a16:creationId xmlns:a16="http://schemas.microsoft.com/office/drawing/2014/main" id="{B1DDA569-BF54-4B76-916D-3CDF75BA3D45}"/>
              </a:ext>
            </a:extLst>
          </xdr:cNvPr>
          <xdr:cNvCxnSpPr/>
        </xdr:nvCxnSpPr>
        <xdr:spPr>
          <a:xfrm flipH="1">
            <a:off x="1419224" y="6867525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" name="Straight Connector 736">
            <a:extLst>
              <a:ext uri="{FF2B5EF4-FFF2-40B4-BE49-F238E27FC236}">
                <a16:creationId xmlns:a16="http://schemas.microsoft.com/office/drawing/2014/main" id="{86634BC6-E674-337D-F1FC-6C5D535C87E2}"/>
              </a:ext>
            </a:extLst>
          </xdr:cNvPr>
          <xdr:cNvCxnSpPr/>
        </xdr:nvCxnSpPr>
        <xdr:spPr>
          <a:xfrm>
            <a:off x="2105024" y="70494524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" name="Straight Connector 737">
            <a:extLst>
              <a:ext uri="{FF2B5EF4-FFF2-40B4-BE49-F238E27FC236}">
                <a16:creationId xmlns:a16="http://schemas.microsoft.com/office/drawing/2014/main" id="{74CE6C0E-4EAE-4476-8CD2-C90B0E02F53E}"/>
              </a:ext>
            </a:extLst>
          </xdr:cNvPr>
          <xdr:cNvCxnSpPr/>
        </xdr:nvCxnSpPr>
        <xdr:spPr>
          <a:xfrm flipH="1">
            <a:off x="2066925" y="7068026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Straight Connector 738">
            <a:extLst>
              <a:ext uri="{FF2B5EF4-FFF2-40B4-BE49-F238E27FC236}">
                <a16:creationId xmlns:a16="http://schemas.microsoft.com/office/drawing/2014/main" id="{23C20604-0419-4636-84B0-51C5D1887628}"/>
              </a:ext>
            </a:extLst>
          </xdr:cNvPr>
          <xdr:cNvCxnSpPr/>
        </xdr:nvCxnSpPr>
        <xdr:spPr>
          <a:xfrm flipH="1">
            <a:off x="2066925" y="70537392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" name="Straight Connector 739">
            <a:extLst>
              <a:ext uri="{FF2B5EF4-FFF2-40B4-BE49-F238E27FC236}">
                <a16:creationId xmlns:a16="http://schemas.microsoft.com/office/drawing/2014/main" id="{BC17D989-3917-46D0-A189-1EF1A6D97C1D}"/>
              </a:ext>
            </a:extLst>
          </xdr:cNvPr>
          <xdr:cNvCxnSpPr/>
        </xdr:nvCxnSpPr>
        <xdr:spPr>
          <a:xfrm>
            <a:off x="2362206" y="68999098"/>
            <a:ext cx="3095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" name="Straight Connector 740">
            <a:extLst>
              <a:ext uri="{FF2B5EF4-FFF2-40B4-BE49-F238E27FC236}">
                <a16:creationId xmlns:a16="http://schemas.microsoft.com/office/drawing/2014/main" id="{90681EBC-0AA0-40EB-BBDF-B281469B5513}"/>
              </a:ext>
            </a:extLst>
          </xdr:cNvPr>
          <xdr:cNvCxnSpPr/>
        </xdr:nvCxnSpPr>
        <xdr:spPr>
          <a:xfrm flipH="1">
            <a:off x="2386017" y="68965762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" name="Straight Connector 741">
            <a:extLst>
              <a:ext uri="{FF2B5EF4-FFF2-40B4-BE49-F238E27FC236}">
                <a16:creationId xmlns:a16="http://schemas.microsoft.com/office/drawing/2014/main" id="{6B44E4F2-57E3-4BF2-A24E-CED10975D0E8}"/>
              </a:ext>
            </a:extLst>
          </xdr:cNvPr>
          <xdr:cNvCxnSpPr/>
        </xdr:nvCxnSpPr>
        <xdr:spPr>
          <a:xfrm flipH="1">
            <a:off x="2552706" y="689610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" name="Straight Connector 743">
            <a:extLst>
              <a:ext uri="{FF2B5EF4-FFF2-40B4-BE49-F238E27FC236}">
                <a16:creationId xmlns:a16="http://schemas.microsoft.com/office/drawing/2014/main" id="{2B817425-2B1E-4991-A151-EC067ABF8BBE}"/>
              </a:ext>
            </a:extLst>
          </xdr:cNvPr>
          <xdr:cNvCxnSpPr/>
        </xdr:nvCxnSpPr>
        <xdr:spPr>
          <a:xfrm flipV="1">
            <a:off x="2428875" y="68637150"/>
            <a:ext cx="0" cy="4238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" name="Straight Connector 745">
            <a:extLst>
              <a:ext uri="{FF2B5EF4-FFF2-40B4-BE49-F238E27FC236}">
                <a16:creationId xmlns:a16="http://schemas.microsoft.com/office/drawing/2014/main" id="{DC3F694F-ECA6-43A7-8A8E-839648215971}"/>
              </a:ext>
            </a:extLst>
          </xdr:cNvPr>
          <xdr:cNvCxnSpPr/>
        </xdr:nvCxnSpPr>
        <xdr:spPr>
          <a:xfrm flipV="1">
            <a:off x="2590801" y="68646675"/>
            <a:ext cx="0" cy="4238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" name="Straight Connector 747">
            <a:extLst>
              <a:ext uri="{FF2B5EF4-FFF2-40B4-BE49-F238E27FC236}">
                <a16:creationId xmlns:a16="http://schemas.microsoft.com/office/drawing/2014/main" id="{3DDE25BE-37D4-4BCD-BDA4-319834691ED0}"/>
              </a:ext>
            </a:extLst>
          </xdr:cNvPr>
          <xdr:cNvCxnSpPr/>
        </xdr:nvCxnSpPr>
        <xdr:spPr>
          <a:xfrm>
            <a:off x="2362206" y="69999218"/>
            <a:ext cx="3095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" name="Straight Connector 748">
            <a:extLst>
              <a:ext uri="{FF2B5EF4-FFF2-40B4-BE49-F238E27FC236}">
                <a16:creationId xmlns:a16="http://schemas.microsoft.com/office/drawing/2014/main" id="{9944EDDE-F7FB-4147-9986-FB6F061B024A}"/>
              </a:ext>
            </a:extLst>
          </xdr:cNvPr>
          <xdr:cNvCxnSpPr/>
        </xdr:nvCxnSpPr>
        <xdr:spPr>
          <a:xfrm flipH="1">
            <a:off x="2390780" y="699611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" name="Straight Connector 749">
            <a:extLst>
              <a:ext uri="{FF2B5EF4-FFF2-40B4-BE49-F238E27FC236}">
                <a16:creationId xmlns:a16="http://schemas.microsoft.com/office/drawing/2014/main" id="{E52F183D-7236-43B0-BDB5-D7D3E5A993A6}"/>
              </a:ext>
            </a:extLst>
          </xdr:cNvPr>
          <xdr:cNvCxnSpPr/>
        </xdr:nvCxnSpPr>
        <xdr:spPr>
          <a:xfrm flipH="1">
            <a:off x="2552706" y="69961128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Straight Connector 750">
            <a:extLst>
              <a:ext uri="{FF2B5EF4-FFF2-40B4-BE49-F238E27FC236}">
                <a16:creationId xmlns:a16="http://schemas.microsoft.com/office/drawing/2014/main" id="{350D0059-0672-427A-AC8E-8E86DB2F2906}"/>
              </a:ext>
            </a:extLst>
          </xdr:cNvPr>
          <xdr:cNvCxnSpPr/>
        </xdr:nvCxnSpPr>
        <xdr:spPr>
          <a:xfrm flipV="1">
            <a:off x="2428875" y="69908738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" name="Straight Connector 751">
            <a:extLst>
              <a:ext uri="{FF2B5EF4-FFF2-40B4-BE49-F238E27FC236}">
                <a16:creationId xmlns:a16="http://schemas.microsoft.com/office/drawing/2014/main" id="{B75D94B2-E332-4011-AFBA-B23529697E55}"/>
              </a:ext>
            </a:extLst>
          </xdr:cNvPr>
          <xdr:cNvCxnSpPr/>
        </xdr:nvCxnSpPr>
        <xdr:spPr>
          <a:xfrm flipV="1">
            <a:off x="2590801" y="69923025"/>
            <a:ext cx="0" cy="290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Straight Connector 753">
            <a:extLst>
              <a:ext uri="{FF2B5EF4-FFF2-40B4-BE49-F238E27FC236}">
                <a16:creationId xmlns:a16="http://schemas.microsoft.com/office/drawing/2014/main" id="{535A296B-2023-B20A-ED2B-2E98BBCCCCEC}"/>
              </a:ext>
            </a:extLst>
          </xdr:cNvPr>
          <xdr:cNvCxnSpPr/>
        </xdr:nvCxnSpPr>
        <xdr:spPr>
          <a:xfrm>
            <a:off x="2671762" y="68141850"/>
            <a:ext cx="6477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" name="Straight Connector 755">
            <a:extLst>
              <a:ext uri="{FF2B5EF4-FFF2-40B4-BE49-F238E27FC236}">
                <a16:creationId xmlns:a16="http://schemas.microsoft.com/office/drawing/2014/main" id="{08D19EB2-BFAB-15C0-3BBA-23C9BDB4716B}"/>
              </a:ext>
            </a:extLst>
          </xdr:cNvPr>
          <xdr:cNvCxnSpPr/>
        </xdr:nvCxnSpPr>
        <xdr:spPr>
          <a:xfrm>
            <a:off x="2914651" y="68070414"/>
            <a:ext cx="0" cy="5714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" name="Straight Connector 757">
            <a:extLst>
              <a:ext uri="{FF2B5EF4-FFF2-40B4-BE49-F238E27FC236}">
                <a16:creationId xmlns:a16="http://schemas.microsoft.com/office/drawing/2014/main" id="{3A1580CF-6DD2-4E71-862B-566C8A1AA04D}"/>
              </a:ext>
            </a:extLst>
          </xdr:cNvPr>
          <xdr:cNvCxnSpPr/>
        </xdr:nvCxnSpPr>
        <xdr:spPr>
          <a:xfrm flipH="1">
            <a:off x="2876544" y="681037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" name="Straight Connector 758">
            <a:extLst>
              <a:ext uri="{FF2B5EF4-FFF2-40B4-BE49-F238E27FC236}">
                <a16:creationId xmlns:a16="http://schemas.microsoft.com/office/drawing/2014/main" id="{83C8D04C-0179-492B-8DF5-E6137FD19C6C}"/>
              </a:ext>
            </a:extLst>
          </xdr:cNvPr>
          <xdr:cNvCxnSpPr/>
        </xdr:nvCxnSpPr>
        <xdr:spPr>
          <a:xfrm>
            <a:off x="2671762" y="68570475"/>
            <a:ext cx="319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" name="Straight Connector 759">
            <a:extLst>
              <a:ext uri="{FF2B5EF4-FFF2-40B4-BE49-F238E27FC236}">
                <a16:creationId xmlns:a16="http://schemas.microsoft.com/office/drawing/2014/main" id="{7A8C95A5-B244-47D9-80AD-E0B47C99DB36}"/>
              </a:ext>
            </a:extLst>
          </xdr:cNvPr>
          <xdr:cNvCxnSpPr/>
        </xdr:nvCxnSpPr>
        <xdr:spPr>
          <a:xfrm flipH="1">
            <a:off x="2876544" y="685323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" name="Straight Connector 760">
            <a:extLst>
              <a:ext uri="{FF2B5EF4-FFF2-40B4-BE49-F238E27FC236}">
                <a16:creationId xmlns:a16="http://schemas.microsoft.com/office/drawing/2014/main" id="{7942BD6D-3144-4BDF-B6EF-7156603D67B0}"/>
              </a:ext>
            </a:extLst>
          </xdr:cNvPr>
          <xdr:cNvCxnSpPr/>
        </xdr:nvCxnSpPr>
        <xdr:spPr>
          <a:xfrm>
            <a:off x="2105024" y="68065649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" name="Straight Connector 761">
            <a:extLst>
              <a:ext uri="{FF2B5EF4-FFF2-40B4-BE49-F238E27FC236}">
                <a16:creationId xmlns:a16="http://schemas.microsoft.com/office/drawing/2014/main" id="{F568D61A-3332-40ED-9B3B-39B682B60A9C}"/>
              </a:ext>
            </a:extLst>
          </xdr:cNvPr>
          <xdr:cNvCxnSpPr/>
        </xdr:nvCxnSpPr>
        <xdr:spPr>
          <a:xfrm flipH="1">
            <a:off x="2066925" y="6825138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" name="Straight Connector 762">
            <a:extLst>
              <a:ext uri="{FF2B5EF4-FFF2-40B4-BE49-F238E27FC236}">
                <a16:creationId xmlns:a16="http://schemas.microsoft.com/office/drawing/2014/main" id="{A6580B67-D987-4501-B343-A7F378B1E1FD}"/>
              </a:ext>
            </a:extLst>
          </xdr:cNvPr>
          <xdr:cNvCxnSpPr/>
        </xdr:nvCxnSpPr>
        <xdr:spPr>
          <a:xfrm flipH="1">
            <a:off x="2066925" y="68108517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" name="Straight Connector 764">
            <a:extLst>
              <a:ext uri="{FF2B5EF4-FFF2-40B4-BE49-F238E27FC236}">
                <a16:creationId xmlns:a16="http://schemas.microsoft.com/office/drawing/2014/main" id="{6B51165F-D2FC-134E-18A1-F81D285AB3E6}"/>
              </a:ext>
            </a:extLst>
          </xdr:cNvPr>
          <xdr:cNvCxnSpPr/>
        </xdr:nvCxnSpPr>
        <xdr:spPr>
          <a:xfrm>
            <a:off x="1185863" y="69427729"/>
            <a:ext cx="2147887" cy="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" name="Straight Connector 766">
            <a:extLst>
              <a:ext uri="{FF2B5EF4-FFF2-40B4-BE49-F238E27FC236}">
                <a16:creationId xmlns:a16="http://schemas.microsoft.com/office/drawing/2014/main" id="{D1F96EDB-26B9-AE3B-67D2-4316D9566287}"/>
              </a:ext>
            </a:extLst>
          </xdr:cNvPr>
          <xdr:cNvCxnSpPr/>
        </xdr:nvCxnSpPr>
        <xdr:spPr>
          <a:xfrm>
            <a:off x="1781169" y="67998975"/>
            <a:ext cx="0" cy="3119438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" name="Straight Connector 769">
            <a:extLst>
              <a:ext uri="{FF2B5EF4-FFF2-40B4-BE49-F238E27FC236}">
                <a16:creationId xmlns:a16="http://schemas.microsoft.com/office/drawing/2014/main" id="{F2FB2DD3-2247-35F2-C8D5-0BD43B768524}"/>
              </a:ext>
            </a:extLst>
          </xdr:cNvPr>
          <xdr:cNvCxnSpPr/>
        </xdr:nvCxnSpPr>
        <xdr:spPr>
          <a:xfrm>
            <a:off x="1233489" y="70999350"/>
            <a:ext cx="142398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" name="Straight Connector 771">
            <a:extLst>
              <a:ext uri="{FF2B5EF4-FFF2-40B4-BE49-F238E27FC236}">
                <a16:creationId xmlns:a16="http://schemas.microsoft.com/office/drawing/2014/main" id="{A2C1BE50-FB9C-7D57-AB86-1A283A682207}"/>
              </a:ext>
            </a:extLst>
          </xdr:cNvPr>
          <xdr:cNvCxnSpPr/>
        </xdr:nvCxnSpPr>
        <xdr:spPr>
          <a:xfrm>
            <a:off x="1295400" y="7077075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" name="Straight Connector 772">
            <a:extLst>
              <a:ext uri="{FF2B5EF4-FFF2-40B4-BE49-F238E27FC236}">
                <a16:creationId xmlns:a16="http://schemas.microsoft.com/office/drawing/2014/main" id="{D10A7F28-ACF4-485C-8C20-1D878AD79472}"/>
              </a:ext>
            </a:extLst>
          </xdr:cNvPr>
          <xdr:cNvCxnSpPr/>
        </xdr:nvCxnSpPr>
        <xdr:spPr>
          <a:xfrm flipH="1">
            <a:off x="1257293" y="7096125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" name="Straight Connector 773">
            <a:extLst>
              <a:ext uri="{FF2B5EF4-FFF2-40B4-BE49-F238E27FC236}">
                <a16:creationId xmlns:a16="http://schemas.microsoft.com/office/drawing/2014/main" id="{A8EECD62-BAA8-44D2-864C-F180A9AFF8BF}"/>
              </a:ext>
            </a:extLst>
          </xdr:cNvPr>
          <xdr:cNvCxnSpPr/>
        </xdr:nvCxnSpPr>
        <xdr:spPr>
          <a:xfrm>
            <a:off x="2590800" y="7077075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" name="Straight Connector 774">
            <a:extLst>
              <a:ext uri="{FF2B5EF4-FFF2-40B4-BE49-F238E27FC236}">
                <a16:creationId xmlns:a16="http://schemas.microsoft.com/office/drawing/2014/main" id="{2D40171E-7D6E-42F2-83D5-DFA9F4BC7CCC}"/>
              </a:ext>
            </a:extLst>
          </xdr:cNvPr>
          <xdr:cNvCxnSpPr/>
        </xdr:nvCxnSpPr>
        <xdr:spPr>
          <a:xfrm flipH="1">
            <a:off x="2552693" y="7096125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" name="Straight Connector 776">
            <a:extLst>
              <a:ext uri="{FF2B5EF4-FFF2-40B4-BE49-F238E27FC236}">
                <a16:creationId xmlns:a16="http://schemas.microsoft.com/office/drawing/2014/main" id="{C69BBFB3-C6F8-452C-BAC0-E9861361C69C}"/>
              </a:ext>
            </a:extLst>
          </xdr:cNvPr>
          <xdr:cNvCxnSpPr/>
        </xdr:nvCxnSpPr>
        <xdr:spPr>
          <a:xfrm flipH="1">
            <a:off x="1738311" y="70966017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" name="Straight Connector 778">
            <a:extLst>
              <a:ext uri="{FF2B5EF4-FFF2-40B4-BE49-F238E27FC236}">
                <a16:creationId xmlns:a16="http://schemas.microsoft.com/office/drawing/2014/main" id="{96994C6A-764E-476E-8DAC-57227BEB8BDF}"/>
              </a:ext>
            </a:extLst>
          </xdr:cNvPr>
          <xdr:cNvCxnSpPr/>
        </xdr:nvCxnSpPr>
        <xdr:spPr>
          <a:xfrm>
            <a:off x="3238501" y="68070414"/>
            <a:ext cx="0" cy="27241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" name="Straight Connector 779">
            <a:extLst>
              <a:ext uri="{FF2B5EF4-FFF2-40B4-BE49-F238E27FC236}">
                <a16:creationId xmlns:a16="http://schemas.microsoft.com/office/drawing/2014/main" id="{9ABB9951-715C-4A94-8885-17F0B4F84D96}"/>
              </a:ext>
            </a:extLst>
          </xdr:cNvPr>
          <xdr:cNvCxnSpPr/>
        </xdr:nvCxnSpPr>
        <xdr:spPr>
          <a:xfrm flipH="1">
            <a:off x="3200394" y="681037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" name="Straight Connector 781">
            <a:extLst>
              <a:ext uri="{FF2B5EF4-FFF2-40B4-BE49-F238E27FC236}">
                <a16:creationId xmlns:a16="http://schemas.microsoft.com/office/drawing/2014/main" id="{1ADDA17E-6B1E-45E4-969F-A195C820A7D8}"/>
              </a:ext>
            </a:extLst>
          </xdr:cNvPr>
          <xdr:cNvCxnSpPr/>
        </xdr:nvCxnSpPr>
        <xdr:spPr>
          <a:xfrm>
            <a:off x="2671757" y="70713607"/>
            <a:ext cx="6381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" name="Straight Connector 782">
            <a:extLst>
              <a:ext uri="{FF2B5EF4-FFF2-40B4-BE49-F238E27FC236}">
                <a16:creationId xmlns:a16="http://schemas.microsoft.com/office/drawing/2014/main" id="{6776B8CF-4E51-40B0-847D-8E240AA43B0B}"/>
              </a:ext>
            </a:extLst>
          </xdr:cNvPr>
          <xdr:cNvCxnSpPr/>
        </xdr:nvCxnSpPr>
        <xdr:spPr>
          <a:xfrm flipH="1">
            <a:off x="3200389" y="70675508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" name="Straight Connector 786">
            <a:extLst>
              <a:ext uri="{FF2B5EF4-FFF2-40B4-BE49-F238E27FC236}">
                <a16:creationId xmlns:a16="http://schemas.microsoft.com/office/drawing/2014/main" id="{2C2800FB-9C7F-4BC6-A81E-398501AE312B}"/>
              </a:ext>
            </a:extLst>
          </xdr:cNvPr>
          <xdr:cNvCxnSpPr/>
        </xdr:nvCxnSpPr>
        <xdr:spPr>
          <a:xfrm flipH="1">
            <a:off x="3200400" y="6938963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" name="Straight Connector 676">
            <a:extLst>
              <a:ext uri="{FF2B5EF4-FFF2-40B4-BE49-F238E27FC236}">
                <a16:creationId xmlns:a16="http://schemas.microsoft.com/office/drawing/2014/main" id="{AD941CBD-5881-46F5-BD33-2B091BF65909}"/>
              </a:ext>
            </a:extLst>
          </xdr:cNvPr>
          <xdr:cNvCxnSpPr/>
        </xdr:nvCxnSpPr>
        <xdr:spPr>
          <a:xfrm>
            <a:off x="2671762" y="70284976"/>
            <a:ext cx="319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" name="Straight Connector 683">
            <a:extLst>
              <a:ext uri="{FF2B5EF4-FFF2-40B4-BE49-F238E27FC236}">
                <a16:creationId xmlns:a16="http://schemas.microsoft.com/office/drawing/2014/main" id="{63FCD57E-F9A3-4981-835A-6E66FEC8F7A2}"/>
              </a:ext>
            </a:extLst>
          </xdr:cNvPr>
          <xdr:cNvCxnSpPr/>
        </xdr:nvCxnSpPr>
        <xdr:spPr>
          <a:xfrm flipH="1">
            <a:off x="2876544" y="70246877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" name="Straight Connector 713">
            <a:extLst>
              <a:ext uri="{FF2B5EF4-FFF2-40B4-BE49-F238E27FC236}">
                <a16:creationId xmlns:a16="http://schemas.microsoft.com/office/drawing/2014/main" id="{100A85C2-BB6B-49C1-976B-99293ADABC96}"/>
              </a:ext>
            </a:extLst>
          </xdr:cNvPr>
          <xdr:cNvCxnSpPr/>
        </xdr:nvCxnSpPr>
        <xdr:spPr>
          <a:xfrm flipH="1">
            <a:off x="2876551" y="706754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59" name="Oval 858">
            <a:extLst>
              <a:ext uri="{FF2B5EF4-FFF2-40B4-BE49-F238E27FC236}">
                <a16:creationId xmlns:a16="http://schemas.microsoft.com/office/drawing/2014/main" id="{3F847777-5A48-216B-6295-3DC6C4EFD92F}"/>
              </a:ext>
            </a:extLst>
          </xdr:cNvPr>
          <xdr:cNvSpPr/>
        </xdr:nvSpPr>
        <xdr:spPr>
          <a:xfrm>
            <a:off x="1757363" y="69399151"/>
            <a:ext cx="57150" cy="5715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95250</xdr:colOff>
      <xdr:row>61</xdr:row>
      <xdr:rowOff>66674</xdr:rowOff>
    </xdr:from>
    <xdr:to>
      <xdr:col>15</xdr:col>
      <xdr:colOff>57150</xdr:colOff>
      <xdr:row>75</xdr:row>
      <xdr:rowOff>76200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62E81FAC-8FBC-AA52-94CA-B33B1E31789B}"/>
            </a:ext>
          </a:extLst>
        </xdr:cNvPr>
        <xdr:cNvGrpSpPr/>
      </xdr:nvGrpSpPr>
      <xdr:grpSpPr>
        <a:xfrm>
          <a:off x="419100" y="9744074"/>
          <a:ext cx="2066925" cy="2009776"/>
          <a:chOff x="1066800" y="495299"/>
          <a:chExt cx="2066925" cy="2009776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64C79755-33B3-A2E4-FD2A-4A1A73570928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50" name="Straight Connector 49">
              <a:extLst>
                <a:ext uri="{FF2B5EF4-FFF2-40B4-BE49-F238E27FC236}">
                  <a16:creationId xmlns:a16="http://schemas.microsoft.com/office/drawing/2014/main" id="{5B9E2DE1-AB9B-DF9C-231B-788CDCEB5FB1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Straight Connector 50">
              <a:extLst>
                <a:ext uri="{FF2B5EF4-FFF2-40B4-BE49-F238E27FC236}">
                  <a16:creationId xmlns:a16="http://schemas.microsoft.com/office/drawing/2014/main" id="{495FB3EB-7ECF-5DEF-D4BE-26C21411CF3C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Straight Connector 51">
              <a:extLst>
                <a:ext uri="{FF2B5EF4-FFF2-40B4-BE49-F238E27FC236}">
                  <a16:creationId xmlns:a16="http://schemas.microsoft.com/office/drawing/2014/main" id="{9CBFB0DF-7D4A-9729-5925-294EC263F3E3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" name="Arc 52">
              <a:extLst>
                <a:ext uri="{FF2B5EF4-FFF2-40B4-BE49-F238E27FC236}">
                  <a16:creationId xmlns:a16="http://schemas.microsoft.com/office/drawing/2014/main" id="{30714958-C49E-B583-6E0A-04457B0FED65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4" name="Straight Connector 53">
              <a:extLst>
                <a:ext uri="{FF2B5EF4-FFF2-40B4-BE49-F238E27FC236}">
                  <a16:creationId xmlns:a16="http://schemas.microsoft.com/office/drawing/2014/main" id="{15833BF6-3E81-EDA4-F05A-6C5343CD73E0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" name="Straight Connector 54">
              <a:extLst>
                <a:ext uri="{FF2B5EF4-FFF2-40B4-BE49-F238E27FC236}">
                  <a16:creationId xmlns:a16="http://schemas.microsoft.com/office/drawing/2014/main" id="{BAB2904D-2A4D-D1CE-A046-F542BF298095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Straight Connector 55">
              <a:extLst>
                <a:ext uri="{FF2B5EF4-FFF2-40B4-BE49-F238E27FC236}">
                  <a16:creationId xmlns:a16="http://schemas.microsoft.com/office/drawing/2014/main" id="{13A47912-73E3-AE7C-CC1C-FAB64B35DFE8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Straight Connector 56">
              <a:extLst>
                <a:ext uri="{FF2B5EF4-FFF2-40B4-BE49-F238E27FC236}">
                  <a16:creationId xmlns:a16="http://schemas.microsoft.com/office/drawing/2014/main" id="{03EE79CA-FB2E-E528-E278-81294C8189C0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8" name="Arc 57">
              <a:extLst>
                <a:ext uri="{FF2B5EF4-FFF2-40B4-BE49-F238E27FC236}">
                  <a16:creationId xmlns:a16="http://schemas.microsoft.com/office/drawing/2014/main" id="{319E6609-59B5-2986-1A70-83D8ABA40645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9" name="Straight Connector 58">
              <a:extLst>
                <a:ext uri="{FF2B5EF4-FFF2-40B4-BE49-F238E27FC236}">
                  <a16:creationId xmlns:a16="http://schemas.microsoft.com/office/drawing/2014/main" id="{DDE30442-EABE-4AB0-9075-4FF603623989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Straight Connector 59">
              <a:extLst>
                <a:ext uri="{FF2B5EF4-FFF2-40B4-BE49-F238E27FC236}">
                  <a16:creationId xmlns:a16="http://schemas.microsoft.com/office/drawing/2014/main" id="{289EC359-9F43-E949-F69F-62C194F784B8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1" name="Straight Connector 60">
              <a:extLst>
                <a:ext uri="{FF2B5EF4-FFF2-40B4-BE49-F238E27FC236}">
                  <a16:creationId xmlns:a16="http://schemas.microsoft.com/office/drawing/2014/main" id="{07198CD5-572E-3B3B-9F45-110041BA7C7F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" name="Straight Connector 61">
              <a:extLst>
                <a:ext uri="{FF2B5EF4-FFF2-40B4-BE49-F238E27FC236}">
                  <a16:creationId xmlns:a16="http://schemas.microsoft.com/office/drawing/2014/main" id="{A7D5270A-4E13-4AD4-B676-42DFD5B5F06B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3" name="Straight Connector 62">
              <a:extLst>
                <a:ext uri="{FF2B5EF4-FFF2-40B4-BE49-F238E27FC236}">
                  <a16:creationId xmlns:a16="http://schemas.microsoft.com/office/drawing/2014/main" id="{2BA10F93-E0D1-52CD-D37B-9FA4752F1C95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4" name="Arc 63">
              <a:extLst>
                <a:ext uri="{FF2B5EF4-FFF2-40B4-BE49-F238E27FC236}">
                  <a16:creationId xmlns:a16="http://schemas.microsoft.com/office/drawing/2014/main" id="{319591C8-6EB9-B2FD-B119-370D98647F7A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5" name="Arc 64">
              <a:extLst>
                <a:ext uri="{FF2B5EF4-FFF2-40B4-BE49-F238E27FC236}">
                  <a16:creationId xmlns:a16="http://schemas.microsoft.com/office/drawing/2014/main" id="{73C95BF8-01D7-6AE2-9713-DD53EBEABBF5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ABB2C047-B66F-D099-B4FE-D349F5CDB827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8124D80E-A876-8079-B049-25DA68E59CCB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C8F48E54-75CE-D684-8F84-2A4C8788182D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F3FB654-D111-762D-EB5F-01B686D7C073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656A6A8A-B5C2-EC96-E16B-A1C19C33A982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9609EEBB-67E5-263E-E6A2-7B58CDD94F1A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8B54206E-538F-E4C1-C376-D36A9E2C5EF4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02C8C508-AE2D-A3DD-EA51-9FE324418763}"/>
              </a:ext>
            </a:extLst>
          </xdr:cNvPr>
          <xdr:cNvCxnSpPr/>
        </xdr:nvCxnSpPr>
        <xdr:spPr>
          <a:xfrm>
            <a:off x="1395413" y="2428875"/>
            <a:ext cx="1447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A52597C1-591E-3499-616D-3EC0C6A70820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45CB05CD-825E-C698-AE6A-AD587374297A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21CB59FD-CE58-3729-F79C-D21A0A5421F5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AC15C32D-FAD4-7083-F2F2-D856FD548D2E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28BBBBB1-DBB8-44B2-656A-D7D1D296C28E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6BA95FB1-231D-D352-074D-E09913C0C4B7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26AD2889-4AB5-E4FA-D3FB-623DCA37E8A8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8410E93C-D317-9A05-0F9A-8B696C72FA8B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6094CA9F-CDDC-8DC5-43F2-E2AACF7A5B59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95250</xdr:colOff>
      <xdr:row>118</xdr:row>
      <xdr:rowOff>66674</xdr:rowOff>
    </xdr:from>
    <xdr:to>
      <xdr:col>15</xdr:col>
      <xdr:colOff>57150</xdr:colOff>
      <xdr:row>132</xdr:row>
      <xdr:rowOff>76200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9EFC42D6-5F3C-49A5-9CF0-77B4BC316619}"/>
            </a:ext>
          </a:extLst>
        </xdr:cNvPr>
        <xdr:cNvGrpSpPr/>
      </xdr:nvGrpSpPr>
      <xdr:grpSpPr>
        <a:xfrm>
          <a:off x="419100" y="18373724"/>
          <a:ext cx="2066925" cy="2009776"/>
          <a:chOff x="1066800" y="495299"/>
          <a:chExt cx="2066925" cy="2009776"/>
        </a:xfrm>
      </xdr:grpSpPr>
      <xdr:grpSp>
        <xdr:nvGrpSpPr>
          <xdr:cNvPr id="97" name="Group 96">
            <a:extLst>
              <a:ext uri="{FF2B5EF4-FFF2-40B4-BE49-F238E27FC236}">
                <a16:creationId xmlns:a16="http://schemas.microsoft.com/office/drawing/2014/main" id="{C07979D5-ED05-54F9-CAAA-8DBFC0AB9C06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115" name="Straight Connector 114">
              <a:extLst>
                <a:ext uri="{FF2B5EF4-FFF2-40B4-BE49-F238E27FC236}">
                  <a16:creationId xmlns:a16="http://schemas.microsoft.com/office/drawing/2014/main" id="{50F32CDE-A0BE-EEFC-8262-7FAFBF110A38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6" name="Straight Connector 115">
              <a:extLst>
                <a:ext uri="{FF2B5EF4-FFF2-40B4-BE49-F238E27FC236}">
                  <a16:creationId xmlns:a16="http://schemas.microsoft.com/office/drawing/2014/main" id="{5102549D-8656-A4DD-3DDF-E822B3CB9CBA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" name="Straight Connector 116">
              <a:extLst>
                <a:ext uri="{FF2B5EF4-FFF2-40B4-BE49-F238E27FC236}">
                  <a16:creationId xmlns:a16="http://schemas.microsoft.com/office/drawing/2014/main" id="{1A2A8BF8-03D3-8B41-15E2-90EEC7C6E012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18" name="Arc 117">
              <a:extLst>
                <a:ext uri="{FF2B5EF4-FFF2-40B4-BE49-F238E27FC236}">
                  <a16:creationId xmlns:a16="http://schemas.microsoft.com/office/drawing/2014/main" id="{0A6C4E2A-97B9-09AA-9308-369FC3501BA0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19" name="Straight Connector 118">
              <a:extLst>
                <a:ext uri="{FF2B5EF4-FFF2-40B4-BE49-F238E27FC236}">
                  <a16:creationId xmlns:a16="http://schemas.microsoft.com/office/drawing/2014/main" id="{F4060453-173F-80A9-30DE-B53E5681E9CB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Straight Connector 119">
              <a:extLst>
                <a:ext uri="{FF2B5EF4-FFF2-40B4-BE49-F238E27FC236}">
                  <a16:creationId xmlns:a16="http://schemas.microsoft.com/office/drawing/2014/main" id="{AECA133F-CF55-7BBD-B9FC-651777CA72ED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Straight Connector 120">
              <a:extLst>
                <a:ext uri="{FF2B5EF4-FFF2-40B4-BE49-F238E27FC236}">
                  <a16:creationId xmlns:a16="http://schemas.microsoft.com/office/drawing/2014/main" id="{39BE44BC-1487-4004-FFC6-8CB44F1DECAF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Straight Connector 121">
              <a:extLst>
                <a:ext uri="{FF2B5EF4-FFF2-40B4-BE49-F238E27FC236}">
                  <a16:creationId xmlns:a16="http://schemas.microsoft.com/office/drawing/2014/main" id="{69BA4CBE-5773-2A80-293C-AE4C2844519F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3" name="Arc 122">
              <a:extLst>
                <a:ext uri="{FF2B5EF4-FFF2-40B4-BE49-F238E27FC236}">
                  <a16:creationId xmlns:a16="http://schemas.microsoft.com/office/drawing/2014/main" id="{09F17634-5892-307B-6F7D-D805C97B1809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24" name="Straight Connector 123">
              <a:extLst>
                <a:ext uri="{FF2B5EF4-FFF2-40B4-BE49-F238E27FC236}">
                  <a16:creationId xmlns:a16="http://schemas.microsoft.com/office/drawing/2014/main" id="{EB06E99B-2D3D-9685-1E86-2A514ADE3782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" name="Straight Connector 124">
              <a:extLst>
                <a:ext uri="{FF2B5EF4-FFF2-40B4-BE49-F238E27FC236}">
                  <a16:creationId xmlns:a16="http://schemas.microsoft.com/office/drawing/2014/main" id="{26EFBBB5-83F1-21FC-5F9B-4CF900C238E2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6" name="Straight Connector 125">
              <a:extLst>
                <a:ext uri="{FF2B5EF4-FFF2-40B4-BE49-F238E27FC236}">
                  <a16:creationId xmlns:a16="http://schemas.microsoft.com/office/drawing/2014/main" id="{C973D890-BCE5-2FC0-5EC2-79FD8FD7DF6A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Straight Connector 126">
              <a:extLst>
                <a:ext uri="{FF2B5EF4-FFF2-40B4-BE49-F238E27FC236}">
                  <a16:creationId xmlns:a16="http://schemas.microsoft.com/office/drawing/2014/main" id="{E773BB71-1262-D34C-6D3C-D3F9FCCA4A9F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8" name="Straight Connector 127">
              <a:extLst>
                <a:ext uri="{FF2B5EF4-FFF2-40B4-BE49-F238E27FC236}">
                  <a16:creationId xmlns:a16="http://schemas.microsoft.com/office/drawing/2014/main" id="{0835E6E7-B703-5FBC-7AF9-5AC54550FC28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9" name="Arc 128">
              <a:extLst>
                <a:ext uri="{FF2B5EF4-FFF2-40B4-BE49-F238E27FC236}">
                  <a16:creationId xmlns:a16="http://schemas.microsoft.com/office/drawing/2014/main" id="{32AD684D-2B73-D80B-7F15-346B55B32F06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0" name="Arc 129">
              <a:extLst>
                <a:ext uri="{FF2B5EF4-FFF2-40B4-BE49-F238E27FC236}">
                  <a16:creationId xmlns:a16="http://schemas.microsoft.com/office/drawing/2014/main" id="{AB965621-E8F3-4C8D-B34B-A6040DF987E3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5EAE16EF-F9C5-D9C1-FF26-D8CECA51CC8C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8544FE36-781C-928E-A91E-70C84849C773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3CAADD0B-853E-646E-E81D-68DE8009DEB0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A34F66F6-EAA1-B298-7EB5-732B96906BA3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DFD7357C-F0E4-F5E7-D306-28EF6DA1DBF6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A3F09B63-D633-4683-FFD3-D6898D78915B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7AC8AA52-92E4-A0D1-335D-588C60E5DAA9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84CA8CD9-37B0-25E6-5062-A6D55E7CAE1F}"/>
              </a:ext>
            </a:extLst>
          </xdr:cNvPr>
          <xdr:cNvCxnSpPr/>
        </xdr:nvCxnSpPr>
        <xdr:spPr>
          <a:xfrm>
            <a:off x="1395413" y="2428875"/>
            <a:ext cx="1447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EF61247B-711A-5CFE-8C1C-0BB4C5FCBF7C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C2FB7DBF-3724-D9D3-D7AF-FDCB9BC6E99F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11142EE7-7AA1-993A-5E89-05C3A871BB90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A76964C8-AB87-005C-07EB-E4A355436EDF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28AC50E6-80DD-F40C-06BE-C0894EDB5815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8E436049-27E9-7366-0B0E-A7869D36BAEA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66110696-BC21-BD3E-AF58-A456891B9B9B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4DEA1607-F2B7-E0FF-7E38-88EA4091D248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Connector 113">
            <a:extLst>
              <a:ext uri="{FF2B5EF4-FFF2-40B4-BE49-F238E27FC236}">
                <a16:creationId xmlns:a16="http://schemas.microsoft.com/office/drawing/2014/main" id="{B75651AA-1C5C-73B7-9D12-C2106F139B52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95250</xdr:colOff>
      <xdr:row>175</xdr:row>
      <xdr:rowOff>66674</xdr:rowOff>
    </xdr:from>
    <xdr:to>
      <xdr:col>15</xdr:col>
      <xdr:colOff>57150</xdr:colOff>
      <xdr:row>189</xdr:row>
      <xdr:rowOff>76200</xdr:rowOff>
    </xdr:to>
    <xdr:grpSp>
      <xdr:nvGrpSpPr>
        <xdr:cNvPr id="161" name="Group 160">
          <a:extLst>
            <a:ext uri="{FF2B5EF4-FFF2-40B4-BE49-F238E27FC236}">
              <a16:creationId xmlns:a16="http://schemas.microsoft.com/office/drawing/2014/main" id="{7DA3F931-24BE-43AE-9ACD-2873C80C5FDF}"/>
            </a:ext>
          </a:extLst>
        </xdr:cNvPr>
        <xdr:cNvGrpSpPr/>
      </xdr:nvGrpSpPr>
      <xdr:grpSpPr>
        <a:xfrm>
          <a:off x="419100" y="27003374"/>
          <a:ext cx="2066925" cy="2009776"/>
          <a:chOff x="1066800" y="495299"/>
          <a:chExt cx="2066925" cy="2009776"/>
        </a:xfrm>
      </xdr:grpSpPr>
      <xdr:grpSp>
        <xdr:nvGrpSpPr>
          <xdr:cNvPr id="162" name="Group 161">
            <a:extLst>
              <a:ext uri="{FF2B5EF4-FFF2-40B4-BE49-F238E27FC236}">
                <a16:creationId xmlns:a16="http://schemas.microsoft.com/office/drawing/2014/main" id="{60F4FDE4-E0FF-9845-3696-95535EE14A51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180" name="Straight Connector 179">
              <a:extLst>
                <a:ext uri="{FF2B5EF4-FFF2-40B4-BE49-F238E27FC236}">
                  <a16:creationId xmlns:a16="http://schemas.microsoft.com/office/drawing/2014/main" id="{67091FDF-31E6-E3EE-DDAD-9D8522CDF4D5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1" name="Straight Connector 180">
              <a:extLst>
                <a:ext uri="{FF2B5EF4-FFF2-40B4-BE49-F238E27FC236}">
                  <a16:creationId xmlns:a16="http://schemas.microsoft.com/office/drawing/2014/main" id="{52129241-06D1-6EA5-96A4-F2B40C74CDC2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2" name="Straight Connector 181">
              <a:extLst>
                <a:ext uri="{FF2B5EF4-FFF2-40B4-BE49-F238E27FC236}">
                  <a16:creationId xmlns:a16="http://schemas.microsoft.com/office/drawing/2014/main" id="{5E367CBA-6488-5415-7DFB-4D530ABD266E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3" name="Arc 182">
              <a:extLst>
                <a:ext uri="{FF2B5EF4-FFF2-40B4-BE49-F238E27FC236}">
                  <a16:creationId xmlns:a16="http://schemas.microsoft.com/office/drawing/2014/main" id="{6E417C69-C39F-0DD8-129C-706825081E23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84" name="Straight Connector 183">
              <a:extLst>
                <a:ext uri="{FF2B5EF4-FFF2-40B4-BE49-F238E27FC236}">
                  <a16:creationId xmlns:a16="http://schemas.microsoft.com/office/drawing/2014/main" id="{068B6184-506A-5A86-DEAD-D0964989E5E3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5" name="Straight Connector 184">
              <a:extLst>
                <a:ext uri="{FF2B5EF4-FFF2-40B4-BE49-F238E27FC236}">
                  <a16:creationId xmlns:a16="http://schemas.microsoft.com/office/drawing/2014/main" id="{B17939B3-324C-8D8D-0E42-4EE93A0DAF4A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6" name="Straight Connector 185">
              <a:extLst>
                <a:ext uri="{FF2B5EF4-FFF2-40B4-BE49-F238E27FC236}">
                  <a16:creationId xmlns:a16="http://schemas.microsoft.com/office/drawing/2014/main" id="{6AAFCF1A-7E4B-D820-8829-5E90A890FF0E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7" name="Straight Connector 186">
              <a:extLst>
                <a:ext uri="{FF2B5EF4-FFF2-40B4-BE49-F238E27FC236}">
                  <a16:creationId xmlns:a16="http://schemas.microsoft.com/office/drawing/2014/main" id="{6369B820-F35B-4910-6A70-B680B0E013D8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8" name="Arc 187">
              <a:extLst>
                <a:ext uri="{FF2B5EF4-FFF2-40B4-BE49-F238E27FC236}">
                  <a16:creationId xmlns:a16="http://schemas.microsoft.com/office/drawing/2014/main" id="{1FD3EE16-E688-D318-F77A-5690E33863DE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89" name="Straight Connector 188">
              <a:extLst>
                <a:ext uri="{FF2B5EF4-FFF2-40B4-BE49-F238E27FC236}">
                  <a16:creationId xmlns:a16="http://schemas.microsoft.com/office/drawing/2014/main" id="{D3ECC3C9-CD7E-027F-B4C6-3FFDFE064552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0" name="Straight Connector 189">
              <a:extLst>
                <a:ext uri="{FF2B5EF4-FFF2-40B4-BE49-F238E27FC236}">
                  <a16:creationId xmlns:a16="http://schemas.microsoft.com/office/drawing/2014/main" id="{C04B1F8D-AE04-83B5-0E65-B769800ADBDC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1" name="Straight Connector 190">
              <a:extLst>
                <a:ext uri="{FF2B5EF4-FFF2-40B4-BE49-F238E27FC236}">
                  <a16:creationId xmlns:a16="http://schemas.microsoft.com/office/drawing/2014/main" id="{C27E80A4-38E4-E16E-EF13-DCA4E9FF17DC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" name="Straight Connector 191">
              <a:extLst>
                <a:ext uri="{FF2B5EF4-FFF2-40B4-BE49-F238E27FC236}">
                  <a16:creationId xmlns:a16="http://schemas.microsoft.com/office/drawing/2014/main" id="{5EDFF11F-240B-353D-EE14-A929C8C454CB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3" name="Straight Connector 192">
              <a:extLst>
                <a:ext uri="{FF2B5EF4-FFF2-40B4-BE49-F238E27FC236}">
                  <a16:creationId xmlns:a16="http://schemas.microsoft.com/office/drawing/2014/main" id="{B721899C-DF83-2EFB-8E45-62C387659FF7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4" name="Arc 193">
              <a:extLst>
                <a:ext uri="{FF2B5EF4-FFF2-40B4-BE49-F238E27FC236}">
                  <a16:creationId xmlns:a16="http://schemas.microsoft.com/office/drawing/2014/main" id="{5B4EEC5F-4A5D-7447-C641-6111A9CB928E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5" name="Arc 194">
              <a:extLst>
                <a:ext uri="{FF2B5EF4-FFF2-40B4-BE49-F238E27FC236}">
                  <a16:creationId xmlns:a16="http://schemas.microsoft.com/office/drawing/2014/main" id="{DD4F1B8D-F51C-1452-426F-5C272E0B6AC1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15D6030E-37C6-2525-AE2B-E5DCB8D5DFC6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Connector 163">
            <a:extLst>
              <a:ext uri="{FF2B5EF4-FFF2-40B4-BE49-F238E27FC236}">
                <a16:creationId xmlns:a16="http://schemas.microsoft.com/office/drawing/2014/main" id="{8446534F-224C-29A2-330B-276A2C2A23F7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0CEFA458-642E-2EB2-56BE-A08DA0B1AF50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Connector 165">
            <a:extLst>
              <a:ext uri="{FF2B5EF4-FFF2-40B4-BE49-F238E27FC236}">
                <a16:creationId xmlns:a16="http://schemas.microsoft.com/office/drawing/2014/main" id="{3E2E5ACC-561E-EAF0-95C6-062061273FAF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Connector 166">
            <a:extLst>
              <a:ext uri="{FF2B5EF4-FFF2-40B4-BE49-F238E27FC236}">
                <a16:creationId xmlns:a16="http://schemas.microsoft.com/office/drawing/2014/main" id="{7DE0FEC2-07C1-C37D-1684-2748985B2E10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Connector 167">
            <a:extLst>
              <a:ext uri="{FF2B5EF4-FFF2-40B4-BE49-F238E27FC236}">
                <a16:creationId xmlns:a16="http://schemas.microsoft.com/office/drawing/2014/main" id="{88EC388B-5BC6-4006-B9FB-09174E81555B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Connector 168">
            <a:extLst>
              <a:ext uri="{FF2B5EF4-FFF2-40B4-BE49-F238E27FC236}">
                <a16:creationId xmlns:a16="http://schemas.microsoft.com/office/drawing/2014/main" id="{02BA8211-AACA-D1C9-48E2-9581EEF01FF4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Connector 169">
            <a:extLst>
              <a:ext uri="{FF2B5EF4-FFF2-40B4-BE49-F238E27FC236}">
                <a16:creationId xmlns:a16="http://schemas.microsoft.com/office/drawing/2014/main" id="{27770D1A-3836-B02D-31BB-0E1272070075}"/>
              </a:ext>
            </a:extLst>
          </xdr:cNvPr>
          <xdr:cNvCxnSpPr/>
        </xdr:nvCxnSpPr>
        <xdr:spPr>
          <a:xfrm>
            <a:off x="1395413" y="2428875"/>
            <a:ext cx="1447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58FA407D-CB36-9C9F-5C07-13861CE405BD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04B627F0-F841-20C2-AF8A-DDBE3483B78B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0DC1AD33-1F1B-7137-7489-5713D4D201B7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20112600-8556-1288-EAE1-1FAE03999CCF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AADEFB2F-6AD4-5B04-FD9F-C943805E29CF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Connector 175">
            <a:extLst>
              <a:ext uri="{FF2B5EF4-FFF2-40B4-BE49-F238E27FC236}">
                <a16:creationId xmlns:a16="http://schemas.microsoft.com/office/drawing/2014/main" id="{ECFC9A82-1698-66FB-7AA2-8F4C3685FB58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38F9A748-344D-84AA-C51A-AE14194826B7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083A08ED-8962-2BD7-0C80-E5254526D969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1B93B68C-48C5-97E6-02AC-369805988C49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95250</xdr:colOff>
      <xdr:row>231</xdr:row>
      <xdr:rowOff>66674</xdr:rowOff>
    </xdr:from>
    <xdr:to>
      <xdr:col>15</xdr:col>
      <xdr:colOff>57150</xdr:colOff>
      <xdr:row>245</xdr:row>
      <xdr:rowOff>76200</xdr:rowOff>
    </xdr:to>
    <xdr:grpSp>
      <xdr:nvGrpSpPr>
        <xdr:cNvPr id="223" name="Group 222">
          <a:extLst>
            <a:ext uri="{FF2B5EF4-FFF2-40B4-BE49-F238E27FC236}">
              <a16:creationId xmlns:a16="http://schemas.microsoft.com/office/drawing/2014/main" id="{3E30AE0C-29AF-47AF-8F62-07DEC66C38E7}"/>
            </a:ext>
          </a:extLst>
        </xdr:cNvPr>
        <xdr:cNvGrpSpPr/>
      </xdr:nvGrpSpPr>
      <xdr:grpSpPr>
        <a:xfrm>
          <a:off x="419100" y="35490149"/>
          <a:ext cx="2066925" cy="2009776"/>
          <a:chOff x="1066800" y="495299"/>
          <a:chExt cx="2066925" cy="2009776"/>
        </a:xfrm>
      </xdr:grpSpPr>
      <xdr:grpSp>
        <xdr:nvGrpSpPr>
          <xdr:cNvPr id="224" name="Group 223">
            <a:extLst>
              <a:ext uri="{FF2B5EF4-FFF2-40B4-BE49-F238E27FC236}">
                <a16:creationId xmlns:a16="http://schemas.microsoft.com/office/drawing/2014/main" id="{E745DA38-1AE8-1243-606B-AC0A2C368015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242" name="Straight Connector 241">
              <a:extLst>
                <a:ext uri="{FF2B5EF4-FFF2-40B4-BE49-F238E27FC236}">
                  <a16:creationId xmlns:a16="http://schemas.microsoft.com/office/drawing/2014/main" id="{F8889198-7DBD-0386-27C9-AA1A21C44DF3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3" name="Straight Connector 242">
              <a:extLst>
                <a:ext uri="{FF2B5EF4-FFF2-40B4-BE49-F238E27FC236}">
                  <a16:creationId xmlns:a16="http://schemas.microsoft.com/office/drawing/2014/main" id="{2735CA07-A294-1CA0-481E-FF884BB7F5D5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4" name="Straight Connector 243">
              <a:extLst>
                <a:ext uri="{FF2B5EF4-FFF2-40B4-BE49-F238E27FC236}">
                  <a16:creationId xmlns:a16="http://schemas.microsoft.com/office/drawing/2014/main" id="{3B9321DE-9B54-6942-06B9-D322CA505064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45" name="Arc 244">
              <a:extLst>
                <a:ext uri="{FF2B5EF4-FFF2-40B4-BE49-F238E27FC236}">
                  <a16:creationId xmlns:a16="http://schemas.microsoft.com/office/drawing/2014/main" id="{6AC7183B-42AA-3385-FE92-BD6208B4E673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46" name="Straight Connector 245">
              <a:extLst>
                <a:ext uri="{FF2B5EF4-FFF2-40B4-BE49-F238E27FC236}">
                  <a16:creationId xmlns:a16="http://schemas.microsoft.com/office/drawing/2014/main" id="{27CD1768-0112-41E4-B873-AE07F8418155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7" name="Straight Connector 246">
              <a:extLst>
                <a:ext uri="{FF2B5EF4-FFF2-40B4-BE49-F238E27FC236}">
                  <a16:creationId xmlns:a16="http://schemas.microsoft.com/office/drawing/2014/main" id="{927FCBDE-1F4B-59D2-3227-5A7FF28C82BF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8" name="Straight Connector 247">
              <a:extLst>
                <a:ext uri="{FF2B5EF4-FFF2-40B4-BE49-F238E27FC236}">
                  <a16:creationId xmlns:a16="http://schemas.microsoft.com/office/drawing/2014/main" id="{50E0106E-5ACE-EA69-A0C7-8AF855E53196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9" name="Straight Connector 248">
              <a:extLst>
                <a:ext uri="{FF2B5EF4-FFF2-40B4-BE49-F238E27FC236}">
                  <a16:creationId xmlns:a16="http://schemas.microsoft.com/office/drawing/2014/main" id="{84CB3DDB-56C8-9871-65B7-88D7065FFC70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50" name="Arc 249">
              <a:extLst>
                <a:ext uri="{FF2B5EF4-FFF2-40B4-BE49-F238E27FC236}">
                  <a16:creationId xmlns:a16="http://schemas.microsoft.com/office/drawing/2014/main" id="{43BB53FA-2CBA-649C-1B57-3CC3E9FE7DF8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51" name="Straight Connector 250">
              <a:extLst>
                <a:ext uri="{FF2B5EF4-FFF2-40B4-BE49-F238E27FC236}">
                  <a16:creationId xmlns:a16="http://schemas.microsoft.com/office/drawing/2014/main" id="{CBADC973-7530-0054-5497-981A8EA40456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2" name="Straight Connector 251">
              <a:extLst>
                <a:ext uri="{FF2B5EF4-FFF2-40B4-BE49-F238E27FC236}">
                  <a16:creationId xmlns:a16="http://schemas.microsoft.com/office/drawing/2014/main" id="{AE50826B-B33F-097B-9A4B-74CE0F53B5E7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3" name="Straight Connector 252">
              <a:extLst>
                <a:ext uri="{FF2B5EF4-FFF2-40B4-BE49-F238E27FC236}">
                  <a16:creationId xmlns:a16="http://schemas.microsoft.com/office/drawing/2014/main" id="{07F9D914-9ADC-624C-2ADC-37B448A449AB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4" name="Straight Connector 253">
              <a:extLst>
                <a:ext uri="{FF2B5EF4-FFF2-40B4-BE49-F238E27FC236}">
                  <a16:creationId xmlns:a16="http://schemas.microsoft.com/office/drawing/2014/main" id="{5E3DF39E-83D3-2DBF-CD85-6CBC0943C516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5" name="Straight Connector 254">
              <a:extLst>
                <a:ext uri="{FF2B5EF4-FFF2-40B4-BE49-F238E27FC236}">
                  <a16:creationId xmlns:a16="http://schemas.microsoft.com/office/drawing/2014/main" id="{E1875748-73AC-DB56-B7C9-C36C3B7E1CDE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56" name="Arc 255">
              <a:extLst>
                <a:ext uri="{FF2B5EF4-FFF2-40B4-BE49-F238E27FC236}">
                  <a16:creationId xmlns:a16="http://schemas.microsoft.com/office/drawing/2014/main" id="{8AF75DBF-7799-7E7D-FBEB-F5BC3E4DDB1B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57" name="Arc 256">
              <a:extLst>
                <a:ext uri="{FF2B5EF4-FFF2-40B4-BE49-F238E27FC236}">
                  <a16:creationId xmlns:a16="http://schemas.microsoft.com/office/drawing/2014/main" id="{F5C99313-1F74-3F21-53F0-46F0D843EAE5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61E03974-F326-8A85-ED7F-86B61E9F56EB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665824DD-9EC0-D7A2-ACBE-251AA321437B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1E8DA4A1-2222-F6BD-6A73-DF63763B0D15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Connector 227">
            <a:extLst>
              <a:ext uri="{FF2B5EF4-FFF2-40B4-BE49-F238E27FC236}">
                <a16:creationId xmlns:a16="http://schemas.microsoft.com/office/drawing/2014/main" id="{CF0186C6-448D-1372-75D3-77E483A8BB6D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E6D9FD90-A312-EDC8-2FE1-596BC491B489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C9CABEB7-0AD0-4955-9496-D83D3DB7BCA5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8931B5FD-2443-E19B-561E-893B1B4C66EA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85FE9B7D-C7B0-2BE3-769F-ED734CCBFE0E}"/>
              </a:ext>
            </a:extLst>
          </xdr:cNvPr>
          <xdr:cNvCxnSpPr/>
        </xdr:nvCxnSpPr>
        <xdr:spPr>
          <a:xfrm>
            <a:off x="1395413" y="2428875"/>
            <a:ext cx="1447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Connector 232">
            <a:extLst>
              <a:ext uri="{FF2B5EF4-FFF2-40B4-BE49-F238E27FC236}">
                <a16:creationId xmlns:a16="http://schemas.microsoft.com/office/drawing/2014/main" id="{EDF11635-3AA9-CE2C-F394-677069232784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171F0C36-E79E-C59E-F1C0-77EC00B27573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B58349DF-80DF-3A75-1871-B023CB3D6A89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181C9EF0-5E6D-8E14-14BF-0A2156C94269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2E9D0D9D-9402-8814-920A-4F298AEF5E34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415D663C-7845-4560-7D30-8C9CBD5C2EA2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F904348A-4230-9ECC-C454-0A327918899E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BC9B365F-72BC-9A01-5C7B-E53791A0C6E0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Connector 240">
            <a:extLst>
              <a:ext uri="{FF2B5EF4-FFF2-40B4-BE49-F238E27FC236}">
                <a16:creationId xmlns:a16="http://schemas.microsoft.com/office/drawing/2014/main" id="{AFC22410-B422-DFF3-10D0-E9288D0BCBAA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95250</xdr:colOff>
      <xdr:row>3</xdr:row>
      <xdr:rowOff>66674</xdr:rowOff>
    </xdr:from>
    <xdr:to>
      <xdr:col>15</xdr:col>
      <xdr:colOff>57150</xdr:colOff>
      <xdr:row>17</xdr:row>
      <xdr:rowOff>76200</xdr:rowOff>
    </xdr:to>
    <xdr:grpSp>
      <xdr:nvGrpSpPr>
        <xdr:cNvPr id="2013" name="Group 2012">
          <a:extLst>
            <a:ext uri="{FF2B5EF4-FFF2-40B4-BE49-F238E27FC236}">
              <a16:creationId xmlns:a16="http://schemas.microsoft.com/office/drawing/2014/main" id="{BF10DDED-515C-4F57-0071-5612D8BFD1B9}"/>
            </a:ext>
          </a:extLst>
        </xdr:cNvPr>
        <xdr:cNvGrpSpPr/>
      </xdr:nvGrpSpPr>
      <xdr:grpSpPr>
        <a:xfrm>
          <a:off x="419100" y="971549"/>
          <a:ext cx="2066925" cy="2009776"/>
          <a:chOff x="419100" y="971549"/>
          <a:chExt cx="2066925" cy="2009776"/>
        </a:xfrm>
      </xdr:grpSpPr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AF4FD423-5A87-08EC-EA44-107DB19F4A41}"/>
              </a:ext>
            </a:extLst>
          </xdr:cNvPr>
          <xdr:cNvGrpSpPr/>
        </xdr:nvGrpSpPr>
        <xdr:grpSpPr>
          <a:xfrm>
            <a:off x="804863" y="1047750"/>
            <a:ext cx="1304924" cy="1571633"/>
            <a:chOff x="1290638" y="5572125"/>
            <a:chExt cx="1304924" cy="1571633"/>
          </a:xfrm>
        </xdr:grpSpPr>
        <xdr:cxnSp macro="">
          <xdr:nvCxnSpPr>
            <xdr:cNvPr id="345" name="Straight Connector 344">
              <a:extLst>
                <a:ext uri="{FF2B5EF4-FFF2-40B4-BE49-F238E27FC236}">
                  <a16:creationId xmlns:a16="http://schemas.microsoft.com/office/drawing/2014/main" id="{A8DA7484-3E11-42D7-6256-D0AA2BD651D8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6" name="Straight Connector 345">
              <a:extLst>
                <a:ext uri="{FF2B5EF4-FFF2-40B4-BE49-F238E27FC236}">
                  <a16:creationId xmlns:a16="http://schemas.microsoft.com/office/drawing/2014/main" id="{07CBFE05-DA61-4ED1-8950-A9DBA5771834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7" name="Straight Connector 346">
              <a:extLst>
                <a:ext uri="{FF2B5EF4-FFF2-40B4-BE49-F238E27FC236}">
                  <a16:creationId xmlns:a16="http://schemas.microsoft.com/office/drawing/2014/main" id="{7BC72723-6E94-CB6E-D41D-F265EC097F9E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48" name="Arc 347">
              <a:extLst>
                <a:ext uri="{FF2B5EF4-FFF2-40B4-BE49-F238E27FC236}">
                  <a16:creationId xmlns:a16="http://schemas.microsoft.com/office/drawing/2014/main" id="{349B92AE-9559-6BED-F789-D93201659633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49" name="Straight Connector 348">
              <a:extLst>
                <a:ext uri="{FF2B5EF4-FFF2-40B4-BE49-F238E27FC236}">
                  <a16:creationId xmlns:a16="http://schemas.microsoft.com/office/drawing/2014/main" id="{A215E0E1-047C-568E-777C-518CCCD0EC2F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0" name="Straight Connector 349">
              <a:extLst>
                <a:ext uri="{FF2B5EF4-FFF2-40B4-BE49-F238E27FC236}">
                  <a16:creationId xmlns:a16="http://schemas.microsoft.com/office/drawing/2014/main" id="{C755D2C6-FC85-5150-345A-7E19092C70ED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1" name="Straight Connector 350">
              <a:extLst>
                <a:ext uri="{FF2B5EF4-FFF2-40B4-BE49-F238E27FC236}">
                  <a16:creationId xmlns:a16="http://schemas.microsoft.com/office/drawing/2014/main" id="{A61BAF4D-F8B0-9668-EF71-8CB5B49DC679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2" name="Straight Connector 351">
              <a:extLst>
                <a:ext uri="{FF2B5EF4-FFF2-40B4-BE49-F238E27FC236}">
                  <a16:creationId xmlns:a16="http://schemas.microsoft.com/office/drawing/2014/main" id="{194D7091-33B3-B21D-40A8-C2A680259DB5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53" name="Arc 352">
              <a:extLst>
                <a:ext uri="{FF2B5EF4-FFF2-40B4-BE49-F238E27FC236}">
                  <a16:creationId xmlns:a16="http://schemas.microsoft.com/office/drawing/2014/main" id="{B7C7A4E3-2AB1-F7C6-A9A8-6AE4132C94CD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54" name="Straight Connector 353">
              <a:extLst>
                <a:ext uri="{FF2B5EF4-FFF2-40B4-BE49-F238E27FC236}">
                  <a16:creationId xmlns:a16="http://schemas.microsoft.com/office/drawing/2014/main" id="{623BE3BE-F1A6-CD08-BE7B-10BF4F22BDFE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5" name="Straight Connector 354">
              <a:extLst>
                <a:ext uri="{FF2B5EF4-FFF2-40B4-BE49-F238E27FC236}">
                  <a16:creationId xmlns:a16="http://schemas.microsoft.com/office/drawing/2014/main" id="{3DD1F6B8-E2C3-B839-710F-5B6A092A3696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6" name="Straight Connector 355">
              <a:extLst>
                <a:ext uri="{FF2B5EF4-FFF2-40B4-BE49-F238E27FC236}">
                  <a16:creationId xmlns:a16="http://schemas.microsoft.com/office/drawing/2014/main" id="{5E1D3FC6-62FB-44CA-63DD-D6E90B7901A0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7" name="Straight Connector 356">
              <a:extLst>
                <a:ext uri="{FF2B5EF4-FFF2-40B4-BE49-F238E27FC236}">
                  <a16:creationId xmlns:a16="http://schemas.microsoft.com/office/drawing/2014/main" id="{AD374F54-0417-9109-9D6C-FA37AB1BA485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8" name="Straight Connector 357">
              <a:extLst>
                <a:ext uri="{FF2B5EF4-FFF2-40B4-BE49-F238E27FC236}">
                  <a16:creationId xmlns:a16="http://schemas.microsoft.com/office/drawing/2014/main" id="{B2DC58C8-3FFD-CF74-E2D5-BBBCDA16C74B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59" name="Arc 358">
              <a:extLst>
                <a:ext uri="{FF2B5EF4-FFF2-40B4-BE49-F238E27FC236}">
                  <a16:creationId xmlns:a16="http://schemas.microsoft.com/office/drawing/2014/main" id="{27D74315-6292-35F1-70C3-75D09ED7B77B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60" name="Arc 359">
              <a:extLst>
                <a:ext uri="{FF2B5EF4-FFF2-40B4-BE49-F238E27FC236}">
                  <a16:creationId xmlns:a16="http://schemas.microsoft.com/office/drawing/2014/main" id="{F1ED1703-6BDC-64E3-F06F-5B6F9BF60AA9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328" name="Straight Connector 327">
            <a:extLst>
              <a:ext uri="{FF2B5EF4-FFF2-40B4-BE49-F238E27FC236}">
                <a16:creationId xmlns:a16="http://schemas.microsoft.com/office/drawing/2014/main" id="{5B02844A-29E0-5FC7-F15F-D0B5471B5858}"/>
              </a:ext>
            </a:extLst>
          </xdr:cNvPr>
          <xdr:cNvCxnSpPr/>
        </xdr:nvCxnSpPr>
        <xdr:spPr>
          <a:xfrm>
            <a:off x="1347788" y="204787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" name="Straight Connector 328">
            <a:extLst>
              <a:ext uri="{FF2B5EF4-FFF2-40B4-BE49-F238E27FC236}">
                <a16:creationId xmlns:a16="http://schemas.microsoft.com/office/drawing/2014/main" id="{5BCD08FC-7C4A-B4F1-B90F-59968B61F7BA}"/>
              </a:ext>
            </a:extLst>
          </xdr:cNvPr>
          <xdr:cNvCxnSpPr/>
        </xdr:nvCxnSpPr>
        <xdr:spPr>
          <a:xfrm flipH="1">
            <a:off x="1371602" y="201453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" name="Straight Connector 329">
            <a:extLst>
              <a:ext uri="{FF2B5EF4-FFF2-40B4-BE49-F238E27FC236}">
                <a16:creationId xmlns:a16="http://schemas.microsoft.com/office/drawing/2014/main" id="{46B8660C-E764-03A7-CEAA-7625383840AB}"/>
              </a:ext>
            </a:extLst>
          </xdr:cNvPr>
          <xdr:cNvCxnSpPr/>
        </xdr:nvCxnSpPr>
        <xdr:spPr>
          <a:xfrm flipH="1">
            <a:off x="1466848" y="201453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" name="Straight Connector 330">
            <a:extLst>
              <a:ext uri="{FF2B5EF4-FFF2-40B4-BE49-F238E27FC236}">
                <a16:creationId xmlns:a16="http://schemas.microsoft.com/office/drawing/2014/main" id="{47434C01-1B1E-92CB-EE9C-1327902F6BCE}"/>
              </a:ext>
            </a:extLst>
          </xdr:cNvPr>
          <xdr:cNvCxnSpPr/>
        </xdr:nvCxnSpPr>
        <xdr:spPr>
          <a:xfrm>
            <a:off x="1781176" y="241458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Straight Connector 331">
            <a:extLst>
              <a:ext uri="{FF2B5EF4-FFF2-40B4-BE49-F238E27FC236}">
                <a16:creationId xmlns:a16="http://schemas.microsoft.com/office/drawing/2014/main" id="{DED747D7-EA4A-6AAE-5A8E-E6E05F00E215}"/>
              </a:ext>
            </a:extLst>
          </xdr:cNvPr>
          <xdr:cNvCxnSpPr/>
        </xdr:nvCxnSpPr>
        <xdr:spPr>
          <a:xfrm flipH="1">
            <a:off x="1743076" y="244315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8F92776C-BEAB-279F-1F34-BCCA8421F391}"/>
              </a:ext>
            </a:extLst>
          </xdr:cNvPr>
          <xdr:cNvCxnSpPr/>
        </xdr:nvCxnSpPr>
        <xdr:spPr>
          <a:xfrm flipH="1">
            <a:off x="1743074" y="258603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2B17CA93-55A9-5522-68F4-D3D89F999BA5}"/>
              </a:ext>
            </a:extLst>
          </xdr:cNvPr>
          <xdr:cNvCxnSpPr/>
        </xdr:nvCxnSpPr>
        <xdr:spPr>
          <a:xfrm>
            <a:off x="809625" y="268128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Connector 334">
            <a:extLst>
              <a:ext uri="{FF2B5EF4-FFF2-40B4-BE49-F238E27FC236}">
                <a16:creationId xmlns:a16="http://schemas.microsoft.com/office/drawing/2014/main" id="{4B5EDE1E-0F35-DCE9-8E22-A168910ED60F}"/>
              </a:ext>
            </a:extLst>
          </xdr:cNvPr>
          <xdr:cNvCxnSpPr/>
        </xdr:nvCxnSpPr>
        <xdr:spPr>
          <a:xfrm>
            <a:off x="747713" y="2905125"/>
            <a:ext cx="14239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Connector 335">
            <a:extLst>
              <a:ext uri="{FF2B5EF4-FFF2-40B4-BE49-F238E27FC236}">
                <a16:creationId xmlns:a16="http://schemas.microsoft.com/office/drawing/2014/main" id="{FECC9999-8898-05EF-2CB4-97A8D9C60A61}"/>
              </a:ext>
            </a:extLst>
          </xdr:cNvPr>
          <xdr:cNvCxnSpPr/>
        </xdr:nvCxnSpPr>
        <xdr:spPr>
          <a:xfrm flipH="1">
            <a:off x="771524" y="287179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AA8000BA-BB18-136D-ACDB-61B704396450}"/>
              </a:ext>
            </a:extLst>
          </xdr:cNvPr>
          <xdr:cNvCxnSpPr/>
        </xdr:nvCxnSpPr>
        <xdr:spPr>
          <a:xfrm>
            <a:off x="2105025" y="268128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75D545BD-F822-7A26-C5AD-F0F8BE7CD527}"/>
              </a:ext>
            </a:extLst>
          </xdr:cNvPr>
          <xdr:cNvCxnSpPr/>
        </xdr:nvCxnSpPr>
        <xdr:spPr>
          <a:xfrm flipH="1">
            <a:off x="2066924" y="287179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Connector 338">
            <a:extLst>
              <a:ext uri="{FF2B5EF4-FFF2-40B4-BE49-F238E27FC236}">
                <a16:creationId xmlns:a16="http://schemas.microsoft.com/office/drawing/2014/main" id="{E16BECFC-2EBB-71B6-C2B5-FA4781102E99}"/>
              </a:ext>
            </a:extLst>
          </xdr:cNvPr>
          <xdr:cNvCxnSpPr/>
        </xdr:nvCxnSpPr>
        <xdr:spPr>
          <a:xfrm>
            <a:off x="485776" y="97154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Connector 339">
            <a:extLst>
              <a:ext uri="{FF2B5EF4-FFF2-40B4-BE49-F238E27FC236}">
                <a16:creationId xmlns:a16="http://schemas.microsoft.com/office/drawing/2014/main" id="{1FDD44BC-CCF2-3975-867B-1B327AFA7620}"/>
              </a:ext>
            </a:extLst>
          </xdr:cNvPr>
          <xdr:cNvCxnSpPr/>
        </xdr:nvCxnSpPr>
        <xdr:spPr>
          <a:xfrm flipH="1">
            <a:off x="447680" y="101441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Connector 340">
            <a:extLst>
              <a:ext uri="{FF2B5EF4-FFF2-40B4-BE49-F238E27FC236}">
                <a16:creationId xmlns:a16="http://schemas.microsoft.com/office/drawing/2014/main" id="{DDC36155-CD1D-EB2E-F25B-88D0DBCB8AFE}"/>
              </a:ext>
            </a:extLst>
          </xdr:cNvPr>
          <xdr:cNvCxnSpPr/>
        </xdr:nvCxnSpPr>
        <xdr:spPr>
          <a:xfrm flipH="1">
            <a:off x="447671" y="258603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Straight Connector 341">
            <a:extLst>
              <a:ext uri="{FF2B5EF4-FFF2-40B4-BE49-F238E27FC236}">
                <a16:creationId xmlns:a16="http://schemas.microsoft.com/office/drawing/2014/main" id="{62C7858F-FF2E-FB18-F50B-B47F779CB877}"/>
              </a:ext>
            </a:extLst>
          </xdr:cNvPr>
          <xdr:cNvCxnSpPr/>
        </xdr:nvCxnSpPr>
        <xdr:spPr>
          <a:xfrm flipH="1">
            <a:off x="419100" y="261937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Straight Connector 342">
            <a:extLst>
              <a:ext uri="{FF2B5EF4-FFF2-40B4-BE49-F238E27FC236}">
                <a16:creationId xmlns:a16="http://schemas.microsoft.com/office/drawing/2014/main" id="{8603338C-275A-979A-AC26-BB080E09D14A}"/>
              </a:ext>
            </a:extLst>
          </xdr:cNvPr>
          <xdr:cNvCxnSpPr/>
        </xdr:nvCxnSpPr>
        <xdr:spPr>
          <a:xfrm flipH="1">
            <a:off x="419100" y="104775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61A9961C-FF5D-B7CE-D748-2F465D7C7DC9}"/>
              </a:ext>
            </a:extLst>
          </xdr:cNvPr>
          <xdr:cNvCxnSpPr/>
        </xdr:nvCxnSpPr>
        <xdr:spPr>
          <a:xfrm flipV="1">
            <a:off x="1438275" y="116205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95250</xdr:colOff>
      <xdr:row>287</xdr:row>
      <xdr:rowOff>66674</xdr:rowOff>
    </xdr:from>
    <xdr:to>
      <xdr:col>15</xdr:col>
      <xdr:colOff>57150</xdr:colOff>
      <xdr:row>301</xdr:row>
      <xdr:rowOff>76200</xdr:rowOff>
    </xdr:to>
    <xdr:grpSp>
      <xdr:nvGrpSpPr>
        <xdr:cNvPr id="362" name="Group 361">
          <a:extLst>
            <a:ext uri="{FF2B5EF4-FFF2-40B4-BE49-F238E27FC236}">
              <a16:creationId xmlns:a16="http://schemas.microsoft.com/office/drawing/2014/main" id="{D3705B9D-F4BD-43DF-B9CF-097B98045C45}"/>
            </a:ext>
          </a:extLst>
        </xdr:cNvPr>
        <xdr:cNvGrpSpPr/>
      </xdr:nvGrpSpPr>
      <xdr:grpSpPr>
        <a:xfrm>
          <a:off x="419100" y="43976924"/>
          <a:ext cx="2066925" cy="2009776"/>
          <a:chOff x="1066800" y="495299"/>
          <a:chExt cx="2066925" cy="2009776"/>
        </a:xfrm>
      </xdr:grpSpPr>
      <xdr:grpSp>
        <xdr:nvGrpSpPr>
          <xdr:cNvPr id="364" name="Group 363">
            <a:extLst>
              <a:ext uri="{FF2B5EF4-FFF2-40B4-BE49-F238E27FC236}">
                <a16:creationId xmlns:a16="http://schemas.microsoft.com/office/drawing/2014/main" id="{1109CD3B-5CC6-32B4-BBB2-ECD26A621459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390" name="Straight Connector 389">
              <a:extLst>
                <a:ext uri="{FF2B5EF4-FFF2-40B4-BE49-F238E27FC236}">
                  <a16:creationId xmlns:a16="http://schemas.microsoft.com/office/drawing/2014/main" id="{E8051CA1-B94D-0B58-861A-A419558F99CA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1" name="Straight Connector 390">
              <a:extLst>
                <a:ext uri="{FF2B5EF4-FFF2-40B4-BE49-F238E27FC236}">
                  <a16:creationId xmlns:a16="http://schemas.microsoft.com/office/drawing/2014/main" id="{1DEE31FF-7798-DD52-C5EE-9DB4F9DCDB3D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2" name="Straight Connector 391">
              <a:extLst>
                <a:ext uri="{FF2B5EF4-FFF2-40B4-BE49-F238E27FC236}">
                  <a16:creationId xmlns:a16="http://schemas.microsoft.com/office/drawing/2014/main" id="{59C58ADE-71CB-BA1D-ECB5-E952FB4A0571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93" name="Arc 392">
              <a:extLst>
                <a:ext uri="{FF2B5EF4-FFF2-40B4-BE49-F238E27FC236}">
                  <a16:creationId xmlns:a16="http://schemas.microsoft.com/office/drawing/2014/main" id="{E1BFE244-A3DE-1FFE-258E-364CBC755022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94" name="Straight Connector 393">
              <a:extLst>
                <a:ext uri="{FF2B5EF4-FFF2-40B4-BE49-F238E27FC236}">
                  <a16:creationId xmlns:a16="http://schemas.microsoft.com/office/drawing/2014/main" id="{0BDDCBF9-27EF-F14C-723C-6D2FEC41F44A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5" name="Straight Connector 394">
              <a:extLst>
                <a:ext uri="{FF2B5EF4-FFF2-40B4-BE49-F238E27FC236}">
                  <a16:creationId xmlns:a16="http://schemas.microsoft.com/office/drawing/2014/main" id="{5829C134-3C22-ECE8-A207-34370288A4A7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6" name="Straight Connector 395">
              <a:extLst>
                <a:ext uri="{FF2B5EF4-FFF2-40B4-BE49-F238E27FC236}">
                  <a16:creationId xmlns:a16="http://schemas.microsoft.com/office/drawing/2014/main" id="{F3278B38-60EC-C5A5-F23C-8EAA5C759BE3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7" name="Straight Connector 396">
              <a:extLst>
                <a:ext uri="{FF2B5EF4-FFF2-40B4-BE49-F238E27FC236}">
                  <a16:creationId xmlns:a16="http://schemas.microsoft.com/office/drawing/2014/main" id="{61DF2421-B3A4-4BFE-2FF7-F186F692E480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98" name="Arc 397">
              <a:extLst>
                <a:ext uri="{FF2B5EF4-FFF2-40B4-BE49-F238E27FC236}">
                  <a16:creationId xmlns:a16="http://schemas.microsoft.com/office/drawing/2014/main" id="{1D669DD0-CA79-EBAE-FE89-AFD9DA90543F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99" name="Straight Connector 398">
              <a:extLst>
                <a:ext uri="{FF2B5EF4-FFF2-40B4-BE49-F238E27FC236}">
                  <a16:creationId xmlns:a16="http://schemas.microsoft.com/office/drawing/2014/main" id="{815C4F3C-5F11-F72D-5BCE-BBFB2775DDF6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0" name="Straight Connector 399">
              <a:extLst>
                <a:ext uri="{FF2B5EF4-FFF2-40B4-BE49-F238E27FC236}">
                  <a16:creationId xmlns:a16="http://schemas.microsoft.com/office/drawing/2014/main" id="{4A4B4C02-BF04-982C-C0F4-E8A587B1784A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1" name="Straight Connector 400">
              <a:extLst>
                <a:ext uri="{FF2B5EF4-FFF2-40B4-BE49-F238E27FC236}">
                  <a16:creationId xmlns:a16="http://schemas.microsoft.com/office/drawing/2014/main" id="{5F145A58-BDC0-9524-6529-D75313D36243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2" name="Straight Connector 401">
              <a:extLst>
                <a:ext uri="{FF2B5EF4-FFF2-40B4-BE49-F238E27FC236}">
                  <a16:creationId xmlns:a16="http://schemas.microsoft.com/office/drawing/2014/main" id="{90CE9F37-C265-71D3-1219-4BA75AB5AC11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3" name="Straight Connector 402">
              <a:extLst>
                <a:ext uri="{FF2B5EF4-FFF2-40B4-BE49-F238E27FC236}">
                  <a16:creationId xmlns:a16="http://schemas.microsoft.com/office/drawing/2014/main" id="{B7D2A13E-3066-D4F8-F476-16FAF26F0EC6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04" name="Arc 403">
              <a:extLst>
                <a:ext uri="{FF2B5EF4-FFF2-40B4-BE49-F238E27FC236}">
                  <a16:creationId xmlns:a16="http://schemas.microsoft.com/office/drawing/2014/main" id="{F4C2D354-5959-529A-11E1-DE075D604999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05" name="Arc 404">
              <a:extLst>
                <a:ext uri="{FF2B5EF4-FFF2-40B4-BE49-F238E27FC236}">
                  <a16:creationId xmlns:a16="http://schemas.microsoft.com/office/drawing/2014/main" id="{C09159C6-B1D6-6030-220A-E6983613601F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365" name="Straight Connector 364">
            <a:extLst>
              <a:ext uri="{FF2B5EF4-FFF2-40B4-BE49-F238E27FC236}">
                <a16:creationId xmlns:a16="http://schemas.microsoft.com/office/drawing/2014/main" id="{56AB3E05-911F-0576-994F-CC2D529A08FA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Straight Connector 365">
            <a:extLst>
              <a:ext uri="{FF2B5EF4-FFF2-40B4-BE49-F238E27FC236}">
                <a16:creationId xmlns:a16="http://schemas.microsoft.com/office/drawing/2014/main" id="{DDB5ADF0-26D7-2011-90C2-CDDADBD56E3C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" name="Straight Connector 366">
            <a:extLst>
              <a:ext uri="{FF2B5EF4-FFF2-40B4-BE49-F238E27FC236}">
                <a16:creationId xmlns:a16="http://schemas.microsoft.com/office/drawing/2014/main" id="{4EC7D51B-6610-38BE-5C51-460AFBB37EBD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" name="Straight Connector 367">
            <a:extLst>
              <a:ext uri="{FF2B5EF4-FFF2-40B4-BE49-F238E27FC236}">
                <a16:creationId xmlns:a16="http://schemas.microsoft.com/office/drawing/2014/main" id="{DF095D5A-7A3A-F7D5-D9ED-AFA1A3107D00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Connector 376">
            <a:extLst>
              <a:ext uri="{FF2B5EF4-FFF2-40B4-BE49-F238E27FC236}">
                <a16:creationId xmlns:a16="http://schemas.microsoft.com/office/drawing/2014/main" id="{E7C8EC2F-7D9E-AB83-794D-5F8A9C201E49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041EEA9E-1C9D-4DC5-101E-585F74D11D9E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Straight Connector 378">
            <a:extLst>
              <a:ext uri="{FF2B5EF4-FFF2-40B4-BE49-F238E27FC236}">
                <a16:creationId xmlns:a16="http://schemas.microsoft.com/office/drawing/2014/main" id="{AC63DC36-1AC0-D58D-2D42-ABBC056081D2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1FAF5739-3824-B129-8B9A-B9B59CF26173}"/>
              </a:ext>
            </a:extLst>
          </xdr:cNvPr>
          <xdr:cNvCxnSpPr/>
        </xdr:nvCxnSpPr>
        <xdr:spPr>
          <a:xfrm>
            <a:off x="1395413" y="2428875"/>
            <a:ext cx="1447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727C4052-3133-0652-6ACF-A5B83A909A01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CBEBB2B0-A23C-9E07-B503-70C5F882B8DB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6CD766D0-49A1-48F0-EF6F-3CCDBC43DFED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Connector 383">
            <a:extLst>
              <a:ext uri="{FF2B5EF4-FFF2-40B4-BE49-F238E27FC236}">
                <a16:creationId xmlns:a16="http://schemas.microsoft.com/office/drawing/2014/main" id="{10DBAE84-D4A7-900B-1EF4-92223F550C99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Connector 384">
            <a:extLst>
              <a:ext uri="{FF2B5EF4-FFF2-40B4-BE49-F238E27FC236}">
                <a16:creationId xmlns:a16="http://schemas.microsoft.com/office/drawing/2014/main" id="{02F301BE-A671-7962-29E8-CF2C4543305E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Connector 385">
            <a:extLst>
              <a:ext uri="{FF2B5EF4-FFF2-40B4-BE49-F238E27FC236}">
                <a16:creationId xmlns:a16="http://schemas.microsoft.com/office/drawing/2014/main" id="{BCAD20CC-C281-4876-7952-AC93BE8BFA8D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Connector 386">
            <a:extLst>
              <a:ext uri="{FF2B5EF4-FFF2-40B4-BE49-F238E27FC236}">
                <a16:creationId xmlns:a16="http://schemas.microsoft.com/office/drawing/2014/main" id="{DD866882-E9FB-3E52-AC4E-15F95449A3E8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Connector 387">
            <a:extLst>
              <a:ext uri="{FF2B5EF4-FFF2-40B4-BE49-F238E27FC236}">
                <a16:creationId xmlns:a16="http://schemas.microsoft.com/office/drawing/2014/main" id="{8FB9D538-454A-556D-C995-7A09C254006E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Connector 388">
            <a:extLst>
              <a:ext uri="{FF2B5EF4-FFF2-40B4-BE49-F238E27FC236}">
                <a16:creationId xmlns:a16="http://schemas.microsoft.com/office/drawing/2014/main" id="{6B06AB99-103C-404B-E3E1-159BA3933C93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80962</xdr:colOff>
      <xdr:row>288</xdr:row>
      <xdr:rowOff>138113</xdr:rowOff>
    </xdr:from>
    <xdr:to>
      <xdr:col>35</xdr:col>
      <xdr:colOff>76535</xdr:colOff>
      <xdr:row>299</xdr:row>
      <xdr:rowOff>76200</xdr:rowOff>
    </xdr:to>
    <xdr:grpSp>
      <xdr:nvGrpSpPr>
        <xdr:cNvPr id="1038" name="Group 1037">
          <a:extLst>
            <a:ext uri="{FF2B5EF4-FFF2-40B4-BE49-F238E27FC236}">
              <a16:creationId xmlns:a16="http://schemas.microsoft.com/office/drawing/2014/main" id="{8C8A9E0D-F141-1DB6-761A-7396E5C7F8E4}"/>
            </a:ext>
          </a:extLst>
        </xdr:cNvPr>
        <xdr:cNvGrpSpPr/>
      </xdr:nvGrpSpPr>
      <xdr:grpSpPr>
        <a:xfrm>
          <a:off x="3319462" y="44191238"/>
          <a:ext cx="2424448" cy="1509712"/>
          <a:chOff x="3319462" y="44191238"/>
          <a:chExt cx="2424448" cy="1509712"/>
        </a:xfrm>
      </xdr:grpSpPr>
      <xdr:cxnSp macro="">
        <xdr:nvCxnSpPr>
          <xdr:cNvPr id="407" name="Straight Connector 406">
            <a:extLst>
              <a:ext uri="{FF2B5EF4-FFF2-40B4-BE49-F238E27FC236}">
                <a16:creationId xmlns:a16="http://schemas.microsoft.com/office/drawing/2014/main" id="{AA1D619B-8584-03D2-A09B-517EF1B6FD9B}"/>
              </a:ext>
            </a:extLst>
          </xdr:cNvPr>
          <xdr:cNvCxnSpPr/>
        </xdr:nvCxnSpPr>
        <xdr:spPr>
          <a:xfrm>
            <a:off x="3395663" y="44624625"/>
            <a:ext cx="2281237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Straight Arrow Connector 407">
            <a:extLst>
              <a:ext uri="{FF2B5EF4-FFF2-40B4-BE49-F238E27FC236}">
                <a16:creationId xmlns:a16="http://schemas.microsoft.com/office/drawing/2014/main" id="{97B18CFC-2F26-E54A-70A7-1C67982EBA24}"/>
              </a:ext>
            </a:extLst>
          </xdr:cNvPr>
          <xdr:cNvCxnSpPr/>
        </xdr:nvCxnSpPr>
        <xdr:spPr>
          <a:xfrm>
            <a:off x="4533901" y="44191238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9" name="Isosceles Triangle 408">
            <a:extLst>
              <a:ext uri="{FF2B5EF4-FFF2-40B4-BE49-F238E27FC236}">
                <a16:creationId xmlns:a16="http://schemas.microsoft.com/office/drawing/2014/main" id="{5BECE87E-F201-715F-3B5C-A85F389EC6C8}"/>
              </a:ext>
            </a:extLst>
          </xdr:cNvPr>
          <xdr:cNvSpPr/>
        </xdr:nvSpPr>
        <xdr:spPr>
          <a:xfrm>
            <a:off x="3328607" y="44638914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0" name="Isosceles Triangle 409">
            <a:extLst>
              <a:ext uri="{FF2B5EF4-FFF2-40B4-BE49-F238E27FC236}">
                <a16:creationId xmlns:a16="http://schemas.microsoft.com/office/drawing/2014/main" id="{F1748619-8203-51D1-6F71-C2AFB878807E}"/>
              </a:ext>
            </a:extLst>
          </xdr:cNvPr>
          <xdr:cNvSpPr/>
        </xdr:nvSpPr>
        <xdr:spPr>
          <a:xfrm>
            <a:off x="5600274" y="44634152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11" name="Straight Connector 410">
            <a:extLst>
              <a:ext uri="{FF2B5EF4-FFF2-40B4-BE49-F238E27FC236}">
                <a16:creationId xmlns:a16="http://schemas.microsoft.com/office/drawing/2014/main" id="{4BE5A36F-DA3C-F605-9BE4-0ADFCD04E9EC}"/>
              </a:ext>
            </a:extLst>
          </xdr:cNvPr>
          <xdr:cNvCxnSpPr/>
        </xdr:nvCxnSpPr>
        <xdr:spPr>
          <a:xfrm>
            <a:off x="3400425" y="45210413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Straight Arrow Connector 411">
            <a:extLst>
              <a:ext uri="{FF2B5EF4-FFF2-40B4-BE49-F238E27FC236}">
                <a16:creationId xmlns:a16="http://schemas.microsoft.com/office/drawing/2014/main" id="{30DAD18F-0CA6-D073-92ED-3D420087A469}"/>
              </a:ext>
            </a:extLst>
          </xdr:cNvPr>
          <xdr:cNvCxnSpPr/>
        </xdr:nvCxnSpPr>
        <xdr:spPr>
          <a:xfrm flipV="1">
            <a:off x="3400425" y="44767500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3" name="Straight Connector 412">
            <a:extLst>
              <a:ext uri="{FF2B5EF4-FFF2-40B4-BE49-F238E27FC236}">
                <a16:creationId xmlns:a16="http://schemas.microsoft.com/office/drawing/2014/main" id="{5D7E6B5A-7FCD-F6D8-DC41-3CF460B2A047}"/>
              </a:ext>
            </a:extLst>
          </xdr:cNvPr>
          <xdr:cNvCxnSpPr/>
        </xdr:nvCxnSpPr>
        <xdr:spPr>
          <a:xfrm>
            <a:off x="3319463" y="45339000"/>
            <a:ext cx="24050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4" name="Straight Connector 413">
            <a:extLst>
              <a:ext uri="{FF2B5EF4-FFF2-40B4-BE49-F238E27FC236}">
                <a16:creationId xmlns:a16="http://schemas.microsoft.com/office/drawing/2014/main" id="{1AC19DFC-B844-7AF2-04A6-B7DB2607EE7F}"/>
              </a:ext>
            </a:extLst>
          </xdr:cNvPr>
          <xdr:cNvCxnSpPr/>
        </xdr:nvCxnSpPr>
        <xdr:spPr>
          <a:xfrm flipH="1">
            <a:off x="3362318" y="45305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Straight Connector 414">
            <a:extLst>
              <a:ext uri="{FF2B5EF4-FFF2-40B4-BE49-F238E27FC236}">
                <a16:creationId xmlns:a16="http://schemas.microsoft.com/office/drawing/2014/main" id="{B1D1665A-7A45-2BEC-8554-38018234D8F8}"/>
              </a:ext>
            </a:extLst>
          </xdr:cNvPr>
          <xdr:cNvCxnSpPr/>
        </xdr:nvCxnSpPr>
        <xdr:spPr>
          <a:xfrm>
            <a:off x="3319462" y="45624750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" name="Straight Connector 415">
            <a:extLst>
              <a:ext uri="{FF2B5EF4-FFF2-40B4-BE49-F238E27FC236}">
                <a16:creationId xmlns:a16="http://schemas.microsoft.com/office/drawing/2014/main" id="{84758C40-4F7B-EDA7-EA8F-23CD509601CD}"/>
              </a:ext>
            </a:extLst>
          </xdr:cNvPr>
          <xdr:cNvCxnSpPr/>
        </xdr:nvCxnSpPr>
        <xdr:spPr>
          <a:xfrm flipH="1">
            <a:off x="3362324" y="455914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" name="Straight Connector 416">
            <a:extLst>
              <a:ext uri="{FF2B5EF4-FFF2-40B4-BE49-F238E27FC236}">
                <a16:creationId xmlns:a16="http://schemas.microsoft.com/office/drawing/2014/main" id="{84A697EF-D0CF-D399-F881-D3AA78602468}"/>
              </a:ext>
            </a:extLst>
          </xdr:cNvPr>
          <xdr:cNvCxnSpPr/>
        </xdr:nvCxnSpPr>
        <xdr:spPr>
          <a:xfrm>
            <a:off x="5667340" y="45210413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Straight Arrow Connector 417">
            <a:extLst>
              <a:ext uri="{FF2B5EF4-FFF2-40B4-BE49-F238E27FC236}">
                <a16:creationId xmlns:a16="http://schemas.microsoft.com/office/drawing/2014/main" id="{657795DF-7AAF-2C0B-3234-12BCE1CB3959}"/>
              </a:ext>
            </a:extLst>
          </xdr:cNvPr>
          <xdr:cNvCxnSpPr/>
        </xdr:nvCxnSpPr>
        <xdr:spPr>
          <a:xfrm flipV="1">
            <a:off x="5667331" y="44767500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" name="Straight Connector 418">
            <a:extLst>
              <a:ext uri="{FF2B5EF4-FFF2-40B4-BE49-F238E27FC236}">
                <a16:creationId xmlns:a16="http://schemas.microsoft.com/office/drawing/2014/main" id="{190681EC-D766-2984-6F07-CA8F91F27D90}"/>
              </a:ext>
            </a:extLst>
          </xdr:cNvPr>
          <xdr:cNvCxnSpPr/>
        </xdr:nvCxnSpPr>
        <xdr:spPr>
          <a:xfrm flipH="1">
            <a:off x="5629240" y="45305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Straight Connector 419">
            <a:extLst>
              <a:ext uri="{FF2B5EF4-FFF2-40B4-BE49-F238E27FC236}">
                <a16:creationId xmlns:a16="http://schemas.microsoft.com/office/drawing/2014/main" id="{2205F8F1-38F7-FB51-AECC-A7920684B2AE}"/>
              </a:ext>
            </a:extLst>
          </xdr:cNvPr>
          <xdr:cNvCxnSpPr/>
        </xdr:nvCxnSpPr>
        <xdr:spPr>
          <a:xfrm flipH="1">
            <a:off x="5629239" y="455914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Straight Connector 420">
            <a:extLst>
              <a:ext uri="{FF2B5EF4-FFF2-40B4-BE49-F238E27FC236}">
                <a16:creationId xmlns:a16="http://schemas.microsoft.com/office/drawing/2014/main" id="{083CEE2D-CED9-0CB9-21F8-076530AEBBA8}"/>
              </a:ext>
            </a:extLst>
          </xdr:cNvPr>
          <xdr:cNvCxnSpPr/>
        </xdr:nvCxnSpPr>
        <xdr:spPr>
          <a:xfrm>
            <a:off x="4533902" y="4492466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" name="Straight Connector 421">
            <a:extLst>
              <a:ext uri="{FF2B5EF4-FFF2-40B4-BE49-F238E27FC236}">
                <a16:creationId xmlns:a16="http://schemas.microsoft.com/office/drawing/2014/main" id="{507DBD61-AB20-DE0B-F2E1-6A16DBCB4E8D}"/>
              </a:ext>
            </a:extLst>
          </xdr:cNvPr>
          <xdr:cNvCxnSpPr/>
        </xdr:nvCxnSpPr>
        <xdr:spPr>
          <a:xfrm flipH="1">
            <a:off x="4495811" y="4530566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Arrow Connector 422">
            <a:extLst>
              <a:ext uri="{FF2B5EF4-FFF2-40B4-BE49-F238E27FC236}">
                <a16:creationId xmlns:a16="http://schemas.microsoft.com/office/drawing/2014/main" id="{3152BBAA-C837-AE85-9F12-CD8BD6F71D01}"/>
              </a:ext>
            </a:extLst>
          </xdr:cNvPr>
          <xdr:cNvCxnSpPr/>
        </xdr:nvCxnSpPr>
        <xdr:spPr>
          <a:xfrm>
            <a:off x="3409951" y="44910376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" name="Straight Arrow Connector 425">
            <a:extLst>
              <a:ext uri="{FF2B5EF4-FFF2-40B4-BE49-F238E27FC236}">
                <a16:creationId xmlns:a16="http://schemas.microsoft.com/office/drawing/2014/main" id="{BA84B9A9-B64A-9524-F179-980FFDC9F087}"/>
              </a:ext>
            </a:extLst>
          </xdr:cNvPr>
          <xdr:cNvCxnSpPr/>
        </xdr:nvCxnSpPr>
        <xdr:spPr>
          <a:xfrm>
            <a:off x="3400425" y="44405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Straight Connector 427">
            <a:extLst>
              <a:ext uri="{FF2B5EF4-FFF2-40B4-BE49-F238E27FC236}">
                <a16:creationId xmlns:a16="http://schemas.microsoft.com/office/drawing/2014/main" id="{A345AD2B-3189-D3C1-3954-9705C089C9C3}"/>
              </a:ext>
            </a:extLst>
          </xdr:cNvPr>
          <xdr:cNvCxnSpPr/>
        </xdr:nvCxnSpPr>
        <xdr:spPr>
          <a:xfrm>
            <a:off x="3400425" y="44405550"/>
            <a:ext cx="227647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Straight Arrow Connector 428">
            <a:extLst>
              <a:ext uri="{FF2B5EF4-FFF2-40B4-BE49-F238E27FC236}">
                <a16:creationId xmlns:a16="http://schemas.microsoft.com/office/drawing/2014/main" id="{0760AC74-D5FA-4ED3-B448-DCADA533EDAE}"/>
              </a:ext>
            </a:extLst>
          </xdr:cNvPr>
          <xdr:cNvCxnSpPr/>
        </xdr:nvCxnSpPr>
        <xdr:spPr>
          <a:xfrm>
            <a:off x="3562350" y="44405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Straight Arrow Connector 429">
            <a:extLst>
              <a:ext uri="{FF2B5EF4-FFF2-40B4-BE49-F238E27FC236}">
                <a16:creationId xmlns:a16="http://schemas.microsoft.com/office/drawing/2014/main" id="{BAAED568-6746-428F-BEC7-11478B7EF59C}"/>
              </a:ext>
            </a:extLst>
          </xdr:cNvPr>
          <xdr:cNvCxnSpPr/>
        </xdr:nvCxnSpPr>
        <xdr:spPr>
          <a:xfrm>
            <a:off x="4371975" y="4441031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Arrow Connector 431">
            <a:extLst>
              <a:ext uri="{FF2B5EF4-FFF2-40B4-BE49-F238E27FC236}">
                <a16:creationId xmlns:a16="http://schemas.microsoft.com/office/drawing/2014/main" id="{19906DAB-E044-400F-89DC-08B3B94A50B3}"/>
              </a:ext>
            </a:extLst>
          </xdr:cNvPr>
          <xdr:cNvCxnSpPr/>
        </xdr:nvCxnSpPr>
        <xdr:spPr>
          <a:xfrm>
            <a:off x="5343526" y="44405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Straight Arrow Connector 432">
            <a:extLst>
              <a:ext uri="{FF2B5EF4-FFF2-40B4-BE49-F238E27FC236}">
                <a16:creationId xmlns:a16="http://schemas.microsoft.com/office/drawing/2014/main" id="{35D10D60-31B8-4B3A-B879-6958D3FB9C79}"/>
              </a:ext>
            </a:extLst>
          </xdr:cNvPr>
          <xdr:cNvCxnSpPr/>
        </xdr:nvCxnSpPr>
        <xdr:spPr>
          <a:xfrm>
            <a:off x="5505451" y="4441031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Arrow Connector 433">
            <a:extLst>
              <a:ext uri="{FF2B5EF4-FFF2-40B4-BE49-F238E27FC236}">
                <a16:creationId xmlns:a16="http://schemas.microsoft.com/office/drawing/2014/main" id="{95B0AE8C-A086-4FA2-BE8C-A868512F80A5}"/>
              </a:ext>
            </a:extLst>
          </xdr:cNvPr>
          <xdr:cNvCxnSpPr/>
        </xdr:nvCxnSpPr>
        <xdr:spPr>
          <a:xfrm>
            <a:off x="5667376" y="4441031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Straight Connector 435">
            <a:extLst>
              <a:ext uri="{FF2B5EF4-FFF2-40B4-BE49-F238E27FC236}">
                <a16:creationId xmlns:a16="http://schemas.microsoft.com/office/drawing/2014/main" id="{ED8288AE-1556-8FBC-11F3-2D30E307C84B}"/>
              </a:ext>
            </a:extLst>
          </xdr:cNvPr>
          <xdr:cNvCxnSpPr/>
        </xdr:nvCxnSpPr>
        <xdr:spPr>
          <a:xfrm flipH="1" flipV="1">
            <a:off x="4933950" y="44334113"/>
            <a:ext cx="85725" cy="1571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Straight Arrow Connector 479">
            <a:extLst>
              <a:ext uri="{FF2B5EF4-FFF2-40B4-BE49-F238E27FC236}">
                <a16:creationId xmlns:a16="http://schemas.microsoft.com/office/drawing/2014/main" id="{4EC6E456-C394-495F-A3C5-8E8AE34237CB}"/>
              </a:ext>
            </a:extLst>
          </xdr:cNvPr>
          <xdr:cNvCxnSpPr/>
        </xdr:nvCxnSpPr>
        <xdr:spPr>
          <a:xfrm>
            <a:off x="3724274" y="44405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1" name="Straight Arrow Connector 480">
            <a:extLst>
              <a:ext uri="{FF2B5EF4-FFF2-40B4-BE49-F238E27FC236}">
                <a16:creationId xmlns:a16="http://schemas.microsoft.com/office/drawing/2014/main" id="{C4660E5B-4349-470D-A02C-2AC36FFA10B5}"/>
              </a:ext>
            </a:extLst>
          </xdr:cNvPr>
          <xdr:cNvCxnSpPr/>
        </xdr:nvCxnSpPr>
        <xdr:spPr>
          <a:xfrm>
            <a:off x="3886199" y="44405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Arrow Connector 497">
            <a:extLst>
              <a:ext uri="{FF2B5EF4-FFF2-40B4-BE49-F238E27FC236}">
                <a16:creationId xmlns:a16="http://schemas.microsoft.com/office/drawing/2014/main" id="{04E6FFAF-F627-4844-BBEB-391CA45DEE13}"/>
              </a:ext>
            </a:extLst>
          </xdr:cNvPr>
          <xdr:cNvCxnSpPr/>
        </xdr:nvCxnSpPr>
        <xdr:spPr>
          <a:xfrm>
            <a:off x="4048124" y="44405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9" name="Straight Arrow Connector 498">
            <a:extLst>
              <a:ext uri="{FF2B5EF4-FFF2-40B4-BE49-F238E27FC236}">
                <a16:creationId xmlns:a16="http://schemas.microsoft.com/office/drawing/2014/main" id="{79314E7D-9283-4ED5-A7EE-9177D85A39C0}"/>
              </a:ext>
            </a:extLst>
          </xdr:cNvPr>
          <xdr:cNvCxnSpPr/>
        </xdr:nvCxnSpPr>
        <xdr:spPr>
          <a:xfrm>
            <a:off x="4210049" y="44405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8" name="Straight Arrow Connector 517">
            <a:extLst>
              <a:ext uri="{FF2B5EF4-FFF2-40B4-BE49-F238E27FC236}">
                <a16:creationId xmlns:a16="http://schemas.microsoft.com/office/drawing/2014/main" id="{6BBD6F9F-7C33-4569-8100-C2F01243DE19}"/>
              </a:ext>
            </a:extLst>
          </xdr:cNvPr>
          <xdr:cNvCxnSpPr/>
        </xdr:nvCxnSpPr>
        <xdr:spPr>
          <a:xfrm>
            <a:off x="4695825" y="444055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Straight Arrow Connector 518">
            <a:extLst>
              <a:ext uri="{FF2B5EF4-FFF2-40B4-BE49-F238E27FC236}">
                <a16:creationId xmlns:a16="http://schemas.microsoft.com/office/drawing/2014/main" id="{6B58AF3A-BE06-49D5-8042-E8AEEDFA7868}"/>
              </a:ext>
            </a:extLst>
          </xdr:cNvPr>
          <xdr:cNvCxnSpPr/>
        </xdr:nvCxnSpPr>
        <xdr:spPr>
          <a:xfrm>
            <a:off x="4857749" y="444055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Straight Arrow Connector 519">
            <a:extLst>
              <a:ext uri="{FF2B5EF4-FFF2-40B4-BE49-F238E27FC236}">
                <a16:creationId xmlns:a16="http://schemas.microsoft.com/office/drawing/2014/main" id="{A29DBA3F-CFD8-4A10-B2F1-2801CBB3C763}"/>
              </a:ext>
            </a:extLst>
          </xdr:cNvPr>
          <xdr:cNvCxnSpPr/>
        </xdr:nvCxnSpPr>
        <xdr:spPr>
          <a:xfrm>
            <a:off x="5019674" y="444055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Straight Arrow Connector 520">
            <a:extLst>
              <a:ext uri="{FF2B5EF4-FFF2-40B4-BE49-F238E27FC236}">
                <a16:creationId xmlns:a16="http://schemas.microsoft.com/office/drawing/2014/main" id="{8C471256-CD5C-45DC-96DA-3F880C64BEC1}"/>
              </a:ext>
            </a:extLst>
          </xdr:cNvPr>
          <xdr:cNvCxnSpPr/>
        </xdr:nvCxnSpPr>
        <xdr:spPr>
          <a:xfrm>
            <a:off x="5181599" y="444055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80962</xdr:colOff>
      <xdr:row>232</xdr:row>
      <xdr:rowOff>138113</xdr:rowOff>
    </xdr:from>
    <xdr:to>
      <xdr:col>39</xdr:col>
      <xdr:colOff>76549</xdr:colOff>
      <xdr:row>243</xdr:row>
      <xdr:rowOff>76200</xdr:rowOff>
    </xdr:to>
    <xdr:grpSp>
      <xdr:nvGrpSpPr>
        <xdr:cNvPr id="522" name="Group 521">
          <a:extLst>
            <a:ext uri="{FF2B5EF4-FFF2-40B4-BE49-F238E27FC236}">
              <a16:creationId xmlns:a16="http://schemas.microsoft.com/office/drawing/2014/main" id="{4470F0BA-E0BD-DE7D-A136-E99A5EA65747}"/>
            </a:ext>
          </a:extLst>
        </xdr:cNvPr>
        <xdr:cNvGrpSpPr/>
      </xdr:nvGrpSpPr>
      <xdr:grpSpPr>
        <a:xfrm>
          <a:off x="3319462" y="35704463"/>
          <a:ext cx="3072162" cy="1509712"/>
          <a:chOff x="3319462" y="26884313"/>
          <a:chExt cx="3072162" cy="1509712"/>
        </a:xfrm>
      </xdr:grpSpPr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BBA0A22A-F8BF-4510-86B5-7F32C1EBC946}"/>
              </a:ext>
            </a:extLst>
          </xdr:cNvPr>
          <xdr:cNvCxnSpPr/>
        </xdr:nvCxnSpPr>
        <xdr:spPr>
          <a:xfrm>
            <a:off x="3395663" y="27317700"/>
            <a:ext cx="2919412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Arrow Connector 200">
            <a:extLst>
              <a:ext uri="{FF2B5EF4-FFF2-40B4-BE49-F238E27FC236}">
                <a16:creationId xmlns:a16="http://schemas.microsoft.com/office/drawing/2014/main" id="{ECE7935C-4BB3-4005-ACD3-A0515AE4F873}"/>
              </a:ext>
            </a:extLst>
          </xdr:cNvPr>
          <xdr:cNvCxnSpPr/>
        </xdr:nvCxnSpPr>
        <xdr:spPr>
          <a:xfrm>
            <a:off x="4371976" y="2688431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2" name="Isosceles Triangle 201">
            <a:extLst>
              <a:ext uri="{FF2B5EF4-FFF2-40B4-BE49-F238E27FC236}">
                <a16:creationId xmlns:a16="http://schemas.microsoft.com/office/drawing/2014/main" id="{A7C82A0B-149E-4D6C-97AF-CE9423ADD99D}"/>
              </a:ext>
            </a:extLst>
          </xdr:cNvPr>
          <xdr:cNvSpPr/>
        </xdr:nvSpPr>
        <xdr:spPr>
          <a:xfrm>
            <a:off x="3328607" y="27331989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" name="Isosceles Triangle 202">
            <a:extLst>
              <a:ext uri="{FF2B5EF4-FFF2-40B4-BE49-F238E27FC236}">
                <a16:creationId xmlns:a16="http://schemas.microsoft.com/office/drawing/2014/main" id="{4C7D83D9-1600-40CB-8670-4FD44B94E4FE}"/>
              </a:ext>
            </a:extLst>
          </xdr:cNvPr>
          <xdr:cNvSpPr/>
        </xdr:nvSpPr>
        <xdr:spPr>
          <a:xfrm>
            <a:off x="6247988" y="27327227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4" name="Straight Arrow Connector 203">
            <a:extLst>
              <a:ext uri="{FF2B5EF4-FFF2-40B4-BE49-F238E27FC236}">
                <a16:creationId xmlns:a16="http://schemas.microsoft.com/office/drawing/2014/main" id="{71AD502D-C837-4E8E-8D1D-2EA0B3ECA92C}"/>
              </a:ext>
            </a:extLst>
          </xdr:cNvPr>
          <xdr:cNvCxnSpPr/>
        </xdr:nvCxnSpPr>
        <xdr:spPr>
          <a:xfrm>
            <a:off x="5343526" y="2688431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2409E838-6CA8-44DE-9B6B-DFAE56319504}"/>
              </a:ext>
            </a:extLst>
          </xdr:cNvPr>
          <xdr:cNvCxnSpPr/>
        </xdr:nvCxnSpPr>
        <xdr:spPr>
          <a:xfrm>
            <a:off x="3400425" y="279034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Arrow Connector 206">
            <a:extLst>
              <a:ext uri="{FF2B5EF4-FFF2-40B4-BE49-F238E27FC236}">
                <a16:creationId xmlns:a16="http://schemas.microsoft.com/office/drawing/2014/main" id="{F30B0908-C5AE-4085-900C-C5083A659AF1}"/>
              </a:ext>
            </a:extLst>
          </xdr:cNvPr>
          <xdr:cNvCxnSpPr/>
        </xdr:nvCxnSpPr>
        <xdr:spPr>
          <a:xfrm flipV="1">
            <a:off x="3400425" y="2746057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C341D55F-006A-49CA-AE18-1B287CC1757E}"/>
              </a:ext>
            </a:extLst>
          </xdr:cNvPr>
          <xdr:cNvCxnSpPr/>
        </xdr:nvCxnSpPr>
        <xdr:spPr>
          <a:xfrm>
            <a:off x="3319463" y="28032075"/>
            <a:ext cx="30575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54FD1421-DB4C-4429-8A18-F1DFA7F71282}"/>
              </a:ext>
            </a:extLst>
          </xdr:cNvPr>
          <xdr:cNvCxnSpPr/>
        </xdr:nvCxnSpPr>
        <xdr:spPr>
          <a:xfrm flipH="1">
            <a:off x="3362310" y="279987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F4F99F69-490F-4BC8-8FAB-89CE3E37E246}"/>
              </a:ext>
            </a:extLst>
          </xdr:cNvPr>
          <xdr:cNvCxnSpPr/>
        </xdr:nvCxnSpPr>
        <xdr:spPr>
          <a:xfrm>
            <a:off x="3319462" y="28317825"/>
            <a:ext cx="30622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93FF8DBF-502D-479C-B195-23879589D670}"/>
              </a:ext>
            </a:extLst>
          </xdr:cNvPr>
          <xdr:cNvCxnSpPr/>
        </xdr:nvCxnSpPr>
        <xdr:spPr>
          <a:xfrm flipH="1">
            <a:off x="3362324" y="282844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FFF04530-132C-42E2-96ED-7AEC0E36ABCE}"/>
              </a:ext>
            </a:extLst>
          </xdr:cNvPr>
          <xdr:cNvCxnSpPr/>
        </xdr:nvCxnSpPr>
        <xdr:spPr>
          <a:xfrm>
            <a:off x="6315054" y="279034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Arrow Connector 212">
            <a:extLst>
              <a:ext uri="{FF2B5EF4-FFF2-40B4-BE49-F238E27FC236}">
                <a16:creationId xmlns:a16="http://schemas.microsoft.com/office/drawing/2014/main" id="{6592F57D-73B2-476E-B6E3-2F60CE6CCD68}"/>
              </a:ext>
            </a:extLst>
          </xdr:cNvPr>
          <xdr:cNvCxnSpPr/>
        </xdr:nvCxnSpPr>
        <xdr:spPr>
          <a:xfrm flipV="1">
            <a:off x="6315045" y="2746057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Connector 213">
            <a:extLst>
              <a:ext uri="{FF2B5EF4-FFF2-40B4-BE49-F238E27FC236}">
                <a16:creationId xmlns:a16="http://schemas.microsoft.com/office/drawing/2014/main" id="{462B8122-DA88-4ADB-B1FC-7C85ADCBFE86}"/>
              </a:ext>
            </a:extLst>
          </xdr:cNvPr>
          <xdr:cNvCxnSpPr/>
        </xdr:nvCxnSpPr>
        <xdr:spPr>
          <a:xfrm flipH="1">
            <a:off x="6276954" y="279987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Straight Connector 214">
            <a:extLst>
              <a:ext uri="{FF2B5EF4-FFF2-40B4-BE49-F238E27FC236}">
                <a16:creationId xmlns:a16="http://schemas.microsoft.com/office/drawing/2014/main" id="{91A54700-1E47-4049-B37A-1A429D1A57ED}"/>
              </a:ext>
            </a:extLst>
          </xdr:cNvPr>
          <xdr:cNvCxnSpPr/>
        </xdr:nvCxnSpPr>
        <xdr:spPr>
          <a:xfrm flipH="1">
            <a:off x="6276953" y="282844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BE35FBE0-A8B9-468A-AF1B-0DA1EA3B0786}"/>
              </a:ext>
            </a:extLst>
          </xdr:cNvPr>
          <xdr:cNvCxnSpPr/>
        </xdr:nvCxnSpPr>
        <xdr:spPr>
          <a:xfrm>
            <a:off x="4371977" y="2761773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217D59BF-FFCD-462E-8D68-9C2319A44F36}"/>
              </a:ext>
            </a:extLst>
          </xdr:cNvPr>
          <xdr:cNvCxnSpPr/>
        </xdr:nvCxnSpPr>
        <xdr:spPr>
          <a:xfrm flipH="1">
            <a:off x="4333866" y="2799873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Connector 217">
            <a:extLst>
              <a:ext uri="{FF2B5EF4-FFF2-40B4-BE49-F238E27FC236}">
                <a16:creationId xmlns:a16="http://schemas.microsoft.com/office/drawing/2014/main" id="{5902EFBE-191C-4F5F-AF8A-218BC5BFC6B6}"/>
              </a:ext>
            </a:extLst>
          </xdr:cNvPr>
          <xdr:cNvCxnSpPr/>
        </xdr:nvCxnSpPr>
        <xdr:spPr>
          <a:xfrm>
            <a:off x="5343527" y="2761773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EB22B2FE-DBF4-4DBF-AAEE-47B307F80025}"/>
              </a:ext>
            </a:extLst>
          </xdr:cNvPr>
          <xdr:cNvCxnSpPr/>
        </xdr:nvCxnSpPr>
        <xdr:spPr>
          <a:xfrm flipH="1">
            <a:off x="5305419" y="2799873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Arrow Connector 221">
            <a:extLst>
              <a:ext uri="{FF2B5EF4-FFF2-40B4-BE49-F238E27FC236}">
                <a16:creationId xmlns:a16="http://schemas.microsoft.com/office/drawing/2014/main" id="{890D25E9-2304-4125-BC3D-84742E62B6C1}"/>
              </a:ext>
            </a:extLst>
          </xdr:cNvPr>
          <xdr:cNvCxnSpPr/>
        </xdr:nvCxnSpPr>
        <xdr:spPr>
          <a:xfrm>
            <a:off x="3409951" y="27603451"/>
            <a:ext cx="4571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Straight Arrow Connector 438">
            <a:extLst>
              <a:ext uri="{FF2B5EF4-FFF2-40B4-BE49-F238E27FC236}">
                <a16:creationId xmlns:a16="http://schemas.microsoft.com/office/drawing/2014/main" id="{82152DFB-2A3E-49F2-B3A3-8C283C56C36C}"/>
              </a:ext>
            </a:extLst>
          </xdr:cNvPr>
          <xdr:cNvCxnSpPr/>
        </xdr:nvCxnSpPr>
        <xdr:spPr>
          <a:xfrm>
            <a:off x="3400421" y="271081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Straight Connector 439">
            <a:extLst>
              <a:ext uri="{FF2B5EF4-FFF2-40B4-BE49-F238E27FC236}">
                <a16:creationId xmlns:a16="http://schemas.microsoft.com/office/drawing/2014/main" id="{B4889DE1-7106-4C25-BEF9-EE483BF4BECF}"/>
              </a:ext>
            </a:extLst>
          </xdr:cNvPr>
          <xdr:cNvCxnSpPr/>
        </xdr:nvCxnSpPr>
        <xdr:spPr>
          <a:xfrm>
            <a:off x="3400421" y="27108150"/>
            <a:ext cx="2914654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Straight Arrow Connector 440">
            <a:extLst>
              <a:ext uri="{FF2B5EF4-FFF2-40B4-BE49-F238E27FC236}">
                <a16:creationId xmlns:a16="http://schemas.microsoft.com/office/drawing/2014/main" id="{51F79938-C96D-4E2B-B14C-39CB046EDDCB}"/>
              </a:ext>
            </a:extLst>
          </xdr:cNvPr>
          <xdr:cNvCxnSpPr/>
        </xdr:nvCxnSpPr>
        <xdr:spPr>
          <a:xfrm>
            <a:off x="3562346" y="271081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Straight Arrow Connector 441">
            <a:extLst>
              <a:ext uri="{FF2B5EF4-FFF2-40B4-BE49-F238E27FC236}">
                <a16:creationId xmlns:a16="http://schemas.microsoft.com/office/drawing/2014/main" id="{5EB49B6F-9271-4455-848D-B21F0E546B66}"/>
              </a:ext>
            </a:extLst>
          </xdr:cNvPr>
          <xdr:cNvCxnSpPr/>
        </xdr:nvCxnSpPr>
        <xdr:spPr>
          <a:xfrm>
            <a:off x="3724271" y="2711291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Arrow Connector 442">
            <a:extLst>
              <a:ext uri="{FF2B5EF4-FFF2-40B4-BE49-F238E27FC236}">
                <a16:creationId xmlns:a16="http://schemas.microsoft.com/office/drawing/2014/main" id="{A22873C5-85ED-49D2-B44A-11C4510756B3}"/>
              </a:ext>
            </a:extLst>
          </xdr:cNvPr>
          <xdr:cNvCxnSpPr/>
        </xdr:nvCxnSpPr>
        <xdr:spPr>
          <a:xfrm>
            <a:off x="4533897" y="271081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Straight Arrow Connector 443">
            <a:extLst>
              <a:ext uri="{FF2B5EF4-FFF2-40B4-BE49-F238E27FC236}">
                <a16:creationId xmlns:a16="http://schemas.microsoft.com/office/drawing/2014/main" id="{267226FB-39A7-4B0C-828C-B9591AC1900A}"/>
              </a:ext>
            </a:extLst>
          </xdr:cNvPr>
          <xdr:cNvCxnSpPr/>
        </xdr:nvCxnSpPr>
        <xdr:spPr>
          <a:xfrm>
            <a:off x="4695822" y="2711291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Straight Connector 445">
            <a:extLst>
              <a:ext uri="{FF2B5EF4-FFF2-40B4-BE49-F238E27FC236}">
                <a16:creationId xmlns:a16="http://schemas.microsoft.com/office/drawing/2014/main" id="{1164077A-8D51-4792-8E15-4E2A0B5F972B}"/>
              </a:ext>
            </a:extLst>
          </xdr:cNvPr>
          <xdr:cNvCxnSpPr/>
        </xdr:nvCxnSpPr>
        <xdr:spPr>
          <a:xfrm flipH="1" flipV="1">
            <a:off x="4610097" y="27003375"/>
            <a:ext cx="85725" cy="1571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Straight Arrow Connector 447">
            <a:extLst>
              <a:ext uri="{FF2B5EF4-FFF2-40B4-BE49-F238E27FC236}">
                <a16:creationId xmlns:a16="http://schemas.microsoft.com/office/drawing/2014/main" id="{5C736909-5BC7-4D0F-9BCA-35D7CAB4E977}"/>
              </a:ext>
            </a:extLst>
          </xdr:cNvPr>
          <xdr:cNvCxnSpPr/>
        </xdr:nvCxnSpPr>
        <xdr:spPr>
          <a:xfrm>
            <a:off x="5505449" y="27108149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Straight Arrow Connector 448">
            <a:extLst>
              <a:ext uri="{FF2B5EF4-FFF2-40B4-BE49-F238E27FC236}">
                <a16:creationId xmlns:a16="http://schemas.microsoft.com/office/drawing/2014/main" id="{DCCE4106-F0A4-4BC9-BBD9-E8328F9DDA07}"/>
              </a:ext>
            </a:extLst>
          </xdr:cNvPr>
          <xdr:cNvCxnSpPr/>
        </xdr:nvCxnSpPr>
        <xdr:spPr>
          <a:xfrm>
            <a:off x="6153149" y="27108149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Arrow Connector 449">
            <a:extLst>
              <a:ext uri="{FF2B5EF4-FFF2-40B4-BE49-F238E27FC236}">
                <a16:creationId xmlns:a16="http://schemas.microsoft.com/office/drawing/2014/main" id="{18CF6E9B-34B3-4040-B137-47A56FE47195}"/>
              </a:ext>
            </a:extLst>
          </xdr:cNvPr>
          <xdr:cNvCxnSpPr/>
        </xdr:nvCxnSpPr>
        <xdr:spPr>
          <a:xfrm>
            <a:off x="6315074" y="27112913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Straight Arrow Connector 523">
            <a:extLst>
              <a:ext uri="{FF2B5EF4-FFF2-40B4-BE49-F238E27FC236}">
                <a16:creationId xmlns:a16="http://schemas.microsoft.com/office/drawing/2014/main" id="{EFD8F423-5B27-4E8C-BEAA-0E9E64571339}"/>
              </a:ext>
            </a:extLst>
          </xdr:cNvPr>
          <xdr:cNvCxnSpPr/>
        </xdr:nvCxnSpPr>
        <xdr:spPr>
          <a:xfrm>
            <a:off x="3886195" y="271081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Straight Arrow Connector 524">
            <a:extLst>
              <a:ext uri="{FF2B5EF4-FFF2-40B4-BE49-F238E27FC236}">
                <a16:creationId xmlns:a16="http://schemas.microsoft.com/office/drawing/2014/main" id="{23530DF0-8D46-4238-B059-371C22530D40}"/>
              </a:ext>
            </a:extLst>
          </xdr:cNvPr>
          <xdr:cNvCxnSpPr/>
        </xdr:nvCxnSpPr>
        <xdr:spPr>
          <a:xfrm>
            <a:off x="4048120" y="271081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Straight Arrow Connector 525">
            <a:extLst>
              <a:ext uri="{FF2B5EF4-FFF2-40B4-BE49-F238E27FC236}">
                <a16:creationId xmlns:a16="http://schemas.microsoft.com/office/drawing/2014/main" id="{9E1415D0-7B94-4656-B6C8-8726F54252CE}"/>
              </a:ext>
            </a:extLst>
          </xdr:cNvPr>
          <xdr:cNvCxnSpPr/>
        </xdr:nvCxnSpPr>
        <xdr:spPr>
          <a:xfrm>
            <a:off x="4210045" y="2711291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7" name="Straight Arrow Connector 526">
            <a:extLst>
              <a:ext uri="{FF2B5EF4-FFF2-40B4-BE49-F238E27FC236}">
                <a16:creationId xmlns:a16="http://schemas.microsoft.com/office/drawing/2014/main" id="{BF5E6924-BF7B-418C-A6BD-D89DC0106F24}"/>
              </a:ext>
            </a:extLst>
          </xdr:cNvPr>
          <xdr:cNvCxnSpPr/>
        </xdr:nvCxnSpPr>
        <xdr:spPr>
          <a:xfrm>
            <a:off x="4857745" y="271081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8" name="Straight Arrow Connector 527">
            <a:extLst>
              <a:ext uri="{FF2B5EF4-FFF2-40B4-BE49-F238E27FC236}">
                <a16:creationId xmlns:a16="http://schemas.microsoft.com/office/drawing/2014/main" id="{72239619-48FA-4F97-93D0-6100615665AE}"/>
              </a:ext>
            </a:extLst>
          </xdr:cNvPr>
          <xdr:cNvCxnSpPr/>
        </xdr:nvCxnSpPr>
        <xdr:spPr>
          <a:xfrm>
            <a:off x="5019670" y="271081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Straight Arrow Connector 528">
            <a:extLst>
              <a:ext uri="{FF2B5EF4-FFF2-40B4-BE49-F238E27FC236}">
                <a16:creationId xmlns:a16="http://schemas.microsoft.com/office/drawing/2014/main" id="{C7349763-EEBE-4D7A-82C4-5415F43889A5}"/>
              </a:ext>
            </a:extLst>
          </xdr:cNvPr>
          <xdr:cNvCxnSpPr/>
        </xdr:nvCxnSpPr>
        <xdr:spPr>
          <a:xfrm>
            <a:off x="5181595" y="2711291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Straight Arrow Connector 529">
            <a:extLst>
              <a:ext uri="{FF2B5EF4-FFF2-40B4-BE49-F238E27FC236}">
                <a16:creationId xmlns:a16="http://schemas.microsoft.com/office/drawing/2014/main" id="{E12F12A0-49AE-4A5E-8779-20896957EF03}"/>
              </a:ext>
            </a:extLst>
          </xdr:cNvPr>
          <xdr:cNvCxnSpPr/>
        </xdr:nvCxnSpPr>
        <xdr:spPr>
          <a:xfrm>
            <a:off x="5667369" y="271081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1" name="Straight Arrow Connector 530">
            <a:extLst>
              <a:ext uri="{FF2B5EF4-FFF2-40B4-BE49-F238E27FC236}">
                <a16:creationId xmlns:a16="http://schemas.microsoft.com/office/drawing/2014/main" id="{3825CFBF-09C0-47CC-98F5-3F302C593D36}"/>
              </a:ext>
            </a:extLst>
          </xdr:cNvPr>
          <xdr:cNvCxnSpPr/>
        </xdr:nvCxnSpPr>
        <xdr:spPr>
          <a:xfrm>
            <a:off x="5829294" y="271081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Straight Arrow Connector 531">
            <a:extLst>
              <a:ext uri="{FF2B5EF4-FFF2-40B4-BE49-F238E27FC236}">
                <a16:creationId xmlns:a16="http://schemas.microsoft.com/office/drawing/2014/main" id="{42D2AEC2-C2CB-4919-A162-F1E04126A57F}"/>
              </a:ext>
            </a:extLst>
          </xdr:cNvPr>
          <xdr:cNvCxnSpPr/>
        </xdr:nvCxnSpPr>
        <xdr:spPr>
          <a:xfrm>
            <a:off x="5991219" y="2711291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80962</xdr:colOff>
      <xdr:row>176</xdr:row>
      <xdr:rowOff>138113</xdr:rowOff>
    </xdr:from>
    <xdr:to>
      <xdr:col>41</xdr:col>
      <xdr:colOff>76559</xdr:colOff>
      <xdr:row>187</xdr:row>
      <xdr:rowOff>76200</xdr:rowOff>
    </xdr:to>
    <xdr:grpSp>
      <xdr:nvGrpSpPr>
        <xdr:cNvPr id="465" name="Group 464">
          <a:extLst>
            <a:ext uri="{FF2B5EF4-FFF2-40B4-BE49-F238E27FC236}">
              <a16:creationId xmlns:a16="http://schemas.microsoft.com/office/drawing/2014/main" id="{5C0BBCD3-8ACD-D379-D7EA-C2BE4E13781C}"/>
            </a:ext>
          </a:extLst>
        </xdr:cNvPr>
        <xdr:cNvGrpSpPr/>
      </xdr:nvGrpSpPr>
      <xdr:grpSpPr>
        <a:xfrm>
          <a:off x="3319462" y="27217688"/>
          <a:ext cx="3396022" cy="1509712"/>
          <a:chOff x="3319462" y="20550188"/>
          <a:chExt cx="3396022" cy="1509712"/>
        </a:xfrm>
      </xdr:grpSpPr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BBDC653C-3BDC-44A1-A6B5-A9CEF3A0FE8A}"/>
              </a:ext>
            </a:extLst>
          </xdr:cNvPr>
          <xdr:cNvCxnSpPr/>
        </xdr:nvCxnSpPr>
        <xdr:spPr>
          <a:xfrm>
            <a:off x="3395663" y="20983575"/>
            <a:ext cx="324802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Arrow Connector 135">
            <a:extLst>
              <a:ext uri="{FF2B5EF4-FFF2-40B4-BE49-F238E27FC236}">
                <a16:creationId xmlns:a16="http://schemas.microsoft.com/office/drawing/2014/main" id="{595D9678-5E8A-4F35-92DE-6074AAB6CD6D}"/>
              </a:ext>
            </a:extLst>
          </xdr:cNvPr>
          <xdr:cNvCxnSpPr/>
        </xdr:nvCxnSpPr>
        <xdr:spPr>
          <a:xfrm>
            <a:off x="4210051" y="20550188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7" name="Isosceles Triangle 136">
            <a:extLst>
              <a:ext uri="{FF2B5EF4-FFF2-40B4-BE49-F238E27FC236}">
                <a16:creationId xmlns:a16="http://schemas.microsoft.com/office/drawing/2014/main" id="{04564AEF-F98B-4BC6-AC0F-843CA89AD544}"/>
              </a:ext>
            </a:extLst>
          </xdr:cNvPr>
          <xdr:cNvSpPr/>
        </xdr:nvSpPr>
        <xdr:spPr>
          <a:xfrm>
            <a:off x="3328607" y="20997864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8" name="Isosceles Triangle 137">
            <a:extLst>
              <a:ext uri="{FF2B5EF4-FFF2-40B4-BE49-F238E27FC236}">
                <a16:creationId xmlns:a16="http://schemas.microsoft.com/office/drawing/2014/main" id="{3CE20142-620C-4112-91F1-3AB136D77CC3}"/>
              </a:ext>
            </a:extLst>
          </xdr:cNvPr>
          <xdr:cNvSpPr/>
        </xdr:nvSpPr>
        <xdr:spPr>
          <a:xfrm>
            <a:off x="6571848" y="20993102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9" name="Straight Arrow Connector 138">
            <a:extLst>
              <a:ext uri="{FF2B5EF4-FFF2-40B4-BE49-F238E27FC236}">
                <a16:creationId xmlns:a16="http://schemas.microsoft.com/office/drawing/2014/main" id="{05849F8D-18B4-481F-8C47-2377957243E6}"/>
              </a:ext>
            </a:extLst>
          </xdr:cNvPr>
          <xdr:cNvCxnSpPr/>
        </xdr:nvCxnSpPr>
        <xdr:spPr>
          <a:xfrm>
            <a:off x="5019676" y="20550188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Arrow Connector 139">
            <a:extLst>
              <a:ext uri="{FF2B5EF4-FFF2-40B4-BE49-F238E27FC236}">
                <a16:creationId xmlns:a16="http://schemas.microsoft.com/office/drawing/2014/main" id="{57DF2CC5-888C-4735-A37F-D73D6C342790}"/>
              </a:ext>
            </a:extLst>
          </xdr:cNvPr>
          <xdr:cNvCxnSpPr/>
        </xdr:nvCxnSpPr>
        <xdr:spPr>
          <a:xfrm>
            <a:off x="5829301" y="20550188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CF2EA0A3-35DB-4EF6-A5CE-2EF4298DF607}"/>
              </a:ext>
            </a:extLst>
          </xdr:cNvPr>
          <xdr:cNvCxnSpPr/>
        </xdr:nvCxnSpPr>
        <xdr:spPr>
          <a:xfrm>
            <a:off x="3400425" y="21569363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Arrow Connector 142">
            <a:extLst>
              <a:ext uri="{FF2B5EF4-FFF2-40B4-BE49-F238E27FC236}">
                <a16:creationId xmlns:a16="http://schemas.microsoft.com/office/drawing/2014/main" id="{CBF3DDF6-B832-476E-B28B-415E599DF77F}"/>
              </a:ext>
            </a:extLst>
          </xdr:cNvPr>
          <xdr:cNvCxnSpPr/>
        </xdr:nvCxnSpPr>
        <xdr:spPr>
          <a:xfrm flipV="1">
            <a:off x="3400425" y="21126450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FF0923AD-1866-4153-8D5D-D24D6E8D149E}"/>
              </a:ext>
            </a:extLst>
          </xdr:cNvPr>
          <xdr:cNvCxnSpPr/>
        </xdr:nvCxnSpPr>
        <xdr:spPr>
          <a:xfrm>
            <a:off x="3319463" y="21697950"/>
            <a:ext cx="3376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F06C71A7-AE73-426C-A76F-67833B91B5AB}"/>
              </a:ext>
            </a:extLst>
          </xdr:cNvPr>
          <xdr:cNvCxnSpPr/>
        </xdr:nvCxnSpPr>
        <xdr:spPr>
          <a:xfrm flipH="1">
            <a:off x="3362320" y="216646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95F9223D-FDE5-4F43-9B67-ACAE90D8982A}"/>
              </a:ext>
            </a:extLst>
          </xdr:cNvPr>
          <xdr:cNvCxnSpPr/>
        </xdr:nvCxnSpPr>
        <xdr:spPr>
          <a:xfrm>
            <a:off x="3319462" y="21983700"/>
            <a:ext cx="33718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433805A0-5A68-4206-9A6D-917657E19374}"/>
              </a:ext>
            </a:extLst>
          </xdr:cNvPr>
          <xdr:cNvCxnSpPr/>
        </xdr:nvCxnSpPr>
        <xdr:spPr>
          <a:xfrm flipH="1">
            <a:off x="3362324" y="219503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90621615-7C6F-4F56-ADCF-52E1DE5927D2}"/>
              </a:ext>
            </a:extLst>
          </xdr:cNvPr>
          <xdr:cNvCxnSpPr/>
        </xdr:nvCxnSpPr>
        <xdr:spPr>
          <a:xfrm>
            <a:off x="6638914" y="21569363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Arrow Connector 148">
            <a:extLst>
              <a:ext uri="{FF2B5EF4-FFF2-40B4-BE49-F238E27FC236}">
                <a16:creationId xmlns:a16="http://schemas.microsoft.com/office/drawing/2014/main" id="{B23B9A44-A036-400A-A723-4858DC2EC9A4}"/>
              </a:ext>
            </a:extLst>
          </xdr:cNvPr>
          <xdr:cNvCxnSpPr/>
        </xdr:nvCxnSpPr>
        <xdr:spPr>
          <a:xfrm flipV="1">
            <a:off x="6638905" y="21126450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>
            <a:extLst>
              <a:ext uri="{FF2B5EF4-FFF2-40B4-BE49-F238E27FC236}">
                <a16:creationId xmlns:a16="http://schemas.microsoft.com/office/drawing/2014/main" id="{642C1845-8989-4AAE-9262-3AD086FD1517}"/>
              </a:ext>
            </a:extLst>
          </xdr:cNvPr>
          <xdr:cNvCxnSpPr/>
        </xdr:nvCxnSpPr>
        <xdr:spPr>
          <a:xfrm flipH="1">
            <a:off x="6600814" y="216646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EE249D2E-6483-4338-A456-E5831EE23709}"/>
              </a:ext>
            </a:extLst>
          </xdr:cNvPr>
          <xdr:cNvCxnSpPr/>
        </xdr:nvCxnSpPr>
        <xdr:spPr>
          <a:xfrm flipH="1">
            <a:off x="6600813" y="219503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:a16="http://schemas.microsoft.com/office/drawing/2014/main" id="{FA65B3F7-76FE-4A07-88BC-6C043934DBC8}"/>
              </a:ext>
            </a:extLst>
          </xdr:cNvPr>
          <xdr:cNvCxnSpPr/>
        </xdr:nvCxnSpPr>
        <xdr:spPr>
          <a:xfrm>
            <a:off x="4210052" y="2128361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09EC4E0B-B827-4DFB-81DF-18FA3C4092AF}"/>
              </a:ext>
            </a:extLst>
          </xdr:cNvPr>
          <xdr:cNvCxnSpPr/>
        </xdr:nvCxnSpPr>
        <xdr:spPr>
          <a:xfrm flipH="1">
            <a:off x="4171948" y="2166461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279F5984-805F-4BFF-8C72-E23224A9ECF1}"/>
              </a:ext>
            </a:extLst>
          </xdr:cNvPr>
          <xdr:cNvCxnSpPr/>
        </xdr:nvCxnSpPr>
        <xdr:spPr>
          <a:xfrm>
            <a:off x="5019677" y="2128361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ECB06A76-2E8F-4886-B20E-DC8C8A8552AD}"/>
              </a:ext>
            </a:extLst>
          </xdr:cNvPr>
          <xdr:cNvCxnSpPr/>
        </xdr:nvCxnSpPr>
        <xdr:spPr>
          <a:xfrm flipH="1">
            <a:off x="4981573" y="2166461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>
            <a:extLst>
              <a:ext uri="{FF2B5EF4-FFF2-40B4-BE49-F238E27FC236}">
                <a16:creationId xmlns:a16="http://schemas.microsoft.com/office/drawing/2014/main" id="{6837C5B5-158F-4D2E-A41D-9AB9AA0FE416}"/>
              </a:ext>
            </a:extLst>
          </xdr:cNvPr>
          <xdr:cNvCxnSpPr/>
        </xdr:nvCxnSpPr>
        <xdr:spPr>
          <a:xfrm>
            <a:off x="5829302" y="2128361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>
            <a:extLst>
              <a:ext uri="{FF2B5EF4-FFF2-40B4-BE49-F238E27FC236}">
                <a16:creationId xmlns:a16="http://schemas.microsoft.com/office/drawing/2014/main" id="{32A45E60-DAC4-41AB-BC6B-67F09761BD81}"/>
              </a:ext>
            </a:extLst>
          </xdr:cNvPr>
          <xdr:cNvCxnSpPr/>
        </xdr:nvCxnSpPr>
        <xdr:spPr>
          <a:xfrm flipH="1">
            <a:off x="5791194" y="2166461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Arrow Connector 159">
            <a:extLst>
              <a:ext uri="{FF2B5EF4-FFF2-40B4-BE49-F238E27FC236}">
                <a16:creationId xmlns:a16="http://schemas.microsoft.com/office/drawing/2014/main" id="{86905B67-CAED-4A8B-9056-1B0BA5010E52}"/>
              </a:ext>
            </a:extLst>
          </xdr:cNvPr>
          <xdr:cNvCxnSpPr/>
        </xdr:nvCxnSpPr>
        <xdr:spPr>
          <a:xfrm>
            <a:off x="3409951" y="21269326"/>
            <a:ext cx="55244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Straight Arrow Connector 450">
            <a:extLst>
              <a:ext uri="{FF2B5EF4-FFF2-40B4-BE49-F238E27FC236}">
                <a16:creationId xmlns:a16="http://schemas.microsoft.com/office/drawing/2014/main" id="{530858C9-A5FF-4D58-91F8-9FFB33B39A7E}"/>
              </a:ext>
            </a:extLst>
          </xdr:cNvPr>
          <xdr:cNvCxnSpPr/>
        </xdr:nvCxnSpPr>
        <xdr:spPr>
          <a:xfrm>
            <a:off x="3400426" y="2076926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Connector 451">
            <a:extLst>
              <a:ext uri="{FF2B5EF4-FFF2-40B4-BE49-F238E27FC236}">
                <a16:creationId xmlns:a16="http://schemas.microsoft.com/office/drawing/2014/main" id="{679DFA5C-5B91-4A52-9395-50B4E065BC1C}"/>
              </a:ext>
            </a:extLst>
          </xdr:cNvPr>
          <xdr:cNvCxnSpPr/>
        </xdr:nvCxnSpPr>
        <xdr:spPr>
          <a:xfrm>
            <a:off x="3400426" y="20769262"/>
            <a:ext cx="32337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Arrow Connector 452">
            <a:extLst>
              <a:ext uri="{FF2B5EF4-FFF2-40B4-BE49-F238E27FC236}">
                <a16:creationId xmlns:a16="http://schemas.microsoft.com/office/drawing/2014/main" id="{8817527F-19E7-4773-B2D7-3C944026048C}"/>
              </a:ext>
            </a:extLst>
          </xdr:cNvPr>
          <xdr:cNvCxnSpPr/>
        </xdr:nvCxnSpPr>
        <xdr:spPr>
          <a:xfrm>
            <a:off x="3562351" y="2076926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Arrow Connector 453">
            <a:extLst>
              <a:ext uri="{FF2B5EF4-FFF2-40B4-BE49-F238E27FC236}">
                <a16:creationId xmlns:a16="http://schemas.microsoft.com/office/drawing/2014/main" id="{264C2882-0B9B-48BF-BBDF-4DCA4360DEDB}"/>
              </a:ext>
            </a:extLst>
          </xdr:cNvPr>
          <xdr:cNvCxnSpPr/>
        </xdr:nvCxnSpPr>
        <xdr:spPr>
          <a:xfrm>
            <a:off x="4048126" y="2077402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Arrow Connector 454">
            <a:extLst>
              <a:ext uri="{FF2B5EF4-FFF2-40B4-BE49-F238E27FC236}">
                <a16:creationId xmlns:a16="http://schemas.microsoft.com/office/drawing/2014/main" id="{B53C3DD5-E226-4B08-87E4-CEEE42A748EE}"/>
              </a:ext>
            </a:extLst>
          </xdr:cNvPr>
          <xdr:cNvCxnSpPr/>
        </xdr:nvCxnSpPr>
        <xdr:spPr>
          <a:xfrm>
            <a:off x="4371977" y="2076926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Arrow Connector 455">
            <a:extLst>
              <a:ext uri="{FF2B5EF4-FFF2-40B4-BE49-F238E27FC236}">
                <a16:creationId xmlns:a16="http://schemas.microsoft.com/office/drawing/2014/main" id="{2E5E6CAE-5AB3-4AE0-8CC1-55C7BA57628C}"/>
              </a:ext>
            </a:extLst>
          </xdr:cNvPr>
          <xdr:cNvCxnSpPr/>
        </xdr:nvCxnSpPr>
        <xdr:spPr>
          <a:xfrm>
            <a:off x="4857752" y="2077402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Arrow Connector 457">
            <a:extLst>
              <a:ext uri="{FF2B5EF4-FFF2-40B4-BE49-F238E27FC236}">
                <a16:creationId xmlns:a16="http://schemas.microsoft.com/office/drawing/2014/main" id="{2122817D-3FC6-4FC4-B867-4E69609456BE}"/>
              </a:ext>
            </a:extLst>
          </xdr:cNvPr>
          <xdr:cNvCxnSpPr/>
        </xdr:nvCxnSpPr>
        <xdr:spPr>
          <a:xfrm>
            <a:off x="5181604" y="2076926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Arrow Connector 458">
            <a:extLst>
              <a:ext uri="{FF2B5EF4-FFF2-40B4-BE49-F238E27FC236}">
                <a16:creationId xmlns:a16="http://schemas.microsoft.com/office/drawing/2014/main" id="{8DF08A80-B155-4863-9803-C4537F53A93E}"/>
              </a:ext>
            </a:extLst>
          </xdr:cNvPr>
          <xdr:cNvCxnSpPr/>
        </xdr:nvCxnSpPr>
        <xdr:spPr>
          <a:xfrm>
            <a:off x="5667379" y="2076926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Arrow Connector 459">
            <a:extLst>
              <a:ext uri="{FF2B5EF4-FFF2-40B4-BE49-F238E27FC236}">
                <a16:creationId xmlns:a16="http://schemas.microsoft.com/office/drawing/2014/main" id="{19A59B7A-AA7D-4F56-ABC3-C94E1CC938ED}"/>
              </a:ext>
            </a:extLst>
          </xdr:cNvPr>
          <xdr:cNvCxnSpPr/>
        </xdr:nvCxnSpPr>
        <xdr:spPr>
          <a:xfrm>
            <a:off x="6315085" y="2077402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Straight Arrow Connector 460">
            <a:extLst>
              <a:ext uri="{FF2B5EF4-FFF2-40B4-BE49-F238E27FC236}">
                <a16:creationId xmlns:a16="http://schemas.microsoft.com/office/drawing/2014/main" id="{782DD253-FB8A-4208-8F6F-6F227C9B93B7}"/>
              </a:ext>
            </a:extLst>
          </xdr:cNvPr>
          <xdr:cNvCxnSpPr/>
        </xdr:nvCxnSpPr>
        <xdr:spPr>
          <a:xfrm>
            <a:off x="6477011" y="2077402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Straight Arrow Connector 461">
            <a:extLst>
              <a:ext uri="{FF2B5EF4-FFF2-40B4-BE49-F238E27FC236}">
                <a16:creationId xmlns:a16="http://schemas.microsoft.com/office/drawing/2014/main" id="{CA13247D-BDDB-4BFF-B112-EC4C5FDA8CEC}"/>
              </a:ext>
            </a:extLst>
          </xdr:cNvPr>
          <xdr:cNvCxnSpPr/>
        </xdr:nvCxnSpPr>
        <xdr:spPr>
          <a:xfrm>
            <a:off x="6638937" y="2076925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Connector 463">
            <a:extLst>
              <a:ext uri="{FF2B5EF4-FFF2-40B4-BE49-F238E27FC236}">
                <a16:creationId xmlns:a16="http://schemas.microsoft.com/office/drawing/2014/main" id="{13527A9C-9124-4E73-B039-CC18EE4EB85F}"/>
              </a:ext>
            </a:extLst>
          </xdr:cNvPr>
          <xdr:cNvCxnSpPr/>
        </xdr:nvCxnSpPr>
        <xdr:spPr>
          <a:xfrm flipH="1" flipV="1">
            <a:off x="5257800" y="20669250"/>
            <a:ext cx="85725" cy="1571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8" name="Straight Arrow Connector 537">
            <a:extLst>
              <a:ext uri="{FF2B5EF4-FFF2-40B4-BE49-F238E27FC236}">
                <a16:creationId xmlns:a16="http://schemas.microsoft.com/office/drawing/2014/main" id="{8F3E9F02-CE6B-4606-B5C4-63F1C1EA05C7}"/>
              </a:ext>
            </a:extLst>
          </xdr:cNvPr>
          <xdr:cNvCxnSpPr/>
        </xdr:nvCxnSpPr>
        <xdr:spPr>
          <a:xfrm>
            <a:off x="3724276" y="2076926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" name="Straight Arrow Connector 538">
            <a:extLst>
              <a:ext uri="{FF2B5EF4-FFF2-40B4-BE49-F238E27FC236}">
                <a16:creationId xmlns:a16="http://schemas.microsoft.com/office/drawing/2014/main" id="{0ABD7A9A-97B0-4A19-8685-6866E682F7E9}"/>
              </a:ext>
            </a:extLst>
          </xdr:cNvPr>
          <xdr:cNvCxnSpPr/>
        </xdr:nvCxnSpPr>
        <xdr:spPr>
          <a:xfrm>
            <a:off x="3886201" y="2076926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0" name="Straight Arrow Connector 539">
            <a:extLst>
              <a:ext uri="{FF2B5EF4-FFF2-40B4-BE49-F238E27FC236}">
                <a16:creationId xmlns:a16="http://schemas.microsoft.com/office/drawing/2014/main" id="{C36F96DA-CFF7-40C5-8341-F81DD6E86DFE}"/>
              </a:ext>
            </a:extLst>
          </xdr:cNvPr>
          <xdr:cNvCxnSpPr/>
        </xdr:nvCxnSpPr>
        <xdr:spPr>
          <a:xfrm>
            <a:off x="4533901" y="2077402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Straight Arrow Connector 540">
            <a:extLst>
              <a:ext uri="{FF2B5EF4-FFF2-40B4-BE49-F238E27FC236}">
                <a16:creationId xmlns:a16="http://schemas.microsoft.com/office/drawing/2014/main" id="{ABB3ECFE-FD9B-4315-9B86-B12AA35FBF4E}"/>
              </a:ext>
            </a:extLst>
          </xdr:cNvPr>
          <xdr:cNvCxnSpPr/>
        </xdr:nvCxnSpPr>
        <xdr:spPr>
          <a:xfrm>
            <a:off x="4695826" y="2077402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2" name="Straight Arrow Connector 541">
            <a:extLst>
              <a:ext uri="{FF2B5EF4-FFF2-40B4-BE49-F238E27FC236}">
                <a16:creationId xmlns:a16="http://schemas.microsoft.com/office/drawing/2014/main" id="{98B7D92A-4A67-49CD-82A5-B865E359FD91}"/>
              </a:ext>
            </a:extLst>
          </xdr:cNvPr>
          <xdr:cNvCxnSpPr/>
        </xdr:nvCxnSpPr>
        <xdr:spPr>
          <a:xfrm>
            <a:off x="5343526" y="2076926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3" name="Straight Arrow Connector 542">
            <a:extLst>
              <a:ext uri="{FF2B5EF4-FFF2-40B4-BE49-F238E27FC236}">
                <a16:creationId xmlns:a16="http://schemas.microsoft.com/office/drawing/2014/main" id="{0B495F34-A948-4C53-BE7C-DA4087510FF2}"/>
              </a:ext>
            </a:extLst>
          </xdr:cNvPr>
          <xdr:cNvCxnSpPr/>
        </xdr:nvCxnSpPr>
        <xdr:spPr>
          <a:xfrm>
            <a:off x="5505451" y="2076926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Straight Arrow Connector 543">
            <a:extLst>
              <a:ext uri="{FF2B5EF4-FFF2-40B4-BE49-F238E27FC236}">
                <a16:creationId xmlns:a16="http://schemas.microsoft.com/office/drawing/2014/main" id="{B2663646-602D-45DD-932A-F487000EE931}"/>
              </a:ext>
            </a:extLst>
          </xdr:cNvPr>
          <xdr:cNvCxnSpPr/>
        </xdr:nvCxnSpPr>
        <xdr:spPr>
          <a:xfrm>
            <a:off x="5991226" y="2076926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Arrow Connector 544">
            <a:extLst>
              <a:ext uri="{FF2B5EF4-FFF2-40B4-BE49-F238E27FC236}">
                <a16:creationId xmlns:a16="http://schemas.microsoft.com/office/drawing/2014/main" id="{28DE4884-DD4C-4925-A75B-74D32EADEF4D}"/>
              </a:ext>
            </a:extLst>
          </xdr:cNvPr>
          <xdr:cNvCxnSpPr/>
        </xdr:nvCxnSpPr>
        <xdr:spPr>
          <a:xfrm>
            <a:off x="6153151" y="2076926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80962</xdr:colOff>
      <xdr:row>119</xdr:row>
      <xdr:rowOff>138113</xdr:rowOff>
    </xdr:from>
    <xdr:to>
      <xdr:col>46</xdr:col>
      <xdr:colOff>76570</xdr:colOff>
      <xdr:row>130</xdr:row>
      <xdr:rowOff>76200</xdr:rowOff>
    </xdr:to>
    <xdr:grpSp>
      <xdr:nvGrpSpPr>
        <xdr:cNvPr id="463" name="Group 462">
          <a:extLst>
            <a:ext uri="{FF2B5EF4-FFF2-40B4-BE49-F238E27FC236}">
              <a16:creationId xmlns:a16="http://schemas.microsoft.com/office/drawing/2014/main" id="{63AEBE6C-888E-AD1F-95E3-17395F56467B}"/>
            </a:ext>
          </a:extLst>
        </xdr:cNvPr>
        <xdr:cNvGrpSpPr/>
      </xdr:nvGrpSpPr>
      <xdr:grpSpPr>
        <a:xfrm>
          <a:off x="3319462" y="18588038"/>
          <a:ext cx="4205658" cy="1509712"/>
          <a:chOff x="3319462" y="14120813"/>
          <a:chExt cx="4205658" cy="1509712"/>
        </a:xfrm>
      </xdr:grpSpPr>
      <xdr:cxnSp macro="">
        <xdr:nvCxnSpPr>
          <xdr:cNvPr id="2" name="Straight Connector 1">
            <a:extLst>
              <a:ext uri="{FF2B5EF4-FFF2-40B4-BE49-F238E27FC236}">
                <a16:creationId xmlns:a16="http://schemas.microsoft.com/office/drawing/2014/main" id="{F384E5B7-18D1-4B00-8E26-60322CCF9779}"/>
              </a:ext>
            </a:extLst>
          </xdr:cNvPr>
          <xdr:cNvCxnSpPr/>
        </xdr:nvCxnSpPr>
        <xdr:spPr>
          <a:xfrm>
            <a:off x="3395663" y="14554200"/>
            <a:ext cx="4062412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Arrow Connector 65">
            <a:extLst>
              <a:ext uri="{FF2B5EF4-FFF2-40B4-BE49-F238E27FC236}">
                <a16:creationId xmlns:a16="http://schemas.microsoft.com/office/drawing/2014/main" id="{F5DAF72B-285B-4BE7-AC76-D516705EC452}"/>
              </a:ext>
            </a:extLst>
          </xdr:cNvPr>
          <xdr:cNvCxnSpPr/>
        </xdr:nvCxnSpPr>
        <xdr:spPr>
          <a:xfrm>
            <a:off x="4210051" y="1412081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" name="Isosceles Triangle 67">
            <a:extLst>
              <a:ext uri="{FF2B5EF4-FFF2-40B4-BE49-F238E27FC236}">
                <a16:creationId xmlns:a16="http://schemas.microsoft.com/office/drawing/2014/main" id="{284789EC-C590-4CE2-8AD4-9C3D6BDDC9F9}"/>
              </a:ext>
            </a:extLst>
          </xdr:cNvPr>
          <xdr:cNvSpPr/>
        </xdr:nvSpPr>
        <xdr:spPr>
          <a:xfrm>
            <a:off x="3328607" y="14568489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0" name="Isosceles Triangle 69">
            <a:extLst>
              <a:ext uri="{FF2B5EF4-FFF2-40B4-BE49-F238E27FC236}">
                <a16:creationId xmlns:a16="http://schemas.microsoft.com/office/drawing/2014/main" id="{E505CECF-AD58-4BC9-A2A3-0474078161FF}"/>
              </a:ext>
            </a:extLst>
          </xdr:cNvPr>
          <xdr:cNvSpPr/>
        </xdr:nvSpPr>
        <xdr:spPr>
          <a:xfrm>
            <a:off x="7381484" y="14563727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1" name="Straight Arrow Connector 70">
            <a:extLst>
              <a:ext uri="{FF2B5EF4-FFF2-40B4-BE49-F238E27FC236}">
                <a16:creationId xmlns:a16="http://schemas.microsoft.com/office/drawing/2014/main" id="{3BCDC8FD-6B38-400C-85C8-C8BE4C0945E4}"/>
              </a:ext>
            </a:extLst>
          </xdr:cNvPr>
          <xdr:cNvCxnSpPr/>
        </xdr:nvCxnSpPr>
        <xdr:spPr>
          <a:xfrm>
            <a:off x="5019676" y="1412081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Arrow Connector 71">
            <a:extLst>
              <a:ext uri="{FF2B5EF4-FFF2-40B4-BE49-F238E27FC236}">
                <a16:creationId xmlns:a16="http://schemas.microsoft.com/office/drawing/2014/main" id="{0BDC37E4-8B29-403F-809C-77FCFFEA913C}"/>
              </a:ext>
            </a:extLst>
          </xdr:cNvPr>
          <xdr:cNvCxnSpPr/>
        </xdr:nvCxnSpPr>
        <xdr:spPr>
          <a:xfrm>
            <a:off x="5829301" y="1412081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Arrow Connector 72">
            <a:extLst>
              <a:ext uri="{FF2B5EF4-FFF2-40B4-BE49-F238E27FC236}">
                <a16:creationId xmlns:a16="http://schemas.microsoft.com/office/drawing/2014/main" id="{278CEE25-AC60-4C36-870C-3A3F965300E6}"/>
              </a:ext>
            </a:extLst>
          </xdr:cNvPr>
          <xdr:cNvCxnSpPr/>
        </xdr:nvCxnSpPr>
        <xdr:spPr>
          <a:xfrm>
            <a:off x="6638926" y="1412081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1A8FCE12-42FD-4232-9F68-B0021F00FC78}"/>
              </a:ext>
            </a:extLst>
          </xdr:cNvPr>
          <xdr:cNvCxnSpPr/>
        </xdr:nvCxnSpPr>
        <xdr:spPr>
          <a:xfrm>
            <a:off x="3400425" y="151399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Arrow Connector 75">
            <a:extLst>
              <a:ext uri="{FF2B5EF4-FFF2-40B4-BE49-F238E27FC236}">
                <a16:creationId xmlns:a16="http://schemas.microsoft.com/office/drawing/2014/main" id="{A9EA4FBE-D0DB-4974-ABBF-36AFABDFA895}"/>
              </a:ext>
            </a:extLst>
          </xdr:cNvPr>
          <xdr:cNvCxnSpPr/>
        </xdr:nvCxnSpPr>
        <xdr:spPr>
          <a:xfrm flipV="1">
            <a:off x="3400425" y="1469707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9392FFF4-E12A-4731-BFFE-281BADDC51D9}"/>
              </a:ext>
            </a:extLst>
          </xdr:cNvPr>
          <xdr:cNvCxnSpPr/>
        </xdr:nvCxnSpPr>
        <xdr:spPr>
          <a:xfrm>
            <a:off x="3319463" y="15268575"/>
            <a:ext cx="419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9C10B704-DDAF-4800-A169-CAFE9EEDB347}"/>
              </a:ext>
            </a:extLst>
          </xdr:cNvPr>
          <xdr:cNvCxnSpPr/>
        </xdr:nvCxnSpPr>
        <xdr:spPr>
          <a:xfrm flipH="1">
            <a:off x="3362322" y="152352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E937B8D9-3A85-43D2-8D87-69B39F0881FB}"/>
              </a:ext>
            </a:extLst>
          </xdr:cNvPr>
          <xdr:cNvCxnSpPr/>
        </xdr:nvCxnSpPr>
        <xdr:spPr>
          <a:xfrm>
            <a:off x="3319462" y="15554325"/>
            <a:ext cx="41910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8503CCC8-77E1-46CF-A27E-ABAD3ED61AFD}"/>
              </a:ext>
            </a:extLst>
          </xdr:cNvPr>
          <xdr:cNvCxnSpPr/>
        </xdr:nvCxnSpPr>
        <xdr:spPr>
          <a:xfrm flipH="1">
            <a:off x="3362324" y="155209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EF56797F-2A8D-4C93-B5B4-71E758987122}"/>
              </a:ext>
            </a:extLst>
          </xdr:cNvPr>
          <xdr:cNvCxnSpPr/>
        </xdr:nvCxnSpPr>
        <xdr:spPr>
          <a:xfrm>
            <a:off x="7448550" y="151399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Arrow Connector 81">
            <a:extLst>
              <a:ext uri="{FF2B5EF4-FFF2-40B4-BE49-F238E27FC236}">
                <a16:creationId xmlns:a16="http://schemas.microsoft.com/office/drawing/2014/main" id="{FDF929A4-0360-4462-A3F5-29346107DD63}"/>
              </a:ext>
            </a:extLst>
          </xdr:cNvPr>
          <xdr:cNvCxnSpPr/>
        </xdr:nvCxnSpPr>
        <xdr:spPr>
          <a:xfrm flipV="1">
            <a:off x="7448541" y="1469707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6FDEC90B-82F4-4E9D-B74B-D41AA81FAD7A}"/>
              </a:ext>
            </a:extLst>
          </xdr:cNvPr>
          <xdr:cNvCxnSpPr/>
        </xdr:nvCxnSpPr>
        <xdr:spPr>
          <a:xfrm flipH="1">
            <a:off x="7410450" y="152352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9FC79D93-853E-4DDD-B1A6-F60BA3D09FE2}"/>
              </a:ext>
            </a:extLst>
          </xdr:cNvPr>
          <xdr:cNvCxnSpPr/>
        </xdr:nvCxnSpPr>
        <xdr:spPr>
          <a:xfrm flipH="1">
            <a:off x="7410449" y="155209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BA301CDD-38F6-4745-8FB2-FDC6863B785B}"/>
              </a:ext>
            </a:extLst>
          </xdr:cNvPr>
          <xdr:cNvCxnSpPr/>
        </xdr:nvCxnSpPr>
        <xdr:spPr>
          <a:xfrm>
            <a:off x="4210052" y="1485423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86550FBB-C4CC-4AAF-979E-8ECB60D67362}"/>
              </a:ext>
            </a:extLst>
          </xdr:cNvPr>
          <xdr:cNvCxnSpPr/>
        </xdr:nvCxnSpPr>
        <xdr:spPr>
          <a:xfrm flipH="1">
            <a:off x="4171942" y="1523523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E0C8107F-FF8E-4954-94C3-485B482538C8}"/>
              </a:ext>
            </a:extLst>
          </xdr:cNvPr>
          <xdr:cNvCxnSpPr/>
        </xdr:nvCxnSpPr>
        <xdr:spPr>
          <a:xfrm>
            <a:off x="5019677" y="1485423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75C6AC19-A654-421A-BD46-507B6FFEEA50}"/>
              </a:ext>
            </a:extLst>
          </xdr:cNvPr>
          <xdr:cNvCxnSpPr/>
        </xdr:nvCxnSpPr>
        <xdr:spPr>
          <a:xfrm flipH="1">
            <a:off x="4981575" y="1523523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217952D4-080A-4F2A-9A3F-9DFBCC947CD9}"/>
              </a:ext>
            </a:extLst>
          </xdr:cNvPr>
          <xdr:cNvCxnSpPr/>
        </xdr:nvCxnSpPr>
        <xdr:spPr>
          <a:xfrm>
            <a:off x="5829302" y="1485423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4C10EA19-3E4E-4BFA-8796-B8FD7C54E302}"/>
              </a:ext>
            </a:extLst>
          </xdr:cNvPr>
          <xdr:cNvCxnSpPr/>
        </xdr:nvCxnSpPr>
        <xdr:spPr>
          <a:xfrm flipH="1">
            <a:off x="5791196" y="1523523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1319666B-2884-4A02-AFFE-27E6A0487F35}"/>
              </a:ext>
            </a:extLst>
          </xdr:cNvPr>
          <xdr:cNvCxnSpPr/>
        </xdr:nvCxnSpPr>
        <xdr:spPr>
          <a:xfrm>
            <a:off x="6638927" y="1485423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828C39F4-AF0E-4CF6-8C57-77B8DC7BF71F}"/>
              </a:ext>
            </a:extLst>
          </xdr:cNvPr>
          <xdr:cNvCxnSpPr/>
        </xdr:nvCxnSpPr>
        <xdr:spPr>
          <a:xfrm flipH="1">
            <a:off x="6600821" y="1523523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Arrow Connector 94">
            <a:extLst>
              <a:ext uri="{FF2B5EF4-FFF2-40B4-BE49-F238E27FC236}">
                <a16:creationId xmlns:a16="http://schemas.microsoft.com/office/drawing/2014/main" id="{35D71EFA-D48C-4B3A-9046-229A74B68FFC}"/>
              </a:ext>
            </a:extLst>
          </xdr:cNvPr>
          <xdr:cNvCxnSpPr/>
        </xdr:nvCxnSpPr>
        <xdr:spPr>
          <a:xfrm>
            <a:off x="3409951" y="14839951"/>
            <a:ext cx="433387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Arrow Connector 465">
            <a:extLst>
              <a:ext uri="{FF2B5EF4-FFF2-40B4-BE49-F238E27FC236}">
                <a16:creationId xmlns:a16="http://schemas.microsoft.com/office/drawing/2014/main" id="{EDE08458-E31B-4560-9850-5300C28AB1A0}"/>
              </a:ext>
            </a:extLst>
          </xdr:cNvPr>
          <xdr:cNvCxnSpPr/>
        </xdr:nvCxnSpPr>
        <xdr:spPr>
          <a:xfrm>
            <a:off x="3400425" y="14339887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Straight Connector 466">
            <a:extLst>
              <a:ext uri="{FF2B5EF4-FFF2-40B4-BE49-F238E27FC236}">
                <a16:creationId xmlns:a16="http://schemas.microsoft.com/office/drawing/2014/main" id="{E8BAC4B5-51FF-4192-ADB0-58A172103D99}"/>
              </a:ext>
            </a:extLst>
          </xdr:cNvPr>
          <xdr:cNvCxnSpPr/>
        </xdr:nvCxnSpPr>
        <xdr:spPr>
          <a:xfrm>
            <a:off x="3400425" y="14339887"/>
            <a:ext cx="4052888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Arrow Connector 467">
            <a:extLst>
              <a:ext uri="{FF2B5EF4-FFF2-40B4-BE49-F238E27FC236}">
                <a16:creationId xmlns:a16="http://schemas.microsoft.com/office/drawing/2014/main" id="{242CCED2-3883-43B1-BB66-72BF48203717}"/>
              </a:ext>
            </a:extLst>
          </xdr:cNvPr>
          <xdr:cNvCxnSpPr/>
        </xdr:nvCxnSpPr>
        <xdr:spPr>
          <a:xfrm>
            <a:off x="3562350" y="14339887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Straight Arrow Connector 468">
            <a:extLst>
              <a:ext uri="{FF2B5EF4-FFF2-40B4-BE49-F238E27FC236}">
                <a16:creationId xmlns:a16="http://schemas.microsoft.com/office/drawing/2014/main" id="{0E3C93D4-D58F-4EB9-96F0-7B4868075C18}"/>
              </a:ext>
            </a:extLst>
          </xdr:cNvPr>
          <xdr:cNvCxnSpPr/>
        </xdr:nvCxnSpPr>
        <xdr:spPr>
          <a:xfrm>
            <a:off x="4048125" y="143446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Arrow Connector 469">
            <a:extLst>
              <a:ext uri="{FF2B5EF4-FFF2-40B4-BE49-F238E27FC236}">
                <a16:creationId xmlns:a16="http://schemas.microsoft.com/office/drawing/2014/main" id="{BD6DCF1E-22A0-4CCF-92F0-1D95D934D33E}"/>
              </a:ext>
            </a:extLst>
          </xdr:cNvPr>
          <xdr:cNvCxnSpPr/>
        </xdr:nvCxnSpPr>
        <xdr:spPr>
          <a:xfrm>
            <a:off x="4371976" y="14339887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" name="Straight Arrow Connector 470">
            <a:extLst>
              <a:ext uri="{FF2B5EF4-FFF2-40B4-BE49-F238E27FC236}">
                <a16:creationId xmlns:a16="http://schemas.microsoft.com/office/drawing/2014/main" id="{440D87CC-E704-4FCE-8AC2-980B2D2CD27D}"/>
              </a:ext>
            </a:extLst>
          </xdr:cNvPr>
          <xdr:cNvCxnSpPr/>
        </xdr:nvCxnSpPr>
        <xdr:spPr>
          <a:xfrm>
            <a:off x="4857751" y="143446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Straight Arrow Connector 471">
            <a:extLst>
              <a:ext uri="{FF2B5EF4-FFF2-40B4-BE49-F238E27FC236}">
                <a16:creationId xmlns:a16="http://schemas.microsoft.com/office/drawing/2014/main" id="{0A0D20D4-D749-4671-8ED9-E4AD567C7C67}"/>
              </a:ext>
            </a:extLst>
          </xdr:cNvPr>
          <xdr:cNvCxnSpPr/>
        </xdr:nvCxnSpPr>
        <xdr:spPr>
          <a:xfrm>
            <a:off x="5181603" y="1433988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Arrow Connector 472">
            <a:extLst>
              <a:ext uri="{FF2B5EF4-FFF2-40B4-BE49-F238E27FC236}">
                <a16:creationId xmlns:a16="http://schemas.microsoft.com/office/drawing/2014/main" id="{4E702956-485B-4A18-AA98-8B77E9C695B8}"/>
              </a:ext>
            </a:extLst>
          </xdr:cNvPr>
          <xdr:cNvCxnSpPr/>
        </xdr:nvCxnSpPr>
        <xdr:spPr>
          <a:xfrm>
            <a:off x="5667378" y="1433988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Arrow Connector 473">
            <a:extLst>
              <a:ext uri="{FF2B5EF4-FFF2-40B4-BE49-F238E27FC236}">
                <a16:creationId xmlns:a16="http://schemas.microsoft.com/office/drawing/2014/main" id="{4AAB645C-835D-4C01-A72F-C1F7D91B882D}"/>
              </a:ext>
            </a:extLst>
          </xdr:cNvPr>
          <xdr:cNvCxnSpPr/>
        </xdr:nvCxnSpPr>
        <xdr:spPr>
          <a:xfrm>
            <a:off x="5991234" y="143446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Straight Arrow Connector 474">
            <a:extLst>
              <a:ext uri="{FF2B5EF4-FFF2-40B4-BE49-F238E27FC236}">
                <a16:creationId xmlns:a16="http://schemas.microsoft.com/office/drawing/2014/main" id="{B4CA61F1-D2FB-4321-B40B-C54004941AAF}"/>
              </a:ext>
            </a:extLst>
          </xdr:cNvPr>
          <xdr:cNvCxnSpPr/>
        </xdr:nvCxnSpPr>
        <xdr:spPr>
          <a:xfrm>
            <a:off x="6477010" y="14344647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Arrow Connector 475">
            <a:extLst>
              <a:ext uri="{FF2B5EF4-FFF2-40B4-BE49-F238E27FC236}">
                <a16:creationId xmlns:a16="http://schemas.microsoft.com/office/drawing/2014/main" id="{111E2E9B-428A-42FC-8802-1DCA1BBB7324}"/>
              </a:ext>
            </a:extLst>
          </xdr:cNvPr>
          <xdr:cNvCxnSpPr/>
        </xdr:nvCxnSpPr>
        <xdr:spPr>
          <a:xfrm>
            <a:off x="7124710" y="1433988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Connector 476">
            <a:extLst>
              <a:ext uri="{FF2B5EF4-FFF2-40B4-BE49-F238E27FC236}">
                <a16:creationId xmlns:a16="http://schemas.microsoft.com/office/drawing/2014/main" id="{661E62EF-BB3C-4B43-B220-81681D23AA2D}"/>
              </a:ext>
            </a:extLst>
          </xdr:cNvPr>
          <xdr:cNvCxnSpPr/>
        </xdr:nvCxnSpPr>
        <xdr:spPr>
          <a:xfrm flipH="1" flipV="1">
            <a:off x="5257812" y="14239875"/>
            <a:ext cx="85725" cy="1571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Arrow Connector 477">
            <a:extLst>
              <a:ext uri="{FF2B5EF4-FFF2-40B4-BE49-F238E27FC236}">
                <a16:creationId xmlns:a16="http://schemas.microsoft.com/office/drawing/2014/main" id="{B89FF3E6-F7C7-4F59-8074-BA82237C9902}"/>
              </a:ext>
            </a:extLst>
          </xdr:cNvPr>
          <xdr:cNvCxnSpPr/>
        </xdr:nvCxnSpPr>
        <xdr:spPr>
          <a:xfrm>
            <a:off x="7286635" y="1433988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9" name="Straight Arrow Connector 478">
            <a:extLst>
              <a:ext uri="{FF2B5EF4-FFF2-40B4-BE49-F238E27FC236}">
                <a16:creationId xmlns:a16="http://schemas.microsoft.com/office/drawing/2014/main" id="{6919D908-9676-48A3-B50C-42C70E340C9B}"/>
              </a:ext>
            </a:extLst>
          </xdr:cNvPr>
          <xdr:cNvCxnSpPr/>
        </xdr:nvCxnSpPr>
        <xdr:spPr>
          <a:xfrm>
            <a:off x="7448558" y="1433988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" name="Straight Arrow Connector 549">
            <a:extLst>
              <a:ext uri="{FF2B5EF4-FFF2-40B4-BE49-F238E27FC236}">
                <a16:creationId xmlns:a16="http://schemas.microsoft.com/office/drawing/2014/main" id="{85BE5BE5-3C9D-469D-8576-7E413F72FF43}"/>
              </a:ext>
            </a:extLst>
          </xdr:cNvPr>
          <xdr:cNvCxnSpPr/>
        </xdr:nvCxnSpPr>
        <xdr:spPr>
          <a:xfrm>
            <a:off x="3724276" y="143446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" name="Straight Arrow Connector 550">
            <a:extLst>
              <a:ext uri="{FF2B5EF4-FFF2-40B4-BE49-F238E27FC236}">
                <a16:creationId xmlns:a16="http://schemas.microsoft.com/office/drawing/2014/main" id="{6E3CF136-55EE-4037-A280-979681D55FCB}"/>
              </a:ext>
            </a:extLst>
          </xdr:cNvPr>
          <xdr:cNvCxnSpPr/>
        </xdr:nvCxnSpPr>
        <xdr:spPr>
          <a:xfrm>
            <a:off x="3886201" y="143446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2" name="Straight Arrow Connector 551">
            <a:extLst>
              <a:ext uri="{FF2B5EF4-FFF2-40B4-BE49-F238E27FC236}">
                <a16:creationId xmlns:a16="http://schemas.microsoft.com/office/drawing/2014/main" id="{971DFEDD-B8DB-43A6-AE3D-53C21E5D55C1}"/>
              </a:ext>
            </a:extLst>
          </xdr:cNvPr>
          <xdr:cNvCxnSpPr/>
        </xdr:nvCxnSpPr>
        <xdr:spPr>
          <a:xfrm>
            <a:off x="4533901" y="14339888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Straight Arrow Connector 552">
            <a:extLst>
              <a:ext uri="{FF2B5EF4-FFF2-40B4-BE49-F238E27FC236}">
                <a16:creationId xmlns:a16="http://schemas.microsoft.com/office/drawing/2014/main" id="{5E759169-886A-488A-8A99-BCAD9EE9BA30}"/>
              </a:ext>
            </a:extLst>
          </xdr:cNvPr>
          <xdr:cNvCxnSpPr/>
        </xdr:nvCxnSpPr>
        <xdr:spPr>
          <a:xfrm>
            <a:off x="4695826" y="14339888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Straight Arrow Connector 553">
            <a:extLst>
              <a:ext uri="{FF2B5EF4-FFF2-40B4-BE49-F238E27FC236}">
                <a16:creationId xmlns:a16="http://schemas.microsoft.com/office/drawing/2014/main" id="{7CB6EA60-8D08-435F-9544-DDEE641052A8}"/>
              </a:ext>
            </a:extLst>
          </xdr:cNvPr>
          <xdr:cNvCxnSpPr/>
        </xdr:nvCxnSpPr>
        <xdr:spPr>
          <a:xfrm>
            <a:off x="5343526" y="143446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Arrow Connector 554">
            <a:extLst>
              <a:ext uri="{FF2B5EF4-FFF2-40B4-BE49-F238E27FC236}">
                <a16:creationId xmlns:a16="http://schemas.microsoft.com/office/drawing/2014/main" id="{322BBA0B-F415-4288-8171-4EB5E25CD19D}"/>
              </a:ext>
            </a:extLst>
          </xdr:cNvPr>
          <xdr:cNvCxnSpPr/>
        </xdr:nvCxnSpPr>
        <xdr:spPr>
          <a:xfrm>
            <a:off x="5505451" y="143446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Straight Arrow Connector 555">
            <a:extLst>
              <a:ext uri="{FF2B5EF4-FFF2-40B4-BE49-F238E27FC236}">
                <a16:creationId xmlns:a16="http://schemas.microsoft.com/office/drawing/2014/main" id="{65CF91C7-1A29-482D-8085-61E5E456C255}"/>
              </a:ext>
            </a:extLst>
          </xdr:cNvPr>
          <xdr:cNvCxnSpPr/>
        </xdr:nvCxnSpPr>
        <xdr:spPr>
          <a:xfrm>
            <a:off x="6153151" y="143446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Straight Arrow Connector 556">
            <a:extLst>
              <a:ext uri="{FF2B5EF4-FFF2-40B4-BE49-F238E27FC236}">
                <a16:creationId xmlns:a16="http://schemas.microsoft.com/office/drawing/2014/main" id="{5E192B76-806A-4475-9B4D-344747507073}"/>
              </a:ext>
            </a:extLst>
          </xdr:cNvPr>
          <xdr:cNvCxnSpPr/>
        </xdr:nvCxnSpPr>
        <xdr:spPr>
          <a:xfrm>
            <a:off x="6315076" y="143446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8" name="Straight Arrow Connector 557">
            <a:extLst>
              <a:ext uri="{FF2B5EF4-FFF2-40B4-BE49-F238E27FC236}">
                <a16:creationId xmlns:a16="http://schemas.microsoft.com/office/drawing/2014/main" id="{3C5A5B91-2AA2-4C3C-9B87-3850E80D1612}"/>
              </a:ext>
            </a:extLst>
          </xdr:cNvPr>
          <xdr:cNvCxnSpPr/>
        </xdr:nvCxnSpPr>
        <xdr:spPr>
          <a:xfrm>
            <a:off x="6800851" y="143446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Straight Arrow Connector 558">
            <a:extLst>
              <a:ext uri="{FF2B5EF4-FFF2-40B4-BE49-F238E27FC236}">
                <a16:creationId xmlns:a16="http://schemas.microsoft.com/office/drawing/2014/main" id="{E7428C38-D192-4D2A-8200-D342B5191D16}"/>
              </a:ext>
            </a:extLst>
          </xdr:cNvPr>
          <xdr:cNvCxnSpPr/>
        </xdr:nvCxnSpPr>
        <xdr:spPr>
          <a:xfrm>
            <a:off x="6962776" y="143446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80962</xdr:colOff>
      <xdr:row>62</xdr:row>
      <xdr:rowOff>138113</xdr:rowOff>
    </xdr:from>
    <xdr:to>
      <xdr:col>51</xdr:col>
      <xdr:colOff>76579</xdr:colOff>
      <xdr:row>73</xdr:row>
      <xdr:rowOff>76200</xdr:rowOff>
    </xdr:to>
    <xdr:grpSp>
      <xdr:nvGrpSpPr>
        <xdr:cNvPr id="457" name="Group 456">
          <a:extLst>
            <a:ext uri="{FF2B5EF4-FFF2-40B4-BE49-F238E27FC236}">
              <a16:creationId xmlns:a16="http://schemas.microsoft.com/office/drawing/2014/main" id="{DCC5B98C-0C3B-E40E-E0A3-9A07184C2779}"/>
            </a:ext>
          </a:extLst>
        </xdr:cNvPr>
        <xdr:cNvGrpSpPr/>
      </xdr:nvGrpSpPr>
      <xdr:grpSpPr>
        <a:xfrm>
          <a:off x="3319462" y="9958388"/>
          <a:ext cx="5015292" cy="1509712"/>
          <a:chOff x="3319462" y="7662863"/>
          <a:chExt cx="5015292" cy="1509712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1E0AFE02-A02C-98BD-745B-7874A9F8581B}"/>
              </a:ext>
            </a:extLst>
          </xdr:cNvPr>
          <xdr:cNvCxnSpPr/>
        </xdr:nvCxnSpPr>
        <xdr:spPr>
          <a:xfrm>
            <a:off x="3395663" y="8096250"/>
            <a:ext cx="48672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75DA0C05-C9FF-2910-88A8-F7CE39642088}"/>
              </a:ext>
            </a:extLst>
          </xdr:cNvPr>
          <xdr:cNvCxnSpPr/>
        </xdr:nvCxnSpPr>
        <xdr:spPr>
          <a:xfrm>
            <a:off x="4210051" y="766286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Isosceles Triangle 6">
            <a:extLst>
              <a:ext uri="{FF2B5EF4-FFF2-40B4-BE49-F238E27FC236}">
                <a16:creationId xmlns:a16="http://schemas.microsoft.com/office/drawing/2014/main" id="{C89DD636-0B7B-B2B3-54CF-66209499FC0E}"/>
              </a:ext>
            </a:extLst>
          </xdr:cNvPr>
          <xdr:cNvSpPr/>
        </xdr:nvSpPr>
        <xdr:spPr>
          <a:xfrm>
            <a:off x="3328607" y="8110539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" name="Isosceles Triangle 7">
            <a:extLst>
              <a:ext uri="{FF2B5EF4-FFF2-40B4-BE49-F238E27FC236}">
                <a16:creationId xmlns:a16="http://schemas.microsoft.com/office/drawing/2014/main" id="{16D9AF88-E1D2-4F58-850D-7FDB5285DC45}"/>
              </a:ext>
            </a:extLst>
          </xdr:cNvPr>
          <xdr:cNvSpPr/>
        </xdr:nvSpPr>
        <xdr:spPr>
          <a:xfrm>
            <a:off x="8191118" y="8105777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4F4F20D9-AA8C-49C0-8512-4D8D0854F0A0}"/>
              </a:ext>
            </a:extLst>
          </xdr:cNvPr>
          <xdr:cNvCxnSpPr/>
        </xdr:nvCxnSpPr>
        <xdr:spPr>
          <a:xfrm>
            <a:off x="5019676" y="766286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2D501B88-CB99-4E8E-8B33-F4EDAD71ABCA}"/>
              </a:ext>
            </a:extLst>
          </xdr:cNvPr>
          <xdr:cNvCxnSpPr/>
        </xdr:nvCxnSpPr>
        <xdr:spPr>
          <a:xfrm>
            <a:off x="5829301" y="766286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5A883EC1-E3FB-4C39-BE9B-87E9CA676ADE}"/>
              </a:ext>
            </a:extLst>
          </xdr:cNvPr>
          <xdr:cNvCxnSpPr/>
        </xdr:nvCxnSpPr>
        <xdr:spPr>
          <a:xfrm>
            <a:off x="6638926" y="766286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C5C6D449-D3D2-44C1-A2C6-E184D5969817}"/>
              </a:ext>
            </a:extLst>
          </xdr:cNvPr>
          <xdr:cNvCxnSpPr/>
        </xdr:nvCxnSpPr>
        <xdr:spPr>
          <a:xfrm>
            <a:off x="7448551" y="766286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4A2C751E-BB84-883D-57E0-60ACFCED96F2}"/>
              </a:ext>
            </a:extLst>
          </xdr:cNvPr>
          <xdr:cNvCxnSpPr/>
        </xdr:nvCxnSpPr>
        <xdr:spPr>
          <a:xfrm>
            <a:off x="3400425" y="868203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C3267010-13AA-4230-8461-27A4E5346747}"/>
              </a:ext>
            </a:extLst>
          </xdr:cNvPr>
          <xdr:cNvCxnSpPr/>
        </xdr:nvCxnSpPr>
        <xdr:spPr>
          <a:xfrm flipV="1">
            <a:off x="3400425" y="823912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5361421B-9600-C690-3F55-34A58020CBBB}"/>
              </a:ext>
            </a:extLst>
          </xdr:cNvPr>
          <xdr:cNvCxnSpPr/>
        </xdr:nvCxnSpPr>
        <xdr:spPr>
          <a:xfrm>
            <a:off x="3319463" y="8810625"/>
            <a:ext cx="50149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CAA9A4D4-7C72-490B-9495-111E2B5E7B4A}"/>
              </a:ext>
            </a:extLst>
          </xdr:cNvPr>
          <xdr:cNvCxnSpPr/>
        </xdr:nvCxnSpPr>
        <xdr:spPr>
          <a:xfrm flipH="1">
            <a:off x="3362318" y="87772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5C7F026A-B894-4C48-B39E-C508F67E88A1}"/>
              </a:ext>
            </a:extLst>
          </xdr:cNvPr>
          <xdr:cNvCxnSpPr/>
        </xdr:nvCxnSpPr>
        <xdr:spPr>
          <a:xfrm>
            <a:off x="3319462" y="9096375"/>
            <a:ext cx="50149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BB010195-4BD6-4C8E-89F5-365720CA39E3}"/>
              </a:ext>
            </a:extLst>
          </xdr:cNvPr>
          <xdr:cNvCxnSpPr/>
        </xdr:nvCxnSpPr>
        <xdr:spPr>
          <a:xfrm flipH="1">
            <a:off x="3362324" y="90630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A0EEAECB-4BA0-475C-82CF-5CAE037B0646}"/>
              </a:ext>
            </a:extLst>
          </xdr:cNvPr>
          <xdr:cNvCxnSpPr/>
        </xdr:nvCxnSpPr>
        <xdr:spPr>
          <a:xfrm>
            <a:off x="8258175" y="868203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9380CDC2-EF1E-4A2A-A07D-AA3D1908AE67}"/>
              </a:ext>
            </a:extLst>
          </xdr:cNvPr>
          <xdr:cNvCxnSpPr/>
        </xdr:nvCxnSpPr>
        <xdr:spPr>
          <a:xfrm flipV="1">
            <a:off x="8258175" y="823912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9E9E25FD-36E4-4D65-A9D0-943F06E9A608}"/>
              </a:ext>
            </a:extLst>
          </xdr:cNvPr>
          <xdr:cNvCxnSpPr/>
        </xdr:nvCxnSpPr>
        <xdr:spPr>
          <a:xfrm flipH="1">
            <a:off x="8220075" y="87772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464595B0-13E8-4455-BB76-50A2BC5BBB6F}"/>
              </a:ext>
            </a:extLst>
          </xdr:cNvPr>
          <xdr:cNvCxnSpPr/>
        </xdr:nvCxnSpPr>
        <xdr:spPr>
          <a:xfrm flipH="1">
            <a:off x="8220074" y="90630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932717E4-A9CA-40DB-97D3-D1E0DB69B0F4}"/>
              </a:ext>
            </a:extLst>
          </xdr:cNvPr>
          <xdr:cNvCxnSpPr/>
        </xdr:nvCxnSpPr>
        <xdr:spPr>
          <a:xfrm>
            <a:off x="4210052" y="839628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96F31EDD-9DB6-4FCF-B7C8-0696A0E2C82C}"/>
              </a:ext>
            </a:extLst>
          </xdr:cNvPr>
          <xdr:cNvCxnSpPr/>
        </xdr:nvCxnSpPr>
        <xdr:spPr>
          <a:xfrm flipH="1">
            <a:off x="4171946" y="8777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39DDDF55-3EA6-46BC-AC7A-7691E151223B}"/>
              </a:ext>
            </a:extLst>
          </xdr:cNvPr>
          <xdr:cNvCxnSpPr/>
        </xdr:nvCxnSpPr>
        <xdr:spPr>
          <a:xfrm>
            <a:off x="5019677" y="839628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632E3B03-42F2-4D4A-8670-880CB22D05C9}"/>
              </a:ext>
            </a:extLst>
          </xdr:cNvPr>
          <xdr:cNvCxnSpPr/>
        </xdr:nvCxnSpPr>
        <xdr:spPr>
          <a:xfrm flipH="1">
            <a:off x="4981575" y="8777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4710EAEE-581A-40F8-AEB6-E2B8767979DB}"/>
              </a:ext>
            </a:extLst>
          </xdr:cNvPr>
          <xdr:cNvCxnSpPr/>
        </xdr:nvCxnSpPr>
        <xdr:spPr>
          <a:xfrm>
            <a:off x="5829302" y="839628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6BBAB1A1-D7EA-4E0F-A2B8-B543FC716BB3}"/>
              </a:ext>
            </a:extLst>
          </xdr:cNvPr>
          <xdr:cNvCxnSpPr/>
        </xdr:nvCxnSpPr>
        <xdr:spPr>
          <a:xfrm flipH="1">
            <a:off x="5791196" y="8777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8B73F9A5-582D-4489-BCE9-4DE84AB99ECA}"/>
              </a:ext>
            </a:extLst>
          </xdr:cNvPr>
          <xdr:cNvCxnSpPr/>
        </xdr:nvCxnSpPr>
        <xdr:spPr>
          <a:xfrm>
            <a:off x="6638927" y="839628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30513045-88D6-4963-88F5-FB897BBA1391}"/>
              </a:ext>
            </a:extLst>
          </xdr:cNvPr>
          <xdr:cNvCxnSpPr/>
        </xdr:nvCxnSpPr>
        <xdr:spPr>
          <a:xfrm flipH="1">
            <a:off x="6600823" y="8777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90265772-3A6C-490B-B2F3-0F95B57927DB}"/>
              </a:ext>
            </a:extLst>
          </xdr:cNvPr>
          <xdr:cNvCxnSpPr/>
        </xdr:nvCxnSpPr>
        <xdr:spPr>
          <a:xfrm>
            <a:off x="7448552" y="839628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D81ECDD1-C419-4091-BEC5-80B04DF174D3}"/>
              </a:ext>
            </a:extLst>
          </xdr:cNvPr>
          <xdr:cNvCxnSpPr/>
        </xdr:nvCxnSpPr>
        <xdr:spPr>
          <a:xfrm flipH="1">
            <a:off x="7410446" y="8777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Arrow Connector 41">
            <a:extLst>
              <a:ext uri="{FF2B5EF4-FFF2-40B4-BE49-F238E27FC236}">
                <a16:creationId xmlns:a16="http://schemas.microsoft.com/office/drawing/2014/main" id="{188EC987-AE6E-CEE9-74DE-129C62A744D4}"/>
              </a:ext>
            </a:extLst>
          </xdr:cNvPr>
          <xdr:cNvCxnSpPr/>
        </xdr:nvCxnSpPr>
        <xdr:spPr>
          <a:xfrm>
            <a:off x="3409951" y="8382001"/>
            <a:ext cx="5333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Straight Arrow Connector 481">
            <a:extLst>
              <a:ext uri="{FF2B5EF4-FFF2-40B4-BE49-F238E27FC236}">
                <a16:creationId xmlns:a16="http://schemas.microsoft.com/office/drawing/2014/main" id="{A693F309-728A-43B5-AE97-2007E691814E}"/>
              </a:ext>
            </a:extLst>
          </xdr:cNvPr>
          <xdr:cNvCxnSpPr/>
        </xdr:nvCxnSpPr>
        <xdr:spPr>
          <a:xfrm>
            <a:off x="3400422" y="7881938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3" name="Straight Connector 482">
            <a:extLst>
              <a:ext uri="{FF2B5EF4-FFF2-40B4-BE49-F238E27FC236}">
                <a16:creationId xmlns:a16="http://schemas.microsoft.com/office/drawing/2014/main" id="{7085B5A0-4309-4FB0-B909-321819E60059}"/>
              </a:ext>
            </a:extLst>
          </xdr:cNvPr>
          <xdr:cNvCxnSpPr/>
        </xdr:nvCxnSpPr>
        <xdr:spPr>
          <a:xfrm>
            <a:off x="3400422" y="7881938"/>
            <a:ext cx="4852991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Straight Arrow Connector 483">
            <a:extLst>
              <a:ext uri="{FF2B5EF4-FFF2-40B4-BE49-F238E27FC236}">
                <a16:creationId xmlns:a16="http://schemas.microsoft.com/office/drawing/2014/main" id="{FE84AFD0-9E67-4030-9857-2EDD651E3D91}"/>
              </a:ext>
            </a:extLst>
          </xdr:cNvPr>
          <xdr:cNvCxnSpPr/>
        </xdr:nvCxnSpPr>
        <xdr:spPr>
          <a:xfrm>
            <a:off x="3562347" y="7881938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5" name="Straight Arrow Connector 484">
            <a:extLst>
              <a:ext uri="{FF2B5EF4-FFF2-40B4-BE49-F238E27FC236}">
                <a16:creationId xmlns:a16="http://schemas.microsoft.com/office/drawing/2014/main" id="{5C6A2355-30BF-41BA-8EAF-569FA62E0855}"/>
              </a:ext>
            </a:extLst>
          </xdr:cNvPr>
          <xdr:cNvCxnSpPr/>
        </xdr:nvCxnSpPr>
        <xdr:spPr>
          <a:xfrm>
            <a:off x="3724272" y="788670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Straight Arrow Connector 485">
            <a:extLst>
              <a:ext uri="{FF2B5EF4-FFF2-40B4-BE49-F238E27FC236}">
                <a16:creationId xmlns:a16="http://schemas.microsoft.com/office/drawing/2014/main" id="{9384236D-18E2-4FDB-8A1F-85AE54B2CFA0}"/>
              </a:ext>
            </a:extLst>
          </xdr:cNvPr>
          <xdr:cNvCxnSpPr/>
        </xdr:nvCxnSpPr>
        <xdr:spPr>
          <a:xfrm>
            <a:off x="4371973" y="7881938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Straight Arrow Connector 486">
            <a:extLst>
              <a:ext uri="{FF2B5EF4-FFF2-40B4-BE49-F238E27FC236}">
                <a16:creationId xmlns:a16="http://schemas.microsoft.com/office/drawing/2014/main" id="{B2ADA517-07CA-40D7-BC76-C49AB96E277B}"/>
              </a:ext>
            </a:extLst>
          </xdr:cNvPr>
          <xdr:cNvCxnSpPr/>
        </xdr:nvCxnSpPr>
        <xdr:spPr>
          <a:xfrm>
            <a:off x="4533898" y="788670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" name="Straight Arrow Connector 487">
            <a:extLst>
              <a:ext uri="{FF2B5EF4-FFF2-40B4-BE49-F238E27FC236}">
                <a16:creationId xmlns:a16="http://schemas.microsoft.com/office/drawing/2014/main" id="{E31497AA-A62C-41C7-B440-6692AB2A988F}"/>
              </a:ext>
            </a:extLst>
          </xdr:cNvPr>
          <xdr:cNvCxnSpPr/>
        </xdr:nvCxnSpPr>
        <xdr:spPr>
          <a:xfrm>
            <a:off x="5181600" y="7881937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" name="Straight Arrow Connector 488">
            <a:extLst>
              <a:ext uri="{FF2B5EF4-FFF2-40B4-BE49-F238E27FC236}">
                <a16:creationId xmlns:a16="http://schemas.microsoft.com/office/drawing/2014/main" id="{1319E83F-FC38-4902-A07F-AD23F6187587}"/>
              </a:ext>
            </a:extLst>
          </xdr:cNvPr>
          <xdr:cNvCxnSpPr/>
        </xdr:nvCxnSpPr>
        <xdr:spPr>
          <a:xfrm>
            <a:off x="5667375" y="7881937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Straight Arrow Connector 489">
            <a:extLst>
              <a:ext uri="{FF2B5EF4-FFF2-40B4-BE49-F238E27FC236}">
                <a16:creationId xmlns:a16="http://schemas.microsoft.com/office/drawing/2014/main" id="{55FA2165-C0DC-4D0E-A86A-9A40E391E6A6}"/>
              </a:ext>
            </a:extLst>
          </xdr:cNvPr>
          <xdr:cNvCxnSpPr/>
        </xdr:nvCxnSpPr>
        <xdr:spPr>
          <a:xfrm>
            <a:off x="5991231" y="788670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Straight Arrow Connector 490">
            <a:extLst>
              <a:ext uri="{FF2B5EF4-FFF2-40B4-BE49-F238E27FC236}">
                <a16:creationId xmlns:a16="http://schemas.microsoft.com/office/drawing/2014/main" id="{7CC1BFDA-FFCA-4785-8537-EDA51E4BB2C2}"/>
              </a:ext>
            </a:extLst>
          </xdr:cNvPr>
          <xdr:cNvCxnSpPr/>
        </xdr:nvCxnSpPr>
        <xdr:spPr>
          <a:xfrm>
            <a:off x="6477007" y="7886698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Straight Arrow Connector 491">
            <a:extLst>
              <a:ext uri="{FF2B5EF4-FFF2-40B4-BE49-F238E27FC236}">
                <a16:creationId xmlns:a16="http://schemas.microsoft.com/office/drawing/2014/main" id="{28DDBC8A-CF97-417B-8720-BB41944E012A}"/>
              </a:ext>
            </a:extLst>
          </xdr:cNvPr>
          <xdr:cNvCxnSpPr/>
        </xdr:nvCxnSpPr>
        <xdr:spPr>
          <a:xfrm>
            <a:off x="6800857" y="788193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Straight Connector 492">
            <a:extLst>
              <a:ext uri="{FF2B5EF4-FFF2-40B4-BE49-F238E27FC236}">
                <a16:creationId xmlns:a16="http://schemas.microsoft.com/office/drawing/2014/main" id="{964897FE-3F01-4BEB-89BB-C759759F0795}"/>
              </a:ext>
            </a:extLst>
          </xdr:cNvPr>
          <xdr:cNvCxnSpPr/>
        </xdr:nvCxnSpPr>
        <xdr:spPr>
          <a:xfrm flipH="1" flipV="1">
            <a:off x="6072199" y="7781926"/>
            <a:ext cx="85725" cy="1571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4" name="Straight Arrow Connector 493">
            <a:extLst>
              <a:ext uri="{FF2B5EF4-FFF2-40B4-BE49-F238E27FC236}">
                <a16:creationId xmlns:a16="http://schemas.microsoft.com/office/drawing/2014/main" id="{D2FBC4EC-D8CA-49C6-BECB-CA3A9644294C}"/>
              </a:ext>
            </a:extLst>
          </xdr:cNvPr>
          <xdr:cNvCxnSpPr/>
        </xdr:nvCxnSpPr>
        <xdr:spPr>
          <a:xfrm>
            <a:off x="7286632" y="788193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5" name="Straight Arrow Connector 494">
            <a:extLst>
              <a:ext uri="{FF2B5EF4-FFF2-40B4-BE49-F238E27FC236}">
                <a16:creationId xmlns:a16="http://schemas.microsoft.com/office/drawing/2014/main" id="{FB94C966-0F5B-4958-8F84-6C7D9C1F7F1A}"/>
              </a:ext>
            </a:extLst>
          </xdr:cNvPr>
          <xdr:cNvCxnSpPr/>
        </xdr:nvCxnSpPr>
        <xdr:spPr>
          <a:xfrm>
            <a:off x="7934338" y="788193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6" name="Straight Arrow Connector 495">
            <a:extLst>
              <a:ext uri="{FF2B5EF4-FFF2-40B4-BE49-F238E27FC236}">
                <a16:creationId xmlns:a16="http://schemas.microsoft.com/office/drawing/2014/main" id="{52E3A86F-F377-427E-BCFB-79B2A39C545E}"/>
              </a:ext>
            </a:extLst>
          </xdr:cNvPr>
          <xdr:cNvCxnSpPr/>
        </xdr:nvCxnSpPr>
        <xdr:spPr>
          <a:xfrm>
            <a:off x="8096263" y="788193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7" name="Straight Arrow Connector 496">
            <a:extLst>
              <a:ext uri="{FF2B5EF4-FFF2-40B4-BE49-F238E27FC236}">
                <a16:creationId xmlns:a16="http://schemas.microsoft.com/office/drawing/2014/main" id="{A011078F-CD84-4107-8B3C-D7398DA9EF60}"/>
              </a:ext>
            </a:extLst>
          </xdr:cNvPr>
          <xdr:cNvCxnSpPr/>
        </xdr:nvCxnSpPr>
        <xdr:spPr>
          <a:xfrm>
            <a:off x="8258189" y="788669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3" name="Straight Arrow Connector 562">
            <a:extLst>
              <a:ext uri="{FF2B5EF4-FFF2-40B4-BE49-F238E27FC236}">
                <a16:creationId xmlns:a16="http://schemas.microsoft.com/office/drawing/2014/main" id="{57146C41-AFA3-48A4-9CEB-70EE006C3C70}"/>
              </a:ext>
            </a:extLst>
          </xdr:cNvPr>
          <xdr:cNvCxnSpPr/>
        </xdr:nvCxnSpPr>
        <xdr:spPr>
          <a:xfrm>
            <a:off x="3886200" y="788670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4" name="Straight Arrow Connector 563">
            <a:extLst>
              <a:ext uri="{FF2B5EF4-FFF2-40B4-BE49-F238E27FC236}">
                <a16:creationId xmlns:a16="http://schemas.microsoft.com/office/drawing/2014/main" id="{2924A324-4547-4E1F-8734-930B16254067}"/>
              </a:ext>
            </a:extLst>
          </xdr:cNvPr>
          <xdr:cNvCxnSpPr/>
        </xdr:nvCxnSpPr>
        <xdr:spPr>
          <a:xfrm>
            <a:off x="4048125" y="788670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5" name="Straight Arrow Connector 564">
            <a:extLst>
              <a:ext uri="{FF2B5EF4-FFF2-40B4-BE49-F238E27FC236}">
                <a16:creationId xmlns:a16="http://schemas.microsoft.com/office/drawing/2014/main" id="{60F81CC6-A716-4AAC-9FA2-ED86725E511F}"/>
              </a:ext>
            </a:extLst>
          </xdr:cNvPr>
          <xdr:cNvCxnSpPr/>
        </xdr:nvCxnSpPr>
        <xdr:spPr>
          <a:xfrm>
            <a:off x="4695824" y="788670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6" name="Straight Arrow Connector 565">
            <a:extLst>
              <a:ext uri="{FF2B5EF4-FFF2-40B4-BE49-F238E27FC236}">
                <a16:creationId xmlns:a16="http://schemas.microsoft.com/office/drawing/2014/main" id="{B965ED1B-AEAE-4618-8513-98A72CB8E58E}"/>
              </a:ext>
            </a:extLst>
          </xdr:cNvPr>
          <xdr:cNvCxnSpPr/>
        </xdr:nvCxnSpPr>
        <xdr:spPr>
          <a:xfrm>
            <a:off x="4857749" y="788670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7" name="Straight Arrow Connector 566">
            <a:extLst>
              <a:ext uri="{FF2B5EF4-FFF2-40B4-BE49-F238E27FC236}">
                <a16:creationId xmlns:a16="http://schemas.microsoft.com/office/drawing/2014/main" id="{C90473BE-C93F-451D-9190-DC7FA6BC2DB6}"/>
              </a:ext>
            </a:extLst>
          </xdr:cNvPr>
          <xdr:cNvCxnSpPr/>
        </xdr:nvCxnSpPr>
        <xdr:spPr>
          <a:xfrm>
            <a:off x="5343524" y="7881938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8" name="Straight Arrow Connector 567">
            <a:extLst>
              <a:ext uri="{FF2B5EF4-FFF2-40B4-BE49-F238E27FC236}">
                <a16:creationId xmlns:a16="http://schemas.microsoft.com/office/drawing/2014/main" id="{A6FBC921-6928-4898-B122-BB03DD209F1B}"/>
              </a:ext>
            </a:extLst>
          </xdr:cNvPr>
          <xdr:cNvCxnSpPr/>
        </xdr:nvCxnSpPr>
        <xdr:spPr>
          <a:xfrm>
            <a:off x="5505449" y="7881939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" name="Straight Arrow Connector 568">
            <a:extLst>
              <a:ext uri="{FF2B5EF4-FFF2-40B4-BE49-F238E27FC236}">
                <a16:creationId xmlns:a16="http://schemas.microsoft.com/office/drawing/2014/main" id="{A0824262-74C6-47D0-BFB0-2094C148D8A7}"/>
              </a:ext>
            </a:extLst>
          </xdr:cNvPr>
          <xdr:cNvCxnSpPr/>
        </xdr:nvCxnSpPr>
        <xdr:spPr>
          <a:xfrm>
            <a:off x="6153150" y="788670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0" name="Straight Arrow Connector 569">
            <a:extLst>
              <a:ext uri="{FF2B5EF4-FFF2-40B4-BE49-F238E27FC236}">
                <a16:creationId xmlns:a16="http://schemas.microsoft.com/office/drawing/2014/main" id="{E5A8604A-2D69-4CBB-AB30-0464350443A6}"/>
              </a:ext>
            </a:extLst>
          </xdr:cNvPr>
          <xdr:cNvCxnSpPr/>
        </xdr:nvCxnSpPr>
        <xdr:spPr>
          <a:xfrm>
            <a:off x="6315075" y="788670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Straight Arrow Connector 570">
            <a:extLst>
              <a:ext uri="{FF2B5EF4-FFF2-40B4-BE49-F238E27FC236}">
                <a16:creationId xmlns:a16="http://schemas.microsoft.com/office/drawing/2014/main" id="{F977A70E-04E8-4655-85B0-BC2AE36E1785}"/>
              </a:ext>
            </a:extLst>
          </xdr:cNvPr>
          <xdr:cNvCxnSpPr/>
        </xdr:nvCxnSpPr>
        <xdr:spPr>
          <a:xfrm>
            <a:off x="6962775" y="7881937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2" name="Straight Arrow Connector 571">
            <a:extLst>
              <a:ext uri="{FF2B5EF4-FFF2-40B4-BE49-F238E27FC236}">
                <a16:creationId xmlns:a16="http://schemas.microsoft.com/office/drawing/2014/main" id="{6C0FD525-529D-45C8-9E51-19B22B3D2CC8}"/>
              </a:ext>
            </a:extLst>
          </xdr:cNvPr>
          <xdr:cNvCxnSpPr/>
        </xdr:nvCxnSpPr>
        <xdr:spPr>
          <a:xfrm>
            <a:off x="7124700" y="7881938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3" name="Straight Arrow Connector 572">
            <a:extLst>
              <a:ext uri="{FF2B5EF4-FFF2-40B4-BE49-F238E27FC236}">
                <a16:creationId xmlns:a16="http://schemas.microsoft.com/office/drawing/2014/main" id="{DB12EC74-EE78-46AA-96C7-122AD3FC618E}"/>
              </a:ext>
            </a:extLst>
          </xdr:cNvPr>
          <xdr:cNvCxnSpPr/>
        </xdr:nvCxnSpPr>
        <xdr:spPr>
          <a:xfrm>
            <a:off x="7610476" y="7881937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Straight Arrow Connector 573">
            <a:extLst>
              <a:ext uri="{FF2B5EF4-FFF2-40B4-BE49-F238E27FC236}">
                <a16:creationId xmlns:a16="http://schemas.microsoft.com/office/drawing/2014/main" id="{09FF3C3B-B1D7-4BA6-9144-E28974041D73}"/>
              </a:ext>
            </a:extLst>
          </xdr:cNvPr>
          <xdr:cNvCxnSpPr/>
        </xdr:nvCxnSpPr>
        <xdr:spPr>
          <a:xfrm>
            <a:off x="7772401" y="7881938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80962</xdr:colOff>
      <xdr:row>4</xdr:row>
      <xdr:rowOff>138113</xdr:rowOff>
    </xdr:from>
    <xdr:to>
      <xdr:col>56</xdr:col>
      <xdr:colOff>76576</xdr:colOff>
      <xdr:row>15</xdr:row>
      <xdr:rowOff>76200</xdr:rowOff>
    </xdr:to>
    <xdr:grpSp>
      <xdr:nvGrpSpPr>
        <xdr:cNvPr id="535" name="Group 534">
          <a:extLst>
            <a:ext uri="{FF2B5EF4-FFF2-40B4-BE49-F238E27FC236}">
              <a16:creationId xmlns:a16="http://schemas.microsoft.com/office/drawing/2014/main" id="{A2D5FCB9-7F09-729D-E42C-E46D8F431F30}"/>
            </a:ext>
          </a:extLst>
        </xdr:cNvPr>
        <xdr:cNvGrpSpPr/>
      </xdr:nvGrpSpPr>
      <xdr:grpSpPr>
        <a:xfrm>
          <a:off x="3319462" y="1185863"/>
          <a:ext cx="5824914" cy="1509712"/>
          <a:chOff x="3319462" y="1071563"/>
          <a:chExt cx="5824914" cy="1509712"/>
        </a:xfrm>
      </xdr:grpSpPr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9F2A4129-9FD8-4EB8-8D6C-36EACE08D0FE}"/>
              </a:ext>
            </a:extLst>
          </xdr:cNvPr>
          <xdr:cNvCxnSpPr/>
        </xdr:nvCxnSpPr>
        <xdr:spPr>
          <a:xfrm>
            <a:off x="3395663" y="1504950"/>
            <a:ext cx="56769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9CB83297-CB0B-4B46-852F-0E3B00D8A227}"/>
              </a:ext>
            </a:extLst>
          </xdr:cNvPr>
          <xdr:cNvCxnSpPr/>
        </xdr:nvCxnSpPr>
        <xdr:spPr>
          <a:xfrm>
            <a:off x="4210051" y="107156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" name="Isosceles Triangle 93">
            <a:extLst>
              <a:ext uri="{FF2B5EF4-FFF2-40B4-BE49-F238E27FC236}">
                <a16:creationId xmlns:a16="http://schemas.microsoft.com/office/drawing/2014/main" id="{E4E09A89-5BAA-4BF4-A749-220B2B55E7B4}"/>
              </a:ext>
            </a:extLst>
          </xdr:cNvPr>
          <xdr:cNvSpPr/>
        </xdr:nvSpPr>
        <xdr:spPr>
          <a:xfrm>
            <a:off x="3328607" y="1519239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2" name="Isosceles Triangle 131">
            <a:extLst>
              <a:ext uri="{FF2B5EF4-FFF2-40B4-BE49-F238E27FC236}">
                <a16:creationId xmlns:a16="http://schemas.microsoft.com/office/drawing/2014/main" id="{D1A20B9C-F5B8-45CC-B592-E65B9A9D5F7B}"/>
              </a:ext>
            </a:extLst>
          </xdr:cNvPr>
          <xdr:cNvSpPr/>
        </xdr:nvSpPr>
        <xdr:spPr>
          <a:xfrm>
            <a:off x="9000740" y="1514477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3" name="Straight Arrow Connector 132">
            <a:extLst>
              <a:ext uri="{FF2B5EF4-FFF2-40B4-BE49-F238E27FC236}">
                <a16:creationId xmlns:a16="http://schemas.microsoft.com/office/drawing/2014/main" id="{EF4D7C10-2C39-40AB-8A47-A62FA2D211A4}"/>
              </a:ext>
            </a:extLst>
          </xdr:cNvPr>
          <xdr:cNvCxnSpPr/>
        </xdr:nvCxnSpPr>
        <xdr:spPr>
          <a:xfrm>
            <a:off x="5019676" y="107156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Arrow Connector 133">
            <a:extLst>
              <a:ext uri="{FF2B5EF4-FFF2-40B4-BE49-F238E27FC236}">
                <a16:creationId xmlns:a16="http://schemas.microsoft.com/office/drawing/2014/main" id="{68EB715D-C9C3-40E3-967E-2DCD21CCB76F}"/>
              </a:ext>
            </a:extLst>
          </xdr:cNvPr>
          <xdr:cNvCxnSpPr/>
        </xdr:nvCxnSpPr>
        <xdr:spPr>
          <a:xfrm>
            <a:off x="5829301" y="107156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Arrow Connector 140">
            <a:extLst>
              <a:ext uri="{FF2B5EF4-FFF2-40B4-BE49-F238E27FC236}">
                <a16:creationId xmlns:a16="http://schemas.microsoft.com/office/drawing/2014/main" id="{4016D224-A9B5-4890-B21C-AEE421FC748C}"/>
              </a:ext>
            </a:extLst>
          </xdr:cNvPr>
          <xdr:cNvCxnSpPr/>
        </xdr:nvCxnSpPr>
        <xdr:spPr>
          <a:xfrm>
            <a:off x="6638926" y="107156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Arrow Connector 157">
            <a:extLst>
              <a:ext uri="{FF2B5EF4-FFF2-40B4-BE49-F238E27FC236}">
                <a16:creationId xmlns:a16="http://schemas.microsoft.com/office/drawing/2014/main" id="{FAACB7C3-9AFA-4BF4-B08E-B96BF837FCF9}"/>
              </a:ext>
            </a:extLst>
          </xdr:cNvPr>
          <xdr:cNvCxnSpPr/>
        </xdr:nvCxnSpPr>
        <xdr:spPr>
          <a:xfrm>
            <a:off x="7448551" y="107156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E7F28050-6164-422D-AF41-B66CFE96A5D6}"/>
              </a:ext>
            </a:extLst>
          </xdr:cNvPr>
          <xdr:cNvCxnSpPr/>
        </xdr:nvCxnSpPr>
        <xdr:spPr>
          <a:xfrm>
            <a:off x="3400425" y="209073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Arrow Connector 196">
            <a:extLst>
              <a:ext uri="{FF2B5EF4-FFF2-40B4-BE49-F238E27FC236}">
                <a16:creationId xmlns:a16="http://schemas.microsoft.com/office/drawing/2014/main" id="{363EDE82-5882-4343-821A-EBF7BBBA8388}"/>
              </a:ext>
            </a:extLst>
          </xdr:cNvPr>
          <xdr:cNvCxnSpPr/>
        </xdr:nvCxnSpPr>
        <xdr:spPr>
          <a:xfrm flipV="1">
            <a:off x="3400425" y="164782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761AF108-3DA7-44BD-8B62-279C3152188D}"/>
              </a:ext>
            </a:extLst>
          </xdr:cNvPr>
          <xdr:cNvCxnSpPr/>
        </xdr:nvCxnSpPr>
        <xdr:spPr>
          <a:xfrm>
            <a:off x="3319463" y="2219325"/>
            <a:ext cx="58007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F3A177BE-E725-4E93-9FD1-DE20A14EC99C}"/>
              </a:ext>
            </a:extLst>
          </xdr:cNvPr>
          <xdr:cNvCxnSpPr/>
        </xdr:nvCxnSpPr>
        <xdr:spPr>
          <a:xfrm flipH="1">
            <a:off x="3362317" y="21859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BABDC133-E4F2-4555-95F2-5A07382F177E}"/>
              </a:ext>
            </a:extLst>
          </xdr:cNvPr>
          <xdr:cNvCxnSpPr/>
        </xdr:nvCxnSpPr>
        <xdr:spPr>
          <a:xfrm>
            <a:off x="3319462" y="2505075"/>
            <a:ext cx="58007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9601209E-A545-48CD-8B21-2127AFFD9970}"/>
              </a:ext>
            </a:extLst>
          </xdr:cNvPr>
          <xdr:cNvCxnSpPr/>
        </xdr:nvCxnSpPr>
        <xdr:spPr>
          <a:xfrm flipH="1">
            <a:off x="3362324" y="24717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" name="Straight Connector 220">
            <a:extLst>
              <a:ext uri="{FF2B5EF4-FFF2-40B4-BE49-F238E27FC236}">
                <a16:creationId xmlns:a16="http://schemas.microsoft.com/office/drawing/2014/main" id="{EB93B723-EA39-4B89-A622-B1B3F93CEED0}"/>
              </a:ext>
            </a:extLst>
          </xdr:cNvPr>
          <xdr:cNvCxnSpPr/>
        </xdr:nvCxnSpPr>
        <xdr:spPr>
          <a:xfrm>
            <a:off x="9067800" y="209073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Straight Arrow Connector 258">
            <a:extLst>
              <a:ext uri="{FF2B5EF4-FFF2-40B4-BE49-F238E27FC236}">
                <a16:creationId xmlns:a16="http://schemas.microsoft.com/office/drawing/2014/main" id="{55F8AA17-7910-4A7C-B6A5-6F96E9E4DF4F}"/>
              </a:ext>
            </a:extLst>
          </xdr:cNvPr>
          <xdr:cNvCxnSpPr/>
        </xdr:nvCxnSpPr>
        <xdr:spPr>
          <a:xfrm flipV="1">
            <a:off x="9067797" y="164782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77DF3CC2-E981-48C1-82D7-F1882D31BAF5}"/>
              </a:ext>
            </a:extLst>
          </xdr:cNvPr>
          <xdr:cNvCxnSpPr/>
        </xdr:nvCxnSpPr>
        <xdr:spPr>
          <a:xfrm flipH="1">
            <a:off x="9029700" y="21859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Connector 260">
            <a:extLst>
              <a:ext uri="{FF2B5EF4-FFF2-40B4-BE49-F238E27FC236}">
                <a16:creationId xmlns:a16="http://schemas.microsoft.com/office/drawing/2014/main" id="{E312A5CC-1612-404F-B6A8-F2F71B27B0DD}"/>
              </a:ext>
            </a:extLst>
          </xdr:cNvPr>
          <xdr:cNvCxnSpPr/>
        </xdr:nvCxnSpPr>
        <xdr:spPr>
          <a:xfrm flipH="1">
            <a:off x="9029699" y="24717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Connector 265">
            <a:extLst>
              <a:ext uri="{FF2B5EF4-FFF2-40B4-BE49-F238E27FC236}">
                <a16:creationId xmlns:a16="http://schemas.microsoft.com/office/drawing/2014/main" id="{97C15321-6F92-4B2D-ADAB-9D17D2415C1A}"/>
              </a:ext>
            </a:extLst>
          </xdr:cNvPr>
          <xdr:cNvCxnSpPr/>
        </xdr:nvCxnSpPr>
        <xdr:spPr>
          <a:xfrm>
            <a:off x="4210052" y="180498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Connector 278">
            <a:extLst>
              <a:ext uri="{FF2B5EF4-FFF2-40B4-BE49-F238E27FC236}">
                <a16:creationId xmlns:a16="http://schemas.microsoft.com/office/drawing/2014/main" id="{0FE82D33-0720-4C2B-98C1-F9F0D554B527}"/>
              </a:ext>
            </a:extLst>
          </xdr:cNvPr>
          <xdr:cNvCxnSpPr/>
        </xdr:nvCxnSpPr>
        <xdr:spPr>
          <a:xfrm flipH="1">
            <a:off x="4171946" y="21859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Connector 279">
            <a:extLst>
              <a:ext uri="{FF2B5EF4-FFF2-40B4-BE49-F238E27FC236}">
                <a16:creationId xmlns:a16="http://schemas.microsoft.com/office/drawing/2014/main" id="{45DE4297-E5AF-49E1-BBBA-3C1AC8E4F287}"/>
              </a:ext>
            </a:extLst>
          </xdr:cNvPr>
          <xdr:cNvCxnSpPr/>
        </xdr:nvCxnSpPr>
        <xdr:spPr>
          <a:xfrm>
            <a:off x="5019677" y="180498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Connector 317">
            <a:extLst>
              <a:ext uri="{FF2B5EF4-FFF2-40B4-BE49-F238E27FC236}">
                <a16:creationId xmlns:a16="http://schemas.microsoft.com/office/drawing/2014/main" id="{317E9B1D-D550-4436-BAE6-71AA50FFC805}"/>
              </a:ext>
            </a:extLst>
          </xdr:cNvPr>
          <xdr:cNvCxnSpPr/>
        </xdr:nvCxnSpPr>
        <xdr:spPr>
          <a:xfrm flipH="1">
            <a:off x="4981571" y="21859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Connector 318">
            <a:extLst>
              <a:ext uri="{FF2B5EF4-FFF2-40B4-BE49-F238E27FC236}">
                <a16:creationId xmlns:a16="http://schemas.microsoft.com/office/drawing/2014/main" id="{0EBEAC89-C496-42DE-BDF1-0A2621933F3F}"/>
              </a:ext>
            </a:extLst>
          </xdr:cNvPr>
          <xdr:cNvCxnSpPr/>
        </xdr:nvCxnSpPr>
        <xdr:spPr>
          <a:xfrm>
            <a:off x="5829302" y="180498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Connector 319">
            <a:extLst>
              <a:ext uri="{FF2B5EF4-FFF2-40B4-BE49-F238E27FC236}">
                <a16:creationId xmlns:a16="http://schemas.microsoft.com/office/drawing/2014/main" id="{E7C2B0AE-80D1-4611-8130-C307B48EE3FE}"/>
              </a:ext>
            </a:extLst>
          </xdr:cNvPr>
          <xdr:cNvCxnSpPr/>
        </xdr:nvCxnSpPr>
        <xdr:spPr>
          <a:xfrm flipH="1">
            <a:off x="5791194" y="21859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" name="Straight Connector 320">
            <a:extLst>
              <a:ext uri="{FF2B5EF4-FFF2-40B4-BE49-F238E27FC236}">
                <a16:creationId xmlns:a16="http://schemas.microsoft.com/office/drawing/2014/main" id="{D009A5DA-A8C9-47A7-905C-522C7CE62CBB}"/>
              </a:ext>
            </a:extLst>
          </xdr:cNvPr>
          <xdr:cNvCxnSpPr/>
        </xdr:nvCxnSpPr>
        <xdr:spPr>
          <a:xfrm>
            <a:off x="6638927" y="180498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Straight Connector 321">
            <a:extLst>
              <a:ext uri="{FF2B5EF4-FFF2-40B4-BE49-F238E27FC236}">
                <a16:creationId xmlns:a16="http://schemas.microsoft.com/office/drawing/2014/main" id="{85565E60-6106-486F-9640-61CDB5809DF2}"/>
              </a:ext>
            </a:extLst>
          </xdr:cNvPr>
          <xdr:cNvCxnSpPr/>
        </xdr:nvCxnSpPr>
        <xdr:spPr>
          <a:xfrm flipH="1">
            <a:off x="6600819" y="21859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64FEEDD3-6FFA-4C0D-A3F7-C100349BE50D}"/>
              </a:ext>
            </a:extLst>
          </xdr:cNvPr>
          <xdr:cNvCxnSpPr/>
        </xdr:nvCxnSpPr>
        <xdr:spPr>
          <a:xfrm>
            <a:off x="7448552" y="180498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id="{CC96BDD0-50CA-41CE-855A-C436509B29C9}"/>
              </a:ext>
            </a:extLst>
          </xdr:cNvPr>
          <xdr:cNvCxnSpPr/>
        </xdr:nvCxnSpPr>
        <xdr:spPr>
          <a:xfrm flipH="1">
            <a:off x="7410446" y="21859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Arrow Connector 324">
            <a:extLst>
              <a:ext uri="{FF2B5EF4-FFF2-40B4-BE49-F238E27FC236}">
                <a16:creationId xmlns:a16="http://schemas.microsoft.com/office/drawing/2014/main" id="{83A6AA9A-61A3-4E5B-A5CB-2FDD565D8246}"/>
              </a:ext>
            </a:extLst>
          </xdr:cNvPr>
          <xdr:cNvCxnSpPr/>
        </xdr:nvCxnSpPr>
        <xdr:spPr>
          <a:xfrm>
            <a:off x="3409951" y="1790701"/>
            <a:ext cx="47624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Arrow Connector 362">
            <a:extLst>
              <a:ext uri="{FF2B5EF4-FFF2-40B4-BE49-F238E27FC236}">
                <a16:creationId xmlns:a16="http://schemas.microsoft.com/office/drawing/2014/main" id="{A0F017B6-C9F3-47F1-BEED-A86C4C37108E}"/>
              </a:ext>
            </a:extLst>
          </xdr:cNvPr>
          <xdr:cNvCxnSpPr/>
        </xdr:nvCxnSpPr>
        <xdr:spPr>
          <a:xfrm>
            <a:off x="8258176" y="1071563"/>
            <a:ext cx="0" cy="42862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Straight Connector 368">
            <a:extLst>
              <a:ext uri="{FF2B5EF4-FFF2-40B4-BE49-F238E27FC236}">
                <a16:creationId xmlns:a16="http://schemas.microsoft.com/office/drawing/2014/main" id="{92E0D786-185B-45DC-BA24-947B9E05815D}"/>
              </a:ext>
            </a:extLst>
          </xdr:cNvPr>
          <xdr:cNvCxnSpPr/>
        </xdr:nvCxnSpPr>
        <xdr:spPr>
          <a:xfrm>
            <a:off x="8258176" y="18049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" name="Straight Connector 369">
            <a:extLst>
              <a:ext uri="{FF2B5EF4-FFF2-40B4-BE49-F238E27FC236}">
                <a16:creationId xmlns:a16="http://schemas.microsoft.com/office/drawing/2014/main" id="{B6C71B28-7351-4BB4-8522-8AEDB08B6D1B}"/>
              </a:ext>
            </a:extLst>
          </xdr:cNvPr>
          <xdr:cNvCxnSpPr/>
        </xdr:nvCxnSpPr>
        <xdr:spPr>
          <a:xfrm flipH="1">
            <a:off x="8220070" y="21859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Arrow Connector 499">
            <a:extLst>
              <a:ext uri="{FF2B5EF4-FFF2-40B4-BE49-F238E27FC236}">
                <a16:creationId xmlns:a16="http://schemas.microsoft.com/office/drawing/2014/main" id="{E0751067-C3C5-4322-9F2F-E3364EA6C7B6}"/>
              </a:ext>
            </a:extLst>
          </xdr:cNvPr>
          <xdr:cNvCxnSpPr/>
        </xdr:nvCxnSpPr>
        <xdr:spPr>
          <a:xfrm>
            <a:off x="3400420" y="129539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Straight Connector 500">
            <a:extLst>
              <a:ext uri="{FF2B5EF4-FFF2-40B4-BE49-F238E27FC236}">
                <a16:creationId xmlns:a16="http://schemas.microsoft.com/office/drawing/2014/main" id="{9E882217-14A9-40D2-A1C3-9C3976B65C64}"/>
              </a:ext>
            </a:extLst>
          </xdr:cNvPr>
          <xdr:cNvCxnSpPr/>
        </xdr:nvCxnSpPr>
        <xdr:spPr>
          <a:xfrm>
            <a:off x="3400420" y="1295392"/>
            <a:ext cx="566738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Straight Arrow Connector 501">
            <a:extLst>
              <a:ext uri="{FF2B5EF4-FFF2-40B4-BE49-F238E27FC236}">
                <a16:creationId xmlns:a16="http://schemas.microsoft.com/office/drawing/2014/main" id="{805C14C8-F996-44F9-B130-4D22736FD655}"/>
              </a:ext>
            </a:extLst>
          </xdr:cNvPr>
          <xdr:cNvCxnSpPr/>
        </xdr:nvCxnSpPr>
        <xdr:spPr>
          <a:xfrm>
            <a:off x="3562345" y="129539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Straight Arrow Connector 502">
            <a:extLst>
              <a:ext uri="{FF2B5EF4-FFF2-40B4-BE49-F238E27FC236}">
                <a16:creationId xmlns:a16="http://schemas.microsoft.com/office/drawing/2014/main" id="{43F060CD-910D-4CDB-B859-8666C1AA043D}"/>
              </a:ext>
            </a:extLst>
          </xdr:cNvPr>
          <xdr:cNvCxnSpPr/>
        </xdr:nvCxnSpPr>
        <xdr:spPr>
          <a:xfrm>
            <a:off x="3724270" y="130015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Arrow Connector 503">
            <a:extLst>
              <a:ext uri="{FF2B5EF4-FFF2-40B4-BE49-F238E27FC236}">
                <a16:creationId xmlns:a16="http://schemas.microsoft.com/office/drawing/2014/main" id="{6175F320-44B0-4666-A4FB-68D839DDD150}"/>
              </a:ext>
            </a:extLst>
          </xdr:cNvPr>
          <xdr:cNvCxnSpPr/>
        </xdr:nvCxnSpPr>
        <xdr:spPr>
          <a:xfrm>
            <a:off x="4371971" y="129539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Straight Arrow Connector 504">
            <a:extLst>
              <a:ext uri="{FF2B5EF4-FFF2-40B4-BE49-F238E27FC236}">
                <a16:creationId xmlns:a16="http://schemas.microsoft.com/office/drawing/2014/main" id="{064F3659-11BD-4D3C-BC9E-E66EC8AA5C05}"/>
              </a:ext>
            </a:extLst>
          </xdr:cNvPr>
          <xdr:cNvCxnSpPr/>
        </xdr:nvCxnSpPr>
        <xdr:spPr>
          <a:xfrm>
            <a:off x="4533896" y="130015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" name="Straight Arrow Connector 505">
            <a:extLst>
              <a:ext uri="{FF2B5EF4-FFF2-40B4-BE49-F238E27FC236}">
                <a16:creationId xmlns:a16="http://schemas.microsoft.com/office/drawing/2014/main" id="{8B8037AB-72E1-4785-83A8-0BF2829190A9}"/>
              </a:ext>
            </a:extLst>
          </xdr:cNvPr>
          <xdr:cNvCxnSpPr/>
        </xdr:nvCxnSpPr>
        <xdr:spPr>
          <a:xfrm>
            <a:off x="5181598" y="129539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" name="Straight Arrow Connector 506">
            <a:extLst>
              <a:ext uri="{FF2B5EF4-FFF2-40B4-BE49-F238E27FC236}">
                <a16:creationId xmlns:a16="http://schemas.microsoft.com/office/drawing/2014/main" id="{73E5C531-6799-49B5-8C04-FFE2EE90485F}"/>
              </a:ext>
            </a:extLst>
          </xdr:cNvPr>
          <xdr:cNvCxnSpPr/>
        </xdr:nvCxnSpPr>
        <xdr:spPr>
          <a:xfrm>
            <a:off x="5343523" y="129539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Straight Arrow Connector 507">
            <a:extLst>
              <a:ext uri="{FF2B5EF4-FFF2-40B4-BE49-F238E27FC236}">
                <a16:creationId xmlns:a16="http://schemas.microsoft.com/office/drawing/2014/main" id="{C1DD5671-447F-46C1-B77D-85AE6009B892}"/>
              </a:ext>
            </a:extLst>
          </xdr:cNvPr>
          <xdr:cNvCxnSpPr/>
        </xdr:nvCxnSpPr>
        <xdr:spPr>
          <a:xfrm>
            <a:off x="5991229" y="130015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9" name="Straight Arrow Connector 508">
            <a:extLst>
              <a:ext uri="{FF2B5EF4-FFF2-40B4-BE49-F238E27FC236}">
                <a16:creationId xmlns:a16="http://schemas.microsoft.com/office/drawing/2014/main" id="{A8A5F073-8D1E-47D2-97B6-F25FCDBB8B98}"/>
              </a:ext>
            </a:extLst>
          </xdr:cNvPr>
          <xdr:cNvCxnSpPr/>
        </xdr:nvCxnSpPr>
        <xdr:spPr>
          <a:xfrm>
            <a:off x="6477005" y="1300152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0" name="Straight Arrow Connector 509">
            <a:extLst>
              <a:ext uri="{FF2B5EF4-FFF2-40B4-BE49-F238E27FC236}">
                <a16:creationId xmlns:a16="http://schemas.microsoft.com/office/drawing/2014/main" id="{BFBAF2D4-876D-439B-B346-931D8FAC617F}"/>
              </a:ext>
            </a:extLst>
          </xdr:cNvPr>
          <xdr:cNvCxnSpPr/>
        </xdr:nvCxnSpPr>
        <xdr:spPr>
          <a:xfrm>
            <a:off x="6800855" y="129538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" name="Straight Connector 510">
            <a:extLst>
              <a:ext uri="{FF2B5EF4-FFF2-40B4-BE49-F238E27FC236}">
                <a16:creationId xmlns:a16="http://schemas.microsoft.com/office/drawing/2014/main" id="{09580CE6-4253-4075-838C-C50079B55BF1}"/>
              </a:ext>
            </a:extLst>
          </xdr:cNvPr>
          <xdr:cNvCxnSpPr/>
        </xdr:nvCxnSpPr>
        <xdr:spPr>
          <a:xfrm flipH="1" flipV="1">
            <a:off x="6067435" y="1181092"/>
            <a:ext cx="85725" cy="1571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2" name="Straight Arrow Connector 511">
            <a:extLst>
              <a:ext uri="{FF2B5EF4-FFF2-40B4-BE49-F238E27FC236}">
                <a16:creationId xmlns:a16="http://schemas.microsoft.com/office/drawing/2014/main" id="{43DB000A-D831-46E7-9403-E6DA3BE38EA5}"/>
              </a:ext>
            </a:extLst>
          </xdr:cNvPr>
          <xdr:cNvCxnSpPr/>
        </xdr:nvCxnSpPr>
        <xdr:spPr>
          <a:xfrm>
            <a:off x="7286630" y="129538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" name="Straight Arrow Connector 512">
            <a:extLst>
              <a:ext uri="{FF2B5EF4-FFF2-40B4-BE49-F238E27FC236}">
                <a16:creationId xmlns:a16="http://schemas.microsoft.com/office/drawing/2014/main" id="{C00B36EA-36F1-4EB0-8988-C35348FE6A62}"/>
              </a:ext>
            </a:extLst>
          </xdr:cNvPr>
          <xdr:cNvCxnSpPr/>
        </xdr:nvCxnSpPr>
        <xdr:spPr>
          <a:xfrm>
            <a:off x="7610486" y="129538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Straight Arrow Connector 513">
            <a:extLst>
              <a:ext uri="{FF2B5EF4-FFF2-40B4-BE49-F238E27FC236}">
                <a16:creationId xmlns:a16="http://schemas.microsoft.com/office/drawing/2014/main" id="{A9723AC5-E722-43CB-8AAF-DFA957DF2F51}"/>
              </a:ext>
            </a:extLst>
          </xdr:cNvPr>
          <xdr:cNvCxnSpPr/>
        </xdr:nvCxnSpPr>
        <xdr:spPr>
          <a:xfrm>
            <a:off x="8096261" y="129538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5" name="Straight Arrow Connector 514">
            <a:extLst>
              <a:ext uri="{FF2B5EF4-FFF2-40B4-BE49-F238E27FC236}">
                <a16:creationId xmlns:a16="http://schemas.microsoft.com/office/drawing/2014/main" id="{A611E163-CF93-4503-8AED-3C36B732A1FE}"/>
              </a:ext>
            </a:extLst>
          </xdr:cNvPr>
          <xdr:cNvCxnSpPr/>
        </xdr:nvCxnSpPr>
        <xdr:spPr>
          <a:xfrm>
            <a:off x="8743967" y="130014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6" name="Straight Arrow Connector 515">
            <a:extLst>
              <a:ext uri="{FF2B5EF4-FFF2-40B4-BE49-F238E27FC236}">
                <a16:creationId xmlns:a16="http://schemas.microsoft.com/office/drawing/2014/main" id="{ADF02551-654A-47EC-A56F-A3ABA679DCB0}"/>
              </a:ext>
            </a:extLst>
          </xdr:cNvPr>
          <xdr:cNvCxnSpPr/>
        </xdr:nvCxnSpPr>
        <xdr:spPr>
          <a:xfrm>
            <a:off x="8905894" y="1295383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7" name="Straight Arrow Connector 516">
            <a:extLst>
              <a:ext uri="{FF2B5EF4-FFF2-40B4-BE49-F238E27FC236}">
                <a16:creationId xmlns:a16="http://schemas.microsoft.com/office/drawing/2014/main" id="{9F333303-4711-4197-8633-F5666CB04D74}"/>
              </a:ext>
            </a:extLst>
          </xdr:cNvPr>
          <xdr:cNvCxnSpPr/>
        </xdr:nvCxnSpPr>
        <xdr:spPr>
          <a:xfrm>
            <a:off x="9067816" y="129062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Arrow Connector 264">
            <a:extLst>
              <a:ext uri="{FF2B5EF4-FFF2-40B4-BE49-F238E27FC236}">
                <a16:creationId xmlns:a16="http://schemas.microsoft.com/office/drawing/2014/main" id="{B0B06134-3842-4332-BB40-CFA3E277011E}"/>
              </a:ext>
            </a:extLst>
          </xdr:cNvPr>
          <xdr:cNvCxnSpPr/>
        </xdr:nvCxnSpPr>
        <xdr:spPr>
          <a:xfrm>
            <a:off x="3886200" y="129540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Arrow Connector 266">
            <a:extLst>
              <a:ext uri="{FF2B5EF4-FFF2-40B4-BE49-F238E27FC236}">
                <a16:creationId xmlns:a16="http://schemas.microsoft.com/office/drawing/2014/main" id="{736D0FB9-4F84-4FD7-BEBA-1DE38B9564B4}"/>
              </a:ext>
            </a:extLst>
          </xdr:cNvPr>
          <xdr:cNvCxnSpPr/>
        </xdr:nvCxnSpPr>
        <xdr:spPr>
          <a:xfrm>
            <a:off x="4048125" y="130016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Straight Arrow Connector 267">
            <a:extLst>
              <a:ext uri="{FF2B5EF4-FFF2-40B4-BE49-F238E27FC236}">
                <a16:creationId xmlns:a16="http://schemas.microsoft.com/office/drawing/2014/main" id="{75F8EF25-F61D-457B-9611-EDB473FAEB1A}"/>
              </a:ext>
            </a:extLst>
          </xdr:cNvPr>
          <xdr:cNvCxnSpPr/>
        </xdr:nvCxnSpPr>
        <xdr:spPr>
          <a:xfrm>
            <a:off x="4695826" y="1295399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Arrow Connector 268">
            <a:extLst>
              <a:ext uri="{FF2B5EF4-FFF2-40B4-BE49-F238E27FC236}">
                <a16:creationId xmlns:a16="http://schemas.microsoft.com/office/drawing/2014/main" id="{F7614DAA-90A8-46A9-8E1B-D3A938CA78B4}"/>
              </a:ext>
            </a:extLst>
          </xdr:cNvPr>
          <xdr:cNvCxnSpPr/>
        </xdr:nvCxnSpPr>
        <xdr:spPr>
          <a:xfrm>
            <a:off x="4857751" y="1300163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Arrow Connector 269">
            <a:extLst>
              <a:ext uri="{FF2B5EF4-FFF2-40B4-BE49-F238E27FC236}">
                <a16:creationId xmlns:a16="http://schemas.microsoft.com/office/drawing/2014/main" id="{7317333C-BB32-4ECB-A41A-EB2A40D39911}"/>
              </a:ext>
            </a:extLst>
          </xdr:cNvPr>
          <xdr:cNvCxnSpPr/>
        </xdr:nvCxnSpPr>
        <xdr:spPr>
          <a:xfrm>
            <a:off x="5505451" y="1295399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Arrow Connector 270">
            <a:extLst>
              <a:ext uri="{FF2B5EF4-FFF2-40B4-BE49-F238E27FC236}">
                <a16:creationId xmlns:a16="http://schemas.microsoft.com/office/drawing/2014/main" id="{D59B2076-F3B8-4557-9214-88ECCE41449A}"/>
              </a:ext>
            </a:extLst>
          </xdr:cNvPr>
          <xdr:cNvCxnSpPr/>
        </xdr:nvCxnSpPr>
        <xdr:spPr>
          <a:xfrm>
            <a:off x="5667376" y="1300163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Arrow Connector 271">
            <a:extLst>
              <a:ext uri="{FF2B5EF4-FFF2-40B4-BE49-F238E27FC236}">
                <a16:creationId xmlns:a16="http://schemas.microsoft.com/office/drawing/2014/main" id="{75068CC8-61A7-43BB-8FC9-D9ECE49D7A45}"/>
              </a:ext>
            </a:extLst>
          </xdr:cNvPr>
          <xdr:cNvCxnSpPr/>
        </xdr:nvCxnSpPr>
        <xdr:spPr>
          <a:xfrm>
            <a:off x="6153151" y="129540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Arrow Connector 272">
            <a:extLst>
              <a:ext uri="{FF2B5EF4-FFF2-40B4-BE49-F238E27FC236}">
                <a16:creationId xmlns:a16="http://schemas.microsoft.com/office/drawing/2014/main" id="{4A421EE2-3F48-45C2-984E-136FF0401B9E}"/>
              </a:ext>
            </a:extLst>
          </xdr:cNvPr>
          <xdr:cNvCxnSpPr/>
        </xdr:nvCxnSpPr>
        <xdr:spPr>
          <a:xfrm>
            <a:off x="6315076" y="130016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Arrow Connector 273">
            <a:extLst>
              <a:ext uri="{FF2B5EF4-FFF2-40B4-BE49-F238E27FC236}">
                <a16:creationId xmlns:a16="http://schemas.microsoft.com/office/drawing/2014/main" id="{69FD2E3B-620F-4955-AFE4-ABA787A3045A}"/>
              </a:ext>
            </a:extLst>
          </xdr:cNvPr>
          <xdr:cNvCxnSpPr/>
        </xdr:nvCxnSpPr>
        <xdr:spPr>
          <a:xfrm>
            <a:off x="6962775" y="129540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Arrow Connector 274">
            <a:extLst>
              <a:ext uri="{FF2B5EF4-FFF2-40B4-BE49-F238E27FC236}">
                <a16:creationId xmlns:a16="http://schemas.microsoft.com/office/drawing/2014/main" id="{F5F9AAD9-6CF4-41C5-9CC7-481CF34C98D3}"/>
              </a:ext>
            </a:extLst>
          </xdr:cNvPr>
          <xdr:cNvCxnSpPr/>
        </xdr:nvCxnSpPr>
        <xdr:spPr>
          <a:xfrm>
            <a:off x="7124700" y="130016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Arrow Connector 275">
            <a:extLst>
              <a:ext uri="{FF2B5EF4-FFF2-40B4-BE49-F238E27FC236}">
                <a16:creationId xmlns:a16="http://schemas.microsoft.com/office/drawing/2014/main" id="{BD0464E4-7B13-41FB-A1DA-3FA1386C98FF}"/>
              </a:ext>
            </a:extLst>
          </xdr:cNvPr>
          <xdr:cNvCxnSpPr/>
        </xdr:nvCxnSpPr>
        <xdr:spPr>
          <a:xfrm>
            <a:off x="7772400" y="129540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Straight Arrow Connector 276">
            <a:extLst>
              <a:ext uri="{FF2B5EF4-FFF2-40B4-BE49-F238E27FC236}">
                <a16:creationId xmlns:a16="http://schemas.microsoft.com/office/drawing/2014/main" id="{AE367C20-AA2F-424A-842E-655F07A3F975}"/>
              </a:ext>
            </a:extLst>
          </xdr:cNvPr>
          <xdr:cNvCxnSpPr/>
        </xdr:nvCxnSpPr>
        <xdr:spPr>
          <a:xfrm>
            <a:off x="7934325" y="130016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Arrow Connector 277">
            <a:extLst>
              <a:ext uri="{FF2B5EF4-FFF2-40B4-BE49-F238E27FC236}">
                <a16:creationId xmlns:a16="http://schemas.microsoft.com/office/drawing/2014/main" id="{9713862B-F2A5-49C3-97B6-1331DCDE7597}"/>
              </a:ext>
            </a:extLst>
          </xdr:cNvPr>
          <xdr:cNvCxnSpPr/>
        </xdr:nvCxnSpPr>
        <xdr:spPr>
          <a:xfrm>
            <a:off x="8420100" y="129540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Arrow Connector 280">
            <a:extLst>
              <a:ext uri="{FF2B5EF4-FFF2-40B4-BE49-F238E27FC236}">
                <a16:creationId xmlns:a16="http://schemas.microsoft.com/office/drawing/2014/main" id="{CCE4A056-A95F-4256-BDF7-B09CF8366EB9}"/>
              </a:ext>
            </a:extLst>
          </xdr:cNvPr>
          <xdr:cNvCxnSpPr/>
        </xdr:nvCxnSpPr>
        <xdr:spPr>
          <a:xfrm>
            <a:off x="8582025" y="130016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161924</xdr:colOff>
      <xdr:row>347</xdr:row>
      <xdr:rowOff>76195</xdr:rowOff>
    </xdr:from>
    <xdr:to>
      <xdr:col>21</xdr:col>
      <xdr:colOff>161924</xdr:colOff>
      <xdr:row>349</xdr:row>
      <xdr:rowOff>4755</xdr:rowOff>
    </xdr:to>
    <xdr:cxnSp macro="">
      <xdr:nvCxnSpPr>
        <xdr:cNvPr id="294" name="Straight Arrow Connector 293">
          <a:extLst>
            <a:ext uri="{FF2B5EF4-FFF2-40B4-BE49-F238E27FC236}">
              <a16:creationId xmlns:a16="http://schemas.microsoft.com/office/drawing/2014/main" id="{465B6AC9-9506-4BAC-BE15-FCB0DE024A08}"/>
            </a:ext>
          </a:extLst>
        </xdr:cNvPr>
        <xdr:cNvCxnSpPr/>
      </xdr:nvCxnSpPr>
      <xdr:spPr>
        <a:xfrm>
          <a:off x="3562349" y="53044720"/>
          <a:ext cx="0" cy="21431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4763</xdr:colOff>
      <xdr:row>347</xdr:row>
      <xdr:rowOff>138113</xdr:rowOff>
    </xdr:from>
    <xdr:to>
      <xdr:col>21</xdr:col>
      <xdr:colOff>157163</xdr:colOff>
      <xdr:row>350</xdr:row>
      <xdr:rowOff>0</xdr:rowOff>
    </xdr:to>
    <xdr:sp macro="" textlink="">
      <xdr:nvSpPr>
        <xdr:cNvPr id="548" name="Rectangle 547">
          <a:extLst>
            <a:ext uri="{FF2B5EF4-FFF2-40B4-BE49-F238E27FC236}">
              <a16:creationId xmlns:a16="http://schemas.microsoft.com/office/drawing/2014/main" id="{6280DA67-977F-EEA7-17D6-6FAFB3281CA4}"/>
            </a:ext>
          </a:extLst>
        </xdr:cNvPr>
        <xdr:cNvSpPr/>
      </xdr:nvSpPr>
      <xdr:spPr>
        <a:xfrm>
          <a:off x="3405188" y="53106638"/>
          <a:ext cx="152400" cy="290512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0</xdr:colOff>
      <xdr:row>347</xdr:row>
      <xdr:rowOff>138113</xdr:rowOff>
    </xdr:from>
    <xdr:to>
      <xdr:col>22</xdr:col>
      <xdr:colOff>0</xdr:colOff>
      <xdr:row>350</xdr:row>
      <xdr:rowOff>4763</xdr:rowOff>
    </xdr:to>
    <xdr:cxnSp macro="">
      <xdr:nvCxnSpPr>
        <xdr:cNvPr id="534" name="Straight Connector 533">
          <a:extLst>
            <a:ext uri="{FF2B5EF4-FFF2-40B4-BE49-F238E27FC236}">
              <a16:creationId xmlns:a16="http://schemas.microsoft.com/office/drawing/2014/main" id="{F9701B5C-6924-A39E-00C4-CE03CF8E2EE4}"/>
            </a:ext>
          </a:extLst>
        </xdr:cNvPr>
        <xdr:cNvCxnSpPr/>
      </xdr:nvCxnSpPr>
      <xdr:spPr>
        <a:xfrm>
          <a:off x="3562350" y="53106638"/>
          <a:ext cx="0" cy="29527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349</xdr:row>
      <xdr:rowOff>0</xdr:rowOff>
    </xdr:from>
    <xdr:to>
      <xdr:col>32</xdr:col>
      <xdr:colOff>4763</xdr:colOff>
      <xdr:row>349</xdr:row>
      <xdr:rowOff>0</xdr:rowOff>
    </xdr:to>
    <xdr:cxnSp macro="">
      <xdr:nvCxnSpPr>
        <xdr:cNvPr id="537" name="Straight Connector 536">
          <a:extLst>
            <a:ext uri="{FF2B5EF4-FFF2-40B4-BE49-F238E27FC236}">
              <a16:creationId xmlns:a16="http://schemas.microsoft.com/office/drawing/2014/main" id="{833FD00F-937E-5C73-B472-25018A59336C}"/>
            </a:ext>
          </a:extLst>
        </xdr:cNvPr>
        <xdr:cNvCxnSpPr/>
      </xdr:nvCxnSpPr>
      <xdr:spPr>
        <a:xfrm>
          <a:off x="3562350" y="53254275"/>
          <a:ext cx="162401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345</xdr:row>
      <xdr:rowOff>0</xdr:rowOff>
    </xdr:from>
    <xdr:to>
      <xdr:col>32</xdr:col>
      <xdr:colOff>1</xdr:colOff>
      <xdr:row>348</xdr:row>
      <xdr:rowOff>138112</xdr:rowOff>
    </xdr:to>
    <xdr:cxnSp macro="">
      <xdr:nvCxnSpPr>
        <xdr:cNvPr id="561" name="Straight Arrow Connector 560">
          <a:extLst>
            <a:ext uri="{FF2B5EF4-FFF2-40B4-BE49-F238E27FC236}">
              <a16:creationId xmlns:a16="http://schemas.microsoft.com/office/drawing/2014/main" id="{A065ECCC-9B1A-A0A8-0F19-05D901AD6455}"/>
            </a:ext>
          </a:extLst>
        </xdr:cNvPr>
        <xdr:cNvCxnSpPr/>
      </xdr:nvCxnSpPr>
      <xdr:spPr>
        <a:xfrm>
          <a:off x="5181601" y="52682775"/>
          <a:ext cx="0" cy="566737"/>
        </a:xfrm>
        <a:prstGeom prst="straightConnector1">
          <a:avLst/>
        </a:prstGeom>
        <a:ln w="1587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347</xdr:row>
      <xdr:rowOff>71441</xdr:rowOff>
    </xdr:from>
    <xdr:to>
      <xdr:col>32</xdr:col>
      <xdr:colOff>0</xdr:colOff>
      <xdr:row>347</xdr:row>
      <xdr:rowOff>71441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743DA4EC-F52B-FEE2-D4BE-B968016BEC0F}"/>
            </a:ext>
          </a:extLst>
        </xdr:cNvPr>
        <xdr:cNvCxnSpPr/>
      </xdr:nvCxnSpPr>
      <xdr:spPr>
        <a:xfrm flipH="1">
          <a:off x="3562350" y="53039966"/>
          <a:ext cx="161925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</xdr:colOff>
      <xdr:row>347</xdr:row>
      <xdr:rowOff>71438</xdr:rowOff>
    </xdr:from>
    <xdr:to>
      <xdr:col>31</xdr:col>
      <xdr:colOff>1</xdr:colOff>
      <xdr:row>348</xdr:row>
      <xdr:rowOff>142873</xdr:rowOff>
    </xdr:to>
    <xdr:cxnSp macro="">
      <xdr:nvCxnSpPr>
        <xdr:cNvPr id="264" name="Straight Arrow Connector 263">
          <a:extLst>
            <a:ext uri="{FF2B5EF4-FFF2-40B4-BE49-F238E27FC236}">
              <a16:creationId xmlns:a16="http://schemas.microsoft.com/office/drawing/2014/main" id="{3BB71641-5F60-4220-8A49-FB81AFF8E1F0}"/>
            </a:ext>
          </a:extLst>
        </xdr:cNvPr>
        <xdr:cNvCxnSpPr/>
      </xdr:nvCxnSpPr>
      <xdr:spPr>
        <a:xfrm>
          <a:off x="5019676" y="53039963"/>
          <a:ext cx="0" cy="21431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347</xdr:row>
      <xdr:rowOff>76200</xdr:rowOff>
    </xdr:from>
    <xdr:to>
      <xdr:col>30</xdr:col>
      <xdr:colOff>1</xdr:colOff>
      <xdr:row>348</xdr:row>
      <xdr:rowOff>138112</xdr:rowOff>
    </xdr:to>
    <xdr:cxnSp macro="">
      <xdr:nvCxnSpPr>
        <xdr:cNvPr id="282" name="Straight Arrow Connector 281">
          <a:extLst>
            <a:ext uri="{FF2B5EF4-FFF2-40B4-BE49-F238E27FC236}">
              <a16:creationId xmlns:a16="http://schemas.microsoft.com/office/drawing/2014/main" id="{70D1B5E4-F716-4BB1-8DB7-BB71349B848E}"/>
            </a:ext>
          </a:extLst>
        </xdr:cNvPr>
        <xdr:cNvCxnSpPr/>
      </xdr:nvCxnSpPr>
      <xdr:spPr>
        <a:xfrm>
          <a:off x="4857751" y="53044725"/>
          <a:ext cx="0" cy="204787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</xdr:colOff>
      <xdr:row>347</xdr:row>
      <xdr:rowOff>71438</xdr:rowOff>
    </xdr:from>
    <xdr:to>
      <xdr:col>29</xdr:col>
      <xdr:colOff>1</xdr:colOff>
      <xdr:row>348</xdr:row>
      <xdr:rowOff>142873</xdr:rowOff>
    </xdr:to>
    <xdr:cxnSp macro="">
      <xdr:nvCxnSpPr>
        <xdr:cNvPr id="283" name="Straight Arrow Connector 282">
          <a:extLst>
            <a:ext uri="{FF2B5EF4-FFF2-40B4-BE49-F238E27FC236}">
              <a16:creationId xmlns:a16="http://schemas.microsoft.com/office/drawing/2014/main" id="{775785A2-EAB5-4789-8C69-5DEFBB40E0A9}"/>
            </a:ext>
          </a:extLst>
        </xdr:cNvPr>
        <xdr:cNvCxnSpPr/>
      </xdr:nvCxnSpPr>
      <xdr:spPr>
        <a:xfrm>
          <a:off x="4695826" y="53039963"/>
          <a:ext cx="0" cy="21431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</xdr:colOff>
      <xdr:row>347</xdr:row>
      <xdr:rowOff>71438</xdr:rowOff>
    </xdr:from>
    <xdr:to>
      <xdr:col>28</xdr:col>
      <xdr:colOff>2</xdr:colOff>
      <xdr:row>348</xdr:row>
      <xdr:rowOff>142873</xdr:rowOff>
    </xdr:to>
    <xdr:cxnSp macro="">
      <xdr:nvCxnSpPr>
        <xdr:cNvPr id="288" name="Straight Arrow Connector 287">
          <a:extLst>
            <a:ext uri="{FF2B5EF4-FFF2-40B4-BE49-F238E27FC236}">
              <a16:creationId xmlns:a16="http://schemas.microsoft.com/office/drawing/2014/main" id="{EF00A31A-1698-4599-A5A6-2426616D62E0}"/>
            </a:ext>
          </a:extLst>
        </xdr:cNvPr>
        <xdr:cNvCxnSpPr/>
      </xdr:nvCxnSpPr>
      <xdr:spPr>
        <a:xfrm>
          <a:off x="4533902" y="53039963"/>
          <a:ext cx="0" cy="21431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</xdr:colOff>
      <xdr:row>347</xdr:row>
      <xdr:rowOff>76200</xdr:rowOff>
    </xdr:from>
    <xdr:to>
      <xdr:col>27</xdr:col>
      <xdr:colOff>2</xdr:colOff>
      <xdr:row>348</xdr:row>
      <xdr:rowOff>138112</xdr:rowOff>
    </xdr:to>
    <xdr:cxnSp macro="">
      <xdr:nvCxnSpPr>
        <xdr:cNvPr id="289" name="Straight Arrow Connector 288">
          <a:extLst>
            <a:ext uri="{FF2B5EF4-FFF2-40B4-BE49-F238E27FC236}">
              <a16:creationId xmlns:a16="http://schemas.microsoft.com/office/drawing/2014/main" id="{03E65E65-7C4B-4E68-BD6E-817AC4F88480}"/>
            </a:ext>
          </a:extLst>
        </xdr:cNvPr>
        <xdr:cNvCxnSpPr/>
      </xdr:nvCxnSpPr>
      <xdr:spPr>
        <a:xfrm>
          <a:off x="4371977" y="53044725"/>
          <a:ext cx="0" cy="204787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</xdr:colOff>
      <xdr:row>347</xdr:row>
      <xdr:rowOff>71438</xdr:rowOff>
    </xdr:from>
    <xdr:to>
      <xdr:col>26</xdr:col>
      <xdr:colOff>2</xdr:colOff>
      <xdr:row>348</xdr:row>
      <xdr:rowOff>142873</xdr:rowOff>
    </xdr:to>
    <xdr:cxnSp macro="">
      <xdr:nvCxnSpPr>
        <xdr:cNvPr id="290" name="Straight Arrow Connector 289">
          <a:extLst>
            <a:ext uri="{FF2B5EF4-FFF2-40B4-BE49-F238E27FC236}">
              <a16:creationId xmlns:a16="http://schemas.microsoft.com/office/drawing/2014/main" id="{2CA630EB-DCC9-4088-A3B4-64D3D17406F4}"/>
            </a:ext>
          </a:extLst>
        </xdr:cNvPr>
        <xdr:cNvCxnSpPr/>
      </xdr:nvCxnSpPr>
      <xdr:spPr>
        <a:xfrm>
          <a:off x="4210052" y="53039963"/>
          <a:ext cx="0" cy="21431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</xdr:colOff>
      <xdr:row>347</xdr:row>
      <xdr:rowOff>76202</xdr:rowOff>
    </xdr:from>
    <xdr:to>
      <xdr:col>25</xdr:col>
      <xdr:colOff>2</xdr:colOff>
      <xdr:row>349</xdr:row>
      <xdr:rowOff>4762</xdr:rowOff>
    </xdr:to>
    <xdr:cxnSp macro="">
      <xdr:nvCxnSpPr>
        <xdr:cNvPr id="291" name="Straight Arrow Connector 290">
          <a:extLst>
            <a:ext uri="{FF2B5EF4-FFF2-40B4-BE49-F238E27FC236}">
              <a16:creationId xmlns:a16="http://schemas.microsoft.com/office/drawing/2014/main" id="{35A608B5-6D8A-4389-B7FE-CEBC3E65D09C}"/>
            </a:ext>
          </a:extLst>
        </xdr:cNvPr>
        <xdr:cNvCxnSpPr/>
      </xdr:nvCxnSpPr>
      <xdr:spPr>
        <a:xfrm>
          <a:off x="4048127" y="53044727"/>
          <a:ext cx="0" cy="21431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</xdr:colOff>
      <xdr:row>347</xdr:row>
      <xdr:rowOff>80964</xdr:rowOff>
    </xdr:from>
    <xdr:to>
      <xdr:col>24</xdr:col>
      <xdr:colOff>2</xdr:colOff>
      <xdr:row>349</xdr:row>
      <xdr:rowOff>1</xdr:rowOff>
    </xdr:to>
    <xdr:cxnSp macro="">
      <xdr:nvCxnSpPr>
        <xdr:cNvPr id="292" name="Straight Arrow Connector 291">
          <a:extLst>
            <a:ext uri="{FF2B5EF4-FFF2-40B4-BE49-F238E27FC236}">
              <a16:creationId xmlns:a16="http://schemas.microsoft.com/office/drawing/2014/main" id="{80105F58-4F20-4C82-8654-7B55845EDCF2}"/>
            </a:ext>
          </a:extLst>
        </xdr:cNvPr>
        <xdr:cNvCxnSpPr/>
      </xdr:nvCxnSpPr>
      <xdr:spPr>
        <a:xfrm>
          <a:off x="3886202" y="53049489"/>
          <a:ext cx="0" cy="204787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</xdr:colOff>
      <xdr:row>347</xdr:row>
      <xdr:rowOff>76202</xdr:rowOff>
    </xdr:from>
    <xdr:to>
      <xdr:col>23</xdr:col>
      <xdr:colOff>2</xdr:colOff>
      <xdr:row>349</xdr:row>
      <xdr:rowOff>4762</xdr:rowOff>
    </xdr:to>
    <xdr:cxnSp macro="">
      <xdr:nvCxnSpPr>
        <xdr:cNvPr id="293" name="Straight Arrow Connector 292">
          <a:extLst>
            <a:ext uri="{FF2B5EF4-FFF2-40B4-BE49-F238E27FC236}">
              <a16:creationId xmlns:a16="http://schemas.microsoft.com/office/drawing/2014/main" id="{443AD9E7-15B3-4965-8D02-C52FC963E85A}"/>
            </a:ext>
          </a:extLst>
        </xdr:cNvPr>
        <xdr:cNvCxnSpPr/>
      </xdr:nvCxnSpPr>
      <xdr:spPr>
        <a:xfrm>
          <a:off x="3724277" y="53044727"/>
          <a:ext cx="0" cy="21431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</xdr:colOff>
      <xdr:row>350</xdr:row>
      <xdr:rowOff>0</xdr:rowOff>
    </xdr:from>
    <xdr:to>
      <xdr:col>22</xdr:col>
      <xdr:colOff>1</xdr:colOff>
      <xdr:row>353</xdr:row>
      <xdr:rowOff>19050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162C7D12-A983-1525-60AF-C1A4E18F0E94}"/>
            </a:ext>
          </a:extLst>
        </xdr:cNvPr>
        <xdr:cNvCxnSpPr/>
      </xdr:nvCxnSpPr>
      <xdr:spPr>
        <a:xfrm>
          <a:off x="3562351" y="53397150"/>
          <a:ext cx="0" cy="447675"/>
        </a:xfrm>
        <a:prstGeom prst="line">
          <a:avLst/>
        </a:prstGeom>
        <a:ln w="15875">
          <a:solidFill>
            <a:schemeClr val="bg1">
              <a:lumMod val="50000"/>
            </a:schemeClr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95250</xdr:colOff>
      <xdr:row>352</xdr:row>
      <xdr:rowOff>0</xdr:rowOff>
    </xdr:from>
    <xdr:to>
      <xdr:col>32</xdr:col>
      <xdr:colOff>66675</xdr:colOff>
      <xdr:row>352</xdr:row>
      <xdr:rowOff>0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89AAB63-74C4-3EA4-9326-89DDBCBE5896}"/>
            </a:ext>
          </a:extLst>
        </xdr:cNvPr>
        <xdr:cNvCxnSpPr/>
      </xdr:nvCxnSpPr>
      <xdr:spPr>
        <a:xfrm>
          <a:off x="3495675" y="53682900"/>
          <a:ext cx="1752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123825</xdr:colOff>
      <xdr:row>351</xdr:row>
      <xdr:rowOff>104774</xdr:rowOff>
    </xdr:from>
    <xdr:to>
      <xdr:col>22</xdr:col>
      <xdr:colOff>38100</xdr:colOff>
      <xdr:row>352</xdr:row>
      <xdr:rowOff>38099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C0E2E248-1226-5BB3-8013-7664B5449DC4}"/>
            </a:ext>
          </a:extLst>
        </xdr:cNvPr>
        <xdr:cNvCxnSpPr/>
      </xdr:nvCxnSpPr>
      <xdr:spPr>
        <a:xfrm flipH="1">
          <a:off x="3524250" y="53644799"/>
          <a:ext cx="7620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</xdr:colOff>
      <xdr:row>349</xdr:row>
      <xdr:rowOff>104775</xdr:rowOff>
    </xdr:from>
    <xdr:to>
      <xdr:col>32</xdr:col>
      <xdr:colOff>2</xdr:colOff>
      <xdr:row>352</xdr:row>
      <xdr:rowOff>85722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A84AE1C2-9D73-4845-B8B6-DAD1E920FDEE}"/>
            </a:ext>
          </a:extLst>
        </xdr:cNvPr>
        <xdr:cNvCxnSpPr/>
      </xdr:nvCxnSpPr>
      <xdr:spPr>
        <a:xfrm>
          <a:off x="5181602" y="53359050"/>
          <a:ext cx="0" cy="4095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123826</xdr:colOff>
      <xdr:row>351</xdr:row>
      <xdr:rowOff>104774</xdr:rowOff>
    </xdr:from>
    <xdr:to>
      <xdr:col>32</xdr:col>
      <xdr:colOff>38101</xdr:colOff>
      <xdr:row>352</xdr:row>
      <xdr:rowOff>38099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88FA854F-7018-4B41-A00E-3EF7C59EF8A3}"/>
            </a:ext>
          </a:extLst>
        </xdr:cNvPr>
        <xdr:cNvCxnSpPr/>
      </xdr:nvCxnSpPr>
      <xdr:spPr>
        <a:xfrm flipH="1">
          <a:off x="5143501" y="53644799"/>
          <a:ext cx="7620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39625</xdr:colOff>
      <xdr:row>347</xdr:row>
      <xdr:rowOff>11051</xdr:rowOff>
    </xdr:from>
    <xdr:to>
      <xdr:col>23</xdr:col>
      <xdr:colOff>112774</xdr:colOff>
      <xdr:row>350</xdr:row>
      <xdr:rowOff>141350</xdr:rowOff>
    </xdr:to>
    <xdr:sp macro="" textlink="">
      <xdr:nvSpPr>
        <xdr:cNvPr id="304" name="Arc 303">
          <a:extLst>
            <a:ext uri="{FF2B5EF4-FFF2-40B4-BE49-F238E27FC236}">
              <a16:creationId xmlns:a16="http://schemas.microsoft.com/office/drawing/2014/main" id="{A2B7CB1E-2662-C031-55A4-DC262C590B76}"/>
            </a:ext>
          </a:extLst>
        </xdr:cNvPr>
        <xdr:cNvSpPr/>
      </xdr:nvSpPr>
      <xdr:spPr>
        <a:xfrm rot="13236075">
          <a:off x="3278125" y="52979576"/>
          <a:ext cx="558924" cy="558924"/>
        </a:xfrm>
        <a:prstGeom prst="arc">
          <a:avLst/>
        </a:prstGeom>
        <a:ln w="15875">
          <a:solidFill>
            <a:schemeClr val="bg1">
              <a:lumMod val="50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9525</xdr:colOff>
      <xdr:row>350</xdr:row>
      <xdr:rowOff>66675</xdr:rowOff>
    </xdr:from>
    <xdr:to>
      <xdr:col>23</xdr:col>
      <xdr:colOff>152400</xdr:colOff>
      <xdr:row>350</xdr:row>
      <xdr:rowOff>66675</xdr:rowOff>
    </xdr:to>
    <xdr:cxnSp macro="">
      <xdr:nvCxnSpPr>
        <xdr:cNvPr id="309" name="Straight Arrow Connector 308">
          <a:extLst>
            <a:ext uri="{FF2B5EF4-FFF2-40B4-BE49-F238E27FC236}">
              <a16:creationId xmlns:a16="http://schemas.microsoft.com/office/drawing/2014/main" id="{EE83F917-2102-FFF3-2F10-D17EF726CC6B}"/>
            </a:ext>
          </a:extLst>
        </xdr:cNvPr>
        <xdr:cNvCxnSpPr/>
      </xdr:nvCxnSpPr>
      <xdr:spPr>
        <a:xfrm>
          <a:off x="3571875" y="53463825"/>
          <a:ext cx="304800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33338</xdr:colOff>
      <xdr:row>346</xdr:row>
      <xdr:rowOff>114300</xdr:rowOff>
    </xdr:from>
    <xdr:to>
      <xdr:col>28</xdr:col>
      <xdr:colOff>0</xdr:colOff>
      <xdr:row>348</xdr:row>
      <xdr:rowOff>14288</xdr:rowOff>
    </xdr:to>
    <xdr:cxnSp macro="">
      <xdr:nvCxnSpPr>
        <xdr:cNvPr id="536" name="Straight Connector 535">
          <a:extLst>
            <a:ext uri="{FF2B5EF4-FFF2-40B4-BE49-F238E27FC236}">
              <a16:creationId xmlns:a16="http://schemas.microsoft.com/office/drawing/2014/main" id="{934BF85B-F317-4F02-AEC7-F38C0844E014}"/>
            </a:ext>
          </a:extLst>
        </xdr:cNvPr>
        <xdr:cNvCxnSpPr/>
      </xdr:nvCxnSpPr>
      <xdr:spPr>
        <a:xfrm>
          <a:off x="4405313" y="52939950"/>
          <a:ext cx="128587" cy="185738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343</xdr:row>
      <xdr:rowOff>66675</xdr:rowOff>
    </xdr:from>
    <xdr:to>
      <xdr:col>15</xdr:col>
      <xdr:colOff>57150</xdr:colOff>
      <xdr:row>357</xdr:row>
      <xdr:rowOff>76201</xdr:rowOff>
    </xdr:to>
    <xdr:grpSp>
      <xdr:nvGrpSpPr>
        <xdr:cNvPr id="523" name="Group 522">
          <a:extLst>
            <a:ext uri="{FF2B5EF4-FFF2-40B4-BE49-F238E27FC236}">
              <a16:creationId xmlns:a16="http://schemas.microsoft.com/office/drawing/2014/main" id="{0392E29D-E513-4FDC-947C-F1AA693286D2}"/>
            </a:ext>
          </a:extLst>
        </xdr:cNvPr>
        <xdr:cNvGrpSpPr/>
      </xdr:nvGrpSpPr>
      <xdr:grpSpPr>
        <a:xfrm>
          <a:off x="419100" y="52463700"/>
          <a:ext cx="2066925" cy="2009776"/>
          <a:chOff x="1066800" y="495299"/>
          <a:chExt cx="2066925" cy="2009776"/>
        </a:xfrm>
      </xdr:grpSpPr>
      <xdr:grpSp>
        <xdr:nvGrpSpPr>
          <xdr:cNvPr id="546" name="Group 545">
            <a:extLst>
              <a:ext uri="{FF2B5EF4-FFF2-40B4-BE49-F238E27FC236}">
                <a16:creationId xmlns:a16="http://schemas.microsoft.com/office/drawing/2014/main" id="{7CBF7FDF-13C1-C8D3-E28F-CE1CCFF07A95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311" name="Straight Connector 310">
              <a:extLst>
                <a:ext uri="{FF2B5EF4-FFF2-40B4-BE49-F238E27FC236}">
                  <a16:creationId xmlns:a16="http://schemas.microsoft.com/office/drawing/2014/main" id="{24F2E820-1318-4879-E0F2-1E18D0C29D56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2" name="Straight Connector 311">
              <a:extLst>
                <a:ext uri="{FF2B5EF4-FFF2-40B4-BE49-F238E27FC236}">
                  <a16:creationId xmlns:a16="http://schemas.microsoft.com/office/drawing/2014/main" id="{D7EE02BC-00E7-7391-47E8-F92D4ABFEE47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3" name="Straight Connector 312">
              <a:extLst>
                <a:ext uri="{FF2B5EF4-FFF2-40B4-BE49-F238E27FC236}">
                  <a16:creationId xmlns:a16="http://schemas.microsoft.com/office/drawing/2014/main" id="{43586B2D-03E2-C969-0301-962D06C92017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14" name="Arc 313">
              <a:extLst>
                <a:ext uri="{FF2B5EF4-FFF2-40B4-BE49-F238E27FC236}">
                  <a16:creationId xmlns:a16="http://schemas.microsoft.com/office/drawing/2014/main" id="{CC5767FC-A8D5-306C-037D-0EA39D245B1A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15" name="Straight Connector 314">
              <a:extLst>
                <a:ext uri="{FF2B5EF4-FFF2-40B4-BE49-F238E27FC236}">
                  <a16:creationId xmlns:a16="http://schemas.microsoft.com/office/drawing/2014/main" id="{FC333F2C-ECA2-D434-49F7-83FB60B9A1D9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6" name="Straight Connector 315">
              <a:extLst>
                <a:ext uri="{FF2B5EF4-FFF2-40B4-BE49-F238E27FC236}">
                  <a16:creationId xmlns:a16="http://schemas.microsoft.com/office/drawing/2014/main" id="{D9C3803A-17D4-FF82-A782-EEB9951D4C83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7" name="Straight Connector 316">
              <a:extLst>
                <a:ext uri="{FF2B5EF4-FFF2-40B4-BE49-F238E27FC236}">
                  <a16:creationId xmlns:a16="http://schemas.microsoft.com/office/drawing/2014/main" id="{6EC048FF-740D-D936-A8DA-4FF703A11960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1" name="Straight Connector 370">
              <a:extLst>
                <a:ext uri="{FF2B5EF4-FFF2-40B4-BE49-F238E27FC236}">
                  <a16:creationId xmlns:a16="http://schemas.microsoft.com/office/drawing/2014/main" id="{76AFED92-B62D-B41B-8779-D2BEFB3BB022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72" name="Arc 371">
              <a:extLst>
                <a:ext uri="{FF2B5EF4-FFF2-40B4-BE49-F238E27FC236}">
                  <a16:creationId xmlns:a16="http://schemas.microsoft.com/office/drawing/2014/main" id="{A2805371-DB45-0BDC-DB0D-09379D264701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73" name="Straight Connector 372">
              <a:extLst>
                <a:ext uri="{FF2B5EF4-FFF2-40B4-BE49-F238E27FC236}">
                  <a16:creationId xmlns:a16="http://schemas.microsoft.com/office/drawing/2014/main" id="{E8CCB1C2-4920-C97C-E53C-DD6229FBFD00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4" name="Straight Connector 373">
              <a:extLst>
                <a:ext uri="{FF2B5EF4-FFF2-40B4-BE49-F238E27FC236}">
                  <a16:creationId xmlns:a16="http://schemas.microsoft.com/office/drawing/2014/main" id="{35592DBE-7F79-94BE-1D07-914530A58178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5" name="Straight Connector 374">
              <a:extLst>
                <a:ext uri="{FF2B5EF4-FFF2-40B4-BE49-F238E27FC236}">
                  <a16:creationId xmlns:a16="http://schemas.microsoft.com/office/drawing/2014/main" id="{06E2AC40-28B3-47AE-BB79-202D414D7347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6" name="Straight Connector 375">
              <a:extLst>
                <a:ext uri="{FF2B5EF4-FFF2-40B4-BE49-F238E27FC236}">
                  <a16:creationId xmlns:a16="http://schemas.microsoft.com/office/drawing/2014/main" id="{BE223C3D-B353-5FC7-5422-2BA74AFFE976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6" name="Straight Connector 405">
              <a:extLst>
                <a:ext uri="{FF2B5EF4-FFF2-40B4-BE49-F238E27FC236}">
                  <a16:creationId xmlns:a16="http://schemas.microsoft.com/office/drawing/2014/main" id="{1F59EC23-6EFC-B645-87ED-3D35A49AB2A9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25" name="Arc 424">
              <a:extLst>
                <a:ext uri="{FF2B5EF4-FFF2-40B4-BE49-F238E27FC236}">
                  <a16:creationId xmlns:a16="http://schemas.microsoft.com/office/drawing/2014/main" id="{F70BE6C8-95BD-5932-9700-66BDCC295F90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27" name="Arc 426">
              <a:extLst>
                <a:ext uri="{FF2B5EF4-FFF2-40B4-BE49-F238E27FC236}">
                  <a16:creationId xmlns:a16="http://schemas.microsoft.com/office/drawing/2014/main" id="{D387C6C2-E986-C8EB-824B-0E424C132393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547" name="Straight Connector 546">
            <a:extLst>
              <a:ext uri="{FF2B5EF4-FFF2-40B4-BE49-F238E27FC236}">
                <a16:creationId xmlns:a16="http://schemas.microsoft.com/office/drawing/2014/main" id="{DC1D1276-6FB8-ED2D-8176-176EBCDD6F18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0" name="Straight Connector 559">
            <a:extLst>
              <a:ext uri="{FF2B5EF4-FFF2-40B4-BE49-F238E27FC236}">
                <a16:creationId xmlns:a16="http://schemas.microsoft.com/office/drawing/2014/main" id="{A30E197C-888D-8C95-04DD-1B8146A0FCDF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2" name="Straight Connector 561">
            <a:extLst>
              <a:ext uri="{FF2B5EF4-FFF2-40B4-BE49-F238E27FC236}">
                <a16:creationId xmlns:a16="http://schemas.microsoft.com/office/drawing/2014/main" id="{AF99CADD-CD97-FFF2-A36E-6BA04A463B43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Connector 574">
            <a:extLst>
              <a:ext uri="{FF2B5EF4-FFF2-40B4-BE49-F238E27FC236}">
                <a16:creationId xmlns:a16="http://schemas.microsoft.com/office/drawing/2014/main" id="{EE94C655-60A4-D75A-3084-C8577161CC61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03E4D0E1-D43D-6A36-156D-CB0C807A5E31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" name="Straight Connector 283">
            <a:extLst>
              <a:ext uri="{FF2B5EF4-FFF2-40B4-BE49-F238E27FC236}">
                <a16:creationId xmlns:a16="http://schemas.microsoft.com/office/drawing/2014/main" id="{E3F30ADB-1FA3-530B-904B-AD7030C9F49A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" name="Straight Connector 284">
            <a:extLst>
              <a:ext uri="{FF2B5EF4-FFF2-40B4-BE49-F238E27FC236}">
                <a16:creationId xmlns:a16="http://schemas.microsoft.com/office/drawing/2014/main" id="{F04B8A5F-CB79-8887-0482-375B883A930B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Straight Connector 285">
            <a:extLst>
              <a:ext uri="{FF2B5EF4-FFF2-40B4-BE49-F238E27FC236}">
                <a16:creationId xmlns:a16="http://schemas.microsoft.com/office/drawing/2014/main" id="{BAB2AE3C-3954-978D-04A1-8242515C816E}"/>
              </a:ext>
            </a:extLst>
          </xdr:cNvPr>
          <xdr:cNvCxnSpPr/>
        </xdr:nvCxnSpPr>
        <xdr:spPr>
          <a:xfrm>
            <a:off x="1395413" y="2428875"/>
            <a:ext cx="1447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" name="Straight Connector 286">
            <a:extLst>
              <a:ext uri="{FF2B5EF4-FFF2-40B4-BE49-F238E27FC236}">
                <a16:creationId xmlns:a16="http://schemas.microsoft.com/office/drawing/2014/main" id="{963A123A-C31D-CDEA-AAD9-A5458CA926A0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98E90AA5-6DDA-58C9-8E68-ED517ED1119D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Connector 295">
            <a:extLst>
              <a:ext uri="{FF2B5EF4-FFF2-40B4-BE49-F238E27FC236}">
                <a16:creationId xmlns:a16="http://schemas.microsoft.com/office/drawing/2014/main" id="{32E1730B-0266-9773-A5EE-083A178E2C0E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Straight Connector 297">
            <a:extLst>
              <a:ext uri="{FF2B5EF4-FFF2-40B4-BE49-F238E27FC236}">
                <a16:creationId xmlns:a16="http://schemas.microsoft.com/office/drawing/2014/main" id="{EABEDC2C-3040-B554-703B-767C4087FC80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3A125264-97DE-B55E-B359-017A6389F7A3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Connector 304">
            <a:extLst>
              <a:ext uri="{FF2B5EF4-FFF2-40B4-BE49-F238E27FC236}">
                <a16:creationId xmlns:a16="http://schemas.microsoft.com/office/drawing/2014/main" id="{544E3772-FD62-17E8-64C4-38E6BCD50065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Connector 305">
            <a:extLst>
              <a:ext uri="{FF2B5EF4-FFF2-40B4-BE49-F238E27FC236}">
                <a16:creationId xmlns:a16="http://schemas.microsoft.com/office/drawing/2014/main" id="{D648C542-8123-EFF5-FF80-39CEE84D241C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Connector 306">
            <a:extLst>
              <a:ext uri="{FF2B5EF4-FFF2-40B4-BE49-F238E27FC236}">
                <a16:creationId xmlns:a16="http://schemas.microsoft.com/office/drawing/2014/main" id="{42F71E46-FCD1-EFD2-4D22-55A67674F171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Straight Connector 307">
            <a:extLst>
              <a:ext uri="{FF2B5EF4-FFF2-40B4-BE49-F238E27FC236}">
                <a16:creationId xmlns:a16="http://schemas.microsoft.com/office/drawing/2014/main" id="{AC227B30-BF0B-D85B-3F21-87E950B059E1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95250</xdr:colOff>
      <xdr:row>384</xdr:row>
      <xdr:rowOff>66675</xdr:rowOff>
    </xdr:from>
    <xdr:to>
      <xdr:col>15</xdr:col>
      <xdr:colOff>57150</xdr:colOff>
      <xdr:row>398</xdr:row>
      <xdr:rowOff>76201</xdr:rowOff>
    </xdr:to>
    <xdr:grpSp>
      <xdr:nvGrpSpPr>
        <xdr:cNvPr id="614" name="Group 613">
          <a:extLst>
            <a:ext uri="{FF2B5EF4-FFF2-40B4-BE49-F238E27FC236}">
              <a16:creationId xmlns:a16="http://schemas.microsoft.com/office/drawing/2014/main" id="{0A3DA456-E776-42BD-9A6B-8F7D26689113}"/>
            </a:ext>
          </a:extLst>
        </xdr:cNvPr>
        <xdr:cNvGrpSpPr/>
      </xdr:nvGrpSpPr>
      <xdr:grpSpPr>
        <a:xfrm>
          <a:off x="419100" y="58807350"/>
          <a:ext cx="2066925" cy="2009776"/>
          <a:chOff x="1066800" y="495299"/>
          <a:chExt cx="2066925" cy="2009776"/>
        </a:xfrm>
      </xdr:grpSpPr>
      <xdr:grpSp>
        <xdr:nvGrpSpPr>
          <xdr:cNvPr id="615" name="Group 614">
            <a:extLst>
              <a:ext uri="{FF2B5EF4-FFF2-40B4-BE49-F238E27FC236}">
                <a16:creationId xmlns:a16="http://schemas.microsoft.com/office/drawing/2014/main" id="{4D955501-54DA-08E0-4514-BECCD50A36FB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633" name="Straight Connector 632">
              <a:extLst>
                <a:ext uri="{FF2B5EF4-FFF2-40B4-BE49-F238E27FC236}">
                  <a16:creationId xmlns:a16="http://schemas.microsoft.com/office/drawing/2014/main" id="{0CB7BB6F-5A5F-7518-F921-48CAA2FDB626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34" name="Straight Connector 633">
              <a:extLst>
                <a:ext uri="{FF2B5EF4-FFF2-40B4-BE49-F238E27FC236}">
                  <a16:creationId xmlns:a16="http://schemas.microsoft.com/office/drawing/2014/main" id="{612B0D5F-4923-6F25-55C8-CF98A37BBDBC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35" name="Straight Connector 634">
              <a:extLst>
                <a:ext uri="{FF2B5EF4-FFF2-40B4-BE49-F238E27FC236}">
                  <a16:creationId xmlns:a16="http://schemas.microsoft.com/office/drawing/2014/main" id="{C92349D3-5A71-C404-53FD-45D68A56DD82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36" name="Arc 635">
              <a:extLst>
                <a:ext uri="{FF2B5EF4-FFF2-40B4-BE49-F238E27FC236}">
                  <a16:creationId xmlns:a16="http://schemas.microsoft.com/office/drawing/2014/main" id="{BA4F8C8B-7C16-30F6-D2CA-279CA60EA9ED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637" name="Straight Connector 636">
              <a:extLst>
                <a:ext uri="{FF2B5EF4-FFF2-40B4-BE49-F238E27FC236}">
                  <a16:creationId xmlns:a16="http://schemas.microsoft.com/office/drawing/2014/main" id="{33E99A8C-44D2-3CE7-DF90-0944DEF14946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38" name="Straight Connector 637">
              <a:extLst>
                <a:ext uri="{FF2B5EF4-FFF2-40B4-BE49-F238E27FC236}">
                  <a16:creationId xmlns:a16="http://schemas.microsoft.com/office/drawing/2014/main" id="{F5D3D386-7D65-6AF0-6FB8-68BC14A18C30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39" name="Straight Connector 638">
              <a:extLst>
                <a:ext uri="{FF2B5EF4-FFF2-40B4-BE49-F238E27FC236}">
                  <a16:creationId xmlns:a16="http://schemas.microsoft.com/office/drawing/2014/main" id="{22F05608-8373-8830-252B-3ECE2F5A3445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40" name="Straight Connector 639">
              <a:extLst>
                <a:ext uri="{FF2B5EF4-FFF2-40B4-BE49-F238E27FC236}">
                  <a16:creationId xmlns:a16="http://schemas.microsoft.com/office/drawing/2014/main" id="{52B3611B-73C9-043F-419B-917C869C9D27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41" name="Arc 640">
              <a:extLst>
                <a:ext uri="{FF2B5EF4-FFF2-40B4-BE49-F238E27FC236}">
                  <a16:creationId xmlns:a16="http://schemas.microsoft.com/office/drawing/2014/main" id="{8235A661-819E-9AA7-3E7D-AEF47C46D236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642" name="Straight Connector 641">
              <a:extLst>
                <a:ext uri="{FF2B5EF4-FFF2-40B4-BE49-F238E27FC236}">
                  <a16:creationId xmlns:a16="http://schemas.microsoft.com/office/drawing/2014/main" id="{4A52AD71-7542-00C7-5D14-52BA77D0995E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43" name="Straight Connector 642">
              <a:extLst>
                <a:ext uri="{FF2B5EF4-FFF2-40B4-BE49-F238E27FC236}">
                  <a16:creationId xmlns:a16="http://schemas.microsoft.com/office/drawing/2014/main" id="{D30564AD-D7DA-EB22-971B-1A23E36DD2CF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44" name="Straight Connector 643">
              <a:extLst>
                <a:ext uri="{FF2B5EF4-FFF2-40B4-BE49-F238E27FC236}">
                  <a16:creationId xmlns:a16="http://schemas.microsoft.com/office/drawing/2014/main" id="{93A95435-4E88-8042-465A-43B1C9CC29F9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45" name="Straight Connector 644">
              <a:extLst>
                <a:ext uri="{FF2B5EF4-FFF2-40B4-BE49-F238E27FC236}">
                  <a16:creationId xmlns:a16="http://schemas.microsoft.com/office/drawing/2014/main" id="{F32DF8D4-A20B-F49F-ED4B-B813D0B821C2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46" name="Straight Connector 645">
              <a:extLst>
                <a:ext uri="{FF2B5EF4-FFF2-40B4-BE49-F238E27FC236}">
                  <a16:creationId xmlns:a16="http://schemas.microsoft.com/office/drawing/2014/main" id="{B97F1287-E432-EB90-034D-4F47F1C5F0AB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47" name="Arc 646">
              <a:extLst>
                <a:ext uri="{FF2B5EF4-FFF2-40B4-BE49-F238E27FC236}">
                  <a16:creationId xmlns:a16="http://schemas.microsoft.com/office/drawing/2014/main" id="{86E25B38-42CA-948E-58BB-36BC98CA0624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48" name="Arc 647">
              <a:extLst>
                <a:ext uri="{FF2B5EF4-FFF2-40B4-BE49-F238E27FC236}">
                  <a16:creationId xmlns:a16="http://schemas.microsoft.com/office/drawing/2014/main" id="{666F03DC-AE51-6B30-9062-D09B604606C0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616" name="Straight Connector 615">
            <a:extLst>
              <a:ext uri="{FF2B5EF4-FFF2-40B4-BE49-F238E27FC236}">
                <a16:creationId xmlns:a16="http://schemas.microsoft.com/office/drawing/2014/main" id="{A29D6688-43DA-2469-5862-DC73C1E81797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" name="Straight Connector 616">
            <a:extLst>
              <a:ext uri="{FF2B5EF4-FFF2-40B4-BE49-F238E27FC236}">
                <a16:creationId xmlns:a16="http://schemas.microsoft.com/office/drawing/2014/main" id="{1C31A287-D846-7BA3-973F-B826B66B553A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" name="Straight Connector 617">
            <a:extLst>
              <a:ext uri="{FF2B5EF4-FFF2-40B4-BE49-F238E27FC236}">
                <a16:creationId xmlns:a16="http://schemas.microsoft.com/office/drawing/2014/main" id="{ED0348ED-C57C-C3A1-241E-DED691FA032B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Straight Connector 618">
            <a:extLst>
              <a:ext uri="{FF2B5EF4-FFF2-40B4-BE49-F238E27FC236}">
                <a16:creationId xmlns:a16="http://schemas.microsoft.com/office/drawing/2014/main" id="{6B64F154-75B9-0CC2-C8BF-8A5D5A851056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" name="Straight Connector 619">
            <a:extLst>
              <a:ext uri="{FF2B5EF4-FFF2-40B4-BE49-F238E27FC236}">
                <a16:creationId xmlns:a16="http://schemas.microsoft.com/office/drawing/2014/main" id="{04E7A51B-E982-EC6D-8906-E656F6E940C8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Straight Connector 620">
            <a:extLst>
              <a:ext uri="{FF2B5EF4-FFF2-40B4-BE49-F238E27FC236}">
                <a16:creationId xmlns:a16="http://schemas.microsoft.com/office/drawing/2014/main" id="{2C48F8BC-431F-AB16-B3BE-A3317FDE9624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Straight Connector 621">
            <a:extLst>
              <a:ext uri="{FF2B5EF4-FFF2-40B4-BE49-F238E27FC236}">
                <a16:creationId xmlns:a16="http://schemas.microsoft.com/office/drawing/2014/main" id="{B11C4684-9974-86C9-EAB4-45640B159770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" name="Straight Connector 622">
            <a:extLst>
              <a:ext uri="{FF2B5EF4-FFF2-40B4-BE49-F238E27FC236}">
                <a16:creationId xmlns:a16="http://schemas.microsoft.com/office/drawing/2014/main" id="{51229B33-1AC4-75DD-3820-408A62058786}"/>
              </a:ext>
            </a:extLst>
          </xdr:cNvPr>
          <xdr:cNvCxnSpPr/>
        </xdr:nvCxnSpPr>
        <xdr:spPr>
          <a:xfrm>
            <a:off x="1395413" y="2428875"/>
            <a:ext cx="1447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" name="Straight Connector 623">
            <a:extLst>
              <a:ext uri="{FF2B5EF4-FFF2-40B4-BE49-F238E27FC236}">
                <a16:creationId xmlns:a16="http://schemas.microsoft.com/office/drawing/2014/main" id="{31158FE7-EC96-2BF0-EC64-8E6D809407F2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" name="Straight Connector 624">
            <a:extLst>
              <a:ext uri="{FF2B5EF4-FFF2-40B4-BE49-F238E27FC236}">
                <a16:creationId xmlns:a16="http://schemas.microsoft.com/office/drawing/2014/main" id="{0E789C96-60FE-23B3-E1BD-ED3FA832359A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" name="Straight Connector 625">
            <a:extLst>
              <a:ext uri="{FF2B5EF4-FFF2-40B4-BE49-F238E27FC236}">
                <a16:creationId xmlns:a16="http://schemas.microsoft.com/office/drawing/2014/main" id="{71A0CB17-35EC-2E03-6D5F-013EFE55B791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" name="Straight Connector 626">
            <a:extLst>
              <a:ext uri="{FF2B5EF4-FFF2-40B4-BE49-F238E27FC236}">
                <a16:creationId xmlns:a16="http://schemas.microsoft.com/office/drawing/2014/main" id="{012F21CD-CFD8-3B38-D0D8-394B2448BF59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Straight Connector 627">
            <a:extLst>
              <a:ext uri="{FF2B5EF4-FFF2-40B4-BE49-F238E27FC236}">
                <a16:creationId xmlns:a16="http://schemas.microsoft.com/office/drawing/2014/main" id="{C174B874-CF3A-98AC-5473-D9E672329BD4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" name="Straight Connector 628">
            <a:extLst>
              <a:ext uri="{FF2B5EF4-FFF2-40B4-BE49-F238E27FC236}">
                <a16:creationId xmlns:a16="http://schemas.microsoft.com/office/drawing/2014/main" id="{2D223E61-2048-9AE8-5D37-42130B79657A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" name="Straight Connector 629">
            <a:extLst>
              <a:ext uri="{FF2B5EF4-FFF2-40B4-BE49-F238E27FC236}">
                <a16:creationId xmlns:a16="http://schemas.microsoft.com/office/drawing/2014/main" id="{44765CE5-C18C-E349-3030-54F003BC345B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Straight Connector 630">
            <a:extLst>
              <a:ext uri="{FF2B5EF4-FFF2-40B4-BE49-F238E27FC236}">
                <a16:creationId xmlns:a16="http://schemas.microsoft.com/office/drawing/2014/main" id="{01E5F767-F011-46E3-5D80-2AF83C3A47FA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Straight Connector 631">
            <a:extLst>
              <a:ext uri="{FF2B5EF4-FFF2-40B4-BE49-F238E27FC236}">
                <a16:creationId xmlns:a16="http://schemas.microsoft.com/office/drawing/2014/main" id="{7E7A66AD-18F5-B2F7-C347-CED474A10560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123825</xdr:colOff>
      <xdr:row>385</xdr:row>
      <xdr:rowOff>114300</xdr:rowOff>
    </xdr:from>
    <xdr:to>
      <xdr:col>37</xdr:col>
      <xdr:colOff>153265</xdr:colOff>
      <xdr:row>396</xdr:row>
      <xdr:rowOff>66675</xdr:rowOff>
    </xdr:to>
    <xdr:grpSp>
      <xdr:nvGrpSpPr>
        <xdr:cNvPr id="579" name="Group 578">
          <a:extLst>
            <a:ext uri="{FF2B5EF4-FFF2-40B4-BE49-F238E27FC236}">
              <a16:creationId xmlns:a16="http://schemas.microsoft.com/office/drawing/2014/main" id="{34FD1646-9337-413A-A2A6-4B28C96A7645}"/>
            </a:ext>
          </a:extLst>
        </xdr:cNvPr>
        <xdr:cNvGrpSpPr/>
      </xdr:nvGrpSpPr>
      <xdr:grpSpPr>
        <a:xfrm>
          <a:off x="3038475" y="58997850"/>
          <a:ext cx="3106015" cy="1524000"/>
          <a:chOff x="3038475" y="48548925"/>
          <a:chExt cx="3106015" cy="1524000"/>
        </a:xfrm>
      </xdr:grpSpPr>
      <xdr:cxnSp macro="">
        <xdr:nvCxnSpPr>
          <xdr:cNvPr id="578" name="Straight Arrow Connector 577">
            <a:extLst>
              <a:ext uri="{FF2B5EF4-FFF2-40B4-BE49-F238E27FC236}">
                <a16:creationId xmlns:a16="http://schemas.microsoft.com/office/drawing/2014/main" id="{C4CD75C8-AE91-626D-4884-452C45668318}"/>
              </a:ext>
            </a:extLst>
          </xdr:cNvPr>
          <xdr:cNvCxnSpPr/>
        </xdr:nvCxnSpPr>
        <xdr:spPr>
          <a:xfrm>
            <a:off x="3400425" y="4890611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Straight Arrow Connector 596">
            <a:extLst>
              <a:ext uri="{FF2B5EF4-FFF2-40B4-BE49-F238E27FC236}">
                <a16:creationId xmlns:a16="http://schemas.microsoft.com/office/drawing/2014/main" id="{E4F6BDDB-4D07-4447-9E91-7E5B406592F4}"/>
              </a:ext>
            </a:extLst>
          </xdr:cNvPr>
          <xdr:cNvCxnSpPr/>
        </xdr:nvCxnSpPr>
        <xdr:spPr>
          <a:xfrm>
            <a:off x="5829300" y="4890135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13EF22C7-1EE0-46D9-B657-81CE1E4B125A}"/>
              </a:ext>
            </a:extLst>
          </xdr:cNvPr>
          <xdr:cNvSpPr/>
        </xdr:nvSpPr>
        <xdr:spPr>
          <a:xfrm>
            <a:off x="3243263" y="49006125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CD63BCE6-D62B-41F9-8AE3-5F462A746D1E}"/>
              </a:ext>
            </a:extLst>
          </xdr:cNvPr>
          <xdr:cNvSpPr/>
        </xdr:nvSpPr>
        <xdr:spPr>
          <a:xfrm>
            <a:off x="5843589" y="49006125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37" name="Straight Connector 436">
            <a:extLst>
              <a:ext uri="{FF2B5EF4-FFF2-40B4-BE49-F238E27FC236}">
                <a16:creationId xmlns:a16="http://schemas.microsoft.com/office/drawing/2014/main" id="{C5758D05-9F9E-4C75-A11D-8313B34F58B1}"/>
              </a:ext>
            </a:extLst>
          </xdr:cNvPr>
          <xdr:cNvCxnSpPr/>
        </xdr:nvCxnSpPr>
        <xdr:spPr>
          <a:xfrm>
            <a:off x="3400425" y="49006125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Straight Connector 437">
            <a:extLst>
              <a:ext uri="{FF2B5EF4-FFF2-40B4-BE49-F238E27FC236}">
                <a16:creationId xmlns:a16="http://schemas.microsoft.com/office/drawing/2014/main" id="{C0EB29A2-52C9-4AD8-9A81-9619136FFCAB}"/>
              </a:ext>
            </a:extLst>
          </xdr:cNvPr>
          <xdr:cNvCxnSpPr/>
        </xdr:nvCxnSpPr>
        <xdr:spPr>
          <a:xfrm>
            <a:off x="3400425" y="49149000"/>
            <a:ext cx="24288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Straight Connector 446">
            <a:extLst>
              <a:ext uri="{FF2B5EF4-FFF2-40B4-BE49-F238E27FC236}">
                <a16:creationId xmlns:a16="http://schemas.microsoft.com/office/drawing/2014/main" id="{C10F0790-0339-4013-B698-5B25F855DF66}"/>
              </a:ext>
            </a:extLst>
          </xdr:cNvPr>
          <xdr:cNvCxnSpPr/>
        </xdr:nvCxnSpPr>
        <xdr:spPr>
          <a:xfrm>
            <a:off x="5834068" y="49006125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Arrow Connector 579">
            <a:extLst>
              <a:ext uri="{FF2B5EF4-FFF2-40B4-BE49-F238E27FC236}">
                <a16:creationId xmlns:a16="http://schemas.microsoft.com/office/drawing/2014/main" id="{D2064585-F634-4A31-92C8-440EEA435E25}"/>
              </a:ext>
            </a:extLst>
          </xdr:cNvPr>
          <xdr:cNvCxnSpPr/>
        </xdr:nvCxnSpPr>
        <xdr:spPr>
          <a:xfrm>
            <a:off x="3562350" y="4890611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" name="Straight Arrow Connector 580">
            <a:extLst>
              <a:ext uri="{FF2B5EF4-FFF2-40B4-BE49-F238E27FC236}">
                <a16:creationId xmlns:a16="http://schemas.microsoft.com/office/drawing/2014/main" id="{C34CB11E-F469-4B04-BE9B-54A4B8671B4E}"/>
              </a:ext>
            </a:extLst>
          </xdr:cNvPr>
          <xdr:cNvCxnSpPr/>
        </xdr:nvCxnSpPr>
        <xdr:spPr>
          <a:xfrm>
            <a:off x="3724275" y="4890611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" name="Straight Arrow Connector 581">
            <a:extLst>
              <a:ext uri="{FF2B5EF4-FFF2-40B4-BE49-F238E27FC236}">
                <a16:creationId xmlns:a16="http://schemas.microsoft.com/office/drawing/2014/main" id="{70BCEE29-12EF-46A9-8C93-CF710F236C79}"/>
              </a:ext>
            </a:extLst>
          </xdr:cNvPr>
          <xdr:cNvCxnSpPr/>
        </xdr:nvCxnSpPr>
        <xdr:spPr>
          <a:xfrm>
            <a:off x="3886200" y="4890135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4" name="Straight Connector 583">
            <a:extLst>
              <a:ext uri="{FF2B5EF4-FFF2-40B4-BE49-F238E27FC236}">
                <a16:creationId xmlns:a16="http://schemas.microsoft.com/office/drawing/2014/main" id="{A2A5E25B-A034-DB71-91FF-421047AD85F3}"/>
              </a:ext>
            </a:extLst>
          </xdr:cNvPr>
          <xdr:cNvCxnSpPr/>
        </xdr:nvCxnSpPr>
        <xdr:spPr>
          <a:xfrm>
            <a:off x="3400426" y="48901350"/>
            <a:ext cx="24384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5" name="Straight Arrow Connector 584">
            <a:extLst>
              <a:ext uri="{FF2B5EF4-FFF2-40B4-BE49-F238E27FC236}">
                <a16:creationId xmlns:a16="http://schemas.microsoft.com/office/drawing/2014/main" id="{D8C37806-E6D0-4389-AB0E-D92485CE004D}"/>
              </a:ext>
            </a:extLst>
          </xdr:cNvPr>
          <xdr:cNvCxnSpPr/>
        </xdr:nvCxnSpPr>
        <xdr:spPr>
          <a:xfrm>
            <a:off x="4048125" y="4890611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Straight Arrow Connector 585">
            <a:extLst>
              <a:ext uri="{FF2B5EF4-FFF2-40B4-BE49-F238E27FC236}">
                <a16:creationId xmlns:a16="http://schemas.microsoft.com/office/drawing/2014/main" id="{ABD8D221-E2F2-4A76-BDF8-5B46D1EA06ED}"/>
              </a:ext>
            </a:extLst>
          </xdr:cNvPr>
          <xdr:cNvCxnSpPr/>
        </xdr:nvCxnSpPr>
        <xdr:spPr>
          <a:xfrm>
            <a:off x="4210050" y="4890611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" name="Straight Arrow Connector 586">
            <a:extLst>
              <a:ext uri="{FF2B5EF4-FFF2-40B4-BE49-F238E27FC236}">
                <a16:creationId xmlns:a16="http://schemas.microsoft.com/office/drawing/2014/main" id="{01A52083-7028-4804-BE1D-9CCD9A60EF59}"/>
              </a:ext>
            </a:extLst>
          </xdr:cNvPr>
          <xdr:cNvCxnSpPr/>
        </xdr:nvCxnSpPr>
        <xdr:spPr>
          <a:xfrm>
            <a:off x="4371975" y="4890135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Straight Arrow Connector 588">
            <a:extLst>
              <a:ext uri="{FF2B5EF4-FFF2-40B4-BE49-F238E27FC236}">
                <a16:creationId xmlns:a16="http://schemas.microsoft.com/office/drawing/2014/main" id="{9994936F-9167-4A67-A793-4FA26B0896FC}"/>
              </a:ext>
            </a:extLst>
          </xdr:cNvPr>
          <xdr:cNvCxnSpPr/>
        </xdr:nvCxnSpPr>
        <xdr:spPr>
          <a:xfrm>
            <a:off x="4533900" y="4890611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" name="Straight Arrow Connector 589">
            <a:extLst>
              <a:ext uri="{FF2B5EF4-FFF2-40B4-BE49-F238E27FC236}">
                <a16:creationId xmlns:a16="http://schemas.microsoft.com/office/drawing/2014/main" id="{67A9DA82-539F-42C0-8CF5-B3BFD2AB2943}"/>
              </a:ext>
            </a:extLst>
          </xdr:cNvPr>
          <xdr:cNvCxnSpPr/>
        </xdr:nvCxnSpPr>
        <xdr:spPr>
          <a:xfrm>
            <a:off x="4695825" y="4890611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" name="Straight Arrow Connector 590">
            <a:extLst>
              <a:ext uri="{FF2B5EF4-FFF2-40B4-BE49-F238E27FC236}">
                <a16:creationId xmlns:a16="http://schemas.microsoft.com/office/drawing/2014/main" id="{A02CE232-20AC-4051-8771-A93E0EEBC22E}"/>
              </a:ext>
            </a:extLst>
          </xdr:cNvPr>
          <xdr:cNvCxnSpPr/>
        </xdr:nvCxnSpPr>
        <xdr:spPr>
          <a:xfrm>
            <a:off x="4857750" y="4890611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Straight Arrow Connector 591">
            <a:extLst>
              <a:ext uri="{FF2B5EF4-FFF2-40B4-BE49-F238E27FC236}">
                <a16:creationId xmlns:a16="http://schemas.microsoft.com/office/drawing/2014/main" id="{2C7A6AA4-9AAC-4C71-90A2-60A60F6D82B9}"/>
              </a:ext>
            </a:extLst>
          </xdr:cNvPr>
          <xdr:cNvCxnSpPr/>
        </xdr:nvCxnSpPr>
        <xdr:spPr>
          <a:xfrm>
            <a:off x="5019675" y="4890135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" name="Straight Arrow Connector 592">
            <a:extLst>
              <a:ext uri="{FF2B5EF4-FFF2-40B4-BE49-F238E27FC236}">
                <a16:creationId xmlns:a16="http://schemas.microsoft.com/office/drawing/2014/main" id="{2E83DF0C-A802-4A3B-8709-3BD21B5833F0}"/>
              </a:ext>
            </a:extLst>
          </xdr:cNvPr>
          <xdr:cNvCxnSpPr/>
        </xdr:nvCxnSpPr>
        <xdr:spPr>
          <a:xfrm>
            <a:off x="5181600" y="4890611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Arrow Connector 593">
            <a:extLst>
              <a:ext uri="{FF2B5EF4-FFF2-40B4-BE49-F238E27FC236}">
                <a16:creationId xmlns:a16="http://schemas.microsoft.com/office/drawing/2014/main" id="{18B39004-2048-40D2-BF25-E5212C2384FA}"/>
              </a:ext>
            </a:extLst>
          </xdr:cNvPr>
          <xdr:cNvCxnSpPr/>
        </xdr:nvCxnSpPr>
        <xdr:spPr>
          <a:xfrm>
            <a:off x="5343525" y="4890611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Straight Arrow Connector 594">
            <a:extLst>
              <a:ext uri="{FF2B5EF4-FFF2-40B4-BE49-F238E27FC236}">
                <a16:creationId xmlns:a16="http://schemas.microsoft.com/office/drawing/2014/main" id="{698F4543-F2BF-4C01-8F35-2520379D57F5}"/>
              </a:ext>
            </a:extLst>
          </xdr:cNvPr>
          <xdr:cNvCxnSpPr/>
        </xdr:nvCxnSpPr>
        <xdr:spPr>
          <a:xfrm>
            <a:off x="5505450" y="4890135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" name="Straight Arrow Connector 595">
            <a:extLst>
              <a:ext uri="{FF2B5EF4-FFF2-40B4-BE49-F238E27FC236}">
                <a16:creationId xmlns:a16="http://schemas.microsoft.com/office/drawing/2014/main" id="{E30C92AB-6761-4A4F-A479-2DC15739B91B}"/>
              </a:ext>
            </a:extLst>
          </xdr:cNvPr>
          <xdr:cNvCxnSpPr/>
        </xdr:nvCxnSpPr>
        <xdr:spPr>
          <a:xfrm>
            <a:off x="5667375" y="4890611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Connector 597">
            <a:extLst>
              <a:ext uri="{FF2B5EF4-FFF2-40B4-BE49-F238E27FC236}">
                <a16:creationId xmlns:a16="http://schemas.microsoft.com/office/drawing/2014/main" id="{64A0BD88-7322-4CA0-914F-D963709296E9}"/>
              </a:ext>
            </a:extLst>
          </xdr:cNvPr>
          <xdr:cNvCxnSpPr/>
        </xdr:nvCxnSpPr>
        <xdr:spPr>
          <a:xfrm>
            <a:off x="4767263" y="48853728"/>
            <a:ext cx="85725" cy="12382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0" name="Arc 599">
            <a:extLst>
              <a:ext uri="{FF2B5EF4-FFF2-40B4-BE49-F238E27FC236}">
                <a16:creationId xmlns:a16="http://schemas.microsoft.com/office/drawing/2014/main" id="{5BB02D81-AB6E-1610-85D1-36116AF6709D}"/>
              </a:ext>
            </a:extLst>
          </xdr:cNvPr>
          <xdr:cNvSpPr/>
        </xdr:nvSpPr>
        <xdr:spPr>
          <a:xfrm rot="13409232">
            <a:off x="3075710" y="48876673"/>
            <a:ext cx="554180" cy="554180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01" name="Arc 600">
            <a:extLst>
              <a:ext uri="{FF2B5EF4-FFF2-40B4-BE49-F238E27FC236}">
                <a16:creationId xmlns:a16="http://schemas.microsoft.com/office/drawing/2014/main" id="{C1656B75-BC17-47A8-BBD0-F0EF440A0B10}"/>
              </a:ext>
            </a:extLst>
          </xdr:cNvPr>
          <xdr:cNvSpPr/>
        </xdr:nvSpPr>
        <xdr:spPr>
          <a:xfrm rot="2277610">
            <a:off x="5590310" y="48890960"/>
            <a:ext cx="554180" cy="554180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602" name="Straight Connector 601">
            <a:extLst>
              <a:ext uri="{FF2B5EF4-FFF2-40B4-BE49-F238E27FC236}">
                <a16:creationId xmlns:a16="http://schemas.microsoft.com/office/drawing/2014/main" id="{71709CBA-9F5E-41F2-B93C-6784BF46D9C6}"/>
              </a:ext>
            </a:extLst>
          </xdr:cNvPr>
          <xdr:cNvCxnSpPr/>
        </xdr:nvCxnSpPr>
        <xdr:spPr>
          <a:xfrm>
            <a:off x="3400426" y="49329972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Straight Arrow Connector 602">
            <a:extLst>
              <a:ext uri="{FF2B5EF4-FFF2-40B4-BE49-F238E27FC236}">
                <a16:creationId xmlns:a16="http://schemas.microsoft.com/office/drawing/2014/main" id="{AC35BA36-98C3-4835-AE12-677AEEE72C3A}"/>
              </a:ext>
            </a:extLst>
          </xdr:cNvPr>
          <xdr:cNvCxnSpPr/>
        </xdr:nvCxnSpPr>
        <xdr:spPr>
          <a:xfrm>
            <a:off x="3405187" y="49515712"/>
            <a:ext cx="433388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Connector 604">
            <a:extLst>
              <a:ext uri="{FF2B5EF4-FFF2-40B4-BE49-F238E27FC236}">
                <a16:creationId xmlns:a16="http://schemas.microsoft.com/office/drawing/2014/main" id="{8E92F194-43E8-4B55-CFF8-26C5C6ABEFE9}"/>
              </a:ext>
            </a:extLst>
          </xdr:cNvPr>
          <xdr:cNvCxnSpPr/>
        </xdr:nvCxnSpPr>
        <xdr:spPr>
          <a:xfrm>
            <a:off x="3400425" y="49868138"/>
            <a:ext cx="0" cy="204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Connector 606">
            <a:extLst>
              <a:ext uri="{FF2B5EF4-FFF2-40B4-BE49-F238E27FC236}">
                <a16:creationId xmlns:a16="http://schemas.microsoft.com/office/drawing/2014/main" id="{B928A7F8-FD98-4A56-1C0A-77195655F61A}"/>
              </a:ext>
            </a:extLst>
          </xdr:cNvPr>
          <xdr:cNvCxnSpPr/>
        </xdr:nvCxnSpPr>
        <xdr:spPr>
          <a:xfrm>
            <a:off x="3324223" y="50006250"/>
            <a:ext cx="2571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Straight Connector 608">
            <a:extLst>
              <a:ext uri="{FF2B5EF4-FFF2-40B4-BE49-F238E27FC236}">
                <a16:creationId xmlns:a16="http://schemas.microsoft.com/office/drawing/2014/main" id="{B8A8964D-BE94-0EB4-34A7-8B8AEF309746}"/>
              </a:ext>
            </a:extLst>
          </xdr:cNvPr>
          <xdr:cNvCxnSpPr/>
        </xdr:nvCxnSpPr>
        <xdr:spPr>
          <a:xfrm flipH="1">
            <a:off x="3362324" y="4997291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Straight Connector 610">
            <a:extLst>
              <a:ext uri="{FF2B5EF4-FFF2-40B4-BE49-F238E27FC236}">
                <a16:creationId xmlns:a16="http://schemas.microsoft.com/office/drawing/2014/main" id="{291C2050-9873-4C1A-B9B4-467C590369D5}"/>
              </a:ext>
            </a:extLst>
          </xdr:cNvPr>
          <xdr:cNvCxnSpPr/>
        </xdr:nvCxnSpPr>
        <xdr:spPr>
          <a:xfrm>
            <a:off x="5829300" y="49868138"/>
            <a:ext cx="0" cy="204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" name="Straight Connector 611">
            <a:extLst>
              <a:ext uri="{FF2B5EF4-FFF2-40B4-BE49-F238E27FC236}">
                <a16:creationId xmlns:a16="http://schemas.microsoft.com/office/drawing/2014/main" id="{FF0F31EF-DFAD-42AB-8E71-7AAD7B93526A}"/>
              </a:ext>
            </a:extLst>
          </xdr:cNvPr>
          <xdr:cNvCxnSpPr/>
        </xdr:nvCxnSpPr>
        <xdr:spPr>
          <a:xfrm flipH="1">
            <a:off x="5791199" y="4997291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Straight Connector 612">
            <a:extLst>
              <a:ext uri="{FF2B5EF4-FFF2-40B4-BE49-F238E27FC236}">
                <a16:creationId xmlns:a16="http://schemas.microsoft.com/office/drawing/2014/main" id="{BCBE7357-7F79-45DC-92DE-F7EB6904D952}"/>
              </a:ext>
            </a:extLst>
          </xdr:cNvPr>
          <xdr:cNvCxnSpPr/>
        </xdr:nvCxnSpPr>
        <xdr:spPr>
          <a:xfrm>
            <a:off x="5834063" y="49315685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Straight Connector 648">
            <a:extLst>
              <a:ext uri="{FF2B5EF4-FFF2-40B4-BE49-F238E27FC236}">
                <a16:creationId xmlns:a16="http://schemas.microsoft.com/office/drawing/2014/main" id="{4690FD66-0F43-49CA-BD6E-13C603D5D898}"/>
              </a:ext>
            </a:extLst>
          </xdr:cNvPr>
          <xdr:cNvCxnSpPr/>
        </xdr:nvCxnSpPr>
        <xdr:spPr>
          <a:xfrm>
            <a:off x="3038475" y="48548925"/>
            <a:ext cx="962025" cy="6000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80963</xdr:colOff>
      <xdr:row>490</xdr:row>
      <xdr:rowOff>138113</xdr:rowOff>
    </xdr:from>
    <xdr:to>
      <xdr:col>41</xdr:col>
      <xdr:colOff>76535</xdr:colOff>
      <xdr:row>498</xdr:row>
      <xdr:rowOff>76200</xdr:rowOff>
    </xdr:to>
    <xdr:grpSp>
      <xdr:nvGrpSpPr>
        <xdr:cNvPr id="736" name="Group 735">
          <a:extLst>
            <a:ext uri="{FF2B5EF4-FFF2-40B4-BE49-F238E27FC236}">
              <a16:creationId xmlns:a16="http://schemas.microsoft.com/office/drawing/2014/main" id="{4B066987-D64F-42F9-2B02-C7D2186F7F54}"/>
            </a:ext>
          </a:extLst>
        </xdr:cNvPr>
        <xdr:cNvGrpSpPr/>
      </xdr:nvGrpSpPr>
      <xdr:grpSpPr>
        <a:xfrm>
          <a:off x="4291013" y="74995088"/>
          <a:ext cx="2424447" cy="1081087"/>
          <a:chOff x="4291013" y="67851338"/>
          <a:chExt cx="2424447" cy="1081087"/>
        </a:xfrm>
      </xdr:grpSpPr>
      <xdr:cxnSp macro="">
        <xdr:nvCxnSpPr>
          <xdr:cNvPr id="788" name="Straight Connector 787">
            <a:extLst>
              <a:ext uri="{FF2B5EF4-FFF2-40B4-BE49-F238E27FC236}">
                <a16:creationId xmlns:a16="http://schemas.microsoft.com/office/drawing/2014/main" id="{4419702E-F150-4372-9032-E76CDDEE2966}"/>
              </a:ext>
            </a:extLst>
          </xdr:cNvPr>
          <xdr:cNvCxnSpPr/>
        </xdr:nvCxnSpPr>
        <xdr:spPr>
          <a:xfrm>
            <a:off x="4367213" y="68141850"/>
            <a:ext cx="2281237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0" name="Isosceles Triangle 789">
            <a:extLst>
              <a:ext uri="{FF2B5EF4-FFF2-40B4-BE49-F238E27FC236}">
                <a16:creationId xmlns:a16="http://schemas.microsoft.com/office/drawing/2014/main" id="{FF6938F2-129C-4E35-93DE-34975F7A432F}"/>
              </a:ext>
            </a:extLst>
          </xdr:cNvPr>
          <xdr:cNvSpPr/>
        </xdr:nvSpPr>
        <xdr:spPr>
          <a:xfrm>
            <a:off x="4300157" y="68156139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91" name="Isosceles Triangle 790">
            <a:extLst>
              <a:ext uri="{FF2B5EF4-FFF2-40B4-BE49-F238E27FC236}">
                <a16:creationId xmlns:a16="http://schemas.microsoft.com/office/drawing/2014/main" id="{11B8F125-2AFB-4D26-8E87-E6CADAFDF57B}"/>
              </a:ext>
            </a:extLst>
          </xdr:cNvPr>
          <xdr:cNvSpPr/>
        </xdr:nvSpPr>
        <xdr:spPr>
          <a:xfrm>
            <a:off x="6571824" y="68151377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92" name="Straight Connector 791">
            <a:extLst>
              <a:ext uri="{FF2B5EF4-FFF2-40B4-BE49-F238E27FC236}">
                <a16:creationId xmlns:a16="http://schemas.microsoft.com/office/drawing/2014/main" id="{7EBFEF9B-7461-4E02-B75E-53B40C688732}"/>
              </a:ext>
            </a:extLst>
          </xdr:cNvPr>
          <xdr:cNvCxnSpPr/>
        </xdr:nvCxnSpPr>
        <xdr:spPr>
          <a:xfrm>
            <a:off x="4371975" y="68727638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Straight Arrow Connector 792">
            <a:extLst>
              <a:ext uri="{FF2B5EF4-FFF2-40B4-BE49-F238E27FC236}">
                <a16:creationId xmlns:a16="http://schemas.microsoft.com/office/drawing/2014/main" id="{BFD4A3AB-1625-46A4-8E0B-518529ED507C}"/>
              </a:ext>
            </a:extLst>
          </xdr:cNvPr>
          <xdr:cNvCxnSpPr/>
        </xdr:nvCxnSpPr>
        <xdr:spPr>
          <a:xfrm flipV="1">
            <a:off x="4371975" y="6828472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" name="Straight Connector 793">
            <a:extLst>
              <a:ext uri="{FF2B5EF4-FFF2-40B4-BE49-F238E27FC236}">
                <a16:creationId xmlns:a16="http://schemas.microsoft.com/office/drawing/2014/main" id="{CDF64B31-B4FC-4CED-BD2A-FC63344B664A}"/>
              </a:ext>
            </a:extLst>
          </xdr:cNvPr>
          <xdr:cNvCxnSpPr/>
        </xdr:nvCxnSpPr>
        <xdr:spPr>
          <a:xfrm>
            <a:off x="4291013" y="68856225"/>
            <a:ext cx="24050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" name="Straight Connector 794">
            <a:extLst>
              <a:ext uri="{FF2B5EF4-FFF2-40B4-BE49-F238E27FC236}">
                <a16:creationId xmlns:a16="http://schemas.microsoft.com/office/drawing/2014/main" id="{C47FB2A3-5252-4002-83C4-D2C26B733D18}"/>
              </a:ext>
            </a:extLst>
          </xdr:cNvPr>
          <xdr:cNvCxnSpPr/>
        </xdr:nvCxnSpPr>
        <xdr:spPr>
          <a:xfrm flipH="1">
            <a:off x="4333868" y="688228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" name="Straight Connector 797">
            <a:extLst>
              <a:ext uri="{FF2B5EF4-FFF2-40B4-BE49-F238E27FC236}">
                <a16:creationId xmlns:a16="http://schemas.microsoft.com/office/drawing/2014/main" id="{21ADBE1D-056F-42E1-ABB8-9FA129D00EAD}"/>
              </a:ext>
            </a:extLst>
          </xdr:cNvPr>
          <xdr:cNvCxnSpPr/>
        </xdr:nvCxnSpPr>
        <xdr:spPr>
          <a:xfrm>
            <a:off x="6638890" y="68727638"/>
            <a:ext cx="0" cy="204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" name="Straight Arrow Connector 798">
            <a:extLst>
              <a:ext uri="{FF2B5EF4-FFF2-40B4-BE49-F238E27FC236}">
                <a16:creationId xmlns:a16="http://schemas.microsoft.com/office/drawing/2014/main" id="{AA92C6A2-8F57-447E-9A72-D6B2A53EF86D}"/>
              </a:ext>
            </a:extLst>
          </xdr:cNvPr>
          <xdr:cNvCxnSpPr/>
        </xdr:nvCxnSpPr>
        <xdr:spPr>
          <a:xfrm flipV="1">
            <a:off x="6638881" y="6828472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" name="Straight Connector 799">
            <a:extLst>
              <a:ext uri="{FF2B5EF4-FFF2-40B4-BE49-F238E27FC236}">
                <a16:creationId xmlns:a16="http://schemas.microsoft.com/office/drawing/2014/main" id="{C9556E2D-5CF0-427A-9FA9-B7C3659EDD1A}"/>
              </a:ext>
            </a:extLst>
          </xdr:cNvPr>
          <xdr:cNvCxnSpPr/>
        </xdr:nvCxnSpPr>
        <xdr:spPr>
          <a:xfrm flipH="1">
            <a:off x="6600790" y="688228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" name="Straight Arrow Connector 803">
            <a:extLst>
              <a:ext uri="{FF2B5EF4-FFF2-40B4-BE49-F238E27FC236}">
                <a16:creationId xmlns:a16="http://schemas.microsoft.com/office/drawing/2014/main" id="{CD5DA8E8-26C9-43E6-B853-83ABE7067F9C}"/>
              </a:ext>
            </a:extLst>
          </xdr:cNvPr>
          <xdr:cNvCxnSpPr/>
        </xdr:nvCxnSpPr>
        <xdr:spPr>
          <a:xfrm>
            <a:off x="4381501" y="68427601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" name="Straight Arrow Connector 805">
            <a:extLst>
              <a:ext uri="{FF2B5EF4-FFF2-40B4-BE49-F238E27FC236}">
                <a16:creationId xmlns:a16="http://schemas.microsoft.com/office/drawing/2014/main" id="{ADAAC8C5-09C9-467A-B7E6-BC54BD83F27C}"/>
              </a:ext>
            </a:extLst>
          </xdr:cNvPr>
          <xdr:cNvCxnSpPr/>
        </xdr:nvCxnSpPr>
        <xdr:spPr>
          <a:xfrm>
            <a:off x="4371975" y="679227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" name="Straight Connector 806">
            <a:extLst>
              <a:ext uri="{FF2B5EF4-FFF2-40B4-BE49-F238E27FC236}">
                <a16:creationId xmlns:a16="http://schemas.microsoft.com/office/drawing/2014/main" id="{F933B535-AB76-4672-BC98-582965362939}"/>
              </a:ext>
            </a:extLst>
          </xdr:cNvPr>
          <xdr:cNvCxnSpPr/>
        </xdr:nvCxnSpPr>
        <xdr:spPr>
          <a:xfrm>
            <a:off x="4371975" y="67922775"/>
            <a:ext cx="227647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" name="Straight Arrow Connector 807">
            <a:extLst>
              <a:ext uri="{FF2B5EF4-FFF2-40B4-BE49-F238E27FC236}">
                <a16:creationId xmlns:a16="http://schemas.microsoft.com/office/drawing/2014/main" id="{42DD87E5-D90A-448F-9FAD-F52B710ECB04}"/>
              </a:ext>
            </a:extLst>
          </xdr:cNvPr>
          <xdr:cNvCxnSpPr/>
        </xdr:nvCxnSpPr>
        <xdr:spPr>
          <a:xfrm>
            <a:off x="4533900" y="679227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" name="Straight Arrow Connector 808">
            <a:extLst>
              <a:ext uri="{FF2B5EF4-FFF2-40B4-BE49-F238E27FC236}">
                <a16:creationId xmlns:a16="http://schemas.microsoft.com/office/drawing/2014/main" id="{8040CE3C-5E97-40B4-A7D2-5981FA5AB95C}"/>
              </a:ext>
            </a:extLst>
          </xdr:cNvPr>
          <xdr:cNvCxnSpPr/>
        </xdr:nvCxnSpPr>
        <xdr:spPr>
          <a:xfrm>
            <a:off x="5343525" y="67927539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" name="Straight Arrow Connector 809">
            <a:extLst>
              <a:ext uri="{FF2B5EF4-FFF2-40B4-BE49-F238E27FC236}">
                <a16:creationId xmlns:a16="http://schemas.microsoft.com/office/drawing/2014/main" id="{1EA960FB-9637-4F8B-A6DD-C826B03E997E}"/>
              </a:ext>
            </a:extLst>
          </xdr:cNvPr>
          <xdr:cNvCxnSpPr/>
        </xdr:nvCxnSpPr>
        <xdr:spPr>
          <a:xfrm>
            <a:off x="6315076" y="679227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" name="Straight Arrow Connector 810">
            <a:extLst>
              <a:ext uri="{FF2B5EF4-FFF2-40B4-BE49-F238E27FC236}">
                <a16:creationId xmlns:a16="http://schemas.microsoft.com/office/drawing/2014/main" id="{97F84313-DD12-4D4C-B10B-99BD3358BB7A}"/>
              </a:ext>
            </a:extLst>
          </xdr:cNvPr>
          <xdr:cNvCxnSpPr/>
        </xdr:nvCxnSpPr>
        <xdr:spPr>
          <a:xfrm>
            <a:off x="6477001" y="67927539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" name="Straight Arrow Connector 811">
            <a:extLst>
              <a:ext uri="{FF2B5EF4-FFF2-40B4-BE49-F238E27FC236}">
                <a16:creationId xmlns:a16="http://schemas.microsoft.com/office/drawing/2014/main" id="{A59A031C-46F1-40DD-A71E-99AFC4A57DED}"/>
              </a:ext>
            </a:extLst>
          </xdr:cNvPr>
          <xdr:cNvCxnSpPr/>
        </xdr:nvCxnSpPr>
        <xdr:spPr>
          <a:xfrm>
            <a:off x="6638926" y="67927539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" name="Straight Connector 812">
            <a:extLst>
              <a:ext uri="{FF2B5EF4-FFF2-40B4-BE49-F238E27FC236}">
                <a16:creationId xmlns:a16="http://schemas.microsoft.com/office/drawing/2014/main" id="{B4D9BCE9-F249-4BE3-865B-DA7DAA485888}"/>
              </a:ext>
            </a:extLst>
          </xdr:cNvPr>
          <xdr:cNvCxnSpPr/>
        </xdr:nvCxnSpPr>
        <xdr:spPr>
          <a:xfrm flipH="1" flipV="1">
            <a:off x="5905500" y="67851338"/>
            <a:ext cx="85725" cy="1571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" name="Straight Arrow Connector 813">
            <a:extLst>
              <a:ext uri="{FF2B5EF4-FFF2-40B4-BE49-F238E27FC236}">
                <a16:creationId xmlns:a16="http://schemas.microsoft.com/office/drawing/2014/main" id="{4D6F2389-AF05-4D74-AC0E-44BD0F29AD98}"/>
              </a:ext>
            </a:extLst>
          </xdr:cNvPr>
          <xdr:cNvCxnSpPr/>
        </xdr:nvCxnSpPr>
        <xdr:spPr>
          <a:xfrm>
            <a:off x="4695824" y="679227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" name="Straight Arrow Connector 814">
            <a:extLst>
              <a:ext uri="{FF2B5EF4-FFF2-40B4-BE49-F238E27FC236}">
                <a16:creationId xmlns:a16="http://schemas.microsoft.com/office/drawing/2014/main" id="{4208048E-EDCD-4D29-87E3-1C8DD450F867}"/>
              </a:ext>
            </a:extLst>
          </xdr:cNvPr>
          <xdr:cNvCxnSpPr/>
        </xdr:nvCxnSpPr>
        <xdr:spPr>
          <a:xfrm>
            <a:off x="4857749" y="679227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" name="Straight Arrow Connector 815">
            <a:extLst>
              <a:ext uri="{FF2B5EF4-FFF2-40B4-BE49-F238E27FC236}">
                <a16:creationId xmlns:a16="http://schemas.microsoft.com/office/drawing/2014/main" id="{B31C21C8-13FE-47D4-8FCB-34E2952F34DD}"/>
              </a:ext>
            </a:extLst>
          </xdr:cNvPr>
          <xdr:cNvCxnSpPr/>
        </xdr:nvCxnSpPr>
        <xdr:spPr>
          <a:xfrm>
            <a:off x="5019674" y="679227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" name="Straight Arrow Connector 816">
            <a:extLst>
              <a:ext uri="{FF2B5EF4-FFF2-40B4-BE49-F238E27FC236}">
                <a16:creationId xmlns:a16="http://schemas.microsoft.com/office/drawing/2014/main" id="{88A9B646-4FD5-4EC4-B968-1D8A773E58B8}"/>
              </a:ext>
            </a:extLst>
          </xdr:cNvPr>
          <xdr:cNvCxnSpPr/>
        </xdr:nvCxnSpPr>
        <xdr:spPr>
          <a:xfrm>
            <a:off x="5181599" y="679227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" name="Straight Arrow Connector 817">
            <a:extLst>
              <a:ext uri="{FF2B5EF4-FFF2-40B4-BE49-F238E27FC236}">
                <a16:creationId xmlns:a16="http://schemas.microsoft.com/office/drawing/2014/main" id="{72BF892B-1D17-49C5-AE41-8972D332D162}"/>
              </a:ext>
            </a:extLst>
          </xdr:cNvPr>
          <xdr:cNvCxnSpPr/>
        </xdr:nvCxnSpPr>
        <xdr:spPr>
          <a:xfrm>
            <a:off x="5667375" y="6792277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" name="Straight Arrow Connector 818">
            <a:extLst>
              <a:ext uri="{FF2B5EF4-FFF2-40B4-BE49-F238E27FC236}">
                <a16:creationId xmlns:a16="http://schemas.microsoft.com/office/drawing/2014/main" id="{0D3914E1-F609-44B5-9D95-C529128E7C0D}"/>
              </a:ext>
            </a:extLst>
          </xdr:cNvPr>
          <xdr:cNvCxnSpPr/>
        </xdr:nvCxnSpPr>
        <xdr:spPr>
          <a:xfrm>
            <a:off x="5829299" y="6792277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" name="Straight Arrow Connector 819">
            <a:extLst>
              <a:ext uri="{FF2B5EF4-FFF2-40B4-BE49-F238E27FC236}">
                <a16:creationId xmlns:a16="http://schemas.microsoft.com/office/drawing/2014/main" id="{4C14460C-C132-4839-88E0-8CE0B7E11F66}"/>
              </a:ext>
            </a:extLst>
          </xdr:cNvPr>
          <xdr:cNvCxnSpPr/>
        </xdr:nvCxnSpPr>
        <xdr:spPr>
          <a:xfrm>
            <a:off x="5991224" y="6792277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" name="Straight Arrow Connector 820">
            <a:extLst>
              <a:ext uri="{FF2B5EF4-FFF2-40B4-BE49-F238E27FC236}">
                <a16:creationId xmlns:a16="http://schemas.microsoft.com/office/drawing/2014/main" id="{FD1592DB-51ED-43D1-8527-6189CF880CAA}"/>
              </a:ext>
            </a:extLst>
          </xdr:cNvPr>
          <xdr:cNvCxnSpPr/>
        </xdr:nvCxnSpPr>
        <xdr:spPr>
          <a:xfrm>
            <a:off x="6153149" y="6792277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" name="Straight Arrow Connector 821">
            <a:extLst>
              <a:ext uri="{FF2B5EF4-FFF2-40B4-BE49-F238E27FC236}">
                <a16:creationId xmlns:a16="http://schemas.microsoft.com/office/drawing/2014/main" id="{534CDFE7-14E6-43EF-A5B5-F61518C8A186}"/>
              </a:ext>
            </a:extLst>
          </xdr:cNvPr>
          <xdr:cNvCxnSpPr/>
        </xdr:nvCxnSpPr>
        <xdr:spPr>
          <a:xfrm>
            <a:off x="5505450" y="6792277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80963</xdr:colOff>
      <xdr:row>529</xdr:row>
      <xdr:rowOff>138113</xdr:rowOff>
    </xdr:from>
    <xdr:to>
      <xdr:col>44</xdr:col>
      <xdr:colOff>76535</xdr:colOff>
      <xdr:row>537</xdr:row>
      <xdr:rowOff>76200</xdr:rowOff>
    </xdr:to>
    <xdr:grpSp>
      <xdr:nvGrpSpPr>
        <xdr:cNvPr id="726" name="Group 725">
          <a:extLst>
            <a:ext uri="{FF2B5EF4-FFF2-40B4-BE49-F238E27FC236}">
              <a16:creationId xmlns:a16="http://schemas.microsoft.com/office/drawing/2014/main" id="{D5C44F80-B3BD-EB2D-75B3-A7CCEEBDAB46}"/>
            </a:ext>
          </a:extLst>
        </xdr:cNvPr>
        <xdr:cNvGrpSpPr/>
      </xdr:nvGrpSpPr>
      <xdr:grpSpPr>
        <a:xfrm>
          <a:off x="4776788" y="81052988"/>
          <a:ext cx="2424447" cy="1081087"/>
          <a:chOff x="4776788" y="72909113"/>
          <a:chExt cx="2424447" cy="1081087"/>
        </a:xfrm>
      </xdr:grpSpPr>
      <xdr:cxnSp macro="">
        <xdr:nvCxnSpPr>
          <xdr:cNvPr id="865" name="Straight Connector 864">
            <a:extLst>
              <a:ext uri="{FF2B5EF4-FFF2-40B4-BE49-F238E27FC236}">
                <a16:creationId xmlns:a16="http://schemas.microsoft.com/office/drawing/2014/main" id="{4022785B-D08F-73D7-5588-EAE0B3C8925B}"/>
              </a:ext>
            </a:extLst>
          </xdr:cNvPr>
          <xdr:cNvCxnSpPr/>
        </xdr:nvCxnSpPr>
        <xdr:spPr>
          <a:xfrm>
            <a:off x="4852988" y="73199625"/>
            <a:ext cx="2281237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6" name="Isosceles Triangle 865">
            <a:extLst>
              <a:ext uri="{FF2B5EF4-FFF2-40B4-BE49-F238E27FC236}">
                <a16:creationId xmlns:a16="http://schemas.microsoft.com/office/drawing/2014/main" id="{04FAA142-29BA-E3B3-0D86-ABE157495D1B}"/>
              </a:ext>
            </a:extLst>
          </xdr:cNvPr>
          <xdr:cNvSpPr/>
        </xdr:nvSpPr>
        <xdr:spPr>
          <a:xfrm>
            <a:off x="4785932" y="73213914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67" name="Isosceles Triangle 866">
            <a:extLst>
              <a:ext uri="{FF2B5EF4-FFF2-40B4-BE49-F238E27FC236}">
                <a16:creationId xmlns:a16="http://schemas.microsoft.com/office/drawing/2014/main" id="{872DCD72-AF5B-D495-C458-ED23E2B503EF}"/>
              </a:ext>
            </a:extLst>
          </xdr:cNvPr>
          <xdr:cNvSpPr/>
        </xdr:nvSpPr>
        <xdr:spPr>
          <a:xfrm>
            <a:off x="7057599" y="73209152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68" name="Straight Connector 867">
            <a:extLst>
              <a:ext uri="{FF2B5EF4-FFF2-40B4-BE49-F238E27FC236}">
                <a16:creationId xmlns:a16="http://schemas.microsoft.com/office/drawing/2014/main" id="{A6742872-3E0C-9F34-7E9B-53AF83424ADC}"/>
              </a:ext>
            </a:extLst>
          </xdr:cNvPr>
          <xdr:cNvCxnSpPr/>
        </xdr:nvCxnSpPr>
        <xdr:spPr>
          <a:xfrm>
            <a:off x="4857750" y="73785413"/>
            <a:ext cx="0" cy="204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9" name="Straight Arrow Connector 868">
            <a:extLst>
              <a:ext uri="{FF2B5EF4-FFF2-40B4-BE49-F238E27FC236}">
                <a16:creationId xmlns:a16="http://schemas.microsoft.com/office/drawing/2014/main" id="{0D2D135D-3009-32FE-A33F-C051148EA6F6}"/>
              </a:ext>
            </a:extLst>
          </xdr:cNvPr>
          <xdr:cNvCxnSpPr/>
        </xdr:nvCxnSpPr>
        <xdr:spPr>
          <a:xfrm flipV="1">
            <a:off x="4857750" y="73342500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0" name="Straight Connector 869">
            <a:extLst>
              <a:ext uri="{FF2B5EF4-FFF2-40B4-BE49-F238E27FC236}">
                <a16:creationId xmlns:a16="http://schemas.microsoft.com/office/drawing/2014/main" id="{DD22BECE-D282-58D4-622E-C6FFA0540216}"/>
              </a:ext>
            </a:extLst>
          </xdr:cNvPr>
          <xdr:cNvCxnSpPr/>
        </xdr:nvCxnSpPr>
        <xdr:spPr>
          <a:xfrm>
            <a:off x="4776788" y="73914000"/>
            <a:ext cx="24050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1" name="Straight Connector 870">
            <a:extLst>
              <a:ext uri="{FF2B5EF4-FFF2-40B4-BE49-F238E27FC236}">
                <a16:creationId xmlns:a16="http://schemas.microsoft.com/office/drawing/2014/main" id="{5C34C358-A27C-3145-A2E4-9AC5AB0E3DE0}"/>
              </a:ext>
            </a:extLst>
          </xdr:cNvPr>
          <xdr:cNvCxnSpPr/>
        </xdr:nvCxnSpPr>
        <xdr:spPr>
          <a:xfrm flipH="1">
            <a:off x="4819643" y="73880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4" name="Straight Connector 873">
            <a:extLst>
              <a:ext uri="{FF2B5EF4-FFF2-40B4-BE49-F238E27FC236}">
                <a16:creationId xmlns:a16="http://schemas.microsoft.com/office/drawing/2014/main" id="{3C525119-E990-EC35-24F0-4E0EC1A60158}"/>
              </a:ext>
            </a:extLst>
          </xdr:cNvPr>
          <xdr:cNvCxnSpPr/>
        </xdr:nvCxnSpPr>
        <xdr:spPr>
          <a:xfrm>
            <a:off x="7124665" y="73785413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5" name="Straight Arrow Connector 874">
            <a:extLst>
              <a:ext uri="{FF2B5EF4-FFF2-40B4-BE49-F238E27FC236}">
                <a16:creationId xmlns:a16="http://schemas.microsoft.com/office/drawing/2014/main" id="{75AFEA17-B619-D7AC-E622-469BA8A180D1}"/>
              </a:ext>
            </a:extLst>
          </xdr:cNvPr>
          <xdr:cNvCxnSpPr/>
        </xdr:nvCxnSpPr>
        <xdr:spPr>
          <a:xfrm flipV="1">
            <a:off x="7124656" y="73342500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6" name="Straight Connector 875">
            <a:extLst>
              <a:ext uri="{FF2B5EF4-FFF2-40B4-BE49-F238E27FC236}">
                <a16:creationId xmlns:a16="http://schemas.microsoft.com/office/drawing/2014/main" id="{B1CA31DF-870D-7230-B2EB-E53C9D7F2C05}"/>
              </a:ext>
            </a:extLst>
          </xdr:cNvPr>
          <xdr:cNvCxnSpPr/>
        </xdr:nvCxnSpPr>
        <xdr:spPr>
          <a:xfrm flipH="1">
            <a:off x="7086565" y="73880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8" name="Straight Arrow Connector 877">
            <a:extLst>
              <a:ext uri="{FF2B5EF4-FFF2-40B4-BE49-F238E27FC236}">
                <a16:creationId xmlns:a16="http://schemas.microsoft.com/office/drawing/2014/main" id="{5EA002E6-0E9A-7CBD-C59B-61A67A92193C}"/>
              </a:ext>
            </a:extLst>
          </xdr:cNvPr>
          <xdr:cNvCxnSpPr/>
        </xdr:nvCxnSpPr>
        <xdr:spPr>
          <a:xfrm>
            <a:off x="4867276" y="73485376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9" name="Straight Arrow Connector 878">
            <a:extLst>
              <a:ext uri="{FF2B5EF4-FFF2-40B4-BE49-F238E27FC236}">
                <a16:creationId xmlns:a16="http://schemas.microsoft.com/office/drawing/2014/main" id="{5C29F8C9-41D5-C432-B664-63455C15D3FA}"/>
              </a:ext>
            </a:extLst>
          </xdr:cNvPr>
          <xdr:cNvCxnSpPr/>
        </xdr:nvCxnSpPr>
        <xdr:spPr>
          <a:xfrm>
            <a:off x="4857750" y="72980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0" name="Straight Connector 879">
            <a:extLst>
              <a:ext uri="{FF2B5EF4-FFF2-40B4-BE49-F238E27FC236}">
                <a16:creationId xmlns:a16="http://schemas.microsoft.com/office/drawing/2014/main" id="{F7DD87C8-E932-060A-6215-AB5713F7F831}"/>
              </a:ext>
            </a:extLst>
          </xdr:cNvPr>
          <xdr:cNvCxnSpPr/>
        </xdr:nvCxnSpPr>
        <xdr:spPr>
          <a:xfrm>
            <a:off x="4857750" y="72980550"/>
            <a:ext cx="227647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1" name="Straight Arrow Connector 880">
            <a:extLst>
              <a:ext uri="{FF2B5EF4-FFF2-40B4-BE49-F238E27FC236}">
                <a16:creationId xmlns:a16="http://schemas.microsoft.com/office/drawing/2014/main" id="{DFBEF67A-C890-DD8E-231F-83B4811BE9B0}"/>
              </a:ext>
            </a:extLst>
          </xdr:cNvPr>
          <xdr:cNvCxnSpPr/>
        </xdr:nvCxnSpPr>
        <xdr:spPr>
          <a:xfrm>
            <a:off x="5019675" y="72980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2" name="Straight Arrow Connector 881">
            <a:extLst>
              <a:ext uri="{FF2B5EF4-FFF2-40B4-BE49-F238E27FC236}">
                <a16:creationId xmlns:a16="http://schemas.microsoft.com/office/drawing/2014/main" id="{037E17A8-FA55-F9C7-D898-CC6B8E7774BE}"/>
              </a:ext>
            </a:extLst>
          </xdr:cNvPr>
          <xdr:cNvCxnSpPr/>
        </xdr:nvCxnSpPr>
        <xdr:spPr>
          <a:xfrm>
            <a:off x="5829300" y="7298531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Straight Arrow Connector 882">
            <a:extLst>
              <a:ext uri="{FF2B5EF4-FFF2-40B4-BE49-F238E27FC236}">
                <a16:creationId xmlns:a16="http://schemas.microsoft.com/office/drawing/2014/main" id="{DF1C4190-74A7-BD21-FF9E-8F4C21525161}"/>
              </a:ext>
            </a:extLst>
          </xdr:cNvPr>
          <xdr:cNvCxnSpPr/>
        </xdr:nvCxnSpPr>
        <xdr:spPr>
          <a:xfrm>
            <a:off x="6800851" y="72980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4" name="Straight Arrow Connector 883">
            <a:extLst>
              <a:ext uri="{FF2B5EF4-FFF2-40B4-BE49-F238E27FC236}">
                <a16:creationId xmlns:a16="http://schemas.microsoft.com/office/drawing/2014/main" id="{69EA602A-806E-9E63-7259-03694162E3F6}"/>
              </a:ext>
            </a:extLst>
          </xdr:cNvPr>
          <xdr:cNvCxnSpPr/>
        </xdr:nvCxnSpPr>
        <xdr:spPr>
          <a:xfrm>
            <a:off x="6962776" y="7298531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5" name="Straight Arrow Connector 884">
            <a:extLst>
              <a:ext uri="{FF2B5EF4-FFF2-40B4-BE49-F238E27FC236}">
                <a16:creationId xmlns:a16="http://schemas.microsoft.com/office/drawing/2014/main" id="{FBF389E3-54CD-17CA-ED70-DC4A25E743F0}"/>
              </a:ext>
            </a:extLst>
          </xdr:cNvPr>
          <xdr:cNvCxnSpPr/>
        </xdr:nvCxnSpPr>
        <xdr:spPr>
          <a:xfrm>
            <a:off x="7124701" y="7298531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6" name="Straight Connector 885">
            <a:extLst>
              <a:ext uri="{FF2B5EF4-FFF2-40B4-BE49-F238E27FC236}">
                <a16:creationId xmlns:a16="http://schemas.microsoft.com/office/drawing/2014/main" id="{F978A0B0-9C69-39C0-743D-C568EDF92AB3}"/>
              </a:ext>
            </a:extLst>
          </xdr:cNvPr>
          <xdr:cNvCxnSpPr/>
        </xdr:nvCxnSpPr>
        <xdr:spPr>
          <a:xfrm flipH="1" flipV="1">
            <a:off x="6391275" y="72909113"/>
            <a:ext cx="85725" cy="1571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7" name="Straight Arrow Connector 886">
            <a:extLst>
              <a:ext uri="{FF2B5EF4-FFF2-40B4-BE49-F238E27FC236}">
                <a16:creationId xmlns:a16="http://schemas.microsoft.com/office/drawing/2014/main" id="{AB1E523A-5B0B-4FB2-ACAC-C36A5EB5EC09}"/>
              </a:ext>
            </a:extLst>
          </xdr:cNvPr>
          <xdr:cNvCxnSpPr/>
        </xdr:nvCxnSpPr>
        <xdr:spPr>
          <a:xfrm>
            <a:off x="5181599" y="72980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8" name="Straight Arrow Connector 887">
            <a:extLst>
              <a:ext uri="{FF2B5EF4-FFF2-40B4-BE49-F238E27FC236}">
                <a16:creationId xmlns:a16="http://schemas.microsoft.com/office/drawing/2014/main" id="{44459B4E-5624-FD37-644C-8DF3363D1702}"/>
              </a:ext>
            </a:extLst>
          </xdr:cNvPr>
          <xdr:cNvCxnSpPr/>
        </xdr:nvCxnSpPr>
        <xdr:spPr>
          <a:xfrm>
            <a:off x="5343524" y="72980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9" name="Straight Arrow Connector 888">
            <a:extLst>
              <a:ext uri="{FF2B5EF4-FFF2-40B4-BE49-F238E27FC236}">
                <a16:creationId xmlns:a16="http://schemas.microsoft.com/office/drawing/2014/main" id="{D97C06FE-7780-4948-B282-E4CBD33B4405}"/>
              </a:ext>
            </a:extLst>
          </xdr:cNvPr>
          <xdr:cNvCxnSpPr/>
        </xdr:nvCxnSpPr>
        <xdr:spPr>
          <a:xfrm>
            <a:off x="5505449" y="72980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0" name="Straight Arrow Connector 889">
            <a:extLst>
              <a:ext uri="{FF2B5EF4-FFF2-40B4-BE49-F238E27FC236}">
                <a16:creationId xmlns:a16="http://schemas.microsoft.com/office/drawing/2014/main" id="{C7424B87-E782-493C-6499-885C56E741A6}"/>
              </a:ext>
            </a:extLst>
          </xdr:cNvPr>
          <xdr:cNvCxnSpPr/>
        </xdr:nvCxnSpPr>
        <xdr:spPr>
          <a:xfrm>
            <a:off x="5667374" y="72980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1" name="Straight Arrow Connector 890">
            <a:extLst>
              <a:ext uri="{FF2B5EF4-FFF2-40B4-BE49-F238E27FC236}">
                <a16:creationId xmlns:a16="http://schemas.microsoft.com/office/drawing/2014/main" id="{D6813A90-5A74-F028-713B-DBCEC203882D}"/>
              </a:ext>
            </a:extLst>
          </xdr:cNvPr>
          <xdr:cNvCxnSpPr/>
        </xdr:nvCxnSpPr>
        <xdr:spPr>
          <a:xfrm>
            <a:off x="6153150" y="729805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2" name="Straight Arrow Connector 891">
            <a:extLst>
              <a:ext uri="{FF2B5EF4-FFF2-40B4-BE49-F238E27FC236}">
                <a16:creationId xmlns:a16="http://schemas.microsoft.com/office/drawing/2014/main" id="{0EAB3E59-A1B0-3A7F-7F54-1A8B52EDFD83}"/>
              </a:ext>
            </a:extLst>
          </xdr:cNvPr>
          <xdr:cNvCxnSpPr/>
        </xdr:nvCxnSpPr>
        <xdr:spPr>
          <a:xfrm>
            <a:off x="6315074" y="729805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3" name="Straight Arrow Connector 892">
            <a:extLst>
              <a:ext uri="{FF2B5EF4-FFF2-40B4-BE49-F238E27FC236}">
                <a16:creationId xmlns:a16="http://schemas.microsoft.com/office/drawing/2014/main" id="{E5600988-6663-F705-3C2A-BAA97488860A}"/>
              </a:ext>
            </a:extLst>
          </xdr:cNvPr>
          <xdr:cNvCxnSpPr/>
        </xdr:nvCxnSpPr>
        <xdr:spPr>
          <a:xfrm>
            <a:off x="6476999" y="729805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4" name="Straight Arrow Connector 893">
            <a:extLst>
              <a:ext uri="{FF2B5EF4-FFF2-40B4-BE49-F238E27FC236}">
                <a16:creationId xmlns:a16="http://schemas.microsoft.com/office/drawing/2014/main" id="{B5529153-105B-1987-A483-91856E81F8A8}"/>
              </a:ext>
            </a:extLst>
          </xdr:cNvPr>
          <xdr:cNvCxnSpPr/>
        </xdr:nvCxnSpPr>
        <xdr:spPr>
          <a:xfrm>
            <a:off x="6638924" y="729805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5" name="Straight Arrow Connector 894">
            <a:extLst>
              <a:ext uri="{FF2B5EF4-FFF2-40B4-BE49-F238E27FC236}">
                <a16:creationId xmlns:a16="http://schemas.microsoft.com/office/drawing/2014/main" id="{84E668B4-2EFD-C540-4A18-5E833D250F8A}"/>
              </a:ext>
            </a:extLst>
          </xdr:cNvPr>
          <xdr:cNvCxnSpPr/>
        </xdr:nvCxnSpPr>
        <xdr:spPr>
          <a:xfrm>
            <a:off x="5991225" y="729805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95250</xdr:colOff>
      <xdr:row>642</xdr:row>
      <xdr:rowOff>0</xdr:rowOff>
    </xdr:from>
    <xdr:to>
      <xdr:col>42</xdr:col>
      <xdr:colOff>9906</xdr:colOff>
      <xdr:row>642</xdr:row>
      <xdr:rowOff>133351</xdr:rowOff>
    </xdr:to>
    <xdr:grpSp>
      <xdr:nvGrpSpPr>
        <xdr:cNvPr id="1081" name="Group 1080">
          <a:extLst>
            <a:ext uri="{FF2B5EF4-FFF2-40B4-BE49-F238E27FC236}">
              <a16:creationId xmlns:a16="http://schemas.microsoft.com/office/drawing/2014/main" id="{83036A9B-028B-9065-57C4-4F72BA797E34}"/>
            </a:ext>
          </a:extLst>
        </xdr:cNvPr>
        <xdr:cNvGrpSpPr/>
      </xdr:nvGrpSpPr>
      <xdr:grpSpPr>
        <a:xfrm>
          <a:off x="3495675" y="98031300"/>
          <a:ext cx="3315081" cy="133351"/>
          <a:chOff x="3495675" y="95459550"/>
          <a:chExt cx="3315081" cy="133351"/>
        </a:xfrm>
      </xdr:grpSpPr>
      <xdr:cxnSp macro="">
        <xdr:nvCxnSpPr>
          <xdr:cNvPr id="1031" name="Straight Connector 1030">
            <a:extLst>
              <a:ext uri="{FF2B5EF4-FFF2-40B4-BE49-F238E27FC236}">
                <a16:creationId xmlns:a16="http://schemas.microsoft.com/office/drawing/2014/main" id="{64E41A6C-E388-45C8-ACF7-FFA3FC853C30}"/>
              </a:ext>
            </a:extLst>
          </xdr:cNvPr>
          <xdr:cNvCxnSpPr/>
        </xdr:nvCxnSpPr>
        <xdr:spPr>
          <a:xfrm>
            <a:off x="3562731" y="95459550"/>
            <a:ext cx="324802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32" name="Isosceles Triangle 1031">
            <a:extLst>
              <a:ext uri="{FF2B5EF4-FFF2-40B4-BE49-F238E27FC236}">
                <a16:creationId xmlns:a16="http://schemas.microsoft.com/office/drawing/2014/main" id="{5B0AE414-AB4B-486F-8344-649010B51B05}"/>
              </a:ext>
            </a:extLst>
          </xdr:cNvPr>
          <xdr:cNvSpPr/>
        </xdr:nvSpPr>
        <xdr:spPr>
          <a:xfrm>
            <a:off x="3495675" y="95464314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33" name="Isosceles Triangle 1032">
            <a:extLst>
              <a:ext uri="{FF2B5EF4-FFF2-40B4-BE49-F238E27FC236}">
                <a16:creationId xmlns:a16="http://schemas.microsoft.com/office/drawing/2014/main" id="{08749C1E-7CDB-44C1-8964-068A6CE22267}"/>
              </a:ext>
            </a:extLst>
          </xdr:cNvPr>
          <xdr:cNvSpPr/>
        </xdr:nvSpPr>
        <xdr:spPr>
          <a:xfrm>
            <a:off x="5757817" y="95469077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80963</xdr:colOff>
      <xdr:row>693</xdr:row>
      <xdr:rowOff>66675</xdr:rowOff>
    </xdr:from>
    <xdr:to>
      <xdr:col>7</xdr:col>
      <xdr:colOff>133350</xdr:colOff>
      <xdr:row>693</xdr:row>
      <xdr:rowOff>66675</xdr:rowOff>
    </xdr:to>
    <xdr:cxnSp macro="">
      <xdr:nvCxnSpPr>
        <xdr:cNvPr id="1034" name="Straight Arrow Connector 1033">
          <a:extLst>
            <a:ext uri="{FF2B5EF4-FFF2-40B4-BE49-F238E27FC236}">
              <a16:creationId xmlns:a16="http://schemas.microsoft.com/office/drawing/2014/main" id="{C3DB811E-3BD2-451B-9B1A-727F2D66F53E}"/>
            </a:ext>
          </a:extLst>
        </xdr:cNvPr>
        <xdr:cNvCxnSpPr/>
      </xdr:nvCxnSpPr>
      <xdr:spPr>
        <a:xfrm>
          <a:off x="1052513" y="54959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694</xdr:row>
      <xdr:rowOff>66675</xdr:rowOff>
    </xdr:from>
    <xdr:to>
      <xdr:col>7</xdr:col>
      <xdr:colOff>133350</xdr:colOff>
      <xdr:row>694</xdr:row>
      <xdr:rowOff>66675</xdr:rowOff>
    </xdr:to>
    <xdr:cxnSp macro="">
      <xdr:nvCxnSpPr>
        <xdr:cNvPr id="1036" name="Straight Arrow Connector 1035">
          <a:extLst>
            <a:ext uri="{FF2B5EF4-FFF2-40B4-BE49-F238E27FC236}">
              <a16:creationId xmlns:a16="http://schemas.microsoft.com/office/drawing/2014/main" id="{A27E488C-2D6C-46AE-AE28-4A159ECB1BE5}"/>
            </a:ext>
          </a:extLst>
        </xdr:cNvPr>
        <xdr:cNvCxnSpPr/>
      </xdr:nvCxnSpPr>
      <xdr:spPr>
        <a:xfrm>
          <a:off x="1052513" y="57816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695</xdr:row>
      <xdr:rowOff>66675</xdr:rowOff>
    </xdr:from>
    <xdr:to>
      <xdr:col>7</xdr:col>
      <xdr:colOff>133350</xdr:colOff>
      <xdr:row>695</xdr:row>
      <xdr:rowOff>66675</xdr:rowOff>
    </xdr:to>
    <xdr:cxnSp macro="">
      <xdr:nvCxnSpPr>
        <xdr:cNvPr id="1037" name="Straight Arrow Connector 1036">
          <a:extLst>
            <a:ext uri="{FF2B5EF4-FFF2-40B4-BE49-F238E27FC236}">
              <a16:creationId xmlns:a16="http://schemas.microsoft.com/office/drawing/2014/main" id="{569790F3-82AE-4BA6-B4B9-C810229BF1E6}"/>
            </a:ext>
          </a:extLst>
        </xdr:cNvPr>
        <xdr:cNvCxnSpPr/>
      </xdr:nvCxnSpPr>
      <xdr:spPr>
        <a:xfrm>
          <a:off x="890588" y="976217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625</xdr:row>
      <xdr:rowOff>66674</xdr:rowOff>
    </xdr:from>
    <xdr:to>
      <xdr:col>15</xdr:col>
      <xdr:colOff>57150</xdr:colOff>
      <xdr:row>639</xdr:row>
      <xdr:rowOff>76200</xdr:rowOff>
    </xdr:to>
    <xdr:grpSp>
      <xdr:nvGrpSpPr>
        <xdr:cNvPr id="1043" name="Group 1042">
          <a:extLst>
            <a:ext uri="{FF2B5EF4-FFF2-40B4-BE49-F238E27FC236}">
              <a16:creationId xmlns:a16="http://schemas.microsoft.com/office/drawing/2014/main" id="{BD5542E5-87FB-4B99-99C5-16F28D4FE313}"/>
            </a:ext>
          </a:extLst>
        </xdr:cNvPr>
        <xdr:cNvGrpSpPr/>
      </xdr:nvGrpSpPr>
      <xdr:grpSpPr>
        <a:xfrm>
          <a:off x="419100" y="95669099"/>
          <a:ext cx="2066925" cy="2009776"/>
          <a:chOff x="1066800" y="495299"/>
          <a:chExt cx="2066925" cy="2009776"/>
        </a:xfrm>
      </xdr:grpSpPr>
      <xdr:grpSp>
        <xdr:nvGrpSpPr>
          <xdr:cNvPr id="1044" name="Group 1043">
            <a:extLst>
              <a:ext uri="{FF2B5EF4-FFF2-40B4-BE49-F238E27FC236}">
                <a16:creationId xmlns:a16="http://schemas.microsoft.com/office/drawing/2014/main" id="{B4018237-DF53-60E2-83D3-B0C31BC80097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1062" name="Straight Connector 1061">
              <a:extLst>
                <a:ext uri="{FF2B5EF4-FFF2-40B4-BE49-F238E27FC236}">
                  <a16:creationId xmlns:a16="http://schemas.microsoft.com/office/drawing/2014/main" id="{A9564738-B9A3-1819-E7F9-74F84408F719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63" name="Straight Connector 1062">
              <a:extLst>
                <a:ext uri="{FF2B5EF4-FFF2-40B4-BE49-F238E27FC236}">
                  <a16:creationId xmlns:a16="http://schemas.microsoft.com/office/drawing/2014/main" id="{0000060A-8005-81C9-1D24-C2F536F91E23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64" name="Straight Connector 1063">
              <a:extLst>
                <a:ext uri="{FF2B5EF4-FFF2-40B4-BE49-F238E27FC236}">
                  <a16:creationId xmlns:a16="http://schemas.microsoft.com/office/drawing/2014/main" id="{754E63A1-4060-06E3-298B-DBC1A220398A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65" name="Arc 1064">
              <a:extLst>
                <a:ext uri="{FF2B5EF4-FFF2-40B4-BE49-F238E27FC236}">
                  <a16:creationId xmlns:a16="http://schemas.microsoft.com/office/drawing/2014/main" id="{CEC7E86C-3EAE-B917-47D9-65BA4F126BC9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66" name="Straight Connector 1065">
              <a:extLst>
                <a:ext uri="{FF2B5EF4-FFF2-40B4-BE49-F238E27FC236}">
                  <a16:creationId xmlns:a16="http://schemas.microsoft.com/office/drawing/2014/main" id="{83EF0846-6873-E96D-5B1D-5ABE22AB7920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67" name="Straight Connector 1066">
              <a:extLst>
                <a:ext uri="{FF2B5EF4-FFF2-40B4-BE49-F238E27FC236}">
                  <a16:creationId xmlns:a16="http://schemas.microsoft.com/office/drawing/2014/main" id="{FA9318AE-C428-5717-5CF3-36E59BE97072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68" name="Straight Connector 1067">
              <a:extLst>
                <a:ext uri="{FF2B5EF4-FFF2-40B4-BE49-F238E27FC236}">
                  <a16:creationId xmlns:a16="http://schemas.microsoft.com/office/drawing/2014/main" id="{2621C007-1EEB-8263-2854-93E3ADE673AD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69" name="Straight Connector 1068">
              <a:extLst>
                <a:ext uri="{FF2B5EF4-FFF2-40B4-BE49-F238E27FC236}">
                  <a16:creationId xmlns:a16="http://schemas.microsoft.com/office/drawing/2014/main" id="{6664AFB5-259A-9399-9F2F-4F8FA1B3F052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70" name="Arc 1069">
              <a:extLst>
                <a:ext uri="{FF2B5EF4-FFF2-40B4-BE49-F238E27FC236}">
                  <a16:creationId xmlns:a16="http://schemas.microsoft.com/office/drawing/2014/main" id="{D3D1770A-544F-E542-D103-2F0F187E505D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71" name="Straight Connector 1070">
              <a:extLst>
                <a:ext uri="{FF2B5EF4-FFF2-40B4-BE49-F238E27FC236}">
                  <a16:creationId xmlns:a16="http://schemas.microsoft.com/office/drawing/2014/main" id="{89E99EFC-C3F5-B2E8-59F1-87776D83C505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72" name="Straight Connector 1071">
              <a:extLst>
                <a:ext uri="{FF2B5EF4-FFF2-40B4-BE49-F238E27FC236}">
                  <a16:creationId xmlns:a16="http://schemas.microsoft.com/office/drawing/2014/main" id="{28DBB850-2C1D-E44E-0C1C-EA168FC9EA91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73" name="Straight Connector 1072">
              <a:extLst>
                <a:ext uri="{FF2B5EF4-FFF2-40B4-BE49-F238E27FC236}">
                  <a16:creationId xmlns:a16="http://schemas.microsoft.com/office/drawing/2014/main" id="{F916EA2F-1BD9-AF41-3AE8-E2169535DCE7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74" name="Straight Connector 1073">
              <a:extLst>
                <a:ext uri="{FF2B5EF4-FFF2-40B4-BE49-F238E27FC236}">
                  <a16:creationId xmlns:a16="http://schemas.microsoft.com/office/drawing/2014/main" id="{7468FA94-1C0D-9543-FCE0-49EC241E636E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75" name="Straight Connector 1074">
              <a:extLst>
                <a:ext uri="{FF2B5EF4-FFF2-40B4-BE49-F238E27FC236}">
                  <a16:creationId xmlns:a16="http://schemas.microsoft.com/office/drawing/2014/main" id="{198B7620-874A-F5DC-132D-6B69420832E0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76" name="Arc 1075">
              <a:extLst>
                <a:ext uri="{FF2B5EF4-FFF2-40B4-BE49-F238E27FC236}">
                  <a16:creationId xmlns:a16="http://schemas.microsoft.com/office/drawing/2014/main" id="{2220B11E-49B3-5559-5955-EF05AF039F88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77" name="Arc 1076">
              <a:extLst>
                <a:ext uri="{FF2B5EF4-FFF2-40B4-BE49-F238E27FC236}">
                  <a16:creationId xmlns:a16="http://schemas.microsoft.com/office/drawing/2014/main" id="{8DBA5626-C002-DA62-742B-FAF51C2E3C6B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1045" name="Straight Connector 1044">
            <a:extLst>
              <a:ext uri="{FF2B5EF4-FFF2-40B4-BE49-F238E27FC236}">
                <a16:creationId xmlns:a16="http://schemas.microsoft.com/office/drawing/2014/main" id="{75181ECD-25DA-3B8F-4CBB-39E878FAF825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6" name="Straight Connector 1045">
            <a:extLst>
              <a:ext uri="{FF2B5EF4-FFF2-40B4-BE49-F238E27FC236}">
                <a16:creationId xmlns:a16="http://schemas.microsoft.com/office/drawing/2014/main" id="{2FCE1668-5D81-EA9F-1DBC-31DC8E0EEEEB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7" name="Straight Connector 1046">
            <a:extLst>
              <a:ext uri="{FF2B5EF4-FFF2-40B4-BE49-F238E27FC236}">
                <a16:creationId xmlns:a16="http://schemas.microsoft.com/office/drawing/2014/main" id="{DA5DD956-C705-3AB6-3B55-DFAC62D5756F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8" name="Straight Connector 1047">
            <a:extLst>
              <a:ext uri="{FF2B5EF4-FFF2-40B4-BE49-F238E27FC236}">
                <a16:creationId xmlns:a16="http://schemas.microsoft.com/office/drawing/2014/main" id="{528C441D-398F-1132-AC11-2C04C89A4905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9" name="Straight Connector 1048">
            <a:extLst>
              <a:ext uri="{FF2B5EF4-FFF2-40B4-BE49-F238E27FC236}">
                <a16:creationId xmlns:a16="http://schemas.microsoft.com/office/drawing/2014/main" id="{219856D0-6D81-9E27-6B70-25A70EB139C0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0" name="Straight Connector 1049">
            <a:extLst>
              <a:ext uri="{FF2B5EF4-FFF2-40B4-BE49-F238E27FC236}">
                <a16:creationId xmlns:a16="http://schemas.microsoft.com/office/drawing/2014/main" id="{58CF1778-0143-D36C-8DF7-69F6F8F8DC93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1" name="Straight Connector 1050">
            <a:extLst>
              <a:ext uri="{FF2B5EF4-FFF2-40B4-BE49-F238E27FC236}">
                <a16:creationId xmlns:a16="http://schemas.microsoft.com/office/drawing/2014/main" id="{868AE0D6-60BE-E8D5-2B3D-60E720A459C9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2" name="Straight Connector 1051">
            <a:extLst>
              <a:ext uri="{FF2B5EF4-FFF2-40B4-BE49-F238E27FC236}">
                <a16:creationId xmlns:a16="http://schemas.microsoft.com/office/drawing/2014/main" id="{439FBD6B-24D3-421C-8362-7B1CEFAD4F0C}"/>
              </a:ext>
            </a:extLst>
          </xdr:cNvPr>
          <xdr:cNvCxnSpPr/>
        </xdr:nvCxnSpPr>
        <xdr:spPr>
          <a:xfrm>
            <a:off x="1395413" y="2428875"/>
            <a:ext cx="14239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3" name="Straight Connector 1052">
            <a:extLst>
              <a:ext uri="{FF2B5EF4-FFF2-40B4-BE49-F238E27FC236}">
                <a16:creationId xmlns:a16="http://schemas.microsoft.com/office/drawing/2014/main" id="{3B4275EA-8917-295E-D507-73F2B59C6987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4" name="Straight Connector 1053">
            <a:extLst>
              <a:ext uri="{FF2B5EF4-FFF2-40B4-BE49-F238E27FC236}">
                <a16:creationId xmlns:a16="http://schemas.microsoft.com/office/drawing/2014/main" id="{7EDCFD64-0A40-1C1B-B993-14CE6B3A5339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5" name="Straight Connector 1054">
            <a:extLst>
              <a:ext uri="{FF2B5EF4-FFF2-40B4-BE49-F238E27FC236}">
                <a16:creationId xmlns:a16="http://schemas.microsoft.com/office/drawing/2014/main" id="{3E2F5164-F9E9-8D26-8990-DCFDEB051D8F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6" name="Straight Connector 1055">
            <a:extLst>
              <a:ext uri="{FF2B5EF4-FFF2-40B4-BE49-F238E27FC236}">
                <a16:creationId xmlns:a16="http://schemas.microsoft.com/office/drawing/2014/main" id="{45AB72C0-D2C7-3006-4CB7-D5B5B9484E7B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7" name="Straight Connector 1056">
            <a:extLst>
              <a:ext uri="{FF2B5EF4-FFF2-40B4-BE49-F238E27FC236}">
                <a16:creationId xmlns:a16="http://schemas.microsoft.com/office/drawing/2014/main" id="{813A81E5-6B7D-C028-D22C-F1242197E2EE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8" name="Straight Connector 1057">
            <a:extLst>
              <a:ext uri="{FF2B5EF4-FFF2-40B4-BE49-F238E27FC236}">
                <a16:creationId xmlns:a16="http://schemas.microsoft.com/office/drawing/2014/main" id="{86B3D004-65A4-EDA8-C068-FBAF011E35AC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9" name="Straight Connector 1058">
            <a:extLst>
              <a:ext uri="{FF2B5EF4-FFF2-40B4-BE49-F238E27FC236}">
                <a16:creationId xmlns:a16="http://schemas.microsoft.com/office/drawing/2014/main" id="{0076BFED-5B1E-A813-FFD7-0A387C36BB30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0" name="Straight Connector 1059">
            <a:extLst>
              <a:ext uri="{FF2B5EF4-FFF2-40B4-BE49-F238E27FC236}">
                <a16:creationId xmlns:a16="http://schemas.microsoft.com/office/drawing/2014/main" id="{E3661F1F-4D66-15ED-9AF4-B1EF5E467514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1" name="Straight Connector 1060">
            <a:extLst>
              <a:ext uri="{FF2B5EF4-FFF2-40B4-BE49-F238E27FC236}">
                <a16:creationId xmlns:a16="http://schemas.microsoft.com/office/drawing/2014/main" id="{7B48D279-5651-2757-3CAD-4831AB630853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104775</xdr:colOff>
      <xdr:row>626</xdr:row>
      <xdr:rowOff>76200</xdr:rowOff>
    </xdr:from>
    <xdr:to>
      <xdr:col>42</xdr:col>
      <xdr:colOff>76200</xdr:colOff>
      <xdr:row>638</xdr:row>
      <xdr:rowOff>71438</xdr:rowOff>
    </xdr:to>
    <xdr:grpSp>
      <xdr:nvGrpSpPr>
        <xdr:cNvPr id="1080" name="Group 1079">
          <a:extLst>
            <a:ext uri="{FF2B5EF4-FFF2-40B4-BE49-F238E27FC236}">
              <a16:creationId xmlns:a16="http://schemas.microsoft.com/office/drawing/2014/main" id="{EB656297-E654-F546-A9AC-CE3100FFC796}"/>
            </a:ext>
          </a:extLst>
        </xdr:cNvPr>
        <xdr:cNvGrpSpPr/>
      </xdr:nvGrpSpPr>
      <xdr:grpSpPr>
        <a:xfrm>
          <a:off x="3019425" y="95821500"/>
          <a:ext cx="3857625" cy="1709738"/>
          <a:chOff x="3019425" y="93106875"/>
          <a:chExt cx="3857625" cy="1709738"/>
        </a:xfrm>
      </xdr:grpSpPr>
      <xdr:cxnSp macro="">
        <xdr:nvCxnSpPr>
          <xdr:cNvPr id="781" name="Straight Connector 780">
            <a:extLst>
              <a:ext uri="{FF2B5EF4-FFF2-40B4-BE49-F238E27FC236}">
                <a16:creationId xmlns:a16="http://schemas.microsoft.com/office/drawing/2014/main" id="{1CEE4EDC-774A-6035-B097-0CCE801020BC}"/>
              </a:ext>
            </a:extLst>
          </xdr:cNvPr>
          <xdr:cNvCxnSpPr/>
        </xdr:nvCxnSpPr>
        <xdr:spPr>
          <a:xfrm>
            <a:off x="3557588" y="93745050"/>
            <a:ext cx="324802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84" name="Isosceles Triangle 783">
            <a:extLst>
              <a:ext uri="{FF2B5EF4-FFF2-40B4-BE49-F238E27FC236}">
                <a16:creationId xmlns:a16="http://schemas.microsoft.com/office/drawing/2014/main" id="{E44EBA6A-E03F-2C45-0244-8217610F3DBB}"/>
              </a:ext>
            </a:extLst>
          </xdr:cNvPr>
          <xdr:cNvSpPr/>
        </xdr:nvSpPr>
        <xdr:spPr>
          <a:xfrm>
            <a:off x="3490532" y="93759339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96" name="Isosceles Triangle 895">
            <a:extLst>
              <a:ext uri="{FF2B5EF4-FFF2-40B4-BE49-F238E27FC236}">
                <a16:creationId xmlns:a16="http://schemas.microsoft.com/office/drawing/2014/main" id="{DC6FB0C9-467A-6B2E-100A-D31AC99FEB72}"/>
              </a:ext>
            </a:extLst>
          </xdr:cNvPr>
          <xdr:cNvSpPr/>
        </xdr:nvSpPr>
        <xdr:spPr>
          <a:xfrm>
            <a:off x="5762199" y="93754577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00" name="Straight Connector 899">
            <a:extLst>
              <a:ext uri="{FF2B5EF4-FFF2-40B4-BE49-F238E27FC236}">
                <a16:creationId xmlns:a16="http://schemas.microsoft.com/office/drawing/2014/main" id="{D4820F86-F1E4-0BCC-A527-394F879FB66A}"/>
              </a:ext>
            </a:extLst>
          </xdr:cNvPr>
          <xdr:cNvCxnSpPr/>
        </xdr:nvCxnSpPr>
        <xdr:spPr>
          <a:xfrm>
            <a:off x="3562350" y="94330838"/>
            <a:ext cx="0" cy="481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2" name="Straight Arrow Connector 901">
            <a:extLst>
              <a:ext uri="{FF2B5EF4-FFF2-40B4-BE49-F238E27FC236}">
                <a16:creationId xmlns:a16="http://schemas.microsoft.com/office/drawing/2014/main" id="{FF0290AC-2BF6-49FF-619C-58AC91B74E2A}"/>
              </a:ext>
            </a:extLst>
          </xdr:cNvPr>
          <xdr:cNvCxnSpPr/>
        </xdr:nvCxnSpPr>
        <xdr:spPr>
          <a:xfrm flipV="1">
            <a:off x="3562350" y="9388792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4" name="Straight Connector 903">
            <a:extLst>
              <a:ext uri="{FF2B5EF4-FFF2-40B4-BE49-F238E27FC236}">
                <a16:creationId xmlns:a16="http://schemas.microsoft.com/office/drawing/2014/main" id="{4FEC385A-7289-B9E2-7E4B-D339AF7888C3}"/>
              </a:ext>
            </a:extLst>
          </xdr:cNvPr>
          <xdr:cNvCxnSpPr/>
        </xdr:nvCxnSpPr>
        <xdr:spPr>
          <a:xfrm>
            <a:off x="3481388" y="94459425"/>
            <a:ext cx="33956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5" name="Straight Connector 904">
            <a:extLst>
              <a:ext uri="{FF2B5EF4-FFF2-40B4-BE49-F238E27FC236}">
                <a16:creationId xmlns:a16="http://schemas.microsoft.com/office/drawing/2014/main" id="{E79399F8-1434-3429-7DA4-0526C2308BD3}"/>
              </a:ext>
            </a:extLst>
          </xdr:cNvPr>
          <xdr:cNvCxnSpPr/>
        </xdr:nvCxnSpPr>
        <xdr:spPr>
          <a:xfrm flipH="1">
            <a:off x="3524243" y="944260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0" name="Straight Connector 909">
            <a:extLst>
              <a:ext uri="{FF2B5EF4-FFF2-40B4-BE49-F238E27FC236}">
                <a16:creationId xmlns:a16="http://schemas.microsoft.com/office/drawing/2014/main" id="{5A1FF069-C1FD-DAA4-E824-1D7AC0B189AD}"/>
              </a:ext>
            </a:extLst>
          </xdr:cNvPr>
          <xdr:cNvCxnSpPr/>
        </xdr:nvCxnSpPr>
        <xdr:spPr>
          <a:xfrm>
            <a:off x="5829265" y="94330838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8" name="Straight Arrow Connector 917">
            <a:extLst>
              <a:ext uri="{FF2B5EF4-FFF2-40B4-BE49-F238E27FC236}">
                <a16:creationId xmlns:a16="http://schemas.microsoft.com/office/drawing/2014/main" id="{2C6FAECB-EE09-87A9-91D5-0B88A7ABCEF2}"/>
              </a:ext>
            </a:extLst>
          </xdr:cNvPr>
          <xdr:cNvCxnSpPr/>
        </xdr:nvCxnSpPr>
        <xdr:spPr>
          <a:xfrm flipV="1">
            <a:off x="5829256" y="9388792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9" name="Straight Connector 918">
            <a:extLst>
              <a:ext uri="{FF2B5EF4-FFF2-40B4-BE49-F238E27FC236}">
                <a16:creationId xmlns:a16="http://schemas.microsoft.com/office/drawing/2014/main" id="{9E2C7E25-2C3B-E01D-B365-C834E107169A}"/>
              </a:ext>
            </a:extLst>
          </xdr:cNvPr>
          <xdr:cNvCxnSpPr/>
        </xdr:nvCxnSpPr>
        <xdr:spPr>
          <a:xfrm flipH="1">
            <a:off x="5791165" y="944260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1" name="Straight Arrow Connector 920">
            <a:extLst>
              <a:ext uri="{FF2B5EF4-FFF2-40B4-BE49-F238E27FC236}">
                <a16:creationId xmlns:a16="http://schemas.microsoft.com/office/drawing/2014/main" id="{8372ACAB-596B-94EF-0973-829BA72EB1B1}"/>
              </a:ext>
            </a:extLst>
          </xdr:cNvPr>
          <xdr:cNvCxnSpPr/>
        </xdr:nvCxnSpPr>
        <xdr:spPr>
          <a:xfrm>
            <a:off x="3571876" y="94030801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6" name="Straight Arrow Connector 925">
            <a:extLst>
              <a:ext uri="{FF2B5EF4-FFF2-40B4-BE49-F238E27FC236}">
                <a16:creationId xmlns:a16="http://schemas.microsoft.com/office/drawing/2014/main" id="{BC2DBE86-1F74-2E50-BC31-EDCE72B260A2}"/>
              </a:ext>
            </a:extLst>
          </xdr:cNvPr>
          <xdr:cNvCxnSpPr/>
        </xdr:nvCxnSpPr>
        <xdr:spPr>
          <a:xfrm>
            <a:off x="3562350" y="935259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0" name="Straight Connector 939">
            <a:extLst>
              <a:ext uri="{FF2B5EF4-FFF2-40B4-BE49-F238E27FC236}">
                <a16:creationId xmlns:a16="http://schemas.microsoft.com/office/drawing/2014/main" id="{15D28B3C-BC83-306C-A4B0-11AF2E442D25}"/>
              </a:ext>
            </a:extLst>
          </xdr:cNvPr>
          <xdr:cNvCxnSpPr/>
        </xdr:nvCxnSpPr>
        <xdr:spPr>
          <a:xfrm>
            <a:off x="3562350" y="93525975"/>
            <a:ext cx="226695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5" name="Straight Arrow Connector 954">
            <a:extLst>
              <a:ext uri="{FF2B5EF4-FFF2-40B4-BE49-F238E27FC236}">
                <a16:creationId xmlns:a16="http://schemas.microsoft.com/office/drawing/2014/main" id="{7C0749E3-631B-CBF7-BF0E-15F40AC48084}"/>
              </a:ext>
            </a:extLst>
          </xdr:cNvPr>
          <xdr:cNvCxnSpPr/>
        </xdr:nvCxnSpPr>
        <xdr:spPr>
          <a:xfrm>
            <a:off x="3724275" y="935259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6" name="Straight Arrow Connector 955">
            <a:extLst>
              <a:ext uri="{FF2B5EF4-FFF2-40B4-BE49-F238E27FC236}">
                <a16:creationId xmlns:a16="http://schemas.microsoft.com/office/drawing/2014/main" id="{D6B502CA-DD25-3BE6-EADB-8668581B402D}"/>
              </a:ext>
            </a:extLst>
          </xdr:cNvPr>
          <xdr:cNvCxnSpPr/>
        </xdr:nvCxnSpPr>
        <xdr:spPr>
          <a:xfrm>
            <a:off x="4533900" y="93530739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8" name="Straight Arrow Connector 957">
            <a:extLst>
              <a:ext uri="{FF2B5EF4-FFF2-40B4-BE49-F238E27FC236}">
                <a16:creationId xmlns:a16="http://schemas.microsoft.com/office/drawing/2014/main" id="{F7079536-7CE5-8FB5-2A9E-F8C789DA1063}"/>
              </a:ext>
            </a:extLst>
          </xdr:cNvPr>
          <xdr:cNvCxnSpPr/>
        </xdr:nvCxnSpPr>
        <xdr:spPr>
          <a:xfrm>
            <a:off x="5505451" y="935259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9" name="Straight Arrow Connector 958">
            <a:extLst>
              <a:ext uri="{FF2B5EF4-FFF2-40B4-BE49-F238E27FC236}">
                <a16:creationId xmlns:a16="http://schemas.microsoft.com/office/drawing/2014/main" id="{B20BA1D9-A529-975E-343D-41167DBA130C}"/>
              </a:ext>
            </a:extLst>
          </xdr:cNvPr>
          <xdr:cNvCxnSpPr/>
        </xdr:nvCxnSpPr>
        <xdr:spPr>
          <a:xfrm>
            <a:off x="5667376" y="93530739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1" name="Straight Arrow Connector 960">
            <a:extLst>
              <a:ext uri="{FF2B5EF4-FFF2-40B4-BE49-F238E27FC236}">
                <a16:creationId xmlns:a16="http://schemas.microsoft.com/office/drawing/2014/main" id="{C6F3967F-FD03-7E02-08BC-2B9B06233ED6}"/>
              </a:ext>
            </a:extLst>
          </xdr:cNvPr>
          <xdr:cNvCxnSpPr/>
        </xdr:nvCxnSpPr>
        <xdr:spPr>
          <a:xfrm>
            <a:off x="5829301" y="93411675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3" name="Straight Connector 962">
            <a:extLst>
              <a:ext uri="{FF2B5EF4-FFF2-40B4-BE49-F238E27FC236}">
                <a16:creationId xmlns:a16="http://schemas.microsoft.com/office/drawing/2014/main" id="{8C36EB6E-AD84-15FB-02A8-E6A3FFE16270}"/>
              </a:ext>
            </a:extLst>
          </xdr:cNvPr>
          <xdr:cNvCxnSpPr/>
        </xdr:nvCxnSpPr>
        <xdr:spPr>
          <a:xfrm flipH="1" flipV="1">
            <a:off x="4275861" y="93430725"/>
            <a:ext cx="96116" cy="176214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0" name="Straight Arrow Connector 979">
            <a:extLst>
              <a:ext uri="{FF2B5EF4-FFF2-40B4-BE49-F238E27FC236}">
                <a16:creationId xmlns:a16="http://schemas.microsoft.com/office/drawing/2014/main" id="{AC2BBF5C-F8A0-BEE7-B6E3-C0AF66D2A814}"/>
              </a:ext>
            </a:extLst>
          </xdr:cNvPr>
          <xdr:cNvCxnSpPr/>
        </xdr:nvCxnSpPr>
        <xdr:spPr>
          <a:xfrm>
            <a:off x="3886199" y="935259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2" name="Straight Arrow Connector 981">
            <a:extLst>
              <a:ext uri="{FF2B5EF4-FFF2-40B4-BE49-F238E27FC236}">
                <a16:creationId xmlns:a16="http://schemas.microsoft.com/office/drawing/2014/main" id="{441A5DB7-EE20-C5A9-45E5-B80F124E6DE3}"/>
              </a:ext>
            </a:extLst>
          </xdr:cNvPr>
          <xdr:cNvCxnSpPr/>
        </xdr:nvCxnSpPr>
        <xdr:spPr>
          <a:xfrm>
            <a:off x="4048124" y="935259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4" name="Straight Arrow Connector 983">
            <a:extLst>
              <a:ext uri="{FF2B5EF4-FFF2-40B4-BE49-F238E27FC236}">
                <a16:creationId xmlns:a16="http://schemas.microsoft.com/office/drawing/2014/main" id="{E689BC4D-3F2E-E057-A637-9BF46E83C3F0}"/>
              </a:ext>
            </a:extLst>
          </xdr:cNvPr>
          <xdr:cNvCxnSpPr/>
        </xdr:nvCxnSpPr>
        <xdr:spPr>
          <a:xfrm>
            <a:off x="4210049" y="935259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8" name="Straight Arrow Connector 987">
            <a:extLst>
              <a:ext uri="{FF2B5EF4-FFF2-40B4-BE49-F238E27FC236}">
                <a16:creationId xmlns:a16="http://schemas.microsoft.com/office/drawing/2014/main" id="{1C705D7A-F57B-C094-B020-AC845031D3BC}"/>
              </a:ext>
            </a:extLst>
          </xdr:cNvPr>
          <xdr:cNvCxnSpPr/>
        </xdr:nvCxnSpPr>
        <xdr:spPr>
          <a:xfrm>
            <a:off x="4371974" y="935259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3" name="Straight Arrow Connector 992">
            <a:extLst>
              <a:ext uri="{FF2B5EF4-FFF2-40B4-BE49-F238E27FC236}">
                <a16:creationId xmlns:a16="http://schemas.microsoft.com/office/drawing/2014/main" id="{3317FD12-2E75-F6AB-24B5-6797A092888B}"/>
              </a:ext>
            </a:extLst>
          </xdr:cNvPr>
          <xdr:cNvCxnSpPr/>
        </xdr:nvCxnSpPr>
        <xdr:spPr>
          <a:xfrm>
            <a:off x="4857750" y="9352597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4" name="Straight Arrow Connector 993">
            <a:extLst>
              <a:ext uri="{FF2B5EF4-FFF2-40B4-BE49-F238E27FC236}">
                <a16:creationId xmlns:a16="http://schemas.microsoft.com/office/drawing/2014/main" id="{43166020-46AF-179B-D818-D9C9200D5397}"/>
              </a:ext>
            </a:extLst>
          </xdr:cNvPr>
          <xdr:cNvCxnSpPr/>
        </xdr:nvCxnSpPr>
        <xdr:spPr>
          <a:xfrm>
            <a:off x="5019674" y="9352597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5" name="Straight Arrow Connector 994">
            <a:extLst>
              <a:ext uri="{FF2B5EF4-FFF2-40B4-BE49-F238E27FC236}">
                <a16:creationId xmlns:a16="http://schemas.microsoft.com/office/drawing/2014/main" id="{2D36A509-8DBB-0A1C-672A-4CDD2248510B}"/>
              </a:ext>
            </a:extLst>
          </xdr:cNvPr>
          <xdr:cNvCxnSpPr/>
        </xdr:nvCxnSpPr>
        <xdr:spPr>
          <a:xfrm>
            <a:off x="5181599" y="9352597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6" name="Straight Arrow Connector 995">
            <a:extLst>
              <a:ext uri="{FF2B5EF4-FFF2-40B4-BE49-F238E27FC236}">
                <a16:creationId xmlns:a16="http://schemas.microsoft.com/office/drawing/2014/main" id="{9263F8F4-0616-BE5B-A776-69BACD5409FB}"/>
              </a:ext>
            </a:extLst>
          </xdr:cNvPr>
          <xdr:cNvCxnSpPr/>
        </xdr:nvCxnSpPr>
        <xdr:spPr>
          <a:xfrm>
            <a:off x="5343524" y="9352597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0" name="Straight Connector 999">
            <a:extLst>
              <a:ext uri="{FF2B5EF4-FFF2-40B4-BE49-F238E27FC236}">
                <a16:creationId xmlns:a16="http://schemas.microsoft.com/office/drawing/2014/main" id="{F60B2973-A372-413A-8B54-0BC64454CA2B}"/>
              </a:ext>
            </a:extLst>
          </xdr:cNvPr>
          <xdr:cNvCxnSpPr/>
        </xdr:nvCxnSpPr>
        <xdr:spPr>
          <a:xfrm>
            <a:off x="5829300" y="93411676"/>
            <a:ext cx="97155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3" name="Straight Arrow Connector 1002">
            <a:extLst>
              <a:ext uri="{FF2B5EF4-FFF2-40B4-BE49-F238E27FC236}">
                <a16:creationId xmlns:a16="http://schemas.microsoft.com/office/drawing/2014/main" id="{A601FC7F-90BB-45EB-A590-524C1EFFFAFC}"/>
              </a:ext>
            </a:extLst>
          </xdr:cNvPr>
          <xdr:cNvCxnSpPr/>
        </xdr:nvCxnSpPr>
        <xdr:spPr>
          <a:xfrm>
            <a:off x="5991227" y="93411674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4" name="Straight Arrow Connector 1003">
            <a:extLst>
              <a:ext uri="{FF2B5EF4-FFF2-40B4-BE49-F238E27FC236}">
                <a16:creationId xmlns:a16="http://schemas.microsoft.com/office/drawing/2014/main" id="{6D06FB4D-D36B-4834-A3DB-3C040A495ED2}"/>
              </a:ext>
            </a:extLst>
          </xdr:cNvPr>
          <xdr:cNvCxnSpPr/>
        </xdr:nvCxnSpPr>
        <xdr:spPr>
          <a:xfrm>
            <a:off x="6153151" y="93411675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5" name="Straight Arrow Connector 1004">
            <a:extLst>
              <a:ext uri="{FF2B5EF4-FFF2-40B4-BE49-F238E27FC236}">
                <a16:creationId xmlns:a16="http://schemas.microsoft.com/office/drawing/2014/main" id="{8AF71E9D-FE0D-433C-8F58-A415A9D03D14}"/>
              </a:ext>
            </a:extLst>
          </xdr:cNvPr>
          <xdr:cNvCxnSpPr/>
        </xdr:nvCxnSpPr>
        <xdr:spPr>
          <a:xfrm>
            <a:off x="6315077" y="93411674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6" name="Straight Arrow Connector 1005">
            <a:extLst>
              <a:ext uri="{FF2B5EF4-FFF2-40B4-BE49-F238E27FC236}">
                <a16:creationId xmlns:a16="http://schemas.microsoft.com/office/drawing/2014/main" id="{4D609D66-0C99-4D88-9CE7-E1074C6A6E8C}"/>
              </a:ext>
            </a:extLst>
          </xdr:cNvPr>
          <xdr:cNvCxnSpPr/>
        </xdr:nvCxnSpPr>
        <xdr:spPr>
          <a:xfrm>
            <a:off x="6477000" y="93411677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7" name="Straight Arrow Connector 1006">
            <a:extLst>
              <a:ext uri="{FF2B5EF4-FFF2-40B4-BE49-F238E27FC236}">
                <a16:creationId xmlns:a16="http://schemas.microsoft.com/office/drawing/2014/main" id="{78261B4F-0638-4370-8716-8FA7F2C78540}"/>
              </a:ext>
            </a:extLst>
          </xdr:cNvPr>
          <xdr:cNvCxnSpPr/>
        </xdr:nvCxnSpPr>
        <xdr:spPr>
          <a:xfrm>
            <a:off x="6638926" y="93411676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0" name="Straight Arrow Connector 1009">
            <a:extLst>
              <a:ext uri="{FF2B5EF4-FFF2-40B4-BE49-F238E27FC236}">
                <a16:creationId xmlns:a16="http://schemas.microsoft.com/office/drawing/2014/main" id="{4020A04D-E5B5-4C8A-9D75-F2E1EF41C38E}"/>
              </a:ext>
            </a:extLst>
          </xdr:cNvPr>
          <xdr:cNvCxnSpPr/>
        </xdr:nvCxnSpPr>
        <xdr:spPr>
          <a:xfrm>
            <a:off x="4700587" y="93316425"/>
            <a:ext cx="0" cy="423862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2" name="Straight Connector 1011">
            <a:extLst>
              <a:ext uri="{FF2B5EF4-FFF2-40B4-BE49-F238E27FC236}">
                <a16:creationId xmlns:a16="http://schemas.microsoft.com/office/drawing/2014/main" id="{C45BE64E-2657-4F67-91C5-C18E24157A67}"/>
              </a:ext>
            </a:extLst>
          </xdr:cNvPr>
          <xdr:cNvCxnSpPr/>
        </xdr:nvCxnSpPr>
        <xdr:spPr>
          <a:xfrm flipH="1" flipV="1">
            <a:off x="6203374" y="93287850"/>
            <a:ext cx="111703" cy="204789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3" name="Straight Arrow Connector 1012">
            <a:extLst>
              <a:ext uri="{FF2B5EF4-FFF2-40B4-BE49-F238E27FC236}">
                <a16:creationId xmlns:a16="http://schemas.microsoft.com/office/drawing/2014/main" id="{BB647F66-2307-4CF4-B29F-263199504CBB}"/>
              </a:ext>
            </a:extLst>
          </xdr:cNvPr>
          <xdr:cNvCxnSpPr/>
        </xdr:nvCxnSpPr>
        <xdr:spPr>
          <a:xfrm>
            <a:off x="6800850" y="93178313"/>
            <a:ext cx="0" cy="56197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6" name="Straight Connector 1015">
            <a:extLst>
              <a:ext uri="{FF2B5EF4-FFF2-40B4-BE49-F238E27FC236}">
                <a16:creationId xmlns:a16="http://schemas.microsoft.com/office/drawing/2014/main" id="{F22957C8-846F-48BA-B140-0F33916D9081}"/>
              </a:ext>
            </a:extLst>
          </xdr:cNvPr>
          <xdr:cNvCxnSpPr/>
        </xdr:nvCxnSpPr>
        <xdr:spPr>
          <a:xfrm>
            <a:off x="6800815" y="93902213"/>
            <a:ext cx="0" cy="6334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7" name="Straight Connector 1016">
            <a:extLst>
              <a:ext uri="{FF2B5EF4-FFF2-40B4-BE49-F238E27FC236}">
                <a16:creationId xmlns:a16="http://schemas.microsoft.com/office/drawing/2014/main" id="{62E22CD4-A9AB-4EBF-8011-4399C86B938F}"/>
              </a:ext>
            </a:extLst>
          </xdr:cNvPr>
          <xdr:cNvCxnSpPr/>
        </xdr:nvCxnSpPr>
        <xdr:spPr>
          <a:xfrm flipH="1">
            <a:off x="6762715" y="944260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9" name="Straight Connector 1018">
            <a:extLst>
              <a:ext uri="{FF2B5EF4-FFF2-40B4-BE49-F238E27FC236}">
                <a16:creationId xmlns:a16="http://schemas.microsoft.com/office/drawing/2014/main" id="{5A636467-1A54-455A-96E3-9A6C7BD72C1D}"/>
              </a:ext>
            </a:extLst>
          </xdr:cNvPr>
          <xdr:cNvCxnSpPr/>
        </xdr:nvCxnSpPr>
        <xdr:spPr>
          <a:xfrm>
            <a:off x="4695790" y="93959363"/>
            <a:ext cx="0" cy="576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0" name="Straight Connector 1019">
            <a:extLst>
              <a:ext uri="{FF2B5EF4-FFF2-40B4-BE49-F238E27FC236}">
                <a16:creationId xmlns:a16="http://schemas.microsoft.com/office/drawing/2014/main" id="{150EFCB4-3E7D-4BD9-B079-84BF5973D9C7}"/>
              </a:ext>
            </a:extLst>
          </xdr:cNvPr>
          <xdr:cNvCxnSpPr/>
        </xdr:nvCxnSpPr>
        <xdr:spPr>
          <a:xfrm flipH="1">
            <a:off x="4657690" y="944260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4" name="Straight Connector 1023">
            <a:extLst>
              <a:ext uri="{FF2B5EF4-FFF2-40B4-BE49-F238E27FC236}">
                <a16:creationId xmlns:a16="http://schemas.microsoft.com/office/drawing/2014/main" id="{08908BAE-F1C8-40BB-98A0-C78D1552E3C0}"/>
              </a:ext>
            </a:extLst>
          </xdr:cNvPr>
          <xdr:cNvCxnSpPr/>
        </xdr:nvCxnSpPr>
        <xdr:spPr>
          <a:xfrm>
            <a:off x="3481389" y="94745175"/>
            <a:ext cx="24050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5" name="Straight Connector 1024">
            <a:extLst>
              <a:ext uri="{FF2B5EF4-FFF2-40B4-BE49-F238E27FC236}">
                <a16:creationId xmlns:a16="http://schemas.microsoft.com/office/drawing/2014/main" id="{2228DDF0-B0E8-4547-AB45-2CD59638C98E}"/>
              </a:ext>
            </a:extLst>
          </xdr:cNvPr>
          <xdr:cNvCxnSpPr/>
        </xdr:nvCxnSpPr>
        <xdr:spPr>
          <a:xfrm flipH="1">
            <a:off x="3524244" y="947118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6" name="Straight Connector 1025">
            <a:extLst>
              <a:ext uri="{FF2B5EF4-FFF2-40B4-BE49-F238E27FC236}">
                <a16:creationId xmlns:a16="http://schemas.microsoft.com/office/drawing/2014/main" id="{456C066D-2A4C-4AB4-9885-26ABDB186AB3}"/>
              </a:ext>
            </a:extLst>
          </xdr:cNvPr>
          <xdr:cNvCxnSpPr/>
        </xdr:nvCxnSpPr>
        <xdr:spPr>
          <a:xfrm flipH="1">
            <a:off x="5791166" y="947118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8" name="Straight Connector 1077">
            <a:extLst>
              <a:ext uri="{FF2B5EF4-FFF2-40B4-BE49-F238E27FC236}">
                <a16:creationId xmlns:a16="http://schemas.microsoft.com/office/drawing/2014/main" id="{EAE9EBBF-24BA-4326-9158-4C662BA8FA99}"/>
              </a:ext>
            </a:extLst>
          </xdr:cNvPr>
          <xdr:cNvCxnSpPr/>
        </xdr:nvCxnSpPr>
        <xdr:spPr>
          <a:xfrm flipH="1" flipV="1">
            <a:off x="3019425" y="93106875"/>
            <a:ext cx="787978" cy="623889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157163</xdr:colOff>
      <xdr:row>757</xdr:row>
      <xdr:rowOff>0</xdr:rowOff>
    </xdr:from>
    <xdr:to>
      <xdr:col>49</xdr:col>
      <xdr:colOff>9906</xdr:colOff>
      <xdr:row>757</xdr:row>
      <xdr:rowOff>133351</xdr:rowOff>
    </xdr:to>
    <xdr:grpSp>
      <xdr:nvGrpSpPr>
        <xdr:cNvPr id="1168" name="Group 1167">
          <a:extLst>
            <a:ext uri="{FF2B5EF4-FFF2-40B4-BE49-F238E27FC236}">
              <a16:creationId xmlns:a16="http://schemas.microsoft.com/office/drawing/2014/main" id="{84D4ABE6-2B32-D5B0-44F3-92005D0EADD2}"/>
            </a:ext>
          </a:extLst>
        </xdr:cNvPr>
        <xdr:cNvGrpSpPr/>
      </xdr:nvGrpSpPr>
      <xdr:grpSpPr>
        <a:xfrm>
          <a:off x="3719513" y="114947700"/>
          <a:ext cx="4224718" cy="133351"/>
          <a:chOff x="6472238" y="107946825"/>
          <a:chExt cx="4224718" cy="133351"/>
        </a:xfrm>
      </xdr:grpSpPr>
      <xdr:cxnSp macro="">
        <xdr:nvCxnSpPr>
          <xdr:cNvPr id="998" name="Straight Connector 997">
            <a:extLst>
              <a:ext uri="{FF2B5EF4-FFF2-40B4-BE49-F238E27FC236}">
                <a16:creationId xmlns:a16="http://schemas.microsoft.com/office/drawing/2014/main" id="{C5467A8F-AFFA-C49C-3F23-8185CA37446A}"/>
              </a:ext>
            </a:extLst>
          </xdr:cNvPr>
          <xdr:cNvCxnSpPr/>
        </xdr:nvCxnSpPr>
        <xdr:spPr>
          <a:xfrm>
            <a:off x="6472238" y="107946825"/>
            <a:ext cx="422471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99" name="Isosceles Triangle 998">
            <a:extLst>
              <a:ext uri="{FF2B5EF4-FFF2-40B4-BE49-F238E27FC236}">
                <a16:creationId xmlns:a16="http://schemas.microsoft.com/office/drawing/2014/main" id="{6C2A7226-BA73-AF4A-395F-24A325486693}"/>
              </a:ext>
            </a:extLst>
          </xdr:cNvPr>
          <xdr:cNvSpPr/>
        </xdr:nvSpPr>
        <xdr:spPr>
          <a:xfrm>
            <a:off x="7381875" y="107951589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01" name="Isosceles Triangle 1000">
            <a:extLst>
              <a:ext uri="{FF2B5EF4-FFF2-40B4-BE49-F238E27FC236}">
                <a16:creationId xmlns:a16="http://schemas.microsoft.com/office/drawing/2014/main" id="{BE6C335B-F999-9F36-DFAB-A4B3485C8C9C}"/>
              </a:ext>
            </a:extLst>
          </xdr:cNvPr>
          <xdr:cNvSpPr/>
        </xdr:nvSpPr>
        <xdr:spPr>
          <a:xfrm>
            <a:off x="9644017" y="107956352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95250</xdr:colOff>
      <xdr:row>740</xdr:row>
      <xdr:rowOff>66674</xdr:rowOff>
    </xdr:from>
    <xdr:to>
      <xdr:col>15</xdr:col>
      <xdr:colOff>57150</xdr:colOff>
      <xdr:row>754</xdr:row>
      <xdr:rowOff>76200</xdr:rowOff>
    </xdr:to>
    <xdr:grpSp>
      <xdr:nvGrpSpPr>
        <xdr:cNvPr id="1018" name="Group 1017">
          <a:extLst>
            <a:ext uri="{FF2B5EF4-FFF2-40B4-BE49-F238E27FC236}">
              <a16:creationId xmlns:a16="http://schemas.microsoft.com/office/drawing/2014/main" id="{8E13B142-9B66-4021-87B0-30A3E0D48003}"/>
            </a:ext>
          </a:extLst>
        </xdr:cNvPr>
        <xdr:cNvGrpSpPr/>
      </xdr:nvGrpSpPr>
      <xdr:grpSpPr>
        <a:xfrm>
          <a:off x="419100" y="112585499"/>
          <a:ext cx="2066925" cy="2009776"/>
          <a:chOff x="1066800" y="495299"/>
          <a:chExt cx="2066925" cy="2009776"/>
        </a:xfrm>
      </xdr:grpSpPr>
      <xdr:grpSp>
        <xdr:nvGrpSpPr>
          <xdr:cNvPr id="1021" name="Group 1020">
            <a:extLst>
              <a:ext uri="{FF2B5EF4-FFF2-40B4-BE49-F238E27FC236}">
                <a16:creationId xmlns:a16="http://schemas.microsoft.com/office/drawing/2014/main" id="{71EBCF7C-F9B1-5049-B647-567D1C3A1B70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1091" name="Straight Connector 1090">
              <a:extLst>
                <a:ext uri="{FF2B5EF4-FFF2-40B4-BE49-F238E27FC236}">
                  <a16:creationId xmlns:a16="http://schemas.microsoft.com/office/drawing/2014/main" id="{69937683-2798-E158-6C76-9443A35FFB62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92" name="Straight Connector 1091">
              <a:extLst>
                <a:ext uri="{FF2B5EF4-FFF2-40B4-BE49-F238E27FC236}">
                  <a16:creationId xmlns:a16="http://schemas.microsoft.com/office/drawing/2014/main" id="{0CC822C9-2211-134B-F1B7-474F5F9D7977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93" name="Straight Connector 1092">
              <a:extLst>
                <a:ext uri="{FF2B5EF4-FFF2-40B4-BE49-F238E27FC236}">
                  <a16:creationId xmlns:a16="http://schemas.microsoft.com/office/drawing/2014/main" id="{57483733-860E-5699-BCA9-31D020878414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94" name="Arc 1093">
              <a:extLst>
                <a:ext uri="{FF2B5EF4-FFF2-40B4-BE49-F238E27FC236}">
                  <a16:creationId xmlns:a16="http://schemas.microsoft.com/office/drawing/2014/main" id="{3FE91522-4A56-9C4E-7D1B-E6F01DDE5D3A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95" name="Straight Connector 1094">
              <a:extLst>
                <a:ext uri="{FF2B5EF4-FFF2-40B4-BE49-F238E27FC236}">
                  <a16:creationId xmlns:a16="http://schemas.microsoft.com/office/drawing/2014/main" id="{C4739220-D021-C528-E6F0-9717A7999667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96" name="Straight Connector 1095">
              <a:extLst>
                <a:ext uri="{FF2B5EF4-FFF2-40B4-BE49-F238E27FC236}">
                  <a16:creationId xmlns:a16="http://schemas.microsoft.com/office/drawing/2014/main" id="{A2FD9A60-F4C2-FCDA-9F1C-B8924D1CBFAC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97" name="Straight Connector 1096">
              <a:extLst>
                <a:ext uri="{FF2B5EF4-FFF2-40B4-BE49-F238E27FC236}">
                  <a16:creationId xmlns:a16="http://schemas.microsoft.com/office/drawing/2014/main" id="{53273371-9F18-6C61-7ADD-4124FBBDCCEA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98" name="Straight Connector 1097">
              <a:extLst>
                <a:ext uri="{FF2B5EF4-FFF2-40B4-BE49-F238E27FC236}">
                  <a16:creationId xmlns:a16="http://schemas.microsoft.com/office/drawing/2014/main" id="{8393D18E-FCE0-0974-4F13-33BB13ADECEB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99" name="Arc 1098">
              <a:extLst>
                <a:ext uri="{FF2B5EF4-FFF2-40B4-BE49-F238E27FC236}">
                  <a16:creationId xmlns:a16="http://schemas.microsoft.com/office/drawing/2014/main" id="{DAE22A05-9667-E37B-7DCC-888D84C5DBED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100" name="Straight Connector 1099">
              <a:extLst>
                <a:ext uri="{FF2B5EF4-FFF2-40B4-BE49-F238E27FC236}">
                  <a16:creationId xmlns:a16="http://schemas.microsoft.com/office/drawing/2014/main" id="{895F2EDC-45DB-A74C-9CB3-E83CC06C61C0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01" name="Straight Connector 1100">
              <a:extLst>
                <a:ext uri="{FF2B5EF4-FFF2-40B4-BE49-F238E27FC236}">
                  <a16:creationId xmlns:a16="http://schemas.microsoft.com/office/drawing/2014/main" id="{18D736F8-015C-026D-20D4-8A825CBE773B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02" name="Straight Connector 1101">
              <a:extLst>
                <a:ext uri="{FF2B5EF4-FFF2-40B4-BE49-F238E27FC236}">
                  <a16:creationId xmlns:a16="http://schemas.microsoft.com/office/drawing/2014/main" id="{136FC4C4-D8C2-E065-B82D-247130E76F86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03" name="Straight Connector 1102">
              <a:extLst>
                <a:ext uri="{FF2B5EF4-FFF2-40B4-BE49-F238E27FC236}">
                  <a16:creationId xmlns:a16="http://schemas.microsoft.com/office/drawing/2014/main" id="{5AB0B466-6C11-FC9A-5237-A2FEA115A6AC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04" name="Straight Connector 1103">
              <a:extLst>
                <a:ext uri="{FF2B5EF4-FFF2-40B4-BE49-F238E27FC236}">
                  <a16:creationId xmlns:a16="http://schemas.microsoft.com/office/drawing/2014/main" id="{7338E588-F851-CEE0-E270-FB5561BE163F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105" name="Arc 1104">
              <a:extLst>
                <a:ext uri="{FF2B5EF4-FFF2-40B4-BE49-F238E27FC236}">
                  <a16:creationId xmlns:a16="http://schemas.microsoft.com/office/drawing/2014/main" id="{29B02752-CBD4-4256-A85A-D64FB03CA0EC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106" name="Arc 1105">
              <a:extLst>
                <a:ext uri="{FF2B5EF4-FFF2-40B4-BE49-F238E27FC236}">
                  <a16:creationId xmlns:a16="http://schemas.microsoft.com/office/drawing/2014/main" id="{559AAD7A-FAF6-F593-AFE8-9B488DDAAF41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1022" name="Straight Connector 1021">
            <a:extLst>
              <a:ext uri="{FF2B5EF4-FFF2-40B4-BE49-F238E27FC236}">
                <a16:creationId xmlns:a16="http://schemas.microsoft.com/office/drawing/2014/main" id="{36806366-8559-6C6F-784B-FE02F87BFF38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3" name="Straight Connector 1022">
            <a:extLst>
              <a:ext uri="{FF2B5EF4-FFF2-40B4-BE49-F238E27FC236}">
                <a16:creationId xmlns:a16="http://schemas.microsoft.com/office/drawing/2014/main" id="{BE9C02F7-7102-44FE-BF92-6924D4BEE8E2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7" name="Straight Connector 1026">
            <a:extLst>
              <a:ext uri="{FF2B5EF4-FFF2-40B4-BE49-F238E27FC236}">
                <a16:creationId xmlns:a16="http://schemas.microsoft.com/office/drawing/2014/main" id="{6ABEAED6-3680-0D3F-B4BE-A8E1323CEE05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8" name="Straight Connector 1027">
            <a:extLst>
              <a:ext uri="{FF2B5EF4-FFF2-40B4-BE49-F238E27FC236}">
                <a16:creationId xmlns:a16="http://schemas.microsoft.com/office/drawing/2014/main" id="{8EB664F1-988F-A4FA-AC77-3EDF3F196840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9" name="Straight Connector 1028">
            <a:extLst>
              <a:ext uri="{FF2B5EF4-FFF2-40B4-BE49-F238E27FC236}">
                <a16:creationId xmlns:a16="http://schemas.microsoft.com/office/drawing/2014/main" id="{D15023EF-E865-FA43-2F49-DFDB35B8ABF6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5" name="Straight Connector 1034">
            <a:extLst>
              <a:ext uri="{FF2B5EF4-FFF2-40B4-BE49-F238E27FC236}">
                <a16:creationId xmlns:a16="http://schemas.microsoft.com/office/drawing/2014/main" id="{C0EC946D-654C-DC46-7239-12B4BE46EA33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9" name="Straight Connector 1038">
            <a:extLst>
              <a:ext uri="{FF2B5EF4-FFF2-40B4-BE49-F238E27FC236}">
                <a16:creationId xmlns:a16="http://schemas.microsoft.com/office/drawing/2014/main" id="{F601545F-7813-D51E-5F65-5B3B8C4D2C58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9" name="Straight Connector 1078">
            <a:extLst>
              <a:ext uri="{FF2B5EF4-FFF2-40B4-BE49-F238E27FC236}">
                <a16:creationId xmlns:a16="http://schemas.microsoft.com/office/drawing/2014/main" id="{7F4FBB15-6152-3749-7D6C-06F098059169}"/>
              </a:ext>
            </a:extLst>
          </xdr:cNvPr>
          <xdr:cNvCxnSpPr/>
        </xdr:nvCxnSpPr>
        <xdr:spPr>
          <a:xfrm>
            <a:off x="1395413" y="2428875"/>
            <a:ext cx="14239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2" name="Straight Connector 1081">
            <a:extLst>
              <a:ext uri="{FF2B5EF4-FFF2-40B4-BE49-F238E27FC236}">
                <a16:creationId xmlns:a16="http://schemas.microsoft.com/office/drawing/2014/main" id="{D1E76380-EE5A-8B67-4C27-62E9DE484188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3" name="Straight Connector 1082">
            <a:extLst>
              <a:ext uri="{FF2B5EF4-FFF2-40B4-BE49-F238E27FC236}">
                <a16:creationId xmlns:a16="http://schemas.microsoft.com/office/drawing/2014/main" id="{9E36E7FD-5C47-DF83-304E-7B945D786F67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4" name="Straight Connector 1083">
            <a:extLst>
              <a:ext uri="{FF2B5EF4-FFF2-40B4-BE49-F238E27FC236}">
                <a16:creationId xmlns:a16="http://schemas.microsoft.com/office/drawing/2014/main" id="{5C2F96A1-AC9E-C5F4-5EA9-B7823EA8A97C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Straight Connector 1084">
            <a:extLst>
              <a:ext uri="{FF2B5EF4-FFF2-40B4-BE49-F238E27FC236}">
                <a16:creationId xmlns:a16="http://schemas.microsoft.com/office/drawing/2014/main" id="{7FD102FF-FFE8-EC0C-2BDF-3A494B5F6B63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6" name="Straight Connector 1085">
            <a:extLst>
              <a:ext uri="{FF2B5EF4-FFF2-40B4-BE49-F238E27FC236}">
                <a16:creationId xmlns:a16="http://schemas.microsoft.com/office/drawing/2014/main" id="{92F09697-6126-0615-3FFD-CE0DD9AF162C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7" name="Straight Connector 1086">
            <a:extLst>
              <a:ext uri="{FF2B5EF4-FFF2-40B4-BE49-F238E27FC236}">
                <a16:creationId xmlns:a16="http://schemas.microsoft.com/office/drawing/2014/main" id="{6122EE08-CCD9-9B2C-7D70-66098054EA08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8" name="Straight Connector 1087">
            <a:extLst>
              <a:ext uri="{FF2B5EF4-FFF2-40B4-BE49-F238E27FC236}">
                <a16:creationId xmlns:a16="http://schemas.microsoft.com/office/drawing/2014/main" id="{3E08E470-4A3D-EE61-4F1D-7EA808768FDE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9" name="Straight Connector 1088">
            <a:extLst>
              <a:ext uri="{FF2B5EF4-FFF2-40B4-BE49-F238E27FC236}">
                <a16:creationId xmlns:a16="http://schemas.microsoft.com/office/drawing/2014/main" id="{282FEAB3-D509-B4F7-EE8C-DD1F884C52B4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0" name="Straight Connector 1089">
            <a:extLst>
              <a:ext uri="{FF2B5EF4-FFF2-40B4-BE49-F238E27FC236}">
                <a16:creationId xmlns:a16="http://schemas.microsoft.com/office/drawing/2014/main" id="{29B20321-2AC4-BDA4-01F6-A568F3235DBB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80963</xdr:colOff>
      <xdr:row>699</xdr:row>
      <xdr:rowOff>66675</xdr:rowOff>
    </xdr:from>
    <xdr:to>
      <xdr:col>23</xdr:col>
      <xdr:colOff>133350</xdr:colOff>
      <xdr:row>699</xdr:row>
      <xdr:rowOff>66675</xdr:rowOff>
    </xdr:to>
    <xdr:cxnSp macro="">
      <xdr:nvCxnSpPr>
        <xdr:cNvPr id="1169" name="Straight Arrow Connector 1168">
          <a:extLst>
            <a:ext uri="{FF2B5EF4-FFF2-40B4-BE49-F238E27FC236}">
              <a16:creationId xmlns:a16="http://schemas.microsoft.com/office/drawing/2014/main" id="{D5210A1E-5833-4089-9425-53020A6A753E}"/>
            </a:ext>
          </a:extLst>
        </xdr:cNvPr>
        <xdr:cNvCxnSpPr/>
      </xdr:nvCxnSpPr>
      <xdr:spPr>
        <a:xfrm>
          <a:off x="7367588" y="1026699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80963</xdr:colOff>
      <xdr:row>694</xdr:row>
      <xdr:rowOff>66675</xdr:rowOff>
    </xdr:from>
    <xdr:to>
      <xdr:col>46</xdr:col>
      <xdr:colOff>133350</xdr:colOff>
      <xdr:row>694</xdr:row>
      <xdr:rowOff>66675</xdr:rowOff>
    </xdr:to>
    <xdr:cxnSp macro="">
      <xdr:nvCxnSpPr>
        <xdr:cNvPr id="1174" name="Straight Arrow Connector 1173">
          <a:extLst>
            <a:ext uri="{FF2B5EF4-FFF2-40B4-BE49-F238E27FC236}">
              <a16:creationId xmlns:a16="http://schemas.microsoft.com/office/drawing/2014/main" id="{2BD90E25-9F45-43D1-ABBB-A219D844295F}"/>
            </a:ext>
          </a:extLst>
        </xdr:cNvPr>
        <xdr:cNvCxnSpPr/>
      </xdr:nvCxnSpPr>
      <xdr:spPr>
        <a:xfrm>
          <a:off x="4452938" y="1032414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80963</xdr:colOff>
      <xdr:row>700</xdr:row>
      <xdr:rowOff>66675</xdr:rowOff>
    </xdr:from>
    <xdr:to>
      <xdr:col>30</xdr:col>
      <xdr:colOff>133350</xdr:colOff>
      <xdr:row>700</xdr:row>
      <xdr:rowOff>66675</xdr:rowOff>
    </xdr:to>
    <xdr:cxnSp macro="">
      <xdr:nvCxnSpPr>
        <xdr:cNvPr id="1208" name="Straight Arrow Connector 1207">
          <a:extLst>
            <a:ext uri="{FF2B5EF4-FFF2-40B4-BE49-F238E27FC236}">
              <a16:creationId xmlns:a16="http://schemas.microsoft.com/office/drawing/2014/main" id="{9F94B778-F471-4FD1-9FEB-2BDA236BD9C4}"/>
            </a:ext>
          </a:extLst>
        </xdr:cNvPr>
        <xdr:cNvCxnSpPr/>
      </xdr:nvCxnSpPr>
      <xdr:spPr>
        <a:xfrm>
          <a:off x="4452938" y="1032414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80963</xdr:colOff>
      <xdr:row>701</xdr:row>
      <xdr:rowOff>66675</xdr:rowOff>
    </xdr:from>
    <xdr:to>
      <xdr:col>42</xdr:col>
      <xdr:colOff>133350</xdr:colOff>
      <xdr:row>701</xdr:row>
      <xdr:rowOff>66675</xdr:rowOff>
    </xdr:to>
    <xdr:cxnSp macro="">
      <xdr:nvCxnSpPr>
        <xdr:cNvPr id="1209" name="Straight Arrow Connector 1208">
          <a:extLst>
            <a:ext uri="{FF2B5EF4-FFF2-40B4-BE49-F238E27FC236}">
              <a16:creationId xmlns:a16="http://schemas.microsoft.com/office/drawing/2014/main" id="{BD0E306D-B0C1-4A77-8327-6CC58F2F46AD}"/>
            </a:ext>
          </a:extLst>
        </xdr:cNvPr>
        <xdr:cNvCxnSpPr/>
      </xdr:nvCxnSpPr>
      <xdr:spPr>
        <a:xfrm>
          <a:off x="4776788" y="1033843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80963</xdr:colOff>
      <xdr:row>702</xdr:row>
      <xdr:rowOff>66675</xdr:rowOff>
    </xdr:from>
    <xdr:to>
      <xdr:col>33</xdr:col>
      <xdr:colOff>133350</xdr:colOff>
      <xdr:row>702</xdr:row>
      <xdr:rowOff>66675</xdr:rowOff>
    </xdr:to>
    <xdr:cxnSp macro="">
      <xdr:nvCxnSpPr>
        <xdr:cNvPr id="1210" name="Straight Arrow Connector 1209">
          <a:extLst>
            <a:ext uri="{FF2B5EF4-FFF2-40B4-BE49-F238E27FC236}">
              <a16:creationId xmlns:a16="http://schemas.microsoft.com/office/drawing/2014/main" id="{5AF54D58-3382-48E1-875A-880FED30F2A9}"/>
            </a:ext>
          </a:extLst>
        </xdr:cNvPr>
        <xdr:cNvCxnSpPr/>
      </xdr:nvCxnSpPr>
      <xdr:spPr>
        <a:xfrm>
          <a:off x="4776788" y="1033843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80963</xdr:colOff>
      <xdr:row>703</xdr:row>
      <xdr:rowOff>66675</xdr:rowOff>
    </xdr:from>
    <xdr:to>
      <xdr:col>24</xdr:col>
      <xdr:colOff>133350</xdr:colOff>
      <xdr:row>703</xdr:row>
      <xdr:rowOff>66675</xdr:rowOff>
    </xdr:to>
    <xdr:cxnSp macro="">
      <xdr:nvCxnSpPr>
        <xdr:cNvPr id="1211" name="Straight Arrow Connector 1210">
          <a:extLst>
            <a:ext uri="{FF2B5EF4-FFF2-40B4-BE49-F238E27FC236}">
              <a16:creationId xmlns:a16="http://schemas.microsoft.com/office/drawing/2014/main" id="{2D9446A9-0F1A-43BE-9324-9FB24262D7F6}"/>
            </a:ext>
          </a:extLst>
        </xdr:cNvPr>
        <xdr:cNvCxnSpPr/>
      </xdr:nvCxnSpPr>
      <xdr:spPr>
        <a:xfrm>
          <a:off x="4452938" y="1032414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80963</xdr:colOff>
      <xdr:row>704</xdr:row>
      <xdr:rowOff>66675</xdr:rowOff>
    </xdr:from>
    <xdr:to>
      <xdr:col>36</xdr:col>
      <xdr:colOff>133350</xdr:colOff>
      <xdr:row>704</xdr:row>
      <xdr:rowOff>66675</xdr:rowOff>
    </xdr:to>
    <xdr:cxnSp macro="">
      <xdr:nvCxnSpPr>
        <xdr:cNvPr id="1212" name="Straight Arrow Connector 1211">
          <a:extLst>
            <a:ext uri="{FF2B5EF4-FFF2-40B4-BE49-F238E27FC236}">
              <a16:creationId xmlns:a16="http://schemas.microsoft.com/office/drawing/2014/main" id="{2B46357E-CD97-4D12-B326-3E40453CBA11}"/>
            </a:ext>
          </a:extLst>
        </xdr:cNvPr>
        <xdr:cNvCxnSpPr/>
      </xdr:nvCxnSpPr>
      <xdr:spPr>
        <a:xfrm>
          <a:off x="3805238" y="1038129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80963</xdr:colOff>
      <xdr:row>705</xdr:row>
      <xdr:rowOff>66675</xdr:rowOff>
    </xdr:from>
    <xdr:to>
      <xdr:col>23</xdr:col>
      <xdr:colOff>133350</xdr:colOff>
      <xdr:row>705</xdr:row>
      <xdr:rowOff>66675</xdr:rowOff>
    </xdr:to>
    <xdr:cxnSp macro="">
      <xdr:nvCxnSpPr>
        <xdr:cNvPr id="1213" name="Straight Arrow Connector 1212">
          <a:extLst>
            <a:ext uri="{FF2B5EF4-FFF2-40B4-BE49-F238E27FC236}">
              <a16:creationId xmlns:a16="http://schemas.microsoft.com/office/drawing/2014/main" id="{13042E04-9B68-41BE-9FE8-6960A2CD8A72}"/>
            </a:ext>
          </a:extLst>
        </xdr:cNvPr>
        <xdr:cNvCxnSpPr/>
      </xdr:nvCxnSpPr>
      <xdr:spPr>
        <a:xfrm>
          <a:off x="3805238" y="1038129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80963</xdr:colOff>
      <xdr:row>696</xdr:row>
      <xdr:rowOff>66675</xdr:rowOff>
    </xdr:from>
    <xdr:to>
      <xdr:col>4</xdr:col>
      <xdr:colOff>133350</xdr:colOff>
      <xdr:row>696</xdr:row>
      <xdr:rowOff>66675</xdr:rowOff>
    </xdr:to>
    <xdr:cxnSp macro="">
      <xdr:nvCxnSpPr>
        <xdr:cNvPr id="533" name="Straight Arrow Connector 532">
          <a:extLst>
            <a:ext uri="{FF2B5EF4-FFF2-40B4-BE49-F238E27FC236}">
              <a16:creationId xmlns:a16="http://schemas.microsoft.com/office/drawing/2014/main" id="{D64B4B23-1147-4DD0-B7C2-A27C7F77B39B}"/>
            </a:ext>
          </a:extLst>
        </xdr:cNvPr>
        <xdr:cNvCxnSpPr/>
      </xdr:nvCxnSpPr>
      <xdr:spPr>
        <a:xfrm>
          <a:off x="1052513" y="1035272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742</xdr:row>
      <xdr:rowOff>0</xdr:rowOff>
    </xdr:from>
    <xdr:to>
      <xdr:col>49</xdr:col>
      <xdr:colOff>76200</xdr:colOff>
      <xdr:row>753</xdr:row>
      <xdr:rowOff>71438</xdr:rowOff>
    </xdr:to>
    <xdr:grpSp>
      <xdr:nvGrpSpPr>
        <xdr:cNvPr id="577" name="Group 576">
          <a:extLst>
            <a:ext uri="{FF2B5EF4-FFF2-40B4-BE49-F238E27FC236}">
              <a16:creationId xmlns:a16="http://schemas.microsoft.com/office/drawing/2014/main" id="{04706360-7873-B6F6-CCDE-C5C582635480}"/>
            </a:ext>
          </a:extLst>
        </xdr:cNvPr>
        <xdr:cNvGrpSpPr/>
      </xdr:nvGrpSpPr>
      <xdr:grpSpPr>
        <a:xfrm>
          <a:off x="3638550" y="112804575"/>
          <a:ext cx="4371975" cy="1643063"/>
          <a:chOff x="3638550" y="111232950"/>
          <a:chExt cx="4371975" cy="1643063"/>
        </a:xfrm>
      </xdr:grpSpPr>
      <xdr:cxnSp macro="">
        <xdr:nvCxnSpPr>
          <xdr:cNvPr id="1108" name="Straight Connector 1107">
            <a:extLst>
              <a:ext uri="{FF2B5EF4-FFF2-40B4-BE49-F238E27FC236}">
                <a16:creationId xmlns:a16="http://schemas.microsoft.com/office/drawing/2014/main" id="{EE99673C-4E45-75FA-670C-16F4CF294DC1}"/>
              </a:ext>
            </a:extLst>
          </xdr:cNvPr>
          <xdr:cNvCxnSpPr/>
        </xdr:nvCxnSpPr>
        <xdr:spPr>
          <a:xfrm>
            <a:off x="3733800" y="111804450"/>
            <a:ext cx="420528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9" name="Isosceles Triangle 1108">
            <a:extLst>
              <a:ext uri="{FF2B5EF4-FFF2-40B4-BE49-F238E27FC236}">
                <a16:creationId xmlns:a16="http://schemas.microsoft.com/office/drawing/2014/main" id="{30A2457B-B2E1-9DE9-9E0A-572B6348DE29}"/>
              </a:ext>
            </a:extLst>
          </xdr:cNvPr>
          <xdr:cNvSpPr/>
        </xdr:nvSpPr>
        <xdr:spPr>
          <a:xfrm>
            <a:off x="4624007" y="111818739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10" name="Isosceles Triangle 1109">
            <a:extLst>
              <a:ext uri="{FF2B5EF4-FFF2-40B4-BE49-F238E27FC236}">
                <a16:creationId xmlns:a16="http://schemas.microsoft.com/office/drawing/2014/main" id="{635BF58F-BC3B-424D-EEF1-ADD02E2296E0}"/>
              </a:ext>
            </a:extLst>
          </xdr:cNvPr>
          <xdr:cNvSpPr/>
        </xdr:nvSpPr>
        <xdr:spPr>
          <a:xfrm>
            <a:off x="6895674" y="111813977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11" name="Straight Connector 1110">
            <a:extLst>
              <a:ext uri="{FF2B5EF4-FFF2-40B4-BE49-F238E27FC236}">
                <a16:creationId xmlns:a16="http://schemas.microsoft.com/office/drawing/2014/main" id="{EFA54723-40B0-0A00-A2F5-1BBABECA88E8}"/>
              </a:ext>
            </a:extLst>
          </xdr:cNvPr>
          <xdr:cNvCxnSpPr/>
        </xdr:nvCxnSpPr>
        <xdr:spPr>
          <a:xfrm>
            <a:off x="4695825" y="112390238"/>
            <a:ext cx="0" cy="481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2" name="Straight Arrow Connector 1111">
            <a:extLst>
              <a:ext uri="{FF2B5EF4-FFF2-40B4-BE49-F238E27FC236}">
                <a16:creationId xmlns:a16="http://schemas.microsoft.com/office/drawing/2014/main" id="{3F3F69D0-E4F1-9B35-8F75-8C95608D3D07}"/>
              </a:ext>
            </a:extLst>
          </xdr:cNvPr>
          <xdr:cNvCxnSpPr/>
        </xdr:nvCxnSpPr>
        <xdr:spPr>
          <a:xfrm flipV="1">
            <a:off x="4695825" y="11194732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3" name="Straight Connector 1112">
            <a:extLst>
              <a:ext uri="{FF2B5EF4-FFF2-40B4-BE49-F238E27FC236}">
                <a16:creationId xmlns:a16="http://schemas.microsoft.com/office/drawing/2014/main" id="{79F1364A-19F6-D2A5-B3B2-BF5D28395DC5}"/>
              </a:ext>
            </a:extLst>
          </xdr:cNvPr>
          <xdr:cNvCxnSpPr/>
        </xdr:nvCxnSpPr>
        <xdr:spPr>
          <a:xfrm>
            <a:off x="3638550" y="112518825"/>
            <a:ext cx="43719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4" name="Straight Connector 1113">
            <a:extLst>
              <a:ext uri="{FF2B5EF4-FFF2-40B4-BE49-F238E27FC236}">
                <a16:creationId xmlns:a16="http://schemas.microsoft.com/office/drawing/2014/main" id="{5184504A-1F8F-A185-0421-879269F3AF11}"/>
              </a:ext>
            </a:extLst>
          </xdr:cNvPr>
          <xdr:cNvCxnSpPr/>
        </xdr:nvCxnSpPr>
        <xdr:spPr>
          <a:xfrm flipH="1">
            <a:off x="4657718" y="1124854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5" name="Straight Connector 1114">
            <a:extLst>
              <a:ext uri="{FF2B5EF4-FFF2-40B4-BE49-F238E27FC236}">
                <a16:creationId xmlns:a16="http://schemas.microsoft.com/office/drawing/2014/main" id="{7D6002AA-5062-EC5F-AB45-5FB13EC9F550}"/>
              </a:ext>
            </a:extLst>
          </xdr:cNvPr>
          <xdr:cNvCxnSpPr/>
        </xdr:nvCxnSpPr>
        <xdr:spPr>
          <a:xfrm>
            <a:off x="6962740" y="112390238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6" name="Straight Arrow Connector 1115">
            <a:extLst>
              <a:ext uri="{FF2B5EF4-FFF2-40B4-BE49-F238E27FC236}">
                <a16:creationId xmlns:a16="http://schemas.microsoft.com/office/drawing/2014/main" id="{3CD76461-7447-2467-4965-B6868E7987B3}"/>
              </a:ext>
            </a:extLst>
          </xdr:cNvPr>
          <xdr:cNvCxnSpPr/>
        </xdr:nvCxnSpPr>
        <xdr:spPr>
          <a:xfrm flipV="1">
            <a:off x="6962731" y="11194732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7" name="Straight Connector 1116">
            <a:extLst>
              <a:ext uri="{FF2B5EF4-FFF2-40B4-BE49-F238E27FC236}">
                <a16:creationId xmlns:a16="http://schemas.microsoft.com/office/drawing/2014/main" id="{2F5B1D3A-3EBB-C86E-8BFF-DED498C2A133}"/>
              </a:ext>
            </a:extLst>
          </xdr:cNvPr>
          <xdr:cNvCxnSpPr/>
        </xdr:nvCxnSpPr>
        <xdr:spPr>
          <a:xfrm flipH="1">
            <a:off x="6924640" y="1124854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9" name="Straight Arrow Connector 1118">
            <a:extLst>
              <a:ext uri="{FF2B5EF4-FFF2-40B4-BE49-F238E27FC236}">
                <a16:creationId xmlns:a16="http://schemas.microsoft.com/office/drawing/2014/main" id="{97CA16F9-5DD4-F7AC-205D-7FFA8FB9CEB2}"/>
              </a:ext>
            </a:extLst>
          </xdr:cNvPr>
          <xdr:cNvCxnSpPr/>
        </xdr:nvCxnSpPr>
        <xdr:spPr>
          <a:xfrm>
            <a:off x="4695825" y="1115853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0" name="Straight Connector 1119">
            <a:extLst>
              <a:ext uri="{FF2B5EF4-FFF2-40B4-BE49-F238E27FC236}">
                <a16:creationId xmlns:a16="http://schemas.microsoft.com/office/drawing/2014/main" id="{35C222DB-520B-5050-D930-C03DFA117037}"/>
              </a:ext>
            </a:extLst>
          </xdr:cNvPr>
          <xdr:cNvCxnSpPr/>
        </xdr:nvCxnSpPr>
        <xdr:spPr>
          <a:xfrm>
            <a:off x="4695825" y="111585375"/>
            <a:ext cx="226695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1" name="Straight Arrow Connector 1120">
            <a:extLst>
              <a:ext uri="{FF2B5EF4-FFF2-40B4-BE49-F238E27FC236}">
                <a16:creationId xmlns:a16="http://schemas.microsoft.com/office/drawing/2014/main" id="{2F709D31-A4A6-6123-DB1C-219AFC6ED7A6}"/>
              </a:ext>
            </a:extLst>
          </xdr:cNvPr>
          <xdr:cNvCxnSpPr/>
        </xdr:nvCxnSpPr>
        <xdr:spPr>
          <a:xfrm>
            <a:off x="4857750" y="1115853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2" name="Straight Arrow Connector 1121">
            <a:extLst>
              <a:ext uri="{FF2B5EF4-FFF2-40B4-BE49-F238E27FC236}">
                <a16:creationId xmlns:a16="http://schemas.microsoft.com/office/drawing/2014/main" id="{B4664E58-19E7-25F3-A975-3312ED89792B}"/>
              </a:ext>
            </a:extLst>
          </xdr:cNvPr>
          <xdr:cNvCxnSpPr/>
        </xdr:nvCxnSpPr>
        <xdr:spPr>
          <a:xfrm>
            <a:off x="5667375" y="111590139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Straight Arrow Connector 1122">
            <a:extLst>
              <a:ext uri="{FF2B5EF4-FFF2-40B4-BE49-F238E27FC236}">
                <a16:creationId xmlns:a16="http://schemas.microsoft.com/office/drawing/2014/main" id="{1818F9F7-CB31-C576-972D-3082AD8DE976}"/>
              </a:ext>
            </a:extLst>
          </xdr:cNvPr>
          <xdr:cNvCxnSpPr/>
        </xdr:nvCxnSpPr>
        <xdr:spPr>
          <a:xfrm>
            <a:off x="6638926" y="1115853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4" name="Straight Arrow Connector 1123">
            <a:extLst>
              <a:ext uri="{FF2B5EF4-FFF2-40B4-BE49-F238E27FC236}">
                <a16:creationId xmlns:a16="http://schemas.microsoft.com/office/drawing/2014/main" id="{A4F54281-EE1D-6347-810F-278632243544}"/>
              </a:ext>
            </a:extLst>
          </xdr:cNvPr>
          <xdr:cNvCxnSpPr/>
        </xdr:nvCxnSpPr>
        <xdr:spPr>
          <a:xfrm>
            <a:off x="6800851" y="111590139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5" name="Straight Arrow Connector 1124">
            <a:extLst>
              <a:ext uri="{FF2B5EF4-FFF2-40B4-BE49-F238E27FC236}">
                <a16:creationId xmlns:a16="http://schemas.microsoft.com/office/drawing/2014/main" id="{FC0B0028-4FB7-C24F-9BF9-277F840DEBD1}"/>
              </a:ext>
            </a:extLst>
          </xdr:cNvPr>
          <xdr:cNvCxnSpPr/>
        </xdr:nvCxnSpPr>
        <xdr:spPr>
          <a:xfrm>
            <a:off x="6962776" y="111471075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6" name="Straight Connector 1125">
            <a:extLst>
              <a:ext uri="{FF2B5EF4-FFF2-40B4-BE49-F238E27FC236}">
                <a16:creationId xmlns:a16="http://schemas.microsoft.com/office/drawing/2014/main" id="{48F8956E-9F4E-7917-3A59-87C9E3028B9B}"/>
              </a:ext>
            </a:extLst>
          </xdr:cNvPr>
          <xdr:cNvCxnSpPr/>
        </xdr:nvCxnSpPr>
        <xdr:spPr>
          <a:xfrm flipH="1" flipV="1">
            <a:off x="5409336" y="111490125"/>
            <a:ext cx="96116" cy="176214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7" name="Straight Arrow Connector 1126">
            <a:extLst>
              <a:ext uri="{FF2B5EF4-FFF2-40B4-BE49-F238E27FC236}">
                <a16:creationId xmlns:a16="http://schemas.microsoft.com/office/drawing/2014/main" id="{E20EE63C-8679-9838-4783-25C4106ED479}"/>
              </a:ext>
            </a:extLst>
          </xdr:cNvPr>
          <xdr:cNvCxnSpPr/>
        </xdr:nvCxnSpPr>
        <xdr:spPr>
          <a:xfrm>
            <a:off x="5019674" y="1115853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8" name="Straight Arrow Connector 1127">
            <a:extLst>
              <a:ext uri="{FF2B5EF4-FFF2-40B4-BE49-F238E27FC236}">
                <a16:creationId xmlns:a16="http://schemas.microsoft.com/office/drawing/2014/main" id="{3ECA9D39-E9D1-7AE0-5B1C-7E865142B58A}"/>
              </a:ext>
            </a:extLst>
          </xdr:cNvPr>
          <xdr:cNvCxnSpPr/>
        </xdr:nvCxnSpPr>
        <xdr:spPr>
          <a:xfrm>
            <a:off x="5181599" y="1115853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9" name="Straight Arrow Connector 1128">
            <a:extLst>
              <a:ext uri="{FF2B5EF4-FFF2-40B4-BE49-F238E27FC236}">
                <a16:creationId xmlns:a16="http://schemas.microsoft.com/office/drawing/2014/main" id="{BE712FCA-9EEA-17F3-08C5-E1868945EFAD}"/>
              </a:ext>
            </a:extLst>
          </xdr:cNvPr>
          <xdr:cNvCxnSpPr/>
        </xdr:nvCxnSpPr>
        <xdr:spPr>
          <a:xfrm>
            <a:off x="5343524" y="1115853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0" name="Straight Arrow Connector 1129">
            <a:extLst>
              <a:ext uri="{FF2B5EF4-FFF2-40B4-BE49-F238E27FC236}">
                <a16:creationId xmlns:a16="http://schemas.microsoft.com/office/drawing/2014/main" id="{2D45785E-2BC9-DEE1-886D-BA082F4B0DFE}"/>
              </a:ext>
            </a:extLst>
          </xdr:cNvPr>
          <xdr:cNvCxnSpPr/>
        </xdr:nvCxnSpPr>
        <xdr:spPr>
          <a:xfrm>
            <a:off x="5505449" y="111585375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1" name="Straight Arrow Connector 1130">
            <a:extLst>
              <a:ext uri="{FF2B5EF4-FFF2-40B4-BE49-F238E27FC236}">
                <a16:creationId xmlns:a16="http://schemas.microsoft.com/office/drawing/2014/main" id="{48692B33-BE38-F132-96BA-F884C8B03878}"/>
              </a:ext>
            </a:extLst>
          </xdr:cNvPr>
          <xdr:cNvCxnSpPr/>
        </xdr:nvCxnSpPr>
        <xdr:spPr>
          <a:xfrm>
            <a:off x="5991225" y="11158537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2" name="Straight Arrow Connector 1131">
            <a:extLst>
              <a:ext uri="{FF2B5EF4-FFF2-40B4-BE49-F238E27FC236}">
                <a16:creationId xmlns:a16="http://schemas.microsoft.com/office/drawing/2014/main" id="{14FEF889-33B7-E80C-FDB7-51EA94E0AED2}"/>
              </a:ext>
            </a:extLst>
          </xdr:cNvPr>
          <xdr:cNvCxnSpPr/>
        </xdr:nvCxnSpPr>
        <xdr:spPr>
          <a:xfrm>
            <a:off x="6153149" y="11158537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3" name="Straight Arrow Connector 1132">
            <a:extLst>
              <a:ext uri="{FF2B5EF4-FFF2-40B4-BE49-F238E27FC236}">
                <a16:creationId xmlns:a16="http://schemas.microsoft.com/office/drawing/2014/main" id="{AFDEDC10-64E1-FA82-6214-CD7013CE3AAB}"/>
              </a:ext>
            </a:extLst>
          </xdr:cNvPr>
          <xdr:cNvCxnSpPr/>
        </xdr:nvCxnSpPr>
        <xdr:spPr>
          <a:xfrm>
            <a:off x="6315074" y="11158537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4" name="Straight Arrow Connector 1133">
            <a:extLst>
              <a:ext uri="{FF2B5EF4-FFF2-40B4-BE49-F238E27FC236}">
                <a16:creationId xmlns:a16="http://schemas.microsoft.com/office/drawing/2014/main" id="{2C805D22-979E-04D8-3D6F-EDA1D558D5FB}"/>
              </a:ext>
            </a:extLst>
          </xdr:cNvPr>
          <xdr:cNvCxnSpPr/>
        </xdr:nvCxnSpPr>
        <xdr:spPr>
          <a:xfrm>
            <a:off x="6476999" y="111585376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5" name="Straight Connector 1134">
            <a:extLst>
              <a:ext uri="{FF2B5EF4-FFF2-40B4-BE49-F238E27FC236}">
                <a16:creationId xmlns:a16="http://schemas.microsoft.com/office/drawing/2014/main" id="{2D5AFF52-0CE5-4715-5037-2661B6F800D5}"/>
              </a:ext>
            </a:extLst>
          </xdr:cNvPr>
          <xdr:cNvCxnSpPr/>
        </xdr:nvCxnSpPr>
        <xdr:spPr>
          <a:xfrm>
            <a:off x="6962775" y="111471076"/>
            <a:ext cx="97155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6" name="Straight Arrow Connector 1135">
            <a:extLst>
              <a:ext uri="{FF2B5EF4-FFF2-40B4-BE49-F238E27FC236}">
                <a16:creationId xmlns:a16="http://schemas.microsoft.com/office/drawing/2014/main" id="{F1751D44-ECC6-F58D-B2C1-27BC95D53480}"/>
              </a:ext>
            </a:extLst>
          </xdr:cNvPr>
          <xdr:cNvCxnSpPr/>
        </xdr:nvCxnSpPr>
        <xdr:spPr>
          <a:xfrm>
            <a:off x="7124702" y="111471074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7" name="Straight Arrow Connector 1136">
            <a:extLst>
              <a:ext uri="{FF2B5EF4-FFF2-40B4-BE49-F238E27FC236}">
                <a16:creationId xmlns:a16="http://schemas.microsoft.com/office/drawing/2014/main" id="{2A33454A-6272-C0BB-4D65-D53872D7DCD5}"/>
              </a:ext>
            </a:extLst>
          </xdr:cNvPr>
          <xdr:cNvCxnSpPr/>
        </xdr:nvCxnSpPr>
        <xdr:spPr>
          <a:xfrm>
            <a:off x="7286626" y="111471075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8" name="Straight Arrow Connector 1137">
            <a:extLst>
              <a:ext uri="{FF2B5EF4-FFF2-40B4-BE49-F238E27FC236}">
                <a16:creationId xmlns:a16="http://schemas.microsoft.com/office/drawing/2014/main" id="{09D5CA5B-927F-6B28-B3EC-26BB3AB4DBDB}"/>
              </a:ext>
            </a:extLst>
          </xdr:cNvPr>
          <xdr:cNvCxnSpPr/>
        </xdr:nvCxnSpPr>
        <xdr:spPr>
          <a:xfrm>
            <a:off x="7448552" y="111471074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9" name="Straight Arrow Connector 1138">
            <a:extLst>
              <a:ext uri="{FF2B5EF4-FFF2-40B4-BE49-F238E27FC236}">
                <a16:creationId xmlns:a16="http://schemas.microsoft.com/office/drawing/2014/main" id="{74063309-E3E2-F218-55BF-4BAACA5D8B9A}"/>
              </a:ext>
            </a:extLst>
          </xdr:cNvPr>
          <xdr:cNvCxnSpPr/>
        </xdr:nvCxnSpPr>
        <xdr:spPr>
          <a:xfrm>
            <a:off x="7610475" y="111471077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0" name="Straight Arrow Connector 1139">
            <a:extLst>
              <a:ext uri="{FF2B5EF4-FFF2-40B4-BE49-F238E27FC236}">
                <a16:creationId xmlns:a16="http://schemas.microsoft.com/office/drawing/2014/main" id="{16F24B75-6F94-508B-C462-FB628985D637}"/>
              </a:ext>
            </a:extLst>
          </xdr:cNvPr>
          <xdr:cNvCxnSpPr/>
        </xdr:nvCxnSpPr>
        <xdr:spPr>
          <a:xfrm>
            <a:off x="7772401" y="111471076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1" name="Straight Arrow Connector 1140">
            <a:extLst>
              <a:ext uri="{FF2B5EF4-FFF2-40B4-BE49-F238E27FC236}">
                <a16:creationId xmlns:a16="http://schemas.microsoft.com/office/drawing/2014/main" id="{E0929AD3-2FD9-E26B-F3FC-26264EE2F3BA}"/>
              </a:ext>
            </a:extLst>
          </xdr:cNvPr>
          <xdr:cNvCxnSpPr/>
        </xdr:nvCxnSpPr>
        <xdr:spPr>
          <a:xfrm>
            <a:off x="5834062" y="111375825"/>
            <a:ext cx="0" cy="423862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2" name="Straight Connector 1141">
            <a:extLst>
              <a:ext uri="{FF2B5EF4-FFF2-40B4-BE49-F238E27FC236}">
                <a16:creationId xmlns:a16="http://schemas.microsoft.com/office/drawing/2014/main" id="{43F90DF5-3A9E-41B8-58F6-EDF302BAB304}"/>
              </a:ext>
            </a:extLst>
          </xdr:cNvPr>
          <xdr:cNvCxnSpPr/>
        </xdr:nvCxnSpPr>
        <xdr:spPr>
          <a:xfrm flipH="1" flipV="1">
            <a:off x="7336849" y="111347250"/>
            <a:ext cx="111703" cy="204789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3" name="Straight Arrow Connector 1142">
            <a:extLst>
              <a:ext uri="{FF2B5EF4-FFF2-40B4-BE49-F238E27FC236}">
                <a16:creationId xmlns:a16="http://schemas.microsoft.com/office/drawing/2014/main" id="{39D0B8C6-8EB6-048E-B06C-EDD3FF584B5D}"/>
              </a:ext>
            </a:extLst>
          </xdr:cNvPr>
          <xdr:cNvCxnSpPr/>
        </xdr:nvCxnSpPr>
        <xdr:spPr>
          <a:xfrm>
            <a:off x="7934325" y="111237713"/>
            <a:ext cx="0" cy="56197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4" name="Straight Connector 1143">
            <a:extLst>
              <a:ext uri="{FF2B5EF4-FFF2-40B4-BE49-F238E27FC236}">
                <a16:creationId xmlns:a16="http://schemas.microsoft.com/office/drawing/2014/main" id="{E3BC8475-F41A-E3DE-7EF2-26574BB81576}"/>
              </a:ext>
            </a:extLst>
          </xdr:cNvPr>
          <xdr:cNvCxnSpPr/>
        </xdr:nvCxnSpPr>
        <xdr:spPr>
          <a:xfrm>
            <a:off x="7934290" y="111961613"/>
            <a:ext cx="0" cy="6334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5" name="Straight Connector 1144">
            <a:extLst>
              <a:ext uri="{FF2B5EF4-FFF2-40B4-BE49-F238E27FC236}">
                <a16:creationId xmlns:a16="http://schemas.microsoft.com/office/drawing/2014/main" id="{E172DF7D-9A0D-618A-C5CE-85E44A820608}"/>
              </a:ext>
            </a:extLst>
          </xdr:cNvPr>
          <xdr:cNvCxnSpPr/>
        </xdr:nvCxnSpPr>
        <xdr:spPr>
          <a:xfrm flipH="1">
            <a:off x="7896190" y="1124854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6" name="Straight Connector 1145">
            <a:extLst>
              <a:ext uri="{FF2B5EF4-FFF2-40B4-BE49-F238E27FC236}">
                <a16:creationId xmlns:a16="http://schemas.microsoft.com/office/drawing/2014/main" id="{0CE1D538-DA1B-DE43-AD9E-25173E89B256}"/>
              </a:ext>
            </a:extLst>
          </xdr:cNvPr>
          <xdr:cNvCxnSpPr/>
        </xdr:nvCxnSpPr>
        <xdr:spPr>
          <a:xfrm>
            <a:off x="5829265" y="112018763"/>
            <a:ext cx="0" cy="576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7" name="Straight Connector 1146">
            <a:extLst>
              <a:ext uri="{FF2B5EF4-FFF2-40B4-BE49-F238E27FC236}">
                <a16:creationId xmlns:a16="http://schemas.microsoft.com/office/drawing/2014/main" id="{93C04C57-A078-0D7A-E3FB-2B1018E690A6}"/>
              </a:ext>
            </a:extLst>
          </xdr:cNvPr>
          <xdr:cNvCxnSpPr/>
        </xdr:nvCxnSpPr>
        <xdr:spPr>
          <a:xfrm flipH="1">
            <a:off x="5791165" y="1124854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8" name="Straight Connector 1147">
            <a:extLst>
              <a:ext uri="{FF2B5EF4-FFF2-40B4-BE49-F238E27FC236}">
                <a16:creationId xmlns:a16="http://schemas.microsoft.com/office/drawing/2014/main" id="{102E5913-8417-72CA-B664-A6A64458099B}"/>
              </a:ext>
            </a:extLst>
          </xdr:cNvPr>
          <xdr:cNvCxnSpPr/>
        </xdr:nvCxnSpPr>
        <xdr:spPr>
          <a:xfrm>
            <a:off x="4614864" y="112804575"/>
            <a:ext cx="24050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9" name="Straight Connector 1148">
            <a:extLst>
              <a:ext uri="{FF2B5EF4-FFF2-40B4-BE49-F238E27FC236}">
                <a16:creationId xmlns:a16="http://schemas.microsoft.com/office/drawing/2014/main" id="{FE155C90-66BB-A422-AE75-6866234EBD4A}"/>
              </a:ext>
            </a:extLst>
          </xdr:cNvPr>
          <xdr:cNvCxnSpPr/>
        </xdr:nvCxnSpPr>
        <xdr:spPr>
          <a:xfrm flipH="1">
            <a:off x="4657719" y="1127712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0" name="Straight Connector 1149">
            <a:extLst>
              <a:ext uri="{FF2B5EF4-FFF2-40B4-BE49-F238E27FC236}">
                <a16:creationId xmlns:a16="http://schemas.microsoft.com/office/drawing/2014/main" id="{8FC9B26D-35E4-A890-2604-7353C3D30166}"/>
              </a:ext>
            </a:extLst>
          </xdr:cNvPr>
          <xdr:cNvCxnSpPr/>
        </xdr:nvCxnSpPr>
        <xdr:spPr>
          <a:xfrm flipH="1">
            <a:off x="6924641" y="1127712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6" name="Straight Arrow Connector 1155">
            <a:extLst>
              <a:ext uri="{FF2B5EF4-FFF2-40B4-BE49-F238E27FC236}">
                <a16:creationId xmlns:a16="http://schemas.microsoft.com/office/drawing/2014/main" id="{9CF1C1EE-65A4-4088-A730-61DAE5C1CB2B}"/>
              </a:ext>
            </a:extLst>
          </xdr:cNvPr>
          <xdr:cNvCxnSpPr/>
        </xdr:nvCxnSpPr>
        <xdr:spPr>
          <a:xfrm>
            <a:off x="3886211" y="111466312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7" name="Straight Connector 1156">
            <a:extLst>
              <a:ext uri="{FF2B5EF4-FFF2-40B4-BE49-F238E27FC236}">
                <a16:creationId xmlns:a16="http://schemas.microsoft.com/office/drawing/2014/main" id="{ED9051EE-3590-4BD6-B186-03B1568D3EC2}"/>
              </a:ext>
            </a:extLst>
          </xdr:cNvPr>
          <xdr:cNvCxnSpPr/>
        </xdr:nvCxnSpPr>
        <xdr:spPr>
          <a:xfrm>
            <a:off x="3724284" y="111466313"/>
            <a:ext cx="97155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8" name="Straight Arrow Connector 1157">
            <a:extLst>
              <a:ext uri="{FF2B5EF4-FFF2-40B4-BE49-F238E27FC236}">
                <a16:creationId xmlns:a16="http://schemas.microsoft.com/office/drawing/2014/main" id="{0393286D-1FE0-4B77-A4B5-77594B8AB8BB}"/>
              </a:ext>
            </a:extLst>
          </xdr:cNvPr>
          <xdr:cNvCxnSpPr/>
        </xdr:nvCxnSpPr>
        <xdr:spPr>
          <a:xfrm>
            <a:off x="4048137" y="111466311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9" name="Straight Arrow Connector 1158">
            <a:extLst>
              <a:ext uri="{FF2B5EF4-FFF2-40B4-BE49-F238E27FC236}">
                <a16:creationId xmlns:a16="http://schemas.microsoft.com/office/drawing/2014/main" id="{A8285723-783F-484C-9A3F-A9815851701B}"/>
              </a:ext>
            </a:extLst>
          </xdr:cNvPr>
          <xdr:cNvCxnSpPr/>
        </xdr:nvCxnSpPr>
        <xdr:spPr>
          <a:xfrm>
            <a:off x="4210061" y="111466312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0" name="Straight Arrow Connector 1159">
            <a:extLst>
              <a:ext uri="{FF2B5EF4-FFF2-40B4-BE49-F238E27FC236}">
                <a16:creationId xmlns:a16="http://schemas.microsoft.com/office/drawing/2014/main" id="{86DB6FF2-46CA-497E-98CF-4AE2E7C1678C}"/>
              </a:ext>
            </a:extLst>
          </xdr:cNvPr>
          <xdr:cNvCxnSpPr/>
        </xdr:nvCxnSpPr>
        <xdr:spPr>
          <a:xfrm>
            <a:off x="4371987" y="111466311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1" name="Straight Arrow Connector 1160">
            <a:extLst>
              <a:ext uri="{FF2B5EF4-FFF2-40B4-BE49-F238E27FC236}">
                <a16:creationId xmlns:a16="http://schemas.microsoft.com/office/drawing/2014/main" id="{AD98B7FC-032F-4C46-9DB7-E6998EBF388A}"/>
              </a:ext>
            </a:extLst>
          </xdr:cNvPr>
          <xdr:cNvCxnSpPr/>
        </xdr:nvCxnSpPr>
        <xdr:spPr>
          <a:xfrm>
            <a:off x="4533910" y="111466314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2" name="Straight Arrow Connector 1161">
            <a:extLst>
              <a:ext uri="{FF2B5EF4-FFF2-40B4-BE49-F238E27FC236}">
                <a16:creationId xmlns:a16="http://schemas.microsoft.com/office/drawing/2014/main" id="{4F51406B-6AAF-4418-965E-30D929E7F91E}"/>
              </a:ext>
            </a:extLst>
          </xdr:cNvPr>
          <xdr:cNvCxnSpPr/>
        </xdr:nvCxnSpPr>
        <xdr:spPr>
          <a:xfrm>
            <a:off x="4695836" y="111466313"/>
            <a:ext cx="0" cy="3286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3" name="Straight Connector 1162">
            <a:extLst>
              <a:ext uri="{FF2B5EF4-FFF2-40B4-BE49-F238E27FC236}">
                <a16:creationId xmlns:a16="http://schemas.microsoft.com/office/drawing/2014/main" id="{38940C3B-E36D-4B80-8676-7A8CB111D0F7}"/>
              </a:ext>
            </a:extLst>
          </xdr:cNvPr>
          <xdr:cNvCxnSpPr/>
        </xdr:nvCxnSpPr>
        <xdr:spPr>
          <a:xfrm flipH="1" flipV="1">
            <a:off x="4260284" y="111342487"/>
            <a:ext cx="111703" cy="204789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4" name="Straight Arrow Connector 1163">
            <a:extLst>
              <a:ext uri="{FF2B5EF4-FFF2-40B4-BE49-F238E27FC236}">
                <a16:creationId xmlns:a16="http://schemas.microsoft.com/office/drawing/2014/main" id="{DC51F805-7CCF-478A-AD61-9F07880A9478}"/>
              </a:ext>
            </a:extLst>
          </xdr:cNvPr>
          <xdr:cNvCxnSpPr/>
        </xdr:nvCxnSpPr>
        <xdr:spPr>
          <a:xfrm>
            <a:off x="3724278" y="111232950"/>
            <a:ext cx="0" cy="56197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5" name="Straight Connector 1164">
            <a:extLst>
              <a:ext uri="{FF2B5EF4-FFF2-40B4-BE49-F238E27FC236}">
                <a16:creationId xmlns:a16="http://schemas.microsoft.com/office/drawing/2014/main" id="{8CEC8AFF-2E1E-475A-9A8F-E1A8F7EBE606}"/>
              </a:ext>
            </a:extLst>
          </xdr:cNvPr>
          <xdr:cNvCxnSpPr/>
        </xdr:nvCxnSpPr>
        <xdr:spPr>
          <a:xfrm>
            <a:off x="3724240" y="111961613"/>
            <a:ext cx="0" cy="6334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6" name="Straight Connector 1165">
            <a:extLst>
              <a:ext uri="{FF2B5EF4-FFF2-40B4-BE49-F238E27FC236}">
                <a16:creationId xmlns:a16="http://schemas.microsoft.com/office/drawing/2014/main" id="{F023BDF1-33B7-4C71-B79C-40BA220A06F9}"/>
              </a:ext>
            </a:extLst>
          </xdr:cNvPr>
          <xdr:cNvCxnSpPr/>
        </xdr:nvCxnSpPr>
        <xdr:spPr>
          <a:xfrm flipH="1">
            <a:off x="3686140" y="1124854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7" name="Straight Arrow Connector 996">
            <a:extLst>
              <a:ext uri="{FF2B5EF4-FFF2-40B4-BE49-F238E27FC236}">
                <a16:creationId xmlns:a16="http://schemas.microsoft.com/office/drawing/2014/main" id="{B9315C5E-BFB9-4611-B78D-F22EB1185DBF}"/>
              </a:ext>
            </a:extLst>
          </xdr:cNvPr>
          <xdr:cNvCxnSpPr/>
        </xdr:nvCxnSpPr>
        <xdr:spPr>
          <a:xfrm>
            <a:off x="3724275" y="112090200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80963</xdr:colOff>
      <xdr:row>820</xdr:row>
      <xdr:rowOff>66675</xdr:rowOff>
    </xdr:from>
    <xdr:to>
      <xdr:col>7</xdr:col>
      <xdr:colOff>133350</xdr:colOff>
      <xdr:row>820</xdr:row>
      <xdr:rowOff>66675</xdr:rowOff>
    </xdr:to>
    <xdr:cxnSp macro="">
      <xdr:nvCxnSpPr>
        <xdr:cNvPr id="1030" name="Straight Arrow Connector 1029">
          <a:extLst>
            <a:ext uri="{FF2B5EF4-FFF2-40B4-BE49-F238E27FC236}">
              <a16:creationId xmlns:a16="http://schemas.microsoft.com/office/drawing/2014/main" id="{1B065EA8-D314-47B0-9067-F4C5539EF862}"/>
            </a:ext>
          </a:extLst>
        </xdr:cNvPr>
        <xdr:cNvCxnSpPr/>
      </xdr:nvCxnSpPr>
      <xdr:spPr>
        <a:xfrm>
          <a:off x="1052513" y="1032414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821</xdr:row>
      <xdr:rowOff>66675</xdr:rowOff>
    </xdr:from>
    <xdr:to>
      <xdr:col>7</xdr:col>
      <xdr:colOff>133350</xdr:colOff>
      <xdr:row>821</xdr:row>
      <xdr:rowOff>66675</xdr:rowOff>
    </xdr:to>
    <xdr:cxnSp macro="">
      <xdr:nvCxnSpPr>
        <xdr:cNvPr id="1040" name="Straight Arrow Connector 1039">
          <a:extLst>
            <a:ext uri="{FF2B5EF4-FFF2-40B4-BE49-F238E27FC236}">
              <a16:creationId xmlns:a16="http://schemas.microsoft.com/office/drawing/2014/main" id="{39231AA9-955E-4F7C-B43D-712BF201927E}"/>
            </a:ext>
          </a:extLst>
        </xdr:cNvPr>
        <xdr:cNvCxnSpPr/>
      </xdr:nvCxnSpPr>
      <xdr:spPr>
        <a:xfrm>
          <a:off x="1052513" y="1213008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80963</xdr:colOff>
      <xdr:row>820</xdr:row>
      <xdr:rowOff>66675</xdr:rowOff>
    </xdr:from>
    <xdr:to>
      <xdr:col>34</xdr:col>
      <xdr:colOff>133350</xdr:colOff>
      <xdr:row>820</xdr:row>
      <xdr:rowOff>66675</xdr:rowOff>
    </xdr:to>
    <xdr:cxnSp macro="">
      <xdr:nvCxnSpPr>
        <xdr:cNvPr id="1041" name="Straight Arrow Connector 1040">
          <a:extLst>
            <a:ext uri="{FF2B5EF4-FFF2-40B4-BE49-F238E27FC236}">
              <a16:creationId xmlns:a16="http://schemas.microsoft.com/office/drawing/2014/main" id="{1A0E3C24-E2B8-479E-B339-C4FE85CE21BD}"/>
            </a:ext>
          </a:extLst>
        </xdr:cNvPr>
        <xdr:cNvCxnSpPr/>
      </xdr:nvCxnSpPr>
      <xdr:spPr>
        <a:xfrm>
          <a:off x="1052513" y="1213008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80963</xdr:colOff>
      <xdr:row>821</xdr:row>
      <xdr:rowOff>66675</xdr:rowOff>
    </xdr:from>
    <xdr:to>
      <xdr:col>62</xdr:col>
      <xdr:colOff>133350</xdr:colOff>
      <xdr:row>821</xdr:row>
      <xdr:rowOff>66675</xdr:rowOff>
    </xdr:to>
    <xdr:cxnSp macro="">
      <xdr:nvCxnSpPr>
        <xdr:cNvPr id="1042" name="Straight Arrow Connector 1041">
          <a:extLst>
            <a:ext uri="{FF2B5EF4-FFF2-40B4-BE49-F238E27FC236}">
              <a16:creationId xmlns:a16="http://schemas.microsoft.com/office/drawing/2014/main" id="{7FC3706C-D312-4097-BFA8-E177864C523B}"/>
            </a:ext>
          </a:extLst>
        </xdr:cNvPr>
        <xdr:cNvCxnSpPr/>
      </xdr:nvCxnSpPr>
      <xdr:spPr>
        <a:xfrm>
          <a:off x="5424488" y="1213008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822</xdr:row>
      <xdr:rowOff>66675</xdr:rowOff>
    </xdr:from>
    <xdr:to>
      <xdr:col>7</xdr:col>
      <xdr:colOff>133350</xdr:colOff>
      <xdr:row>822</xdr:row>
      <xdr:rowOff>66675</xdr:rowOff>
    </xdr:to>
    <xdr:cxnSp macro="">
      <xdr:nvCxnSpPr>
        <xdr:cNvPr id="1214" name="Straight Arrow Connector 1213">
          <a:extLst>
            <a:ext uri="{FF2B5EF4-FFF2-40B4-BE49-F238E27FC236}">
              <a16:creationId xmlns:a16="http://schemas.microsoft.com/office/drawing/2014/main" id="{4D9684AC-7C6E-432C-8B8F-1B8E188AC4EE}"/>
            </a:ext>
          </a:extLst>
        </xdr:cNvPr>
        <xdr:cNvCxnSpPr/>
      </xdr:nvCxnSpPr>
      <xdr:spPr>
        <a:xfrm>
          <a:off x="1052513" y="1213008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80963</xdr:colOff>
      <xdr:row>822</xdr:row>
      <xdr:rowOff>66675</xdr:rowOff>
    </xdr:from>
    <xdr:to>
      <xdr:col>74</xdr:col>
      <xdr:colOff>133350</xdr:colOff>
      <xdr:row>822</xdr:row>
      <xdr:rowOff>66675</xdr:rowOff>
    </xdr:to>
    <xdr:cxnSp macro="">
      <xdr:nvCxnSpPr>
        <xdr:cNvPr id="1215" name="Straight Arrow Connector 1214">
          <a:extLst>
            <a:ext uri="{FF2B5EF4-FFF2-40B4-BE49-F238E27FC236}">
              <a16:creationId xmlns:a16="http://schemas.microsoft.com/office/drawing/2014/main" id="{32B60D13-63B4-4911-AF3B-B55DEA49C6E2}"/>
            </a:ext>
          </a:extLst>
        </xdr:cNvPr>
        <xdr:cNvCxnSpPr/>
      </xdr:nvCxnSpPr>
      <xdr:spPr>
        <a:xfrm>
          <a:off x="9958388" y="1214437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823</xdr:row>
      <xdr:rowOff>66675</xdr:rowOff>
    </xdr:from>
    <xdr:to>
      <xdr:col>7</xdr:col>
      <xdr:colOff>133350</xdr:colOff>
      <xdr:row>823</xdr:row>
      <xdr:rowOff>66675</xdr:rowOff>
    </xdr:to>
    <xdr:cxnSp macro="">
      <xdr:nvCxnSpPr>
        <xdr:cNvPr id="1216" name="Straight Arrow Connector 1215">
          <a:extLst>
            <a:ext uri="{FF2B5EF4-FFF2-40B4-BE49-F238E27FC236}">
              <a16:creationId xmlns:a16="http://schemas.microsoft.com/office/drawing/2014/main" id="{E3778252-68E9-49C8-8858-453DADED8AFD}"/>
            </a:ext>
          </a:extLst>
        </xdr:cNvPr>
        <xdr:cNvCxnSpPr/>
      </xdr:nvCxnSpPr>
      <xdr:spPr>
        <a:xfrm>
          <a:off x="11901488" y="1215866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824</xdr:row>
      <xdr:rowOff>66675</xdr:rowOff>
    </xdr:from>
    <xdr:to>
      <xdr:col>7</xdr:col>
      <xdr:colOff>133350</xdr:colOff>
      <xdr:row>824</xdr:row>
      <xdr:rowOff>66675</xdr:rowOff>
    </xdr:to>
    <xdr:cxnSp macro="">
      <xdr:nvCxnSpPr>
        <xdr:cNvPr id="1217" name="Straight Arrow Connector 1216">
          <a:extLst>
            <a:ext uri="{FF2B5EF4-FFF2-40B4-BE49-F238E27FC236}">
              <a16:creationId xmlns:a16="http://schemas.microsoft.com/office/drawing/2014/main" id="{32AAD777-9D23-4838-8CBA-1C4D36B37078}"/>
            </a:ext>
          </a:extLst>
        </xdr:cNvPr>
        <xdr:cNvCxnSpPr/>
      </xdr:nvCxnSpPr>
      <xdr:spPr>
        <a:xfrm>
          <a:off x="1052513" y="1215866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80963</xdr:colOff>
      <xdr:row>825</xdr:row>
      <xdr:rowOff>66675</xdr:rowOff>
    </xdr:from>
    <xdr:to>
      <xdr:col>29</xdr:col>
      <xdr:colOff>133350</xdr:colOff>
      <xdr:row>825</xdr:row>
      <xdr:rowOff>66675</xdr:rowOff>
    </xdr:to>
    <xdr:cxnSp macro="">
      <xdr:nvCxnSpPr>
        <xdr:cNvPr id="1218" name="Straight Arrow Connector 1217">
          <a:extLst>
            <a:ext uri="{FF2B5EF4-FFF2-40B4-BE49-F238E27FC236}">
              <a16:creationId xmlns:a16="http://schemas.microsoft.com/office/drawing/2014/main" id="{04E40A8B-F9F2-4B64-88B0-41E4AA123418}"/>
            </a:ext>
          </a:extLst>
        </xdr:cNvPr>
        <xdr:cNvCxnSpPr/>
      </xdr:nvCxnSpPr>
      <xdr:spPr>
        <a:xfrm>
          <a:off x="1052513" y="121729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80963</xdr:colOff>
      <xdr:row>826</xdr:row>
      <xdr:rowOff>66675</xdr:rowOff>
    </xdr:from>
    <xdr:to>
      <xdr:col>24</xdr:col>
      <xdr:colOff>133350</xdr:colOff>
      <xdr:row>826</xdr:row>
      <xdr:rowOff>66675</xdr:rowOff>
    </xdr:to>
    <xdr:cxnSp macro="">
      <xdr:nvCxnSpPr>
        <xdr:cNvPr id="1219" name="Straight Arrow Connector 1218">
          <a:extLst>
            <a:ext uri="{FF2B5EF4-FFF2-40B4-BE49-F238E27FC236}">
              <a16:creationId xmlns:a16="http://schemas.microsoft.com/office/drawing/2014/main" id="{7750C44F-B02D-4DD9-8FB3-78FE973950D5}"/>
            </a:ext>
          </a:extLst>
        </xdr:cNvPr>
        <xdr:cNvCxnSpPr/>
      </xdr:nvCxnSpPr>
      <xdr:spPr>
        <a:xfrm>
          <a:off x="1052513" y="1218723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80963</xdr:colOff>
      <xdr:row>827</xdr:row>
      <xdr:rowOff>66675</xdr:rowOff>
    </xdr:from>
    <xdr:to>
      <xdr:col>52</xdr:col>
      <xdr:colOff>133350</xdr:colOff>
      <xdr:row>827</xdr:row>
      <xdr:rowOff>66675</xdr:rowOff>
    </xdr:to>
    <xdr:cxnSp macro="">
      <xdr:nvCxnSpPr>
        <xdr:cNvPr id="1220" name="Straight Arrow Connector 1219">
          <a:extLst>
            <a:ext uri="{FF2B5EF4-FFF2-40B4-BE49-F238E27FC236}">
              <a16:creationId xmlns:a16="http://schemas.microsoft.com/office/drawing/2014/main" id="{AE95F3CB-99BE-4A9B-B62A-F946F8AD9EF7}"/>
            </a:ext>
          </a:extLst>
        </xdr:cNvPr>
        <xdr:cNvCxnSpPr/>
      </xdr:nvCxnSpPr>
      <xdr:spPr>
        <a:xfrm>
          <a:off x="3805238" y="1224438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80963</xdr:colOff>
      <xdr:row>828</xdr:row>
      <xdr:rowOff>66675</xdr:rowOff>
    </xdr:from>
    <xdr:to>
      <xdr:col>22</xdr:col>
      <xdr:colOff>133350</xdr:colOff>
      <xdr:row>828</xdr:row>
      <xdr:rowOff>66675</xdr:rowOff>
    </xdr:to>
    <xdr:cxnSp macro="">
      <xdr:nvCxnSpPr>
        <xdr:cNvPr id="1221" name="Straight Arrow Connector 1220">
          <a:extLst>
            <a:ext uri="{FF2B5EF4-FFF2-40B4-BE49-F238E27FC236}">
              <a16:creationId xmlns:a16="http://schemas.microsoft.com/office/drawing/2014/main" id="{048698A5-8754-4F64-930C-9081D5B0729C}"/>
            </a:ext>
          </a:extLst>
        </xdr:cNvPr>
        <xdr:cNvCxnSpPr/>
      </xdr:nvCxnSpPr>
      <xdr:spPr>
        <a:xfrm>
          <a:off x="6557963" y="1221581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80963</xdr:colOff>
      <xdr:row>829</xdr:row>
      <xdr:rowOff>66675</xdr:rowOff>
    </xdr:from>
    <xdr:to>
      <xdr:col>64</xdr:col>
      <xdr:colOff>133350</xdr:colOff>
      <xdr:row>829</xdr:row>
      <xdr:rowOff>66675</xdr:rowOff>
    </xdr:to>
    <xdr:cxnSp macro="">
      <xdr:nvCxnSpPr>
        <xdr:cNvPr id="1222" name="Straight Arrow Connector 1221">
          <a:extLst>
            <a:ext uri="{FF2B5EF4-FFF2-40B4-BE49-F238E27FC236}">
              <a16:creationId xmlns:a16="http://schemas.microsoft.com/office/drawing/2014/main" id="{F8474017-4B45-4984-A6BD-A82D8A94E2A0}"/>
            </a:ext>
          </a:extLst>
        </xdr:cNvPr>
        <xdr:cNvCxnSpPr/>
      </xdr:nvCxnSpPr>
      <xdr:spPr>
        <a:xfrm>
          <a:off x="3805238" y="1224438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80963</xdr:colOff>
      <xdr:row>831</xdr:row>
      <xdr:rowOff>66675</xdr:rowOff>
    </xdr:from>
    <xdr:to>
      <xdr:col>21</xdr:col>
      <xdr:colOff>133350</xdr:colOff>
      <xdr:row>831</xdr:row>
      <xdr:rowOff>66675</xdr:rowOff>
    </xdr:to>
    <xdr:cxnSp macro="">
      <xdr:nvCxnSpPr>
        <xdr:cNvPr id="1223" name="Straight Arrow Connector 1222">
          <a:extLst>
            <a:ext uri="{FF2B5EF4-FFF2-40B4-BE49-F238E27FC236}">
              <a16:creationId xmlns:a16="http://schemas.microsoft.com/office/drawing/2014/main" id="{D3606FA8-757B-4BC0-9773-285A78AE45DB}"/>
            </a:ext>
          </a:extLst>
        </xdr:cNvPr>
        <xdr:cNvCxnSpPr/>
      </xdr:nvCxnSpPr>
      <xdr:spPr>
        <a:xfrm>
          <a:off x="10282238" y="1231582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80963</xdr:colOff>
      <xdr:row>832</xdr:row>
      <xdr:rowOff>66675</xdr:rowOff>
    </xdr:from>
    <xdr:to>
      <xdr:col>22</xdr:col>
      <xdr:colOff>133350</xdr:colOff>
      <xdr:row>832</xdr:row>
      <xdr:rowOff>66675</xdr:rowOff>
    </xdr:to>
    <xdr:cxnSp macro="">
      <xdr:nvCxnSpPr>
        <xdr:cNvPr id="1224" name="Straight Arrow Connector 1223">
          <a:extLst>
            <a:ext uri="{FF2B5EF4-FFF2-40B4-BE49-F238E27FC236}">
              <a16:creationId xmlns:a16="http://schemas.microsoft.com/office/drawing/2014/main" id="{291A78CB-1E6D-447C-BF61-7C59D3E88A7E}"/>
            </a:ext>
          </a:extLst>
        </xdr:cNvPr>
        <xdr:cNvCxnSpPr/>
      </xdr:nvCxnSpPr>
      <xdr:spPr>
        <a:xfrm>
          <a:off x="3481388" y="1227296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80963</xdr:colOff>
      <xdr:row>833</xdr:row>
      <xdr:rowOff>66675</xdr:rowOff>
    </xdr:from>
    <xdr:to>
      <xdr:col>52</xdr:col>
      <xdr:colOff>133350</xdr:colOff>
      <xdr:row>833</xdr:row>
      <xdr:rowOff>66675</xdr:rowOff>
    </xdr:to>
    <xdr:cxnSp macro="">
      <xdr:nvCxnSpPr>
        <xdr:cNvPr id="1225" name="Straight Arrow Connector 1224">
          <a:extLst>
            <a:ext uri="{FF2B5EF4-FFF2-40B4-BE49-F238E27FC236}">
              <a16:creationId xmlns:a16="http://schemas.microsoft.com/office/drawing/2014/main" id="{E99DE11D-CADE-4FF5-9293-3BB0A42B1188}"/>
            </a:ext>
          </a:extLst>
        </xdr:cNvPr>
        <xdr:cNvCxnSpPr/>
      </xdr:nvCxnSpPr>
      <xdr:spPr>
        <a:xfrm>
          <a:off x="8339138" y="1225867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80963</xdr:colOff>
      <xdr:row>834</xdr:row>
      <xdr:rowOff>66675</xdr:rowOff>
    </xdr:from>
    <xdr:to>
      <xdr:col>64</xdr:col>
      <xdr:colOff>133350</xdr:colOff>
      <xdr:row>834</xdr:row>
      <xdr:rowOff>66675</xdr:rowOff>
    </xdr:to>
    <xdr:cxnSp macro="">
      <xdr:nvCxnSpPr>
        <xdr:cNvPr id="1226" name="Straight Arrow Connector 1225">
          <a:extLst>
            <a:ext uri="{FF2B5EF4-FFF2-40B4-BE49-F238E27FC236}">
              <a16:creationId xmlns:a16="http://schemas.microsoft.com/office/drawing/2014/main" id="{B80D2428-8718-4941-A226-AEDAB135B0A5}"/>
            </a:ext>
          </a:extLst>
        </xdr:cNvPr>
        <xdr:cNvCxnSpPr/>
      </xdr:nvCxnSpPr>
      <xdr:spPr>
        <a:xfrm>
          <a:off x="10282238" y="1231582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80963</xdr:colOff>
      <xdr:row>835</xdr:row>
      <xdr:rowOff>66675</xdr:rowOff>
    </xdr:from>
    <xdr:to>
      <xdr:col>22</xdr:col>
      <xdr:colOff>133350</xdr:colOff>
      <xdr:row>835</xdr:row>
      <xdr:rowOff>66675</xdr:rowOff>
    </xdr:to>
    <xdr:cxnSp macro="">
      <xdr:nvCxnSpPr>
        <xdr:cNvPr id="1227" name="Straight Arrow Connector 1226">
          <a:extLst>
            <a:ext uri="{FF2B5EF4-FFF2-40B4-BE49-F238E27FC236}">
              <a16:creationId xmlns:a16="http://schemas.microsoft.com/office/drawing/2014/main" id="{D5ECD2B3-C3D8-40D4-9DC9-174D39EE162A}"/>
            </a:ext>
          </a:extLst>
        </xdr:cNvPr>
        <xdr:cNvCxnSpPr/>
      </xdr:nvCxnSpPr>
      <xdr:spPr>
        <a:xfrm>
          <a:off x="3481388" y="1235868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80963</xdr:colOff>
      <xdr:row>836</xdr:row>
      <xdr:rowOff>66675</xdr:rowOff>
    </xdr:from>
    <xdr:to>
      <xdr:col>58</xdr:col>
      <xdr:colOff>133350</xdr:colOff>
      <xdr:row>836</xdr:row>
      <xdr:rowOff>66675</xdr:rowOff>
    </xdr:to>
    <xdr:cxnSp macro="">
      <xdr:nvCxnSpPr>
        <xdr:cNvPr id="1228" name="Straight Arrow Connector 1227">
          <a:extLst>
            <a:ext uri="{FF2B5EF4-FFF2-40B4-BE49-F238E27FC236}">
              <a16:creationId xmlns:a16="http://schemas.microsoft.com/office/drawing/2014/main" id="{8105FA87-66B8-4FBA-BA9C-675EE91D3234}"/>
            </a:ext>
          </a:extLst>
        </xdr:cNvPr>
        <xdr:cNvCxnSpPr/>
      </xdr:nvCxnSpPr>
      <xdr:spPr>
        <a:xfrm>
          <a:off x="9958388" y="1215866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80963</xdr:colOff>
      <xdr:row>837</xdr:row>
      <xdr:rowOff>66675</xdr:rowOff>
    </xdr:from>
    <xdr:to>
      <xdr:col>70</xdr:col>
      <xdr:colOff>133350</xdr:colOff>
      <xdr:row>837</xdr:row>
      <xdr:rowOff>66675</xdr:rowOff>
    </xdr:to>
    <xdr:cxnSp macro="">
      <xdr:nvCxnSpPr>
        <xdr:cNvPr id="1229" name="Straight Arrow Connector 1228">
          <a:extLst>
            <a:ext uri="{FF2B5EF4-FFF2-40B4-BE49-F238E27FC236}">
              <a16:creationId xmlns:a16="http://schemas.microsoft.com/office/drawing/2014/main" id="{6B565475-BFE1-40AA-AF7C-9157F70D7A04}"/>
            </a:ext>
          </a:extLst>
        </xdr:cNvPr>
        <xdr:cNvCxnSpPr/>
      </xdr:nvCxnSpPr>
      <xdr:spPr>
        <a:xfrm>
          <a:off x="9310688" y="1245870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80963</xdr:colOff>
      <xdr:row>838</xdr:row>
      <xdr:rowOff>66675</xdr:rowOff>
    </xdr:from>
    <xdr:to>
      <xdr:col>31</xdr:col>
      <xdr:colOff>133350</xdr:colOff>
      <xdr:row>838</xdr:row>
      <xdr:rowOff>66675</xdr:rowOff>
    </xdr:to>
    <xdr:cxnSp macro="">
      <xdr:nvCxnSpPr>
        <xdr:cNvPr id="1230" name="Straight Arrow Connector 1229">
          <a:extLst>
            <a:ext uri="{FF2B5EF4-FFF2-40B4-BE49-F238E27FC236}">
              <a16:creationId xmlns:a16="http://schemas.microsoft.com/office/drawing/2014/main" id="{03C5441E-A55E-4B6A-B4EF-A6F072A2F44E}"/>
            </a:ext>
          </a:extLst>
        </xdr:cNvPr>
        <xdr:cNvCxnSpPr/>
      </xdr:nvCxnSpPr>
      <xdr:spPr>
        <a:xfrm>
          <a:off x="3481388" y="1243012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372</xdr:row>
      <xdr:rowOff>66675</xdr:rowOff>
    </xdr:from>
    <xdr:to>
      <xdr:col>10</xdr:col>
      <xdr:colOff>109537</xdr:colOff>
      <xdr:row>372</xdr:row>
      <xdr:rowOff>66675</xdr:rowOff>
    </xdr:to>
    <xdr:cxnSp macro="">
      <xdr:nvCxnSpPr>
        <xdr:cNvPr id="1011" name="Straight Arrow Connector 1010">
          <a:extLst>
            <a:ext uri="{FF2B5EF4-FFF2-40B4-BE49-F238E27FC236}">
              <a16:creationId xmlns:a16="http://schemas.microsoft.com/office/drawing/2014/main" id="{8B3BC185-54D3-4F32-AC8B-5B8D74C0165F}"/>
            </a:ext>
          </a:extLst>
        </xdr:cNvPr>
        <xdr:cNvCxnSpPr/>
      </xdr:nvCxnSpPr>
      <xdr:spPr>
        <a:xfrm>
          <a:off x="8315325" y="548925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373</xdr:row>
      <xdr:rowOff>66675</xdr:rowOff>
    </xdr:from>
    <xdr:to>
      <xdr:col>10</xdr:col>
      <xdr:colOff>109537</xdr:colOff>
      <xdr:row>373</xdr:row>
      <xdr:rowOff>66675</xdr:rowOff>
    </xdr:to>
    <xdr:cxnSp macro="">
      <xdr:nvCxnSpPr>
        <xdr:cNvPr id="1014" name="Straight Arrow Connector 1013">
          <a:extLst>
            <a:ext uri="{FF2B5EF4-FFF2-40B4-BE49-F238E27FC236}">
              <a16:creationId xmlns:a16="http://schemas.microsoft.com/office/drawing/2014/main" id="{BC2F80CE-9460-4801-932F-5839F74B15D9}"/>
            </a:ext>
          </a:extLst>
        </xdr:cNvPr>
        <xdr:cNvCxnSpPr/>
      </xdr:nvCxnSpPr>
      <xdr:spPr>
        <a:xfrm>
          <a:off x="8315325" y="550354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57150</xdr:colOff>
      <xdr:row>373</xdr:row>
      <xdr:rowOff>66675</xdr:rowOff>
    </xdr:from>
    <xdr:to>
      <xdr:col>29</xdr:col>
      <xdr:colOff>109537</xdr:colOff>
      <xdr:row>373</xdr:row>
      <xdr:rowOff>66675</xdr:rowOff>
    </xdr:to>
    <xdr:cxnSp macro="">
      <xdr:nvCxnSpPr>
        <xdr:cNvPr id="1015" name="Straight Arrow Connector 1014">
          <a:extLst>
            <a:ext uri="{FF2B5EF4-FFF2-40B4-BE49-F238E27FC236}">
              <a16:creationId xmlns:a16="http://schemas.microsoft.com/office/drawing/2014/main" id="{237FE144-6FC0-4E3F-A1AD-B8857619DDA7}"/>
            </a:ext>
          </a:extLst>
        </xdr:cNvPr>
        <xdr:cNvCxnSpPr/>
      </xdr:nvCxnSpPr>
      <xdr:spPr>
        <a:xfrm>
          <a:off x="8315325" y="550354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580</xdr:row>
      <xdr:rowOff>76200</xdr:rowOff>
    </xdr:from>
    <xdr:to>
      <xdr:col>20</xdr:col>
      <xdr:colOff>57150</xdr:colOff>
      <xdr:row>596</xdr:row>
      <xdr:rowOff>9525</xdr:rowOff>
    </xdr:to>
    <xdr:grpSp>
      <xdr:nvGrpSpPr>
        <xdr:cNvPr id="1319" name="Group 1318">
          <a:extLst>
            <a:ext uri="{FF2B5EF4-FFF2-40B4-BE49-F238E27FC236}">
              <a16:creationId xmlns:a16="http://schemas.microsoft.com/office/drawing/2014/main" id="{D25E8546-C597-C4A6-704C-091DF5A2A015}"/>
            </a:ext>
          </a:extLst>
        </xdr:cNvPr>
        <xdr:cNvGrpSpPr/>
      </xdr:nvGrpSpPr>
      <xdr:grpSpPr>
        <a:xfrm>
          <a:off x="1047750" y="88763475"/>
          <a:ext cx="2247900" cy="2219325"/>
          <a:chOff x="1047750" y="132511800"/>
          <a:chExt cx="2247900" cy="2219325"/>
        </a:xfrm>
      </xdr:grpSpPr>
      <xdr:sp macro="" textlink="">
        <xdr:nvSpPr>
          <xdr:cNvPr id="1185" name="L-Shape 1184">
            <a:extLst>
              <a:ext uri="{FF2B5EF4-FFF2-40B4-BE49-F238E27FC236}">
                <a16:creationId xmlns:a16="http://schemas.microsoft.com/office/drawing/2014/main" id="{D3AEF88A-E225-DFE3-B292-E27DB75CE844}"/>
              </a:ext>
            </a:extLst>
          </xdr:cNvPr>
          <xdr:cNvSpPr/>
        </xdr:nvSpPr>
        <xdr:spPr>
          <a:xfrm>
            <a:off x="1452563" y="132868988"/>
            <a:ext cx="1304925" cy="1423987"/>
          </a:xfrm>
          <a:prstGeom prst="corner">
            <a:avLst>
              <a:gd name="adj1" fmla="val 10949"/>
              <a:gd name="adj2" fmla="val 12774"/>
            </a:avLst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200" name="Straight Connector 1199">
            <a:extLst>
              <a:ext uri="{FF2B5EF4-FFF2-40B4-BE49-F238E27FC236}">
                <a16:creationId xmlns:a16="http://schemas.microsoft.com/office/drawing/2014/main" id="{D95E915F-0AE0-ED43-106A-1EDAE673B082}"/>
              </a:ext>
            </a:extLst>
          </xdr:cNvPr>
          <xdr:cNvCxnSpPr/>
        </xdr:nvCxnSpPr>
        <xdr:spPr>
          <a:xfrm flipH="1">
            <a:off x="1047750" y="134292975"/>
            <a:ext cx="3476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2" name="Straight Connector 1201">
            <a:extLst>
              <a:ext uri="{FF2B5EF4-FFF2-40B4-BE49-F238E27FC236}">
                <a16:creationId xmlns:a16="http://schemas.microsoft.com/office/drawing/2014/main" id="{E00C0555-EAF8-D0C2-AF3F-628F0C58DC6F}"/>
              </a:ext>
            </a:extLst>
          </xdr:cNvPr>
          <xdr:cNvCxnSpPr/>
        </xdr:nvCxnSpPr>
        <xdr:spPr>
          <a:xfrm flipV="1">
            <a:off x="1133476" y="132788026"/>
            <a:ext cx="0" cy="15763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7" name="Straight Connector 1206">
            <a:extLst>
              <a:ext uri="{FF2B5EF4-FFF2-40B4-BE49-F238E27FC236}">
                <a16:creationId xmlns:a16="http://schemas.microsoft.com/office/drawing/2014/main" id="{EC248D6B-A209-B247-FB9C-9E28B64F23BA}"/>
              </a:ext>
            </a:extLst>
          </xdr:cNvPr>
          <xdr:cNvCxnSpPr/>
        </xdr:nvCxnSpPr>
        <xdr:spPr>
          <a:xfrm flipH="1">
            <a:off x="1052513" y="132864225"/>
            <a:ext cx="338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2" name="Straight Connector 1231">
            <a:extLst>
              <a:ext uri="{FF2B5EF4-FFF2-40B4-BE49-F238E27FC236}">
                <a16:creationId xmlns:a16="http://schemas.microsoft.com/office/drawing/2014/main" id="{F1EA1961-A885-2502-FCF1-03BE3B53382D}"/>
              </a:ext>
            </a:extLst>
          </xdr:cNvPr>
          <xdr:cNvCxnSpPr/>
        </xdr:nvCxnSpPr>
        <xdr:spPr>
          <a:xfrm flipH="1">
            <a:off x="1095372" y="132830888"/>
            <a:ext cx="71440" cy="71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5" name="Straight Connector 1234">
            <a:extLst>
              <a:ext uri="{FF2B5EF4-FFF2-40B4-BE49-F238E27FC236}">
                <a16:creationId xmlns:a16="http://schemas.microsoft.com/office/drawing/2014/main" id="{CDE367A5-FBAD-46B7-8AD1-848B74C023EC}"/>
              </a:ext>
            </a:extLst>
          </xdr:cNvPr>
          <xdr:cNvCxnSpPr/>
        </xdr:nvCxnSpPr>
        <xdr:spPr>
          <a:xfrm flipH="1">
            <a:off x="1095372" y="134259638"/>
            <a:ext cx="71440" cy="71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7" name="Straight Connector 1236">
            <a:extLst>
              <a:ext uri="{FF2B5EF4-FFF2-40B4-BE49-F238E27FC236}">
                <a16:creationId xmlns:a16="http://schemas.microsoft.com/office/drawing/2014/main" id="{6EF0239A-F37B-D01E-7A40-BCF5516B9F74}"/>
              </a:ext>
            </a:extLst>
          </xdr:cNvPr>
          <xdr:cNvCxnSpPr/>
        </xdr:nvCxnSpPr>
        <xdr:spPr>
          <a:xfrm>
            <a:off x="1457326" y="134359651"/>
            <a:ext cx="0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9" name="Straight Connector 1238">
            <a:extLst>
              <a:ext uri="{FF2B5EF4-FFF2-40B4-BE49-F238E27FC236}">
                <a16:creationId xmlns:a16="http://schemas.microsoft.com/office/drawing/2014/main" id="{4B873B2F-33ED-D050-89D0-3E3DFAB5D8EF}"/>
              </a:ext>
            </a:extLst>
          </xdr:cNvPr>
          <xdr:cNvCxnSpPr/>
        </xdr:nvCxnSpPr>
        <xdr:spPr>
          <a:xfrm>
            <a:off x="1385887" y="134578725"/>
            <a:ext cx="1462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4" name="Straight Connector 1243">
            <a:extLst>
              <a:ext uri="{FF2B5EF4-FFF2-40B4-BE49-F238E27FC236}">
                <a16:creationId xmlns:a16="http://schemas.microsoft.com/office/drawing/2014/main" id="{C7C0133A-0ACC-4B05-ADF7-D97F9527BA18}"/>
              </a:ext>
            </a:extLst>
          </xdr:cNvPr>
          <xdr:cNvCxnSpPr/>
        </xdr:nvCxnSpPr>
        <xdr:spPr>
          <a:xfrm flipH="1">
            <a:off x="1419222" y="134545388"/>
            <a:ext cx="71440" cy="71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6" name="Straight Connector 1245">
            <a:extLst>
              <a:ext uri="{FF2B5EF4-FFF2-40B4-BE49-F238E27FC236}">
                <a16:creationId xmlns:a16="http://schemas.microsoft.com/office/drawing/2014/main" id="{79E3D13F-336B-42BA-B7CB-391FBFB4A091}"/>
              </a:ext>
            </a:extLst>
          </xdr:cNvPr>
          <xdr:cNvCxnSpPr/>
        </xdr:nvCxnSpPr>
        <xdr:spPr>
          <a:xfrm>
            <a:off x="2752726" y="134359651"/>
            <a:ext cx="0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9" name="Straight Connector 1248">
            <a:extLst>
              <a:ext uri="{FF2B5EF4-FFF2-40B4-BE49-F238E27FC236}">
                <a16:creationId xmlns:a16="http://schemas.microsoft.com/office/drawing/2014/main" id="{79B5C398-4DB6-4DFC-9765-28DCDF51F4E9}"/>
              </a:ext>
            </a:extLst>
          </xdr:cNvPr>
          <xdr:cNvCxnSpPr/>
        </xdr:nvCxnSpPr>
        <xdr:spPr>
          <a:xfrm flipH="1">
            <a:off x="2714622" y="134545388"/>
            <a:ext cx="71440" cy="71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0" name="Straight Connector 1249">
            <a:extLst>
              <a:ext uri="{FF2B5EF4-FFF2-40B4-BE49-F238E27FC236}">
                <a16:creationId xmlns:a16="http://schemas.microsoft.com/office/drawing/2014/main" id="{83F7F63E-3314-4241-8FEA-AB1AAD59E7BC}"/>
              </a:ext>
            </a:extLst>
          </xdr:cNvPr>
          <xdr:cNvCxnSpPr/>
        </xdr:nvCxnSpPr>
        <xdr:spPr>
          <a:xfrm>
            <a:off x="2105029" y="134088188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1" name="Straight Connector 1250">
            <a:extLst>
              <a:ext uri="{FF2B5EF4-FFF2-40B4-BE49-F238E27FC236}">
                <a16:creationId xmlns:a16="http://schemas.microsoft.com/office/drawing/2014/main" id="{108DDFD4-ECD5-48CF-A2F2-2134DC6C859B}"/>
              </a:ext>
            </a:extLst>
          </xdr:cNvPr>
          <xdr:cNvCxnSpPr/>
        </xdr:nvCxnSpPr>
        <xdr:spPr>
          <a:xfrm flipH="1">
            <a:off x="2066925" y="134259638"/>
            <a:ext cx="71440" cy="71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2" name="Straight Connector 1251">
            <a:extLst>
              <a:ext uri="{FF2B5EF4-FFF2-40B4-BE49-F238E27FC236}">
                <a16:creationId xmlns:a16="http://schemas.microsoft.com/office/drawing/2014/main" id="{BCFA572A-45DF-45CA-9491-170F37733F0C}"/>
              </a:ext>
            </a:extLst>
          </xdr:cNvPr>
          <xdr:cNvCxnSpPr/>
        </xdr:nvCxnSpPr>
        <xdr:spPr>
          <a:xfrm flipH="1">
            <a:off x="2066918" y="134116758"/>
            <a:ext cx="71440" cy="71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4" name="Straight Connector 1253">
            <a:extLst>
              <a:ext uri="{FF2B5EF4-FFF2-40B4-BE49-F238E27FC236}">
                <a16:creationId xmlns:a16="http://schemas.microsoft.com/office/drawing/2014/main" id="{F6D5BF5A-EDF3-40D0-B629-36E403989CC4}"/>
              </a:ext>
            </a:extLst>
          </xdr:cNvPr>
          <xdr:cNvCxnSpPr/>
        </xdr:nvCxnSpPr>
        <xdr:spPr>
          <a:xfrm flipH="1">
            <a:off x="1381120" y="133435726"/>
            <a:ext cx="30956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5" name="Straight Connector 1254">
            <a:extLst>
              <a:ext uri="{FF2B5EF4-FFF2-40B4-BE49-F238E27FC236}">
                <a16:creationId xmlns:a16="http://schemas.microsoft.com/office/drawing/2014/main" id="{C2E8010B-FEA3-49EC-AB73-39167E96D567}"/>
              </a:ext>
            </a:extLst>
          </xdr:cNvPr>
          <xdr:cNvCxnSpPr/>
        </xdr:nvCxnSpPr>
        <xdr:spPr>
          <a:xfrm flipH="1">
            <a:off x="1414453" y="133402389"/>
            <a:ext cx="71440" cy="71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6" name="Straight Connector 1255">
            <a:extLst>
              <a:ext uri="{FF2B5EF4-FFF2-40B4-BE49-F238E27FC236}">
                <a16:creationId xmlns:a16="http://schemas.microsoft.com/office/drawing/2014/main" id="{641AC6B7-4A90-4BD3-BF0D-78403C350946}"/>
              </a:ext>
            </a:extLst>
          </xdr:cNvPr>
          <xdr:cNvCxnSpPr/>
        </xdr:nvCxnSpPr>
        <xdr:spPr>
          <a:xfrm flipH="1">
            <a:off x="1581140" y="133402388"/>
            <a:ext cx="71440" cy="71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9" name="Straight Connector 1258">
            <a:extLst>
              <a:ext uri="{FF2B5EF4-FFF2-40B4-BE49-F238E27FC236}">
                <a16:creationId xmlns:a16="http://schemas.microsoft.com/office/drawing/2014/main" id="{CD220C24-23DC-580F-E235-E53948601BE8}"/>
              </a:ext>
            </a:extLst>
          </xdr:cNvPr>
          <xdr:cNvCxnSpPr/>
        </xdr:nvCxnSpPr>
        <xdr:spPr>
          <a:xfrm>
            <a:off x="1876425" y="132940425"/>
            <a:ext cx="0" cy="179070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1" name="Straight Connector 1260">
            <a:extLst>
              <a:ext uri="{FF2B5EF4-FFF2-40B4-BE49-F238E27FC236}">
                <a16:creationId xmlns:a16="http://schemas.microsoft.com/office/drawing/2014/main" id="{EBFB8873-8A36-09BF-4379-8D7C9F7578B2}"/>
              </a:ext>
            </a:extLst>
          </xdr:cNvPr>
          <xdr:cNvCxnSpPr/>
        </xdr:nvCxnSpPr>
        <xdr:spPr>
          <a:xfrm>
            <a:off x="1204913" y="133773863"/>
            <a:ext cx="1633537" cy="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4" name="Straight Connector 1263">
            <a:extLst>
              <a:ext uri="{FF2B5EF4-FFF2-40B4-BE49-F238E27FC236}">
                <a16:creationId xmlns:a16="http://schemas.microsoft.com/office/drawing/2014/main" id="{10B362A8-A77B-3162-E54E-BA40C8D55660}"/>
              </a:ext>
            </a:extLst>
          </xdr:cNvPr>
          <xdr:cNvCxnSpPr/>
        </xdr:nvCxnSpPr>
        <xdr:spPr>
          <a:xfrm>
            <a:off x="1395413" y="132578475"/>
            <a:ext cx="14430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6" name="Straight Connector 1265">
            <a:extLst>
              <a:ext uri="{FF2B5EF4-FFF2-40B4-BE49-F238E27FC236}">
                <a16:creationId xmlns:a16="http://schemas.microsoft.com/office/drawing/2014/main" id="{11F3CEF3-1601-55F9-57FD-04D42DE09E1E}"/>
              </a:ext>
            </a:extLst>
          </xdr:cNvPr>
          <xdr:cNvCxnSpPr/>
        </xdr:nvCxnSpPr>
        <xdr:spPr>
          <a:xfrm>
            <a:off x="1876427" y="132511800"/>
            <a:ext cx="0" cy="4143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7" name="Straight Connector 1266">
            <a:extLst>
              <a:ext uri="{FF2B5EF4-FFF2-40B4-BE49-F238E27FC236}">
                <a16:creationId xmlns:a16="http://schemas.microsoft.com/office/drawing/2014/main" id="{A86C7C24-ADB4-481E-8E76-57D784B72AB5}"/>
              </a:ext>
            </a:extLst>
          </xdr:cNvPr>
          <xdr:cNvCxnSpPr/>
        </xdr:nvCxnSpPr>
        <xdr:spPr>
          <a:xfrm flipH="1">
            <a:off x="1838321" y="132545135"/>
            <a:ext cx="71440" cy="71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9" name="Straight Connector 1268">
            <a:extLst>
              <a:ext uri="{FF2B5EF4-FFF2-40B4-BE49-F238E27FC236}">
                <a16:creationId xmlns:a16="http://schemas.microsoft.com/office/drawing/2014/main" id="{258D1CB7-EB49-45DB-865B-D53E11A8AC20}"/>
              </a:ext>
            </a:extLst>
          </xdr:cNvPr>
          <xdr:cNvCxnSpPr/>
        </xdr:nvCxnSpPr>
        <xdr:spPr>
          <a:xfrm>
            <a:off x="2752727" y="132511801"/>
            <a:ext cx="0" cy="15239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0" name="Straight Connector 1269">
            <a:extLst>
              <a:ext uri="{FF2B5EF4-FFF2-40B4-BE49-F238E27FC236}">
                <a16:creationId xmlns:a16="http://schemas.microsoft.com/office/drawing/2014/main" id="{F09DD24F-1892-4252-BC23-10C5BB22630D}"/>
              </a:ext>
            </a:extLst>
          </xdr:cNvPr>
          <xdr:cNvCxnSpPr/>
        </xdr:nvCxnSpPr>
        <xdr:spPr>
          <a:xfrm flipH="1">
            <a:off x="2714621" y="132545136"/>
            <a:ext cx="71440" cy="71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2" name="Straight Connector 1271">
            <a:extLst>
              <a:ext uri="{FF2B5EF4-FFF2-40B4-BE49-F238E27FC236}">
                <a16:creationId xmlns:a16="http://schemas.microsoft.com/office/drawing/2014/main" id="{40C03BCD-998A-4B8B-A702-7B0602E82305}"/>
              </a:ext>
            </a:extLst>
          </xdr:cNvPr>
          <xdr:cNvCxnSpPr/>
        </xdr:nvCxnSpPr>
        <xdr:spPr>
          <a:xfrm>
            <a:off x="1457327" y="132511800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3" name="Straight Connector 1272">
            <a:extLst>
              <a:ext uri="{FF2B5EF4-FFF2-40B4-BE49-F238E27FC236}">
                <a16:creationId xmlns:a16="http://schemas.microsoft.com/office/drawing/2014/main" id="{DDFFC7B8-EC65-4B98-B779-F1923DD04778}"/>
              </a:ext>
            </a:extLst>
          </xdr:cNvPr>
          <xdr:cNvCxnSpPr/>
        </xdr:nvCxnSpPr>
        <xdr:spPr>
          <a:xfrm flipH="1">
            <a:off x="1419221" y="132545135"/>
            <a:ext cx="71440" cy="71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7" name="Straight Connector 1276">
            <a:extLst>
              <a:ext uri="{FF2B5EF4-FFF2-40B4-BE49-F238E27FC236}">
                <a16:creationId xmlns:a16="http://schemas.microsoft.com/office/drawing/2014/main" id="{A9BF9417-4CD0-CD6E-0A1D-3C470DBBA6A2}"/>
              </a:ext>
            </a:extLst>
          </xdr:cNvPr>
          <xdr:cNvCxnSpPr/>
        </xdr:nvCxnSpPr>
        <xdr:spPr>
          <a:xfrm>
            <a:off x="2867025" y="132864225"/>
            <a:ext cx="419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9" name="Straight Connector 1278">
            <a:extLst>
              <a:ext uri="{FF2B5EF4-FFF2-40B4-BE49-F238E27FC236}">
                <a16:creationId xmlns:a16="http://schemas.microsoft.com/office/drawing/2014/main" id="{957BC7F7-4C60-B20E-FE93-E654B8D4D99F}"/>
              </a:ext>
            </a:extLst>
          </xdr:cNvPr>
          <xdr:cNvCxnSpPr/>
        </xdr:nvCxnSpPr>
        <xdr:spPr>
          <a:xfrm>
            <a:off x="2833688" y="134292976"/>
            <a:ext cx="4619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1" name="Straight Connector 1280">
            <a:extLst>
              <a:ext uri="{FF2B5EF4-FFF2-40B4-BE49-F238E27FC236}">
                <a16:creationId xmlns:a16="http://schemas.microsoft.com/office/drawing/2014/main" id="{32C403CE-019F-1B45-932C-80738057C497}"/>
              </a:ext>
            </a:extLst>
          </xdr:cNvPr>
          <xdr:cNvCxnSpPr/>
        </xdr:nvCxnSpPr>
        <xdr:spPr>
          <a:xfrm>
            <a:off x="3238499" y="132792786"/>
            <a:ext cx="0" cy="15763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2" name="Straight Connector 1281">
            <a:extLst>
              <a:ext uri="{FF2B5EF4-FFF2-40B4-BE49-F238E27FC236}">
                <a16:creationId xmlns:a16="http://schemas.microsoft.com/office/drawing/2014/main" id="{A4664AFC-4E03-48A0-9918-E976D2EEB14D}"/>
              </a:ext>
            </a:extLst>
          </xdr:cNvPr>
          <xdr:cNvCxnSpPr/>
        </xdr:nvCxnSpPr>
        <xdr:spPr>
          <a:xfrm flipH="1">
            <a:off x="3200399" y="132830888"/>
            <a:ext cx="71440" cy="71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3" name="Straight Connector 1282">
            <a:extLst>
              <a:ext uri="{FF2B5EF4-FFF2-40B4-BE49-F238E27FC236}">
                <a16:creationId xmlns:a16="http://schemas.microsoft.com/office/drawing/2014/main" id="{F5D2587C-14E3-4AE8-9312-3A6E12B57559}"/>
              </a:ext>
            </a:extLst>
          </xdr:cNvPr>
          <xdr:cNvCxnSpPr/>
        </xdr:nvCxnSpPr>
        <xdr:spPr>
          <a:xfrm flipH="1">
            <a:off x="3200401" y="134259637"/>
            <a:ext cx="71440" cy="71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6" name="Straight Connector 1285">
            <a:extLst>
              <a:ext uri="{FF2B5EF4-FFF2-40B4-BE49-F238E27FC236}">
                <a16:creationId xmlns:a16="http://schemas.microsoft.com/office/drawing/2014/main" id="{CB108DE2-88D6-439D-9BEA-287935837004}"/>
              </a:ext>
            </a:extLst>
          </xdr:cNvPr>
          <xdr:cNvCxnSpPr/>
        </xdr:nvCxnSpPr>
        <xdr:spPr>
          <a:xfrm>
            <a:off x="2867023" y="133773862"/>
            <a:ext cx="419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7" name="Straight Connector 1286">
            <a:extLst>
              <a:ext uri="{FF2B5EF4-FFF2-40B4-BE49-F238E27FC236}">
                <a16:creationId xmlns:a16="http://schemas.microsoft.com/office/drawing/2014/main" id="{37800BC6-4D51-4B7C-876B-C70CF7E8BE19}"/>
              </a:ext>
            </a:extLst>
          </xdr:cNvPr>
          <xdr:cNvCxnSpPr/>
        </xdr:nvCxnSpPr>
        <xdr:spPr>
          <a:xfrm flipH="1">
            <a:off x="3200397" y="133740525"/>
            <a:ext cx="71440" cy="71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89" name="Oval 1288">
            <a:extLst>
              <a:ext uri="{FF2B5EF4-FFF2-40B4-BE49-F238E27FC236}">
                <a16:creationId xmlns:a16="http://schemas.microsoft.com/office/drawing/2014/main" id="{8AED5C1A-B707-9556-8B76-6B626C926F66}"/>
              </a:ext>
            </a:extLst>
          </xdr:cNvPr>
          <xdr:cNvSpPr/>
        </xdr:nvSpPr>
        <xdr:spPr>
          <a:xfrm>
            <a:off x="1847850" y="133745287"/>
            <a:ext cx="57150" cy="5715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25</xdr:col>
      <xdr:colOff>80963</xdr:colOff>
      <xdr:row>580</xdr:row>
      <xdr:rowOff>138113</xdr:rowOff>
    </xdr:from>
    <xdr:to>
      <xdr:col>40</xdr:col>
      <xdr:colOff>76535</xdr:colOff>
      <xdr:row>588</xdr:row>
      <xdr:rowOff>76200</xdr:rowOff>
    </xdr:to>
    <xdr:grpSp>
      <xdr:nvGrpSpPr>
        <xdr:cNvPr id="1290" name="Group 1289">
          <a:extLst>
            <a:ext uri="{FF2B5EF4-FFF2-40B4-BE49-F238E27FC236}">
              <a16:creationId xmlns:a16="http://schemas.microsoft.com/office/drawing/2014/main" id="{1C633DCC-CD2D-45BF-A1E2-EE429264B3CC}"/>
            </a:ext>
          </a:extLst>
        </xdr:cNvPr>
        <xdr:cNvGrpSpPr/>
      </xdr:nvGrpSpPr>
      <xdr:grpSpPr>
        <a:xfrm>
          <a:off x="4129088" y="88825388"/>
          <a:ext cx="2424447" cy="1081087"/>
          <a:chOff x="4776788" y="72909113"/>
          <a:chExt cx="2424447" cy="1081087"/>
        </a:xfrm>
      </xdr:grpSpPr>
      <xdr:cxnSp macro="">
        <xdr:nvCxnSpPr>
          <xdr:cNvPr id="1291" name="Straight Connector 1290">
            <a:extLst>
              <a:ext uri="{FF2B5EF4-FFF2-40B4-BE49-F238E27FC236}">
                <a16:creationId xmlns:a16="http://schemas.microsoft.com/office/drawing/2014/main" id="{6BB37A6D-089F-5A5A-C7AA-8EBBEB3BE73F}"/>
              </a:ext>
            </a:extLst>
          </xdr:cNvPr>
          <xdr:cNvCxnSpPr/>
        </xdr:nvCxnSpPr>
        <xdr:spPr>
          <a:xfrm>
            <a:off x="4852988" y="73199625"/>
            <a:ext cx="2281237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92" name="Isosceles Triangle 1291">
            <a:extLst>
              <a:ext uri="{FF2B5EF4-FFF2-40B4-BE49-F238E27FC236}">
                <a16:creationId xmlns:a16="http://schemas.microsoft.com/office/drawing/2014/main" id="{BE9758FF-36F7-65F4-63AC-FE870FAEF6A2}"/>
              </a:ext>
            </a:extLst>
          </xdr:cNvPr>
          <xdr:cNvSpPr/>
        </xdr:nvSpPr>
        <xdr:spPr>
          <a:xfrm>
            <a:off x="4785932" y="73213914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93" name="Isosceles Triangle 1292">
            <a:extLst>
              <a:ext uri="{FF2B5EF4-FFF2-40B4-BE49-F238E27FC236}">
                <a16:creationId xmlns:a16="http://schemas.microsoft.com/office/drawing/2014/main" id="{40FB67FD-4986-ABC4-1DBE-89CBB9EA39C6}"/>
              </a:ext>
            </a:extLst>
          </xdr:cNvPr>
          <xdr:cNvSpPr/>
        </xdr:nvSpPr>
        <xdr:spPr>
          <a:xfrm>
            <a:off x="7057599" y="73209152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94" name="Straight Connector 1293">
            <a:extLst>
              <a:ext uri="{FF2B5EF4-FFF2-40B4-BE49-F238E27FC236}">
                <a16:creationId xmlns:a16="http://schemas.microsoft.com/office/drawing/2014/main" id="{950D6946-3DBA-8E58-AF3B-41102BF5BC5A}"/>
              </a:ext>
            </a:extLst>
          </xdr:cNvPr>
          <xdr:cNvCxnSpPr/>
        </xdr:nvCxnSpPr>
        <xdr:spPr>
          <a:xfrm>
            <a:off x="4857750" y="73785413"/>
            <a:ext cx="0" cy="204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5" name="Straight Arrow Connector 1294">
            <a:extLst>
              <a:ext uri="{FF2B5EF4-FFF2-40B4-BE49-F238E27FC236}">
                <a16:creationId xmlns:a16="http://schemas.microsoft.com/office/drawing/2014/main" id="{BB221974-F37C-1EAA-EE27-9A299002F0B7}"/>
              </a:ext>
            </a:extLst>
          </xdr:cNvPr>
          <xdr:cNvCxnSpPr/>
        </xdr:nvCxnSpPr>
        <xdr:spPr>
          <a:xfrm flipV="1">
            <a:off x="4857750" y="73342500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6" name="Straight Connector 1295">
            <a:extLst>
              <a:ext uri="{FF2B5EF4-FFF2-40B4-BE49-F238E27FC236}">
                <a16:creationId xmlns:a16="http://schemas.microsoft.com/office/drawing/2014/main" id="{3BA121BC-F6C0-7D34-F701-514C408CE699}"/>
              </a:ext>
            </a:extLst>
          </xdr:cNvPr>
          <xdr:cNvCxnSpPr/>
        </xdr:nvCxnSpPr>
        <xdr:spPr>
          <a:xfrm>
            <a:off x="4776788" y="73914000"/>
            <a:ext cx="24050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7" name="Straight Connector 1296">
            <a:extLst>
              <a:ext uri="{FF2B5EF4-FFF2-40B4-BE49-F238E27FC236}">
                <a16:creationId xmlns:a16="http://schemas.microsoft.com/office/drawing/2014/main" id="{1C815CB7-93B8-782C-3E2F-0FD232117BDD}"/>
              </a:ext>
            </a:extLst>
          </xdr:cNvPr>
          <xdr:cNvCxnSpPr/>
        </xdr:nvCxnSpPr>
        <xdr:spPr>
          <a:xfrm flipH="1">
            <a:off x="4819643" y="73880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8" name="Straight Connector 1297">
            <a:extLst>
              <a:ext uri="{FF2B5EF4-FFF2-40B4-BE49-F238E27FC236}">
                <a16:creationId xmlns:a16="http://schemas.microsoft.com/office/drawing/2014/main" id="{3F51CDDB-1BF7-0B22-C58C-3FAACE92A0AC}"/>
              </a:ext>
            </a:extLst>
          </xdr:cNvPr>
          <xdr:cNvCxnSpPr/>
        </xdr:nvCxnSpPr>
        <xdr:spPr>
          <a:xfrm>
            <a:off x="7124665" y="73785413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9" name="Straight Arrow Connector 1298">
            <a:extLst>
              <a:ext uri="{FF2B5EF4-FFF2-40B4-BE49-F238E27FC236}">
                <a16:creationId xmlns:a16="http://schemas.microsoft.com/office/drawing/2014/main" id="{2F641120-C815-1E57-D506-84F4A648E2C7}"/>
              </a:ext>
            </a:extLst>
          </xdr:cNvPr>
          <xdr:cNvCxnSpPr/>
        </xdr:nvCxnSpPr>
        <xdr:spPr>
          <a:xfrm flipV="1">
            <a:off x="7124656" y="73342500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0" name="Straight Connector 1299">
            <a:extLst>
              <a:ext uri="{FF2B5EF4-FFF2-40B4-BE49-F238E27FC236}">
                <a16:creationId xmlns:a16="http://schemas.microsoft.com/office/drawing/2014/main" id="{2DE96EFC-C399-AE4B-1773-199511089309}"/>
              </a:ext>
            </a:extLst>
          </xdr:cNvPr>
          <xdr:cNvCxnSpPr/>
        </xdr:nvCxnSpPr>
        <xdr:spPr>
          <a:xfrm flipH="1">
            <a:off x="7086565" y="73880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1" name="Straight Arrow Connector 1300">
            <a:extLst>
              <a:ext uri="{FF2B5EF4-FFF2-40B4-BE49-F238E27FC236}">
                <a16:creationId xmlns:a16="http://schemas.microsoft.com/office/drawing/2014/main" id="{46787519-949B-6C30-835D-5A0005E03141}"/>
              </a:ext>
            </a:extLst>
          </xdr:cNvPr>
          <xdr:cNvCxnSpPr/>
        </xdr:nvCxnSpPr>
        <xdr:spPr>
          <a:xfrm>
            <a:off x="4867276" y="73485376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2" name="Straight Arrow Connector 1301">
            <a:extLst>
              <a:ext uri="{FF2B5EF4-FFF2-40B4-BE49-F238E27FC236}">
                <a16:creationId xmlns:a16="http://schemas.microsoft.com/office/drawing/2014/main" id="{78E7FCEB-9CB1-59E3-789B-94211D803518}"/>
              </a:ext>
            </a:extLst>
          </xdr:cNvPr>
          <xdr:cNvCxnSpPr/>
        </xdr:nvCxnSpPr>
        <xdr:spPr>
          <a:xfrm>
            <a:off x="4857750" y="72980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3" name="Straight Connector 1302">
            <a:extLst>
              <a:ext uri="{FF2B5EF4-FFF2-40B4-BE49-F238E27FC236}">
                <a16:creationId xmlns:a16="http://schemas.microsoft.com/office/drawing/2014/main" id="{8FF1F3FB-5D97-4EAF-C1B0-D14E3EE62B8E}"/>
              </a:ext>
            </a:extLst>
          </xdr:cNvPr>
          <xdr:cNvCxnSpPr/>
        </xdr:nvCxnSpPr>
        <xdr:spPr>
          <a:xfrm>
            <a:off x="4857750" y="72980550"/>
            <a:ext cx="227647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4" name="Straight Arrow Connector 1303">
            <a:extLst>
              <a:ext uri="{FF2B5EF4-FFF2-40B4-BE49-F238E27FC236}">
                <a16:creationId xmlns:a16="http://schemas.microsoft.com/office/drawing/2014/main" id="{C0B0B66A-4FA9-0839-4EFF-DD9CF16E7CEE}"/>
              </a:ext>
            </a:extLst>
          </xdr:cNvPr>
          <xdr:cNvCxnSpPr/>
        </xdr:nvCxnSpPr>
        <xdr:spPr>
          <a:xfrm>
            <a:off x="5019675" y="72980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5" name="Straight Arrow Connector 1304">
            <a:extLst>
              <a:ext uri="{FF2B5EF4-FFF2-40B4-BE49-F238E27FC236}">
                <a16:creationId xmlns:a16="http://schemas.microsoft.com/office/drawing/2014/main" id="{3D9D134F-ECDB-80EB-7AA3-ED3DBD9D058A}"/>
              </a:ext>
            </a:extLst>
          </xdr:cNvPr>
          <xdr:cNvCxnSpPr/>
        </xdr:nvCxnSpPr>
        <xdr:spPr>
          <a:xfrm>
            <a:off x="5829300" y="7298531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6" name="Straight Arrow Connector 1305">
            <a:extLst>
              <a:ext uri="{FF2B5EF4-FFF2-40B4-BE49-F238E27FC236}">
                <a16:creationId xmlns:a16="http://schemas.microsoft.com/office/drawing/2014/main" id="{0BA90642-A237-EFA6-9822-558E24FD7F59}"/>
              </a:ext>
            </a:extLst>
          </xdr:cNvPr>
          <xdr:cNvCxnSpPr/>
        </xdr:nvCxnSpPr>
        <xdr:spPr>
          <a:xfrm>
            <a:off x="6800851" y="72980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7" name="Straight Arrow Connector 1306">
            <a:extLst>
              <a:ext uri="{FF2B5EF4-FFF2-40B4-BE49-F238E27FC236}">
                <a16:creationId xmlns:a16="http://schemas.microsoft.com/office/drawing/2014/main" id="{6944CB93-FABC-7276-5423-011B6CEAB400}"/>
              </a:ext>
            </a:extLst>
          </xdr:cNvPr>
          <xdr:cNvCxnSpPr/>
        </xdr:nvCxnSpPr>
        <xdr:spPr>
          <a:xfrm>
            <a:off x="6962776" y="7298531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8" name="Straight Arrow Connector 1307">
            <a:extLst>
              <a:ext uri="{FF2B5EF4-FFF2-40B4-BE49-F238E27FC236}">
                <a16:creationId xmlns:a16="http://schemas.microsoft.com/office/drawing/2014/main" id="{22CB1F2F-338C-5F5A-9BDB-4B41D1DF734A}"/>
              </a:ext>
            </a:extLst>
          </xdr:cNvPr>
          <xdr:cNvCxnSpPr/>
        </xdr:nvCxnSpPr>
        <xdr:spPr>
          <a:xfrm>
            <a:off x="7124701" y="72985314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9" name="Straight Connector 1308">
            <a:extLst>
              <a:ext uri="{FF2B5EF4-FFF2-40B4-BE49-F238E27FC236}">
                <a16:creationId xmlns:a16="http://schemas.microsoft.com/office/drawing/2014/main" id="{502037CD-F3E6-D64E-2819-513A11FFC214}"/>
              </a:ext>
            </a:extLst>
          </xdr:cNvPr>
          <xdr:cNvCxnSpPr/>
        </xdr:nvCxnSpPr>
        <xdr:spPr>
          <a:xfrm flipH="1" flipV="1">
            <a:off x="6391275" y="72909113"/>
            <a:ext cx="85725" cy="1571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0" name="Straight Arrow Connector 1309">
            <a:extLst>
              <a:ext uri="{FF2B5EF4-FFF2-40B4-BE49-F238E27FC236}">
                <a16:creationId xmlns:a16="http://schemas.microsoft.com/office/drawing/2014/main" id="{6340ED59-6359-8DAE-921A-F294F086B579}"/>
              </a:ext>
            </a:extLst>
          </xdr:cNvPr>
          <xdr:cNvCxnSpPr/>
        </xdr:nvCxnSpPr>
        <xdr:spPr>
          <a:xfrm>
            <a:off x="5181599" y="72980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1" name="Straight Arrow Connector 1310">
            <a:extLst>
              <a:ext uri="{FF2B5EF4-FFF2-40B4-BE49-F238E27FC236}">
                <a16:creationId xmlns:a16="http://schemas.microsoft.com/office/drawing/2014/main" id="{D4CEBB21-E20C-44A2-15CF-2A11E285BE0F}"/>
              </a:ext>
            </a:extLst>
          </xdr:cNvPr>
          <xdr:cNvCxnSpPr/>
        </xdr:nvCxnSpPr>
        <xdr:spPr>
          <a:xfrm>
            <a:off x="5343524" y="72980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2" name="Straight Arrow Connector 1311">
            <a:extLst>
              <a:ext uri="{FF2B5EF4-FFF2-40B4-BE49-F238E27FC236}">
                <a16:creationId xmlns:a16="http://schemas.microsoft.com/office/drawing/2014/main" id="{E5DDC432-1E81-22B0-E929-92CD5E1D7EBB}"/>
              </a:ext>
            </a:extLst>
          </xdr:cNvPr>
          <xdr:cNvCxnSpPr/>
        </xdr:nvCxnSpPr>
        <xdr:spPr>
          <a:xfrm>
            <a:off x="5505449" y="72980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3" name="Straight Arrow Connector 1312">
            <a:extLst>
              <a:ext uri="{FF2B5EF4-FFF2-40B4-BE49-F238E27FC236}">
                <a16:creationId xmlns:a16="http://schemas.microsoft.com/office/drawing/2014/main" id="{E57993ED-4A4F-B280-3A17-3638FED0BB9F}"/>
              </a:ext>
            </a:extLst>
          </xdr:cNvPr>
          <xdr:cNvCxnSpPr/>
        </xdr:nvCxnSpPr>
        <xdr:spPr>
          <a:xfrm>
            <a:off x="5667374" y="72980550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4" name="Straight Arrow Connector 1313">
            <a:extLst>
              <a:ext uri="{FF2B5EF4-FFF2-40B4-BE49-F238E27FC236}">
                <a16:creationId xmlns:a16="http://schemas.microsoft.com/office/drawing/2014/main" id="{283B7CAA-CD79-2BAD-5A7A-8CE897CEB4DD}"/>
              </a:ext>
            </a:extLst>
          </xdr:cNvPr>
          <xdr:cNvCxnSpPr/>
        </xdr:nvCxnSpPr>
        <xdr:spPr>
          <a:xfrm>
            <a:off x="6153150" y="729805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5" name="Straight Arrow Connector 1314">
            <a:extLst>
              <a:ext uri="{FF2B5EF4-FFF2-40B4-BE49-F238E27FC236}">
                <a16:creationId xmlns:a16="http://schemas.microsoft.com/office/drawing/2014/main" id="{86FD8BBD-09E6-2F7E-8D45-FB4BC089ACC2}"/>
              </a:ext>
            </a:extLst>
          </xdr:cNvPr>
          <xdr:cNvCxnSpPr/>
        </xdr:nvCxnSpPr>
        <xdr:spPr>
          <a:xfrm>
            <a:off x="6315074" y="729805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6" name="Straight Arrow Connector 1315">
            <a:extLst>
              <a:ext uri="{FF2B5EF4-FFF2-40B4-BE49-F238E27FC236}">
                <a16:creationId xmlns:a16="http://schemas.microsoft.com/office/drawing/2014/main" id="{21C21CAC-BB23-364E-9E9B-6C4351F08D0F}"/>
              </a:ext>
            </a:extLst>
          </xdr:cNvPr>
          <xdr:cNvCxnSpPr/>
        </xdr:nvCxnSpPr>
        <xdr:spPr>
          <a:xfrm>
            <a:off x="6476999" y="729805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7" name="Straight Arrow Connector 1316">
            <a:extLst>
              <a:ext uri="{FF2B5EF4-FFF2-40B4-BE49-F238E27FC236}">
                <a16:creationId xmlns:a16="http://schemas.microsoft.com/office/drawing/2014/main" id="{6702968B-1F72-AE5D-84C1-CAB263790359}"/>
              </a:ext>
            </a:extLst>
          </xdr:cNvPr>
          <xdr:cNvCxnSpPr/>
        </xdr:nvCxnSpPr>
        <xdr:spPr>
          <a:xfrm>
            <a:off x="6638924" y="729805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8" name="Straight Arrow Connector 1317">
            <a:extLst>
              <a:ext uri="{FF2B5EF4-FFF2-40B4-BE49-F238E27FC236}">
                <a16:creationId xmlns:a16="http://schemas.microsoft.com/office/drawing/2014/main" id="{1EE28487-207F-8EB3-2F3B-16C0520FFAF5}"/>
              </a:ext>
            </a:extLst>
          </xdr:cNvPr>
          <xdr:cNvCxnSpPr/>
        </xdr:nvCxnSpPr>
        <xdr:spPr>
          <a:xfrm>
            <a:off x="5991225" y="72980551"/>
            <a:ext cx="0" cy="2095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47625</xdr:colOff>
      <xdr:row>583</xdr:row>
      <xdr:rowOff>0</xdr:rowOff>
    </xdr:from>
    <xdr:to>
      <xdr:col>16</xdr:col>
      <xdr:colOff>85725</xdr:colOff>
      <xdr:row>583</xdr:row>
      <xdr:rowOff>0</xdr:rowOff>
    </xdr:to>
    <xdr:cxnSp macro="">
      <xdr:nvCxnSpPr>
        <xdr:cNvPr id="1321" name="Straight Connector 1320">
          <a:extLst>
            <a:ext uri="{FF2B5EF4-FFF2-40B4-BE49-F238E27FC236}">
              <a16:creationId xmlns:a16="http://schemas.microsoft.com/office/drawing/2014/main" id="{0B4F5FDD-8DDF-3D92-08B6-43FF2E934726}"/>
            </a:ext>
          </a:extLst>
        </xdr:cNvPr>
        <xdr:cNvCxnSpPr/>
      </xdr:nvCxnSpPr>
      <xdr:spPr>
        <a:xfrm>
          <a:off x="1990725" y="132864225"/>
          <a:ext cx="685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161060</xdr:colOff>
      <xdr:row>889</xdr:row>
      <xdr:rowOff>4762</xdr:rowOff>
    </xdr:from>
    <xdr:to>
      <xdr:col>52</xdr:col>
      <xdr:colOff>149368</xdr:colOff>
      <xdr:row>901</xdr:row>
      <xdr:rowOff>90488</xdr:rowOff>
    </xdr:to>
    <xdr:grpSp>
      <xdr:nvGrpSpPr>
        <xdr:cNvPr id="1438" name="Group 1437">
          <a:extLst>
            <a:ext uri="{FF2B5EF4-FFF2-40B4-BE49-F238E27FC236}">
              <a16:creationId xmlns:a16="http://schemas.microsoft.com/office/drawing/2014/main" id="{A19B1977-F4AF-485C-9E95-12C478011115}"/>
            </a:ext>
          </a:extLst>
        </xdr:cNvPr>
        <xdr:cNvGrpSpPr/>
      </xdr:nvGrpSpPr>
      <xdr:grpSpPr>
        <a:xfrm>
          <a:off x="4209185" y="134297737"/>
          <a:ext cx="4360283" cy="1800226"/>
          <a:chOff x="4209185" y="132583237"/>
          <a:chExt cx="4360283" cy="1800226"/>
        </a:xfrm>
      </xdr:grpSpPr>
      <xdr:cxnSp macro="">
        <xdr:nvCxnSpPr>
          <xdr:cNvPr id="1268" name="Straight Arrow Connector 1267">
            <a:extLst>
              <a:ext uri="{FF2B5EF4-FFF2-40B4-BE49-F238E27FC236}">
                <a16:creationId xmlns:a16="http://schemas.microsoft.com/office/drawing/2014/main" id="{02815BE5-598D-A664-6E62-40D8094AF6DE}"/>
              </a:ext>
            </a:extLst>
          </xdr:cNvPr>
          <xdr:cNvCxnSpPr/>
        </xdr:nvCxnSpPr>
        <xdr:spPr>
          <a:xfrm>
            <a:off x="8258181" y="13290232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6402AE79-EC6D-41C4-96D1-61AD52E3D09E}"/>
              </a:ext>
            </a:extLst>
          </xdr:cNvPr>
          <xdr:cNvSpPr/>
        </xdr:nvSpPr>
        <xdr:spPr>
          <a:xfrm>
            <a:off x="4376738" y="133007100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74" name="Straight Connector 1273">
            <a:extLst>
              <a:ext uri="{FF2B5EF4-FFF2-40B4-BE49-F238E27FC236}">
                <a16:creationId xmlns:a16="http://schemas.microsoft.com/office/drawing/2014/main" id="{C62A0791-7E32-EC9F-0CBA-0AACAB196F59}"/>
              </a:ext>
            </a:extLst>
          </xdr:cNvPr>
          <xdr:cNvCxnSpPr/>
        </xdr:nvCxnSpPr>
        <xdr:spPr>
          <a:xfrm>
            <a:off x="4533900" y="13300710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5" name="Straight Connector 1274">
            <a:extLst>
              <a:ext uri="{FF2B5EF4-FFF2-40B4-BE49-F238E27FC236}">
                <a16:creationId xmlns:a16="http://schemas.microsoft.com/office/drawing/2014/main" id="{19AF5831-B497-05AF-1E5C-0038979CB22C}"/>
              </a:ext>
            </a:extLst>
          </xdr:cNvPr>
          <xdr:cNvCxnSpPr/>
        </xdr:nvCxnSpPr>
        <xdr:spPr>
          <a:xfrm>
            <a:off x="4533900" y="133149975"/>
            <a:ext cx="371951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6" name="Straight Arrow Connector 1275">
            <a:extLst>
              <a:ext uri="{FF2B5EF4-FFF2-40B4-BE49-F238E27FC236}">
                <a16:creationId xmlns:a16="http://schemas.microsoft.com/office/drawing/2014/main" id="{3A9F6237-E926-4C01-9992-1898556175E9}"/>
              </a:ext>
            </a:extLst>
          </xdr:cNvPr>
          <xdr:cNvCxnSpPr/>
        </xdr:nvCxnSpPr>
        <xdr:spPr>
          <a:xfrm>
            <a:off x="5991231" y="13290708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8" name="Straight Arrow Connector 1277">
            <a:extLst>
              <a:ext uri="{FF2B5EF4-FFF2-40B4-BE49-F238E27FC236}">
                <a16:creationId xmlns:a16="http://schemas.microsoft.com/office/drawing/2014/main" id="{9CEBCD44-0888-D77F-5105-0C7690F12A81}"/>
              </a:ext>
            </a:extLst>
          </xdr:cNvPr>
          <xdr:cNvCxnSpPr/>
        </xdr:nvCxnSpPr>
        <xdr:spPr>
          <a:xfrm>
            <a:off x="6153156" y="13290708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0" name="Straight Arrow Connector 1279">
            <a:extLst>
              <a:ext uri="{FF2B5EF4-FFF2-40B4-BE49-F238E27FC236}">
                <a16:creationId xmlns:a16="http://schemas.microsoft.com/office/drawing/2014/main" id="{E3D6B643-B2D4-70B2-504D-34D4E7E2F05C}"/>
              </a:ext>
            </a:extLst>
          </xdr:cNvPr>
          <xdr:cNvCxnSpPr/>
        </xdr:nvCxnSpPr>
        <xdr:spPr>
          <a:xfrm>
            <a:off x="6315081" y="13290232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4" name="Straight Connector 1283">
            <a:extLst>
              <a:ext uri="{FF2B5EF4-FFF2-40B4-BE49-F238E27FC236}">
                <a16:creationId xmlns:a16="http://schemas.microsoft.com/office/drawing/2014/main" id="{93C0E640-412E-CF62-BAB5-121819CF3C35}"/>
              </a:ext>
            </a:extLst>
          </xdr:cNvPr>
          <xdr:cNvCxnSpPr/>
        </xdr:nvCxnSpPr>
        <xdr:spPr>
          <a:xfrm>
            <a:off x="5829307" y="132902325"/>
            <a:ext cx="24384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5" name="Straight Arrow Connector 1284">
            <a:extLst>
              <a:ext uri="{FF2B5EF4-FFF2-40B4-BE49-F238E27FC236}">
                <a16:creationId xmlns:a16="http://schemas.microsoft.com/office/drawing/2014/main" id="{3F0D895F-85A6-5490-7854-553AF393E553}"/>
              </a:ext>
            </a:extLst>
          </xdr:cNvPr>
          <xdr:cNvCxnSpPr/>
        </xdr:nvCxnSpPr>
        <xdr:spPr>
          <a:xfrm>
            <a:off x="6477006" y="13290708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8" name="Straight Arrow Connector 1287">
            <a:extLst>
              <a:ext uri="{FF2B5EF4-FFF2-40B4-BE49-F238E27FC236}">
                <a16:creationId xmlns:a16="http://schemas.microsoft.com/office/drawing/2014/main" id="{FB14E65F-AA6D-DE25-E67F-DDB90473A03E}"/>
              </a:ext>
            </a:extLst>
          </xdr:cNvPr>
          <xdr:cNvCxnSpPr/>
        </xdr:nvCxnSpPr>
        <xdr:spPr>
          <a:xfrm>
            <a:off x="6638931" y="13290708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0" name="Straight Arrow Connector 1319">
            <a:extLst>
              <a:ext uri="{FF2B5EF4-FFF2-40B4-BE49-F238E27FC236}">
                <a16:creationId xmlns:a16="http://schemas.microsoft.com/office/drawing/2014/main" id="{4B96F3D6-F276-63C6-BB75-951A610BE7B1}"/>
              </a:ext>
            </a:extLst>
          </xdr:cNvPr>
          <xdr:cNvCxnSpPr/>
        </xdr:nvCxnSpPr>
        <xdr:spPr>
          <a:xfrm>
            <a:off x="6800856" y="13290232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2" name="Straight Arrow Connector 1321">
            <a:extLst>
              <a:ext uri="{FF2B5EF4-FFF2-40B4-BE49-F238E27FC236}">
                <a16:creationId xmlns:a16="http://schemas.microsoft.com/office/drawing/2014/main" id="{0687D734-AEA0-934C-87F1-3C3D0918244F}"/>
              </a:ext>
            </a:extLst>
          </xdr:cNvPr>
          <xdr:cNvCxnSpPr/>
        </xdr:nvCxnSpPr>
        <xdr:spPr>
          <a:xfrm>
            <a:off x="6962781" y="13290708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3" name="Straight Arrow Connector 1322">
            <a:extLst>
              <a:ext uri="{FF2B5EF4-FFF2-40B4-BE49-F238E27FC236}">
                <a16:creationId xmlns:a16="http://schemas.microsoft.com/office/drawing/2014/main" id="{37A73E39-A702-D914-8154-DD439ED2FE60}"/>
              </a:ext>
            </a:extLst>
          </xdr:cNvPr>
          <xdr:cNvCxnSpPr/>
        </xdr:nvCxnSpPr>
        <xdr:spPr>
          <a:xfrm>
            <a:off x="7124706" y="13290708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4" name="Straight Arrow Connector 1323">
            <a:extLst>
              <a:ext uri="{FF2B5EF4-FFF2-40B4-BE49-F238E27FC236}">
                <a16:creationId xmlns:a16="http://schemas.microsoft.com/office/drawing/2014/main" id="{18CC01A6-451D-71F6-32AE-76300DAC7465}"/>
              </a:ext>
            </a:extLst>
          </xdr:cNvPr>
          <xdr:cNvCxnSpPr/>
        </xdr:nvCxnSpPr>
        <xdr:spPr>
          <a:xfrm>
            <a:off x="7286631" y="13290708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5" name="Straight Arrow Connector 1324">
            <a:extLst>
              <a:ext uri="{FF2B5EF4-FFF2-40B4-BE49-F238E27FC236}">
                <a16:creationId xmlns:a16="http://schemas.microsoft.com/office/drawing/2014/main" id="{BB7E0D91-07E5-A7FC-9DA8-EB9910704321}"/>
              </a:ext>
            </a:extLst>
          </xdr:cNvPr>
          <xdr:cNvCxnSpPr/>
        </xdr:nvCxnSpPr>
        <xdr:spPr>
          <a:xfrm>
            <a:off x="7448556" y="13290232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6" name="Straight Arrow Connector 1325">
            <a:extLst>
              <a:ext uri="{FF2B5EF4-FFF2-40B4-BE49-F238E27FC236}">
                <a16:creationId xmlns:a16="http://schemas.microsoft.com/office/drawing/2014/main" id="{7493A809-FC55-B000-3879-2281BCC5F1AA}"/>
              </a:ext>
            </a:extLst>
          </xdr:cNvPr>
          <xdr:cNvCxnSpPr/>
        </xdr:nvCxnSpPr>
        <xdr:spPr>
          <a:xfrm>
            <a:off x="7610481" y="13290708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7" name="Straight Arrow Connector 1326">
            <a:extLst>
              <a:ext uri="{FF2B5EF4-FFF2-40B4-BE49-F238E27FC236}">
                <a16:creationId xmlns:a16="http://schemas.microsoft.com/office/drawing/2014/main" id="{0CEA8420-5BB2-807C-19FE-E9D502BAA1E3}"/>
              </a:ext>
            </a:extLst>
          </xdr:cNvPr>
          <xdr:cNvCxnSpPr/>
        </xdr:nvCxnSpPr>
        <xdr:spPr>
          <a:xfrm>
            <a:off x="7772406" y="13290708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8" name="Straight Arrow Connector 1327">
            <a:extLst>
              <a:ext uri="{FF2B5EF4-FFF2-40B4-BE49-F238E27FC236}">
                <a16:creationId xmlns:a16="http://schemas.microsoft.com/office/drawing/2014/main" id="{FCE07960-E3B4-13EA-69D7-EB7C788D027C}"/>
              </a:ext>
            </a:extLst>
          </xdr:cNvPr>
          <xdr:cNvCxnSpPr/>
        </xdr:nvCxnSpPr>
        <xdr:spPr>
          <a:xfrm>
            <a:off x="7934331" y="13290232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9" name="Straight Arrow Connector 1328">
            <a:extLst>
              <a:ext uri="{FF2B5EF4-FFF2-40B4-BE49-F238E27FC236}">
                <a16:creationId xmlns:a16="http://schemas.microsoft.com/office/drawing/2014/main" id="{143C7822-E34B-AC36-DB25-9CE910479C6A}"/>
              </a:ext>
            </a:extLst>
          </xdr:cNvPr>
          <xdr:cNvCxnSpPr/>
        </xdr:nvCxnSpPr>
        <xdr:spPr>
          <a:xfrm>
            <a:off x="8096256" y="13290708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0" name="Straight Connector 1329">
            <a:extLst>
              <a:ext uri="{FF2B5EF4-FFF2-40B4-BE49-F238E27FC236}">
                <a16:creationId xmlns:a16="http://schemas.microsoft.com/office/drawing/2014/main" id="{A7051973-95F5-CC7B-B62F-82E1748B7904}"/>
              </a:ext>
            </a:extLst>
          </xdr:cNvPr>
          <xdr:cNvCxnSpPr/>
        </xdr:nvCxnSpPr>
        <xdr:spPr>
          <a:xfrm>
            <a:off x="7196144" y="132854703"/>
            <a:ext cx="85725" cy="12382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31" name="Arc 1330">
            <a:extLst>
              <a:ext uri="{FF2B5EF4-FFF2-40B4-BE49-F238E27FC236}">
                <a16:creationId xmlns:a16="http://schemas.microsoft.com/office/drawing/2014/main" id="{181CBA9F-DEF8-DA76-FEC1-E700EAD4D79B}"/>
              </a:ext>
            </a:extLst>
          </xdr:cNvPr>
          <xdr:cNvSpPr/>
        </xdr:nvSpPr>
        <xdr:spPr>
          <a:xfrm rot="13409232">
            <a:off x="4209185" y="132877648"/>
            <a:ext cx="554180" cy="554180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332" name="Straight Connector 1331">
            <a:extLst>
              <a:ext uri="{FF2B5EF4-FFF2-40B4-BE49-F238E27FC236}">
                <a16:creationId xmlns:a16="http://schemas.microsoft.com/office/drawing/2014/main" id="{48FB4533-76AE-6EF5-63A3-B5EBF9BF5AC5}"/>
              </a:ext>
            </a:extLst>
          </xdr:cNvPr>
          <xdr:cNvCxnSpPr/>
        </xdr:nvCxnSpPr>
        <xdr:spPr>
          <a:xfrm>
            <a:off x="4533901" y="133330947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3" name="Straight Arrow Connector 1332">
            <a:extLst>
              <a:ext uri="{FF2B5EF4-FFF2-40B4-BE49-F238E27FC236}">
                <a16:creationId xmlns:a16="http://schemas.microsoft.com/office/drawing/2014/main" id="{8938A77D-7956-2C94-7EDF-2D1A82DB3F33}"/>
              </a:ext>
            </a:extLst>
          </xdr:cNvPr>
          <xdr:cNvCxnSpPr/>
        </xdr:nvCxnSpPr>
        <xdr:spPr>
          <a:xfrm>
            <a:off x="4538662" y="133516687"/>
            <a:ext cx="433388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4" name="Straight Connector 1333">
            <a:extLst>
              <a:ext uri="{FF2B5EF4-FFF2-40B4-BE49-F238E27FC236}">
                <a16:creationId xmlns:a16="http://schemas.microsoft.com/office/drawing/2014/main" id="{3797CCB0-332F-4FCD-CCEF-CD3DA2EEE981}"/>
              </a:ext>
            </a:extLst>
          </xdr:cNvPr>
          <xdr:cNvCxnSpPr/>
        </xdr:nvCxnSpPr>
        <xdr:spPr>
          <a:xfrm>
            <a:off x="4533900" y="133869113"/>
            <a:ext cx="0" cy="5095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5" name="Straight Connector 1334">
            <a:extLst>
              <a:ext uri="{FF2B5EF4-FFF2-40B4-BE49-F238E27FC236}">
                <a16:creationId xmlns:a16="http://schemas.microsoft.com/office/drawing/2014/main" id="{6FEE3927-E686-3CD4-855F-83B8AF63D380}"/>
              </a:ext>
            </a:extLst>
          </xdr:cNvPr>
          <xdr:cNvCxnSpPr/>
        </xdr:nvCxnSpPr>
        <xdr:spPr>
          <a:xfrm>
            <a:off x="4457698" y="134007225"/>
            <a:ext cx="38623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6" name="Straight Connector 1335">
            <a:extLst>
              <a:ext uri="{FF2B5EF4-FFF2-40B4-BE49-F238E27FC236}">
                <a16:creationId xmlns:a16="http://schemas.microsoft.com/office/drawing/2014/main" id="{EEF88EF8-30A5-1A5B-1CCE-E3DA1DC92FB0}"/>
              </a:ext>
            </a:extLst>
          </xdr:cNvPr>
          <xdr:cNvCxnSpPr/>
        </xdr:nvCxnSpPr>
        <xdr:spPr>
          <a:xfrm flipH="1">
            <a:off x="4495799" y="13397388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7" name="Straight Connector 1336">
            <a:extLst>
              <a:ext uri="{FF2B5EF4-FFF2-40B4-BE49-F238E27FC236}">
                <a16:creationId xmlns:a16="http://schemas.microsoft.com/office/drawing/2014/main" id="{E043E5BB-ED2E-A003-70A8-C940708F5E9F}"/>
              </a:ext>
            </a:extLst>
          </xdr:cNvPr>
          <xdr:cNvCxnSpPr/>
        </xdr:nvCxnSpPr>
        <xdr:spPr>
          <a:xfrm>
            <a:off x="8258175" y="133869113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8" name="Straight Connector 1337">
            <a:extLst>
              <a:ext uri="{FF2B5EF4-FFF2-40B4-BE49-F238E27FC236}">
                <a16:creationId xmlns:a16="http://schemas.microsoft.com/office/drawing/2014/main" id="{421A5579-D468-981D-E867-7B646BBD7355}"/>
              </a:ext>
            </a:extLst>
          </xdr:cNvPr>
          <xdr:cNvCxnSpPr/>
        </xdr:nvCxnSpPr>
        <xdr:spPr>
          <a:xfrm flipH="1">
            <a:off x="8220074" y="13397388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9" name="Straight Connector 1338">
            <a:extLst>
              <a:ext uri="{FF2B5EF4-FFF2-40B4-BE49-F238E27FC236}">
                <a16:creationId xmlns:a16="http://schemas.microsoft.com/office/drawing/2014/main" id="{6E0066D8-5638-DE35-CDF7-C0254D9FF841}"/>
              </a:ext>
            </a:extLst>
          </xdr:cNvPr>
          <xdr:cNvCxnSpPr/>
        </xdr:nvCxnSpPr>
        <xdr:spPr>
          <a:xfrm>
            <a:off x="8262938" y="133316660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77BCCF2E-8B40-407D-8DB0-9058122CF557}"/>
              </a:ext>
            </a:extLst>
          </xdr:cNvPr>
          <xdr:cNvSpPr/>
        </xdr:nvSpPr>
        <xdr:spPr>
          <a:xfrm>
            <a:off x="8267700" y="133007102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44" name="Straight Connector 1343">
            <a:extLst>
              <a:ext uri="{FF2B5EF4-FFF2-40B4-BE49-F238E27FC236}">
                <a16:creationId xmlns:a16="http://schemas.microsoft.com/office/drawing/2014/main" id="{FBAF1F4A-912D-4F2C-B8E1-7804995ABEF3}"/>
              </a:ext>
            </a:extLst>
          </xdr:cNvPr>
          <xdr:cNvCxnSpPr/>
        </xdr:nvCxnSpPr>
        <xdr:spPr>
          <a:xfrm>
            <a:off x="8253412" y="132997576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6" name="Straight Connector 1345">
            <a:extLst>
              <a:ext uri="{FF2B5EF4-FFF2-40B4-BE49-F238E27FC236}">
                <a16:creationId xmlns:a16="http://schemas.microsoft.com/office/drawing/2014/main" id="{10E93202-F2EA-4914-9143-9644F94780BD}"/>
              </a:ext>
            </a:extLst>
          </xdr:cNvPr>
          <xdr:cNvCxnSpPr/>
        </xdr:nvCxnSpPr>
        <xdr:spPr>
          <a:xfrm>
            <a:off x="5829300" y="133445250"/>
            <a:ext cx="0" cy="628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7" name="Straight Connector 1346">
            <a:extLst>
              <a:ext uri="{FF2B5EF4-FFF2-40B4-BE49-F238E27FC236}">
                <a16:creationId xmlns:a16="http://schemas.microsoft.com/office/drawing/2014/main" id="{31CECCBF-6FCC-461B-B015-7256FD86D089}"/>
              </a:ext>
            </a:extLst>
          </xdr:cNvPr>
          <xdr:cNvCxnSpPr/>
        </xdr:nvCxnSpPr>
        <xdr:spPr>
          <a:xfrm flipH="1">
            <a:off x="5791199" y="13397388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9" name="Straight Arrow Connector 1348">
            <a:extLst>
              <a:ext uri="{FF2B5EF4-FFF2-40B4-BE49-F238E27FC236}">
                <a16:creationId xmlns:a16="http://schemas.microsoft.com/office/drawing/2014/main" id="{2E95B010-0A2B-4CD4-B098-2BE8559E2945}"/>
              </a:ext>
            </a:extLst>
          </xdr:cNvPr>
          <xdr:cNvCxnSpPr/>
        </xdr:nvCxnSpPr>
        <xdr:spPr>
          <a:xfrm>
            <a:off x="5834063" y="132583237"/>
            <a:ext cx="0" cy="56197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50" name="Arc 1349">
            <a:extLst>
              <a:ext uri="{FF2B5EF4-FFF2-40B4-BE49-F238E27FC236}">
                <a16:creationId xmlns:a16="http://schemas.microsoft.com/office/drawing/2014/main" id="{41D14E73-E034-4366-8536-87F510CE6F4C}"/>
              </a:ext>
            </a:extLst>
          </xdr:cNvPr>
          <xdr:cNvSpPr/>
        </xdr:nvSpPr>
        <xdr:spPr>
          <a:xfrm rot="2739182">
            <a:off x="8015288" y="132873750"/>
            <a:ext cx="554180" cy="554180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353" name="Straight Connector 1352">
            <a:extLst>
              <a:ext uri="{FF2B5EF4-FFF2-40B4-BE49-F238E27FC236}">
                <a16:creationId xmlns:a16="http://schemas.microsoft.com/office/drawing/2014/main" id="{194CD3A5-6288-42D5-8BEB-82E2E469F934}"/>
              </a:ext>
            </a:extLst>
          </xdr:cNvPr>
          <xdr:cNvCxnSpPr/>
        </xdr:nvCxnSpPr>
        <xdr:spPr>
          <a:xfrm>
            <a:off x="4457699" y="134292975"/>
            <a:ext cx="38623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4" name="Straight Connector 1353">
            <a:extLst>
              <a:ext uri="{FF2B5EF4-FFF2-40B4-BE49-F238E27FC236}">
                <a16:creationId xmlns:a16="http://schemas.microsoft.com/office/drawing/2014/main" id="{8C05244B-0C90-483D-8204-5AEE8EA3AC6C}"/>
              </a:ext>
            </a:extLst>
          </xdr:cNvPr>
          <xdr:cNvCxnSpPr/>
        </xdr:nvCxnSpPr>
        <xdr:spPr>
          <a:xfrm flipH="1">
            <a:off x="4495800" y="1342596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5" name="Straight Connector 1354">
            <a:extLst>
              <a:ext uri="{FF2B5EF4-FFF2-40B4-BE49-F238E27FC236}">
                <a16:creationId xmlns:a16="http://schemas.microsoft.com/office/drawing/2014/main" id="{1882145E-1A79-4217-92E9-05F6C873550B}"/>
              </a:ext>
            </a:extLst>
          </xdr:cNvPr>
          <xdr:cNvCxnSpPr/>
        </xdr:nvCxnSpPr>
        <xdr:spPr>
          <a:xfrm flipH="1">
            <a:off x="8220075" y="1342596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80963</xdr:colOff>
      <xdr:row>925</xdr:row>
      <xdr:rowOff>66675</xdr:rowOff>
    </xdr:from>
    <xdr:to>
      <xdr:col>7</xdr:col>
      <xdr:colOff>133350</xdr:colOff>
      <xdr:row>925</xdr:row>
      <xdr:rowOff>66675</xdr:rowOff>
    </xdr:to>
    <xdr:cxnSp macro="">
      <xdr:nvCxnSpPr>
        <xdr:cNvPr id="1357" name="Straight Arrow Connector 1356">
          <a:extLst>
            <a:ext uri="{FF2B5EF4-FFF2-40B4-BE49-F238E27FC236}">
              <a16:creationId xmlns:a16="http://schemas.microsoft.com/office/drawing/2014/main" id="{B85DB934-8A4B-418D-A192-5DCCFA7F100C}"/>
            </a:ext>
          </a:extLst>
        </xdr:cNvPr>
        <xdr:cNvCxnSpPr/>
      </xdr:nvCxnSpPr>
      <xdr:spPr>
        <a:xfrm>
          <a:off x="1052513" y="1223010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927</xdr:row>
      <xdr:rowOff>66675</xdr:rowOff>
    </xdr:from>
    <xdr:to>
      <xdr:col>7</xdr:col>
      <xdr:colOff>133350</xdr:colOff>
      <xdr:row>927</xdr:row>
      <xdr:rowOff>66675</xdr:rowOff>
    </xdr:to>
    <xdr:cxnSp macro="">
      <xdr:nvCxnSpPr>
        <xdr:cNvPr id="1358" name="Straight Arrow Connector 1357">
          <a:extLst>
            <a:ext uri="{FF2B5EF4-FFF2-40B4-BE49-F238E27FC236}">
              <a16:creationId xmlns:a16="http://schemas.microsoft.com/office/drawing/2014/main" id="{2653C13C-C90B-4824-8328-7AFC327EDBF5}"/>
            </a:ext>
          </a:extLst>
        </xdr:cNvPr>
        <xdr:cNvCxnSpPr/>
      </xdr:nvCxnSpPr>
      <xdr:spPr>
        <a:xfrm>
          <a:off x="1052513" y="1224438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929</xdr:row>
      <xdr:rowOff>66675</xdr:rowOff>
    </xdr:from>
    <xdr:to>
      <xdr:col>7</xdr:col>
      <xdr:colOff>133350</xdr:colOff>
      <xdr:row>929</xdr:row>
      <xdr:rowOff>66675</xdr:rowOff>
    </xdr:to>
    <xdr:cxnSp macro="">
      <xdr:nvCxnSpPr>
        <xdr:cNvPr id="1359" name="Straight Arrow Connector 1358">
          <a:extLst>
            <a:ext uri="{FF2B5EF4-FFF2-40B4-BE49-F238E27FC236}">
              <a16:creationId xmlns:a16="http://schemas.microsoft.com/office/drawing/2014/main" id="{14A87CEB-4A67-4FF4-8F25-ACA4BF1E4341}"/>
            </a:ext>
          </a:extLst>
        </xdr:cNvPr>
        <xdr:cNvCxnSpPr/>
      </xdr:nvCxnSpPr>
      <xdr:spPr>
        <a:xfrm>
          <a:off x="2671763" y="1350264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926</xdr:row>
      <xdr:rowOff>66675</xdr:rowOff>
    </xdr:from>
    <xdr:to>
      <xdr:col>7</xdr:col>
      <xdr:colOff>133350</xdr:colOff>
      <xdr:row>926</xdr:row>
      <xdr:rowOff>66675</xdr:rowOff>
    </xdr:to>
    <xdr:cxnSp macro="">
      <xdr:nvCxnSpPr>
        <xdr:cNvPr id="1360" name="Straight Arrow Connector 1359">
          <a:extLst>
            <a:ext uri="{FF2B5EF4-FFF2-40B4-BE49-F238E27FC236}">
              <a16:creationId xmlns:a16="http://schemas.microsoft.com/office/drawing/2014/main" id="{028DBE51-32A8-42F1-ADE6-1BE906C23881}"/>
            </a:ext>
          </a:extLst>
        </xdr:cNvPr>
        <xdr:cNvCxnSpPr/>
      </xdr:nvCxnSpPr>
      <xdr:spPr>
        <a:xfrm>
          <a:off x="2671763" y="1348835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887</xdr:row>
      <xdr:rowOff>66674</xdr:rowOff>
    </xdr:from>
    <xdr:to>
      <xdr:col>15</xdr:col>
      <xdr:colOff>57150</xdr:colOff>
      <xdr:row>901</xdr:row>
      <xdr:rowOff>76200</xdr:rowOff>
    </xdr:to>
    <xdr:grpSp>
      <xdr:nvGrpSpPr>
        <xdr:cNvPr id="1361" name="Group 1360">
          <a:extLst>
            <a:ext uri="{FF2B5EF4-FFF2-40B4-BE49-F238E27FC236}">
              <a16:creationId xmlns:a16="http://schemas.microsoft.com/office/drawing/2014/main" id="{6F54C8CD-827A-4E00-858F-0502A4D449A8}"/>
            </a:ext>
          </a:extLst>
        </xdr:cNvPr>
        <xdr:cNvGrpSpPr/>
      </xdr:nvGrpSpPr>
      <xdr:grpSpPr>
        <a:xfrm>
          <a:off x="419100" y="134073899"/>
          <a:ext cx="2066925" cy="2009776"/>
          <a:chOff x="1066800" y="495299"/>
          <a:chExt cx="2066925" cy="2009776"/>
        </a:xfrm>
      </xdr:grpSpPr>
      <xdr:grpSp>
        <xdr:nvGrpSpPr>
          <xdr:cNvPr id="1362" name="Group 1361">
            <a:extLst>
              <a:ext uri="{FF2B5EF4-FFF2-40B4-BE49-F238E27FC236}">
                <a16:creationId xmlns:a16="http://schemas.microsoft.com/office/drawing/2014/main" id="{9B0BAA34-D492-C8A0-D0C4-A9CC7C852B53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1380" name="Straight Connector 1379">
              <a:extLst>
                <a:ext uri="{FF2B5EF4-FFF2-40B4-BE49-F238E27FC236}">
                  <a16:creationId xmlns:a16="http://schemas.microsoft.com/office/drawing/2014/main" id="{2945E17B-81C4-1EEE-28EA-89997A5954C5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81" name="Straight Connector 1380">
              <a:extLst>
                <a:ext uri="{FF2B5EF4-FFF2-40B4-BE49-F238E27FC236}">
                  <a16:creationId xmlns:a16="http://schemas.microsoft.com/office/drawing/2014/main" id="{E9F719E9-2F2E-1D5B-5726-0EBB37CD6C6B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82" name="Straight Connector 1381">
              <a:extLst>
                <a:ext uri="{FF2B5EF4-FFF2-40B4-BE49-F238E27FC236}">
                  <a16:creationId xmlns:a16="http://schemas.microsoft.com/office/drawing/2014/main" id="{D55B1855-3B5B-B790-B9CB-741EDBEF7B64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83" name="Arc 1382">
              <a:extLst>
                <a:ext uri="{FF2B5EF4-FFF2-40B4-BE49-F238E27FC236}">
                  <a16:creationId xmlns:a16="http://schemas.microsoft.com/office/drawing/2014/main" id="{4E96FF8E-FCB4-E76F-E952-0EF02BF7650F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84" name="Straight Connector 1383">
              <a:extLst>
                <a:ext uri="{FF2B5EF4-FFF2-40B4-BE49-F238E27FC236}">
                  <a16:creationId xmlns:a16="http://schemas.microsoft.com/office/drawing/2014/main" id="{8E6D2636-8F4C-32A3-CB1C-2BC0E4CE49ED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85" name="Straight Connector 1384">
              <a:extLst>
                <a:ext uri="{FF2B5EF4-FFF2-40B4-BE49-F238E27FC236}">
                  <a16:creationId xmlns:a16="http://schemas.microsoft.com/office/drawing/2014/main" id="{51A18C2C-6D99-3B76-6C5D-ECBE3DBDE82B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86" name="Straight Connector 1385">
              <a:extLst>
                <a:ext uri="{FF2B5EF4-FFF2-40B4-BE49-F238E27FC236}">
                  <a16:creationId xmlns:a16="http://schemas.microsoft.com/office/drawing/2014/main" id="{7BA66414-8E39-E4A5-ADB7-2B8C42CB3607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87" name="Straight Connector 1386">
              <a:extLst>
                <a:ext uri="{FF2B5EF4-FFF2-40B4-BE49-F238E27FC236}">
                  <a16:creationId xmlns:a16="http://schemas.microsoft.com/office/drawing/2014/main" id="{F40353A5-4F54-E518-4D3C-9FF7D9B9B342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88" name="Arc 1387">
              <a:extLst>
                <a:ext uri="{FF2B5EF4-FFF2-40B4-BE49-F238E27FC236}">
                  <a16:creationId xmlns:a16="http://schemas.microsoft.com/office/drawing/2014/main" id="{C89A8CEE-4D1E-6A1E-7CC2-A4DD161E2DF0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89" name="Straight Connector 1388">
              <a:extLst>
                <a:ext uri="{FF2B5EF4-FFF2-40B4-BE49-F238E27FC236}">
                  <a16:creationId xmlns:a16="http://schemas.microsoft.com/office/drawing/2014/main" id="{5470845F-4DCE-86A8-61EC-D74E429601E4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90" name="Straight Connector 1389">
              <a:extLst>
                <a:ext uri="{FF2B5EF4-FFF2-40B4-BE49-F238E27FC236}">
                  <a16:creationId xmlns:a16="http://schemas.microsoft.com/office/drawing/2014/main" id="{63E61EB2-3099-3C90-476D-D2B5E0E7C513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91" name="Straight Connector 1390">
              <a:extLst>
                <a:ext uri="{FF2B5EF4-FFF2-40B4-BE49-F238E27FC236}">
                  <a16:creationId xmlns:a16="http://schemas.microsoft.com/office/drawing/2014/main" id="{339E2141-7AE3-5E76-60BB-80690EAEB39F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92" name="Straight Connector 1391">
              <a:extLst>
                <a:ext uri="{FF2B5EF4-FFF2-40B4-BE49-F238E27FC236}">
                  <a16:creationId xmlns:a16="http://schemas.microsoft.com/office/drawing/2014/main" id="{F9D67C24-9FA3-D8F0-CC8A-BAA3F1113FC7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93" name="Straight Connector 1392">
              <a:extLst>
                <a:ext uri="{FF2B5EF4-FFF2-40B4-BE49-F238E27FC236}">
                  <a16:creationId xmlns:a16="http://schemas.microsoft.com/office/drawing/2014/main" id="{13AA5374-7FA9-0169-8AA2-4E827ACE4901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94" name="Arc 1393">
              <a:extLst>
                <a:ext uri="{FF2B5EF4-FFF2-40B4-BE49-F238E27FC236}">
                  <a16:creationId xmlns:a16="http://schemas.microsoft.com/office/drawing/2014/main" id="{BDB9D4D5-8259-2BD5-1558-E0A63465C62F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95" name="Arc 1394">
              <a:extLst>
                <a:ext uri="{FF2B5EF4-FFF2-40B4-BE49-F238E27FC236}">
                  <a16:creationId xmlns:a16="http://schemas.microsoft.com/office/drawing/2014/main" id="{DC0E0969-B9AB-6D54-5125-85EC0524A294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1363" name="Straight Connector 1362">
            <a:extLst>
              <a:ext uri="{FF2B5EF4-FFF2-40B4-BE49-F238E27FC236}">
                <a16:creationId xmlns:a16="http://schemas.microsoft.com/office/drawing/2014/main" id="{62F23B1F-DDE0-DEA8-8C44-D1989FD0114E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4" name="Straight Connector 1363">
            <a:extLst>
              <a:ext uri="{FF2B5EF4-FFF2-40B4-BE49-F238E27FC236}">
                <a16:creationId xmlns:a16="http://schemas.microsoft.com/office/drawing/2014/main" id="{7CE34343-5AE5-D0C4-0AB7-888CFB6A72DE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5" name="Straight Connector 1364">
            <a:extLst>
              <a:ext uri="{FF2B5EF4-FFF2-40B4-BE49-F238E27FC236}">
                <a16:creationId xmlns:a16="http://schemas.microsoft.com/office/drawing/2014/main" id="{C4134A30-1583-0892-585A-BB598DCE5A24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6" name="Straight Connector 1365">
            <a:extLst>
              <a:ext uri="{FF2B5EF4-FFF2-40B4-BE49-F238E27FC236}">
                <a16:creationId xmlns:a16="http://schemas.microsoft.com/office/drawing/2014/main" id="{44CA0461-C290-6BB1-3D1F-BC113E98AA4D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7" name="Straight Connector 1366">
            <a:extLst>
              <a:ext uri="{FF2B5EF4-FFF2-40B4-BE49-F238E27FC236}">
                <a16:creationId xmlns:a16="http://schemas.microsoft.com/office/drawing/2014/main" id="{E2AE7324-A5D4-78D5-EB21-F0F77DDC39B3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8" name="Straight Connector 1367">
            <a:extLst>
              <a:ext uri="{FF2B5EF4-FFF2-40B4-BE49-F238E27FC236}">
                <a16:creationId xmlns:a16="http://schemas.microsoft.com/office/drawing/2014/main" id="{19C050A5-9C78-2438-1F1E-E3A9ED48E4C9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9" name="Straight Connector 1368">
            <a:extLst>
              <a:ext uri="{FF2B5EF4-FFF2-40B4-BE49-F238E27FC236}">
                <a16:creationId xmlns:a16="http://schemas.microsoft.com/office/drawing/2014/main" id="{D31B9B6E-9025-C9A9-1B7C-37725011F4E8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0" name="Straight Connector 1369">
            <a:extLst>
              <a:ext uri="{FF2B5EF4-FFF2-40B4-BE49-F238E27FC236}">
                <a16:creationId xmlns:a16="http://schemas.microsoft.com/office/drawing/2014/main" id="{B64064E1-AEB5-6000-EFB2-97C068C767C6}"/>
              </a:ext>
            </a:extLst>
          </xdr:cNvPr>
          <xdr:cNvCxnSpPr/>
        </xdr:nvCxnSpPr>
        <xdr:spPr>
          <a:xfrm>
            <a:off x="1395413" y="2428875"/>
            <a:ext cx="14239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1" name="Straight Connector 1370">
            <a:extLst>
              <a:ext uri="{FF2B5EF4-FFF2-40B4-BE49-F238E27FC236}">
                <a16:creationId xmlns:a16="http://schemas.microsoft.com/office/drawing/2014/main" id="{D4B9243A-41BC-C4A3-CEE1-648F43CE0F6A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2" name="Straight Connector 1371">
            <a:extLst>
              <a:ext uri="{FF2B5EF4-FFF2-40B4-BE49-F238E27FC236}">
                <a16:creationId xmlns:a16="http://schemas.microsoft.com/office/drawing/2014/main" id="{A954F718-865D-1A04-17DC-09EEE56CEA9B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3" name="Straight Connector 1372">
            <a:extLst>
              <a:ext uri="{FF2B5EF4-FFF2-40B4-BE49-F238E27FC236}">
                <a16:creationId xmlns:a16="http://schemas.microsoft.com/office/drawing/2014/main" id="{C0D2FAB5-9B41-51A9-F6EF-99B936812342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4" name="Straight Connector 1373">
            <a:extLst>
              <a:ext uri="{FF2B5EF4-FFF2-40B4-BE49-F238E27FC236}">
                <a16:creationId xmlns:a16="http://schemas.microsoft.com/office/drawing/2014/main" id="{3F53F94B-FA31-C213-EEE3-4669DA5A3434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5" name="Straight Connector 1374">
            <a:extLst>
              <a:ext uri="{FF2B5EF4-FFF2-40B4-BE49-F238E27FC236}">
                <a16:creationId xmlns:a16="http://schemas.microsoft.com/office/drawing/2014/main" id="{38E5458B-F57A-05B8-DE9A-8001A43F5527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6" name="Straight Connector 1375">
            <a:extLst>
              <a:ext uri="{FF2B5EF4-FFF2-40B4-BE49-F238E27FC236}">
                <a16:creationId xmlns:a16="http://schemas.microsoft.com/office/drawing/2014/main" id="{474EEE1C-9EAF-BA8D-66E4-C34F84BB650C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7" name="Straight Connector 1376">
            <a:extLst>
              <a:ext uri="{FF2B5EF4-FFF2-40B4-BE49-F238E27FC236}">
                <a16:creationId xmlns:a16="http://schemas.microsoft.com/office/drawing/2014/main" id="{EEA87ECF-79A1-CE45-885C-A93DD292158F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8" name="Straight Connector 1377">
            <a:extLst>
              <a:ext uri="{FF2B5EF4-FFF2-40B4-BE49-F238E27FC236}">
                <a16:creationId xmlns:a16="http://schemas.microsoft.com/office/drawing/2014/main" id="{B710B65A-0A22-DB9A-B347-D81279317055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9" name="Straight Connector 1378">
            <a:extLst>
              <a:ext uri="{FF2B5EF4-FFF2-40B4-BE49-F238E27FC236}">
                <a16:creationId xmlns:a16="http://schemas.microsoft.com/office/drawing/2014/main" id="{72DB2B2D-FEF7-5AB0-F3D0-772D903FBF63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95250</xdr:colOff>
      <xdr:row>950</xdr:row>
      <xdr:rowOff>66674</xdr:rowOff>
    </xdr:from>
    <xdr:to>
      <xdr:col>15</xdr:col>
      <xdr:colOff>57150</xdr:colOff>
      <xdr:row>964</xdr:row>
      <xdr:rowOff>76200</xdr:rowOff>
    </xdr:to>
    <xdr:grpSp>
      <xdr:nvGrpSpPr>
        <xdr:cNvPr id="925" name="Group 924">
          <a:extLst>
            <a:ext uri="{FF2B5EF4-FFF2-40B4-BE49-F238E27FC236}">
              <a16:creationId xmlns:a16="http://schemas.microsoft.com/office/drawing/2014/main" id="{051EA28B-E349-4E27-A164-D1E052E10E93}"/>
            </a:ext>
          </a:extLst>
        </xdr:cNvPr>
        <xdr:cNvGrpSpPr/>
      </xdr:nvGrpSpPr>
      <xdr:grpSpPr>
        <a:xfrm>
          <a:off x="419100" y="143560799"/>
          <a:ext cx="2066925" cy="2009776"/>
          <a:chOff x="1066800" y="495299"/>
          <a:chExt cx="2066925" cy="2009776"/>
        </a:xfrm>
      </xdr:grpSpPr>
      <xdr:grpSp>
        <xdr:nvGrpSpPr>
          <xdr:cNvPr id="927" name="Group 926">
            <a:extLst>
              <a:ext uri="{FF2B5EF4-FFF2-40B4-BE49-F238E27FC236}">
                <a16:creationId xmlns:a16="http://schemas.microsoft.com/office/drawing/2014/main" id="{A2923E54-E2C7-FFC0-30C0-84EA627DB8B8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946" name="Straight Connector 945">
              <a:extLst>
                <a:ext uri="{FF2B5EF4-FFF2-40B4-BE49-F238E27FC236}">
                  <a16:creationId xmlns:a16="http://schemas.microsoft.com/office/drawing/2014/main" id="{5F35AD64-4CEF-A69E-3C9E-A54FB3D69ED8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7" name="Straight Connector 946">
              <a:extLst>
                <a:ext uri="{FF2B5EF4-FFF2-40B4-BE49-F238E27FC236}">
                  <a16:creationId xmlns:a16="http://schemas.microsoft.com/office/drawing/2014/main" id="{C7ADA44C-BADF-EC25-545C-973844DB7FA1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8" name="Straight Connector 947">
              <a:extLst>
                <a:ext uri="{FF2B5EF4-FFF2-40B4-BE49-F238E27FC236}">
                  <a16:creationId xmlns:a16="http://schemas.microsoft.com/office/drawing/2014/main" id="{6A252AC6-2371-46DD-637C-B8D7EC5444EE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49" name="Arc 948">
              <a:extLst>
                <a:ext uri="{FF2B5EF4-FFF2-40B4-BE49-F238E27FC236}">
                  <a16:creationId xmlns:a16="http://schemas.microsoft.com/office/drawing/2014/main" id="{76C76ECF-BEC5-BA8D-3C4A-FAFF6525A211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950" name="Straight Connector 949">
              <a:extLst>
                <a:ext uri="{FF2B5EF4-FFF2-40B4-BE49-F238E27FC236}">
                  <a16:creationId xmlns:a16="http://schemas.microsoft.com/office/drawing/2014/main" id="{71BE92F1-2062-9243-67AD-D39ED62A5E53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1" name="Straight Connector 950">
              <a:extLst>
                <a:ext uri="{FF2B5EF4-FFF2-40B4-BE49-F238E27FC236}">
                  <a16:creationId xmlns:a16="http://schemas.microsoft.com/office/drawing/2014/main" id="{DA2923AD-CE49-43EB-1CC1-86F8C5A0B7D0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2" name="Straight Connector 951">
              <a:extLst>
                <a:ext uri="{FF2B5EF4-FFF2-40B4-BE49-F238E27FC236}">
                  <a16:creationId xmlns:a16="http://schemas.microsoft.com/office/drawing/2014/main" id="{B23A9D5A-1C27-3074-77D5-B044578864C6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3" name="Straight Connector 952">
              <a:extLst>
                <a:ext uri="{FF2B5EF4-FFF2-40B4-BE49-F238E27FC236}">
                  <a16:creationId xmlns:a16="http://schemas.microsoft.com/office/drawing/2014/main" id="{E4A4EE9B-42E1-B384-77D2-5F6D9A55A981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54" name="Arc 953">
              <a:extLst>
                <a:ext uri="{FF2B5EF4-FFF2-40B4-BE49-F238E27FC236}">
                  <a16:creationId xmlns:a16="http://schemas.microsoft.com/office/drawing/2014/main" id="{A6C9BC3C-55D9-7522-7ADD-BB70EDB14919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957" name="Straight Connector 956">
              <a:extLst>
                <a:ext uri="{FF2B5EF4-FFF2-40B4-BE49-F238E27FC236}">
                  <a16:creationId xmlns:a16="http://schemas.microsoft.com/office/drawing/2014/main" id="{60E0F34D-6525-FC01-AF00-9EA460E7AE8A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0" name="Straight Connector 959">
              <a:extLst>
                <a:ext uri="{FF2B5EF4-FFF2-40B4-BE49-F238E27FC236}">
                  <a16:creationId xmlns:a16="http://schemas.microsoft.com/office/drawing/2014/main" id="{5DFD5FA3-6449-143A-6FF2-EE0EF24CB62E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2" name="Straight Connector 961">
              <a:extLst>
                <a:ext uri="{FF2B5EF4-FFF2-40B4-BE49-F238E27FC236}">
                  <a16:creationId xmlns:a16="http://schemas.microsoft.com/office/drawing/2014/main" id="{67493763-19E4-2A0A-1A74-09F51EBEDB90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4" name="Straight Connector 963">
              <a:extLst>
                <a:ext uri="{FF2B5EF4-FFF2-40B4-BE49-F238E27FC236}">
                  <a16:creationId xmlns:a16="http://schemas.microsoft.com/office/drawing/2014/main" id="{EFC23BCD-3610-3A16-AED7-D0D1877F4DBD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5" name="Straight Connector 964">
              <a:extLst>
                <a:ext uri="{FF2B5EF4-FFF2-40B4-BE49-F238E27FC236}">
                  <a16:creationId xmlns:a16="http://schemas.microsoft.com/office/drawing/2014/main" id="{D86D9D61-8C80-A71E-E876-931E6347F881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66" name="Arc 965">
              <a:extLst>
                <a:ext uri="{FF2B5EF4-FFF2-40B4-BE49-F238E27FC236}">
                  <a16:creationId xmlns:a16="http://schemas.microsoft.com/office/drawing/2014/main" id="{71F1B85C-C027-338C-EC4C-9CF7CD1DAF5C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967" name="Arc 966">
              <a:extLst>
                <a:ext uri="{FF2B5EF4-FFF2-40B4-BE49-F238E27FC236}">
                  <a16:creationId xmlns:a16="http://schemas.microsoft.com/office/drawing/2014/main" id="{749858D3-02D9-463E-4D1E-8241A66C1E1B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928" name="Straight Connector 927">
            <a:extLst>
              <a:ext uri="{FF2B5EF4-FFF2-40B4-BE49-F238E27FC236}">
                <a16:creationId xmlns:a16="http://schemas.microsoft.com/office/drawing/2014/main" id="{BF6EF642-491C-771E-5AC7-2D4A3745E5AF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9" name="Straight Connector 928">
            <a:extLst>
              <a:ext uri="{FF2B5EF4-FFF2-40B4-BE49-F238E27FC236}">
                <a16:creationId xmlns:a16="http://schemas.microsoft.com/office/drawing/2014/main" id="{39D4778D-2056-5930-5B4B-9167D6299C4F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0" name="Straight Connector 929">
            <a:extLst>
              <a:ext uri="{FF2B5EF4-FFF2-40B4-BE49-F238E27FC236}">
                <a16:creationId xmlns:a16="http://schemas.microsoft.com/office/drawing/2014/main" id="{95F8E105-7424-A240-C477-7124782CA58D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1" name="Straight Connector 930">
            <a:extLst>
              <a:ext uri="{FF2B5EF4-FFF2-40B4-BE49-F238E27FC236}">
                <a16:creationId xmlns:a16="http://schemas.microsoft.com/office/drawing/2014/main" id="{D54B5DEA-1DAB-D3FA-B3EF-7548922F4C28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2" name="Straight Connector 931">
            <a:extLst>
              <a:ext uri="{FF2B5EF4-FFF2-40B4-BE49-F238E27FC236}">
                <a16:creationId xmlns:a16="http://schemas.microsoft.com/office/drawing/2014/main" id="{30FCD441-678D-8270-9F18-0B0F09DBDBF9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3" name="Straight Connector 932">
            <a:extLst>
              <a:ext uri="{FF2B5EF4-FFF2-40B4-BE49-F238E27FC236}">
                <a16:creationId xmlns:a16="http://schemas.microsoft.com/office/drawing/2014/main" id="{48858DB1-421D-F06D-7C74-34BD2EB69DD5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4" name="Straight Connector 933">
            <a:extLst>
              <a:ext uri="{FF2B5EF4-FFF2-40B4-BE49-F238E27FC236}">
                <a16:creationId xmlns:a16="http://schemas.microsoft.com/office/drawing/2014/main" id="{1BEF3A9D-3376-3F54-0C53-AEC0448AE4D3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5" name="Straight Connector 934">
            <a:extLst>
              <a:ext uri="{FF2B5EF4-FFF2-40B4-BE49-F238E27FC236}">
                <a16:creationId xmlns:a16="http://schemas.microsoft.com/office/drawing/2014/main" id="{E15D5F52-431F-0C93-C3A4-7ECB5C58E642}"/>
              </a:ext>
            </a:extLst>
          </xdr:cNvPr>
          <xdr:cNvCxnSpPr/>
        </xdr:nvCxnSpPr>
        <xdr:spPr>
          <a:xfrm>
            <a:off x="1395413" y="2428875"/>
            <a:ext cx="14239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6" name="Straight Connector 935">
            <a:extLst>
              <a:ext uri="{FF2B5EF4-FFF2-40B4-BE49-F238E27FC236}">
                <a16:creationId xmlns:a16="http://schemas.microsoft.com/office/drawing/2014/main" id="{8FD47175-5C2E-7D7C-7EC0-254646307907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7" name="Straight Connector 936">
            <a:extLst>
              <a:ext uri="{FF2B5EF4-FFF2-40B4-BE49-F238E27FC236}">
                <a16:creationId xmlns:a16="http://schemas.microsoft.com/office/drawing/2014/main" id="{61B1F695-D379-2BB5-1AE9-165FD1806966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8" name="Straight Connector 937">
            <a:extLst>
              <a:ext uri="{FF2B5EF4-FFF2-40B4-BE49-F238E27FC236}">
                <a16:creationId xmlns:a16="http://schemas.microsoft.com/office/drawing/2014/main" id="{24DE340C-63F7-8859-E8D9-CFD664FC4554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9" name="Straight Connector 938">
            <a:extLst>
              <a:ext uri="{FF2B5EF4-FFF2-40B4-BE49-F238E27FC236}">
                <a16:creationId xmlns:a16="http://schemas.microsoft.com/office/drawing/2014/main" id="{A8D946F5-DD05-37B7-C49A-228136B75AE2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1" name="Straight Connector 940">
            <a:extLst>
              <a:ext uri="{FF2B5EF4-FFF2-40B4-BE49-F238E27FC236}">
                <a16:creationId xmlns:a16="http://schemas.microsoft.com/office/drawing/2014/main" id="{BF1DC80B-5651-FA17-5DDD-FD7EBF2CD788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2" name="Straight Connector 941">
            <a:extLst>
              <a:ext uri="{FF2B5EF4-FFF2-40B4-BE49-F238E27FC236}">
                <a16:creationId xmlns:a16="http://schemas.microsoft.com/office/drawing/2014/main" id="{E79165F7-2728-DF5B-1BD9-5787BE9FAA88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3" name="Straight Connector 942">
            <a:extLst>
              <a:ext uri="{FF2B5EF4-FFF2-40B4-BE49-F238E27FC236}">
                <a16:creationId xmlns:a16="http://schemas.microsoft.com/office/drawing/2014/main" id="{10A30B87-D2AB-213A-5AA0-0B2139334545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4" name="Straight Connector 943">
            <a:extLst>
              <a:ext uri="{FF2B5EF4-FFF2-40B4-BE49-F238E27FC236}">
                <a16:creationId xmlns:a16="http://schemas.microsoft.com/office/drawing/2014/main" id="{96F8FA9D-BCA4-F12F-BEA7-5A59771BF152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5" name="Straight Connector 944">
            <a:extLst>
              <a:ext uri="{FF2B5EF4-FFF2-40B4-BE49-F238E27FC236}">
                <a16:creationId xmlns:a16="http://schemas.microsoft.com/office/drawing/2014/main" id="{9D105E06-532B-AB45-5CE9-86E96A390FAC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85723</xdr:colOff>
      <xdr:row>952</xdr:row>
      <xdr:rowOff>4762</xdr:rowOff>
    </xdr:from>
    <xdr:to>
      <xdr:col>51</xdr:col>
      <xdr:colOff>76961</xdr:colOff>
      <xdr:row>964</xdr:row>
      <xdr:rowOff>90488</xdr:rowOff>
    </xdr:to>
    <xdr:grpSp>
      <xdr:nvGrpSpPr>
        <xdr:cNvPr id="1789" name="Group 1788">
          <a:extLst>
            <a:ext uri="{FF2B5EF4-FFF2-40B4-BE49-F238E27FC236}">
              <a16:creationId xmlns:a16="http://schemas.microsoft.com/office/drawing/2014/main" id="{1500669C-5C54-14BB-1E3E-651A918FBDE0}"/>
            </a:ext>
          </a:extLst>
        </xdr:cNvPr>
        <xdr:cNvGrpSpPr/>
      </xdr:nvGrpSpPr>
      <xdr:grpSpPr>
        <a:xfrm>
          <a:off x="4457698" y="143784637"/>
          <a:ext cx="3877438" cy="1800226"/>
          <a:chOff x="4457698" y="142070137"/>
          <a:chExt cx="3877438" cy="1800226"/>
        </a:xfrm>
      </xdr:grpSpPr>
      <xdr:cxnSp macro="">
        <xdr:nvCxnSpPr>
          <xdr:cNvPr id="131" name="Straight Arrow Connector 130">
            <a:extLst>
              <a:ext uri="{FF2B5EF4-FFF2-40B4-BE49-F238E27FC236}">
                <a16:creationId xmlns:a16="http://schemas.microsoft.com/office/drawing/2014/main" id="{0AF98419-05DB-F48E-4EB4-C23F59AC2744}"/>
              </a:ext>
            </a:extLst>
          </xdr:cNvPr>
          <xdr:cNvCxnSpPr/>
        </xdr:nvCxnSpPr>
        <xdr:spPr>
          <a:xfrm>
            <a:off x="8258181" y="14238922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Straight Connector 309">
            <a:extLst>
              <a:ext uri="{FF2B5EF4-FFF2-40B4-BE49-F238E27FC236}">
                <a16:creationId xmlns:a16="http://schemas.microsoft.com/office/drawing/2014/main" id="{C8188F2C-F88D-EF62-9AF6-2437EA808C31}"/>
              </a:ext>
            </a:extLst>
          </xdr:cNvPr>
          <xdr:cNvCxnSpPr/>
        </xdr:nvCxnSpPr>
        <xdr:spPr>
          <a:xfrm>
            <a:off x="4533900" y="142636875"/>
            <a:ext cx="371951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Straight Arrow Connector 360">
            <a:extLst>
              <a:ext uri="{FF2B5EF4-FFF2-40B4-BE49-F238E27FC236}">
                <a16:creationId xmlns:a16="http://schemas.microsoft.com/office/drawing/2014/main" id="{BE8B249F-BF9E-96E8-71D0-D723F51078EF}"/>
              </a:ext>
            </a:extLst>
          </xdr:cNvPr>
          <xdr:cNvCxnSpPr/>
        </xdr:nvCxnSpPr>
        <xdr:spPr>
          <a:xfrm>
            <a:off x="5991231" y="14239398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Arrow Connector 423">
            <a:extLst>
              <a:ext uri="{FF2B5EF4-FFF2-40B4-BE49-F238E27FC236}">
                <a16:creationId xmlns:a16="http://schemas.microsoft.com/office/drawing/2014/main" id="{4239B5BD-FAF5-5899-9E75-69A2574E4B73}"/>
              </a:ext>
            </a:extLst>
          </xdr:cNvPr>
          <xdr:cNvCxnSpPr/>
        </xdr:nvCxnSpPr>
        <xdr:spPr>
          <a:xfrm>
            <a:off x="6153156" y="14239398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Straight Arrow Connector 708">
            <a:extLst>
              <a:ext uri="{FF2B5EF4-FFF2-40B4-BE49-F238E27FC236}">
                <a16:creationId xmlns:a16="http://schemas.microsoft.com/office/drawing/2014/main" id="{3FEE2DF5-F111-7D12-540F-F2EE8C1EEA25}"/>
              </a:ext>
            </a:extLst>
          </xdr:cNvPr>
          <xdr:cNvCxnSpPr/>
        </xdr:nvCxnSpPr>
        <xdr:spPr>
          <a:xfrm>
            <a:off x="6315081" y="14238922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" name="Straight Connector 718">
            <a:extLst>
              <a:ext uri="{FF2B5EF4-FFF2-40B4-BE49-F238E27FC236}">
                <a16:creationId xmlns:a16="http://schemas.microsoft.com/office/drawing/2014/main" id="{03665AA8-9BAD-2FB0-43D5-BECEE5FCC89A}"/>
              </a:ext>
            </a:extLst>
          </xdr:cNvPr>
          <xdr:cNvCxnSpPr/>
        </xdr:nvCxnSpPr>
        <xdr:spPr>
          <a:xfrm>
            <a:off x="5829307" y="142389225"/>
            <a:ext cx="24384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" name="Straight Arrow Connector 719">
            <a:extLst>
              <a:ext uri="{FF2B5EF4-FFF2-40B4-BE49-F238E27FC236}">
                <a16:creationId xmlns:a16="http://schemas.microsoft.com/office/drawing/2014/main" id="{7AA23124-A559-B36B-C9A6-501A2EDB7014}"/>
              </a:ext>
            </a:extLst>
          </xdr:cNvPr>
          <xdr:cNvCxnSpPr/>
        </xdr:nvCxnSpPr>
        <xdr:spPr>
          <a:xfrm>
            <a:off x="6477006" y="14239398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" name="Straight Arrow Connector 721">
            <a:extLst>
              <a:ext uri="{FF2B5EF4-FFF2-40B4-BE49-F238E27FC236}">
                <a16:creationId xmlns:a16="http://schemas.microsoft.com/office/drawing/2014/main" id="{E3B06A01-A1C6-6A30-9C3E-D86B424B622C}"/>
              </a:ext>
            </a:extLst>
          </xdr:cNvPr>
          <xdr:cNvCxnSpPr/>
        </xdr:nvCxnSpPr>
        <xdr:spPr>
          <a:xfrm>
            <a:off x="6638931" y="14239398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Straight Arrow Connector 744">
            <a:extLst>
              <a:ext uri="{FF2B5EF4-FFF2-40B4-BE49-F238E27FC236}">
                <a16:creationId xmlns:a16="http://schemas.microsoft.com/office/drawing/2014/main" id="{2B0CB47F-2123-1935-C9C0-432471F829D0}"/>
              </a:ext>
            </a:extLst>
          </xdr:cNvPr>
          <xdr:cNvCxnSpPr/>
        </xdr:nvCxnSpPr>
        <xdr:spPr>
          <a:xfrm>
            <a:off x="6800856" y="14238922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" name="Straight Arrow Connector 765">
            <a:extLst>
              <a:ext uri="{FF2B5EF4-FFF2-40B4-BE49-F238E27FC236}">
                <a16:creationId xmlns:a16="http://schemas.microsoft.com/office/drawing/2014/main" id="{FC5DA65A-C1A3-0831-18AC-3747176684F2}"/>
              </a:ext>
            </a:extLst>
          </xdr:cNvPr>
          <xdr:cNvCxnSpPr/>
        </xdr:nvCxnSpPr>
        <xdr:spPr>
          <a:xfrm>
            <a:off x="6962781" y="14239398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" name="Straight Arrow Connector 800">
            <a:extLst>
              <a:ext uri="{FF2B5EF4-FFF2-40B4-BE49-F238E27FC236}">
                <a16:creationId xmlns:a16="http://schemas.microsoft.com/office/drawing/2014/main" id="{AFEA810D-FF6C-EA5D-B865-8F8FC6D31984}"/>
              </a:ext>
            </a:extLst>
          </xdr:cNvPr>
          <xdr:cNvCxnSpPr/>
        </xdr:nvCxnSpPr>
        <xdr:spPr>
          <a:xfrm>
            <a:off x="7124706" y="14239398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" name="Straight Arrow Connector 804">
            <a:extLst>
              <a:ext uri="{FF2B5EF4-FFF2-40B4-BE49-F238E27FC236}">
                <a16:creationId xmlns:a16="http://schemas.microsoft.com/office/drawing/2014/main" id="{4F933326-25B8-050B-DA8A-6C14E48D21CD}"/>
              </a:ext>
            </a:extLst>
          </xdr:cNvPr>
          <xdr:cNvCxnSpPr/>
        </xdr:nvCxnSpPr>
        <xdr:spPr>
          <a:xfrm>
            <a:off x="7286631" y="14239398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0" name="Straight Arrow Connector 829">
            <a:extLst>
              <a:ext uri="{FF2B5EF4-FFF2-40B4-BE49-F238E27FC236}">
                <a16:creationId xmlns:a16="http://schemas.microsoft.com/office/drawing/2014/main" id="{867AEF30-D77E-4396-FFC5-44F9BDD47F94}"/>
              </a:ext>
            </a:extLst>
          </xdr:cNvPr>
          <xdr:cNvCxnSpPr/>
        </xdr:nvCxnSpPr>
        <xdr:spPr>
          <a:xfrm>
            <a:off x="7448556" y="14238922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8" name="Straight Arrow Connector 837">
            <a:extLst>
              <a:ext uri="{FF2B5EF4-FFF2-40B4-BE49-F238E27FC236}">
                <a16:creationId xmlns:a16="http://schemas.microsoft.com/office/drawing/2014/main" id="{E3D50F1B-9647-92DD-BF5C-5352C012EA85}"/>
              </a:ext>
            </a:extLst>
          </xdr:cNvPr>
          <xdr:cNvCxnSpPr/>
        </xdr:nvCxnSpPr>
        <xdr:spPr>
          <a:xfrm>
            <a:off x="7610481" y="14239398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9" name="Straight Arrow Connector 838">
            <a:extLst>
              <a:ext uri="{FF2B5EF4-FFF2-40B4-BE49-F238E27FC236}">
                <a16:creationId xmlns:a16="http://schemas.microsoft.com/office/drawing/2014/main" id="{A950DC5F-0983-0F74-2C41-2AC532E09200}"/>
              </a:ext>
            </a:extLst>
          </xdr:cNvPr>
          <xdr:cNvCxnSpPr/>
        </xdr:nvCxnSpPr>
        <xdr:spPr>
          <a:xfrm>
            <a:off x="7772406" y="14239398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6" name="Straight Arrow Connector 845">
            <a:extLst>
              <a:ext uri="{FF2B5EF4-FFF2-40B4-BE49-F238E27FC236}">
                <a16:creationId xmlns:a16="http://schemas.microsoft.com/office/drawing/2014/main" id="{F75E6727-7F8C-A3B1-8328-4C1C7330C032}"/>
              </a:ext>
            </a:extLst>
          </xdr:cNvPr>
          <xdr:cNvCxnSpPr/>
        </xdr:nvCxnSpPr>
        <xdr:spPr>
          <a:xfrm>
            <a:off x="7934331" y="14238922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8" name="Straight Arrow Connector 857">
            <a:extLst>
              <a:ext uri="{FF2B5EF4-FFF2-40B4-BE49-F238E27FC236}">
                <a16:creationId xmlns:a16="http://schemas.microsoft.com/office/drawing/2014/main" id="{3CC2DD7C-6CA5-E2C3-AEC2-0D513E17D09E}"/>
              </a:ext>
            </a:extLst>
          </xdr:cNvPr>
          <xdr:cNvCxnSpPr/>
        </xdr:nvCxnSpPr>
        <xdr:spPr>
          <a:xfrm>
            <a:off x="8096256" y="14239398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3" name="Straight Connector 862">
            <a:extLst>
              <a:ext uri="{FF2B5EF4-FFF2-40B4-BE49-F238E27FC236}">
                <a16:creationId xmlns:a16="http://schemas.microsoft.com/office/drawing/2014/main" id="{A2E7D1F6-85AF-7A95-9336-B5AF1989C54D}"/>
              </a:ext>
            </a:extLst>
          </xdr:cNvPr>
          <xdr:cNvCxnSpPr/>
        </xdr:nvCxnSpPr>
        <xdr:spPr>
          <a:xfrm>
            <a:off x="7196144" y="142341603"/>
            <a:ext cx="85725" cy="12382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7" name="Straight Connector 896">
            <a:extLst>
              <a:ext uri="{FF2B5EF4-FFF2-40B4-BE49-F238E27FC236}">
                <a16:creationId xmlns:a16="http://schemas.microsoft.com/office/drawing/2014/main" id="{9E144AA7-54D5-DC5F-9412-017B3663F5A5}"/>
              </a:ext>
            </a:extLst>
          </xdr:cNvPr>
          <xdr:cNvCxnSpPr/>
        </xdr:nvCxnSpPr>
        <xdr:spPr>
          <a:xfrm>
            <a:off x="4533901" y="142817847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8" name="Straight Arrow Connector 897">
            <a:extLst>
              <a:ext uri="{FF2B5EF4-FFF2-40B4-BE49-F238E27FC236}">
                <a16:creationId xmlns:a16="http://schemas.microsoft.com/office/drawing/2014/main" id="{59ACCB48-F627-30BC-14A0-CFD0110C6E34}"/>
              </a:ext>
            </a:extLst>
          </xdr:cNvPr>
          <xdr:cNvCxnSpPr/>
        </xdr:nvCxnSpPr>
        <xdr:spPr>
          <a:xfrm>
            <a:off x="4538662" y="143003587"/>
            <a:ext cx="433388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1" name="Straight Connector 900">
            <a:extLst>
              <a:ext uri="{FF2B5EF4-FFF2-40B4-BE49-F238E27FC236}">
                <a16:creationId xmlns:a16="http://schemas.microsoft.com/office/drawing/2014/main" id="{0B7B47CA-5ECE-FD98-8703-86F4B8BD7077}"/>
              </a:ext>
            </a:extLst>
          </xdr:cNvPr>
          <xdr:cNvCxnSpPr/>
        </xdr:nvCxnSpPr>
        <xdr:spPr>
          <a:xfrm>
            <a:off x="4533900" y="143356013"/>
            <a:ext cx="0" cy="5095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3" name="Straight Connector 902">
            <a:extLst>
              <a:ext uri="{FF2B5EF4-FFF2-40B4-BE49-F238E27FC236}">
                <a16:creationId xmlns:a16="http://schemas.microsoft.com/office/drawing/2014/main" id="{4D4657FE-FBDE-40AF-D355-16F282256492}"/>
              </a:ext>
            </a:extLst>
          </xdr:cNvPr>
          <xdr:cNvCxnSpPr/>
        </xdr:nvCxnSpPr>
        <xdr:spPr>
          <a:xfrm>
            <a:off x="4457698" y="143494125"/>
            <a:ext cx="38623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6" name="Straight Connector 905">
            <a:extLst>
              <a:ext uri="{FF2B5EF4-FFF2-40B4-BE49-F238E27FC236}">
                <a16:creationId xmlns:a16="http://schemas.microsoft.com/office/drawing/2014/main" id="{6C76EB76-6265-462C-E273-E376E64856DA}"/>
              </a:ext>
            </a:extLst>
          </xdr:cNvPr>
          <xdr:cNvCxnSpPr/>
        </xdr:nvCxnSpPr>
        <xdr:spPr>
          <a:xfrm flipH="1">
            <a:off x="4495799" y="14346078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9" name="Straight Connector 908">
            <a:extLst>
              <a:ext uri="{FF2B5EF4-FFF2-40B4-BE49-F238E27FC236}">
                <a16:creationId xmlns:a16="http://schemas.microsoft.com/office/drawing/2014/main" id="{3B1AE09F-10E4-4C1D-2E56-D2F8E680B1FA}"/>
              </a:ext>
            </a:extLst>
          </xdr:cNvPr>
          <xdr:cNvCxnSpPr/>
        </xdr:nvCxnSpPr>
        <xdr:spPr>
          <a:xfrm>
            <a:off x="8258175" y="143356013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1" name="Straight Connector 910">
            <a:extLst>
              <a:ext uri="{FF2B5EF4-FFF2-40B4-BE49-F238E27FC236}">
                <a16:creationId xmlns:a16="http://schemas.microsoft.com/office/drawing/2014/main" id="{A90A4599-CE67-9A1E-D87A-F310FB55C8D5}"/>
              </a:ext>
            </a:extLst>
          </xdr:cNvPr>
          <xdr:cNvCxnSpPr/>
        </xdr:nvCxnSpPr>
        <xdr:spPr>
          <a:xfrm flipH="1">
            <a:off x="8220074" y="14346078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2" name="Straight Connector 911">
            <a:extLst>
              <a:ext uri="{FF2B5EF4-FFF2-40B4-BE49-F238E27FC236}">
                <a16:creationId xmlns:a16="http://schemas.microsoft.com/office/drawing/2014/main" id="{D4E376FA-8FAA-903D-313B-05D974643DD3}"/>
              </a:ext>
            </a:extLst>
          </xdr:cNvPr>
          <xdr:cNvCxnSpPr/>
        </xdr:nvCxnSpPr>
        <xdr:spPr>
          <a:xfrm>
            <a:off x="8262938" y="142803560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5" name="Straight Connector 914">
            <a:extLst>
              <a:ext uri="{FF2B5EF4-FFF2-40B4-BE49-F238E27FC236}">
                <a16:creationId xmlns:a16="http://schemas.microsoft.com/office/drawing/2014/main" id="{CEA096F7-DA0D-214D-0D07-613D6C2912D8}"/>
              </a:ext>
            </a:extLst>
          </xdr:cNvPr>
          <xdr:cNvCxnSpPr/>
        </xdr:nvCxnSpPr>
        <xdr:spPr>
          <a:xfrm>
            <a:off x="5829300" y="142932150"/>
            <a:ext cx="0" cy="628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6" name="Straight Connector 915">
            <a:extLst>
              <a:ext uri="{FF2B5EF4-FFF2-40B4-BE49-F238E27FC236}">
                <a16:creationId xmlns:a16="http://schemas.microsoft.com/office/drawing/2014/main" id="{5FC94EB1-9C11-DD3F-5B5F-12299D3B3E85}"/>
              </a:ext>
            </a:extLst>
          </xdr:cNvPr>
          <xdr:cNvCxnSpPr/>
        </xdr:nvCxnSpPr>
        <xdr:spPr>
          <a:xfrm flipH="1">
            <a:off x="5791199" y="14346078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7" name="Straight Arrow Connector 916">
            <a:extLst>
              <a:ext uri="{FF2B5EF4-FFF2-40B4-BE49-F238E27FC236}">
                <a16:creationId xmlns:a16="http://schemas.microsoft.com/office/drawing/2014/main" id="{44172DA7-5A0A-0554-AB83-9DABFBC60FD0}"/>
              </a:ext>
            </a:extLst>
          </xdr:cNvPr>
          <xdr:cNvCxnSpPr/>
        </xdr:nvCxnSpPr>
        <xdr:spPr>
          <a:xfrm>
            <a:off x="5834063" y="142070137"/>
            <a:ext cx="0" cy="56197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2" name="Straight Connector 921">
            <a:extLst>
              <a:ext uri="{FF2B5EF4-FFF2-40B4-BE49-F238E27FC236}">
                <a16:creationId xmlns:a16="http://schemas.microsoft.com/office/drawing/2014/main" id="{C288B3A5-B300-C531-4738-0B53DCE609AF}"/>
              </a:ext>
            </a:extLst>
          </xdr:cNvPr>
          <xdr:cNvCxnSpPr/>
        </xdr:nvCxnSpPr>
        <xdr:spPr>
          <a:xfrm>
            <a:off x="4457699" y="143779875"/>
            <a:ext cx="38623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3" name="Straight Connector 922">
            <a:extLst>
              <a:ext uri="{FF2B5EF4-FFF2-40B4-BE49-F238E27FC236}">
                <a16:creationId xmlns:a16="http://schemas.microsoft.com/office/drawing/2014/main" id="{1895FDB2-28E2-8945-34FD-1D1C8F2F3E12}"/>
              </a:ext>
            </a:extLst>
          </xdr:cNvPr>
          <xdr:cNvCxnSpPr/>
        </xdr:nvCxnSpPr>
        <xdr:spPr>
          <a:xfrm flipH="1">
            <a:off x="4495800" y="1437465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4" name="Straight Connector 923">
            <a:extLst>
              <a:ext uri="{FF2B5EF4-FFF2-40B4-BE49-F238E27FC236}">
                <a16:creationId xmlns:a16="http://schemas.microsoft.com/office/drawing/2014/main" id="{2A7629C0-F704-611D-3A2D-8B25BE3522AD}"/>
              </a:ext>
            </a:extLst>
          </xdr:cNvPr>
          <xdr:cNvCxnSpPr/>
        </xdr:nvCxnSpPr>
        <xdr:spPr>
          <a:xfrm flipH="1">
            <a:off x="8220075" y="1437465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8" name="Isosceles Triangle 967">
            <a:extLst>
              <a:ext uri="{FF2B5EF4-FFF2-40B4-BE49-F238E27FC236}">
                <a16:creationId xmlns:a16="http://schemas.microsoft.com/office/drawing/2014/main" id="{954C7422-4209-41C1-ADDD-32687A3D74AF}"/>
              </a:ext>
            </a:extLst>
          </xdr:cNvPr>
          <xdr:cNvSpPr/>
        </xdr:nvSpPr>
        <xdr:spPr>
          <a:xfrm>
            <a:off x="4457700" y="142646400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9" name="Isosceles Triangle 968">
            <a:extLst>
              <a:ext uri="{FF2B5EF4-FFF2-40B4-BE49-F238E27FC236}">
                <a16:creationId xmlns:a16="http://schemas.microsoft.com/office/drawing/2014/main" id="{2CBA3543-D9DC-404C-9684-5EA8A9787E4B}"/>
              </a:ext>
            </a:extLst>
          </xdr:cNvPr>
          <xdr:cNvSpPr/>
        </xdr:nvSpPr>
        <xdr:spPr>
          <a:xfrm>
            <a:off x="8191500" y="142636875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27</xdr:col>
      <xdr:colOff>85725</xdr:colOff>
      <xdr:row>967</xdr:row>
      <xdr:rowOff>9525</xdr:rowOff>
    </xdr:from>
    <xdr:to>
      <xdr:col>51</xdr:col>
      <xdr:colOff>76961</xdr:colOff>
      <xdr:row>967</xdr:row>
      <xdr:rowOff>142874</xdr:rowOff>
    </xdr:to>
    <xdr:grpSp>
      <xdr:nvGrpSpPr>
        <xdr:cNvPr id="974" name="Group 973">
          <a:extLst>
            <a:ext uri="{FF2B5EF4-FFF2-40B4-BE49-F238E27FC236}">
              <a16:creationId xmlns:a16="http://schemas.microsoft.com/office/drawing/2014/main" id="{44073407-2568-D57A-EE7D-143051BF0ACD}"/>
            </a:ext>
          </a:extLst>
        </xdr:cNvPr>
        <xdr:cNvGrpSpPr/>
      </xdr:nvGrpSpPr>
      <xdr:grpSpPr>
        <a:xfrm>
          <a:off x="4457700" y="145932525"/>
          <a:ext cx="3877436" cy="133349"/>
          <a:chOff x="4457700" y="144218025"/>
          <a:chExt cx="3877436" cy="133349"/>
        </a:xfrm>
      </xdr:grpSpPr>
      <xdr:cxnSp macro="">
        <xdr:nvCxnSpPr>
          <xdr:cNvPr id="970" name="Straight Connector 969">
            <a:extLst>
              <a:ext uri="{FF2B5EF4-FFF2-40B4-BE49-F238E27FC236}">
                <a16:creationId xmlns:a16="http://schemas.microsoft.com/office/drawing/2014/main" id="{3B708005-AD9A-4BC7-8674-54265946B84E}"/>
              </a:ext>
            </a:extLst>
          </xdr:cNvPr>
          <xdr:cNvCxnSpPr/>
        </xdr:nvCxnSpPr>
        <xdr:spPr>
          <a:xfrm>
            <a:off x="4533900" y="144218025"/>
            <a:ext cx="371951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71" name="Isosceles Triangle 970">
            <a:extLst>
              <a:ext uri="{FF2B5EF4-FFF2-40B4-BE49-F238E27FC236}">
                <a16:creationId xmlns:a16="http://schemas.microsoft.com/office/drawing/2014/main" id="{E184F9D1-BB12-412B-A3A4-F70AC59B5AC4}"/>
              </a:ext>
            </a:extLst>
          </xdr:cNvPr>
          <xdr:cNvSpPr/>
        </xdr:nvSpPr>
        <xdr:spPr>
          <a:xfrm>
            <a:off x="4457700" y="144227550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72" name="Isosceles Triangle 971">
            <a:extLst>
              <a:ext uri="{FF2B5EF4-FFF2-40B4-BE49-F238E27FC236}">
                <a16:creationId xmlns:a16="http://schemas.microsoft.com/office/drawing/2014/main" id="{98DD8B1F-A3DD-45BF-ADB7-122B76DC1DAD}"/>
              </a:ext>
            </a:extLst>
          </xdr:cNvPr>
          <xdr:cNvSpPr/>
        </xdr:nvSpPr>
        <xdr:spPr>
          <a:xfrm>
            <a:off x="8191500" y="144218025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80963</xdr:colOff>
      <xdr:row>993</xdr:row>
      <xdr:rowOff>66675</xdr:rowOff>
    </xdr:from>
    <xdr:to>
      <xdr:col>7</xdr:col>
      <xdr:colOff>133350</xdr:colOff>
      <xdr:row>993</xdr:row>
      <xdr:rowOff>66675</xdr:rowOff>
    </xdr:to>
    <xdr:cxnSp macro="">
      <xdr:nvCxnSpPr>
        <xdr:cNvPr id="975" name="Straight Arrow Connector 974">
          <a:extLst>
            <a:ext uri="{FF2B5EF4-FFF2-40B4-BE49-F238E27FC236}">
              <a16:creationId xmlns:a16="http://schemas.microsoft.com/office/drawing/2014/main" id="{1DC58D5D-7065-4A28-82DF-7F4530A5C472}"/>
            </a:ext>
          </a:extLst>
        </xdr:cNvPr>
        <xdr:cNvCxnSpPr/>
      </xdr:nvCxnSpPr>
      <xdr:spPr>
        <a:xfrm>
          <a:off x="1052513" y="1377886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994</xdr:row>
      <xdr:rowOff>66675</xdr:rowOff>
    </xdr:from>
    <xdr:to>
      <xdr:col>7</xdr:col>
      <xdr:colOff>133350</xdr:colOff>
      <xdr:row>994</xdr:row>
      <xdr:rowOff>66675</xdr:rowOff>
    </xdr:to>
    <xdr:cxnSp macro="">
      <xdr:nvCxnSpPr>
        <xdr:cNvPr id="976" name="Straight Arrow Connector 975">
          <a:extLst>
            <a:ext uri="{FF2B5EF4-FFF2-40B4-BE49-F238E27FC236}">
              <a16:creationId xmlns:a16="http://schemas.microsoft.com/office/drawing/2014/main" id="{F19F7734-7FFC-4CD5-82F4-B40895245553}"/>
            </a:ext>
          </a:extLst>
        </xdr:cNvPr>
        <xdr:cNvCxnSpPr/>
      </xdr:nvCxnSpPr>
      <xdr:spPr>
        <a:xfrm>
          <a:off x="1052513" y="1478470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80963</xdr:colOff>
      <xdr:row>994</xdr:row>
      <xdr:rowOff>66675</xdr:rowOff>
    </xdr:from>
    <xdr:to>
      <xdr:col>49</xdr:col>
      <xdr:colOff>133350</xdr:colOff>
      <xdr:row>994</xdr:row>
      <xdr:rowOff>66675</xdr:rowOff>
    </xdr:to>
    <xdr:cxnSp macro="">
      <xdr:nvCxnSpPr>
        <xdr:cNvPr id="977" name="Straight Arrow Connector 976">
          <a:extLst>
            <a:ext uri="{FF2B5EF4-FFF2-40B4-BE49-F238E27FC236}">
              <a16:creationId xmlns:a16="http://schemas.microsoft.com/office/drawing/2014/main" id="{6B383C93-C0BB-49DA-BC1F-F3FAEE461089}"/>
            </a:ext>
          </a:extLst>
        </xdr:cNvPr>
        <xdr:cNvCxnSpPr/>
      </xdr:nvCxnSpPr>
      <xdr:spPr>
        <a:xfrm>
          <a:off x="1052513" y="1479899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903</xdr:row>
      <xdr:rowOff>0</xdr:rowOff>
    </xdr:from>
    <xdr:to>
      <xdr:col>51</xdr:col>
      <xdr:colOff>157162</xdr:colOff>
      <xdr:row>905</xdr:row>
      <xdr:rowOff>19049</xdr:rowOff>
    </xdr:to>
    <xdr:grpSp>
      <xdr:nvGrpSpPr>
        <xdr:cNvPr id="1790" name="Group 1789">
          <a:extLst>
            <a:ext uri="{FF2B5EF4-FFF2-40B4-BE49-F238E27FC236}">
              <a16:creationId xmlns:a16="http://schemas.microsoft.com/office/drawing/2014/main" id="{356BDBF7-9445-EA7C-3C0A-7F8386965274}"/>
            </a:ext>
          </a:extLst>
        </xdr:cNvPr>
        <xdr:cNvGrpSpPr/>
      </xdr:nvGrpSpPr>
      <xdr:grpSpPr>
        <a:xfrm>
          <a:off x="4371975" y="136293225"/>
          <a:ext cx="4043362" cy="304799"/>
          <a:chOff x="4371975" y="134578725"/>
          <a:chExt cx="4043362" cy="304799"/>
        </a:xfrm>
      </xdr:grpSpPr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0E14639A-930A-467D-9A9A-380E21EC6D6C}"/>
              </a:ext>
            </a:extLst>
          </xdr:cNvPr>
          <xdr:cNvSpPr/>
        </xdr:nvSpPr>
        <xdr:spPr>
          <a:xfrm>
            <a:off x="4371975" y="134588249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A00D9E94-6F9E-481B-AED5-5D22CA3BFD09}"/>
              </a:ext>
            </a:extLst>
          </xdr:cNvPr>
          <xdr:cNvCxnSpPr/>
        </xdr:nvCxnSpPr>
        <xdr:spPr>
          <a:xfrm>
            <a:off x="4529137" y="134588249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Connector 257">
            <a:extLst>
              <a:ext uri="{FF2B5EF4-FFF2-40B4-BE49-F238E27FC236}">
                <a16:creationId xmlns:a16="http://schemas.microsoft.com/office/drawing/2014/main" id="{5F370601-9568-4BAE-A5C9-98F1B2693CFE}"/>
              </a:ext>
            </a:extLst>
          </xdr:cNvPr>
          <xdr:cNvCxnSpPr/>
        </xdr:nvCxnSpPr>
        <xdr:spPr>
          <a:xfrm>
            <a:off x="4529137" y="134731124"/>
            <a:ext cx="371951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DCB45DE4-4CB5-43FC-A5A1-5F2C29FAA14F}"/>
              </a:ext>
            </a:extLst>
          </xdr:cNvPr>
          <xdr:cNvSpPr/>
        </xdr:nvSpPr>
        <xdr:spPr>
          <a:xfrm>
            <a:off x="8262937" y="134588251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13" name="Straight Connector 912">
            <a:extLst>
              <a:ext uri="{FF2B5EF4-FFF2-40B4-BE49-F238E27FC236}">
                <a16:creationId xmlns:a16="http://schemas.microsoft.com/office/drawing/2014/main" id="{101EBE57-33E6-46DF-988D-B93A3B1A10BB}"/>
              </a:ext>
            </a:extLst>
          </xdr:cNvPr>
          <xdr:cNvCxnSpPr/>
        </xdr:nvCxnSpPr>
        <xdr:spPr>
          <a:xfrm>
            <a:off x="8248649" y="134578725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95250</xdr:colOff>
      <xdr:row>1006</xdr:row>
      <xdr:rowOff>66674</xdr:rowOff>
    </xdr:from>
    <xdr:to>
      <xdr:col>15</xdr:col>
      <xdr:colOff>57150</xdr:colOff>
      <xdr:row>1020</xdr:row>
      <xdr:rowOff>76200</xdr:rowOff>
    </xdr:to>
    <xdr:grpSp>
      <xdr:nvGrpSpPr>
        <xdr:cNvPr id="1187" name="Group 1186">
          <a:extLst>
            <a:ext uri="{FF2B5EF4-FFF2-40B4-BE49-F238E27FC236}">
              <a16:creationId xmlns:a16="http://schemas.microsoft.com/office/drawing/2014/main" id="{4033DF50-B13A-4594-867C-9073E3167387}"/>
            </a:ext>
          </a:extLst>
        </xdr:cNvPr>
        <xdr:cNvGrpSpPr/>
      </xdr:nvGrpSpPr>
      <xdr:grpSpPr>
        <a:xfrm>
          <a:off x="419100" y="152047574"/>
          <a:ext cx="2066925" cy="2009776"/>
          <a:chOff x="1066800" y="495299"/>
          <a:chExt cx="2066925" cy="2009776"/>
        </a:xfrm>
      </xdr:grpSpPr>
      <xdr:grpSp>
        <xdr:nvGrpSpPr>
          <xdr:cNvPr id="1188" name="Group 1187">
            <a:extLst>
              <a:ext uri="{FF2B5EF4-FFF2-40B4-BE49-F238E27FC236}">
                <a16:creationId xmlns:a16="http://schemas.microsoft.com/office/drawing/2014/main" id="{43D7B619-DD47-4E4E-D6C7-BB1A872BE41C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1233" name="Straight Connector 1232">
              <a:extLst>
                <a:ext uri="{FF2B5EF4-FFF2-40B4-BE49-F238E27FC236}">
                  <a16:creationId xmlns:a16="http://schemas.microsoft.com/office/drawing/2014/main" id="{2D312337-2D81-D761-7155-6B4CA0998A73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4" name="Straight Connector 1233">
              <a:extLst>
                <a:ext uri="{FF2B5EF4-FFF2-40B4-BE49-F238E27FC236}">
                  <a16:creationId xmlns:a16="http://schemas.microsoft.com/office/drawing/2014/main" id="{76D71AD3-AE75-8629-0869-3A9CFBC6D6A7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6" name="Straight Connector 1235">
              <a:extLst>
                <a:ext uri="{FF2B5EF4-FFF2-40B4-BE49-F238E27FC236}">
                  <a16:creationId xmlns:a16="http://schemas.microsoft.com/office/drawing/2014/main" id="{CF871CB6-CE34-2DEC-62B5-457438EE9FBD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38" name="Arc 1237">
              <a:extLst>
                <a:ext uri="{FF2B5EF4-FFF2-40B4-BE49-F238E27FC236}">
                  <a16:creationId xmlns:a16="http://schemas.microsoft.com/office/drawing/2014/main" id="{B9493C79-5D27-6039-C7B7-51BC66A75592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240" name="Straight Connector 1239">
              <a:extLst>
                <a:ext uri="{FF2B5EF4-FFF2-40B4-BE49-F238E27FC236}">
                  <a16:creationId xmlns:a16="http://schemas.microsoft.com/office/drawing/2014/main" id="{DAA235D1-4FD8-A172-489E-5F20688AD640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1" name="Straight Connector 1240">
              <a:extLst>
                <a:ext uri="{FF2B5EF4-FFF2-40B4-BE49-F238E27FC236}">
                  <a16:creationId xmlns:a16="http://schemas.microsoft.com/office/drawing/2014/main" id="{3B8DE203-106A-8F8E-8D9E-A61EF87DB4EB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2" name="Straight Connector 1241">
              <a:extLst>
                <a:ext uri="{FF2B5EF4-FFF2-40B4-BE49-F238E27FC236}">
                  <a16:creationId xmlns:a16="http://schemas.microsoft.com/office/drawing/2014/main" id="{FE692762-88E4-3A11-5492-71506D6284D7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3" name="Straight Connector 1242">
              <a:extLst>
                <a:ext uri="{FF2B5EF4-FFF2-40B4-BE49-F238E27FC236}">
                  <a16:creationId xmlns:a16="http://schemas.microsoft.com/office/drawing/2014/main" id="{280FD177-59D5-027A-D4C8-43A2F8BF48D7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45" name="Arc 1244">
              <a:extLst>
                <a:ext uri="{FF2B5EF4-FFF2-40B4-BE49-F238E27FC236}">
                  <a16:creationId xmlns:a16="http://schemas.microsoft.com/office/drawing/2014/main" id="{AC465B9F-CB8C-AB36-3CDE-5966886A55AD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247" name="Straight Connector 1246">
              <a:extLst>
                <a:ext uri="{FF2B5EF4-FFF2-40B4-BE49-F238E27FC236}">
                  <a16:creationId xmlns:a16="http://schemas.microsoft.com/office/drawing/2014/main" id="{4F696A25-1D93-A47E-5570-DBE1E3106F4F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8" name="Straight Connector 1247">
              <a:extLst>
                <a:ext uri="{FF2B5EF4-FFF2-40B4-BE49-F238E27FC236}">
                  <a16:creationId xmlns:a16="http://schemas.microsoft.com/office/drawing/2014/main" id="{A631F0A5-309C-A29E-A55A-E8EF6195DDF8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3" name="Straight Connector 1252">
              <a:extLst>
                <a:ext uri="{FF2B5EF4-FFF2-40B4-BE49-F238E27FC236}">
                  <a16:creationId xmlns:a16="http://schemas.microsoft.com/office/drawing/2014/main" id="{26515AC1-CF04-E876-66A3-B1FF2FFD4493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7" name="Straight Connector 1256">
              <a:extLst>
                <a:ext uri="{FF2B5EF4-FFF2-40B4-BE49-F238E27FC236}">
                  <a16:creationId xmlns:a16="http://schemas.microsoft.com/office/drawing/2014/main" id="{FAD29C28-40FA-4252-7DA7-7262063FDD54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8" name="Straight Connector 1257">
              <a:extLst>
                <a:ext uri="{FF2B5EF4-FFF2-40B4-BE49-F238E27FC236}">
                  <a16:creationId xmlns:a16="http://schemas.microsoft.com/office/drawing/2014/main" id="{6DC219CC-7C53-D365-9C08-613D72843681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60" name="Arc 1259">
              <a:extLst>
                <a:ext uri="{FF2B5EF4-FFF2-40B4-BE49-F238E27FC236}">
                  <a16:creationId xmlns:a16="http://schemas.microsoft.com/office/drawing/2014/main" id="{55B0FD1D-CF7C-4812-846B-FE9375A831D5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62" name="Arc 1261">
              <a:extLst>
                <a:ext uri="{FF2B5EF4-FFF2-40B4-BE49-F238E27FC236}">
                  <a16:creationId xmlns:a16="http://schemas.microsoft.com/office/drawing/2014/main" id="{35DDE041-6C31-69AF-A973-4E407ADC2659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1189" name="Straight Connector 1188">
            <a:extLst>
              <a:ext uri="{FF2B5EF4-FFF2-40B4-BE49-F238E27FC236}">
                <a16:creationId xmlns:a16="http://schemas.microsoft.com/office/drawing/2014/main" id="{F9213F77-7A27-46E3-DE68-6FF83765AAA3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0" name="Straight Connector 1189">
            <a:extLst>
              <a:ext uri="{FF2B5EF4-FFF2-40B4-BE49-F238E27FC236}">
                <a16:creationId xmlns:a16="http://schemas.microsoft.com/office/drawing/2014/main" id="{8AA52C09-4506-3B37-804C-DAFB5213AEBE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1" name="Straight Connector 1190">
            <a:extLst>
              <a:ext uri="{FF2B5EF4-FFF2-40B4-BE49-F238E27FC236}">
                <a16:creationId xmlns:a16="http://schemas.microsoft.com/office/drawing/2014/main" id="{7E11FA58-0033-6911-B9CE-07B4F1272776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2" name="Straight Connector 1191">
            <a:extLst>
              <a:ext uri="{FF2B5EF4-FFF2-40B4-BE49-F238E27FC236}">
                <a16:creationId xmlns:a16="http://schemas.microsoft.com/office/drawing/2014/main" id="{483A8C72-C18E-A276-0C76-152A27B886D2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3" name="Straight Connector 1192">
            <a:extLst>
              <a:ext uri="{FF2B5EF4-FFF2-40B4-BE49-F238E27FC236}">
                <a16:creationId xmlns:a16="http://schemas.microsoft.com/office/drawing/2014/main" id="{8BBA96B3-B7BA-FFFB-F7E6-089109C77784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4" name="Straight Connector 1193">
            <a:extLst>
              <a:ext uri="{FF2B5EF4-FFF2-40B4-BE49-F238E27FC236}">
                <a16:creationId xmlns:a16="http://schemas.microsoft.com/office/drawing/2014/main" id="{7AFC5D17-8AFC-B2F5-237F-C2A6DB3F2A84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5" name="Straight Connector 1194">
            <a:extLst>
              <a:ext uri="{FF2B5EF4-FFF2-40B4-BE49-F238E27FC236}">
                <a16:creationId xmlns:a16="http://schemas.microsoft.com/office/drawing/2014/main" id="{897A86A7-59F4-EE27-8116-835A2D1FEBDA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6" name="Straight Connector 1195">
            <a:extLst>
              <a:ext uri="{FF2B5EF4-FFF2-40B4-BE49-F238E27FC236}">
                <a16:creationId xmlns:a16="http://schemas.microsoft.com/office/drawing/2014/main" id="{C202C86A-D36B-6B1A-A240-F8E1A96B1F81}"/>
              </a:ext>
            </a:extLst>
          </xdr:cNvPr>
          <xdr:cNvCxnSpPr/>
        </xdr:nvCxnSpPr>
        <xdr:spPr>
          <a:xfrm>
            <a:off x="1395413" y="2428875"/>
            <a:ext cx="14239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7" name="Straight Connector 1196">
            <a:extLst>
              <a:ext uri="{FF2B5EF4-FFF2-40B4-BE49-F238E27FC236}">
                <a16:creationId xmlns:a16="http://schemas.microsoft.com/office/drawing/2014/main" id="{637481D4-1CA1-433D-D9B4-6D06B76E44B3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8" name="Straight Connector 1197">
            <a:extLst>
              <a:ext uri="{FF2B5EF4-FFF2-40B4-BE49-F238E27FC236}">
                <a16:creationId xmlns:a16="http://schemas.microsoft.com/office/drawing/2014/main" id="{22DC353E-DD09-9168-BF85-7083BFC4E75E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9" name="Straight Connector 1198">
            <a:extLst>
              <a:ext uri="{FF2B5EF4-FFF2-40B4-BE49-F238E27FC236}">
                <a16:creationId xmlns:a16="http://schemas.microsoft.com/office/drawing/2014/main" id="{3A815EBB-289C-E918-357E-6F96D793035E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1" name="Straight Connector 1200">
            <a:extLst>
              <a:ext uri="{FF2B5EF4-FFF2-40B4-BE49-F238E27FC236}">
                <a16:creationId xmlns:a16="http://schemas.microsoft.com/office/drawing/2014/main" id="{A98ABCBD-CD89-058C-D768-7610B411EDA9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3" name="Straight Connector 1202">
            <a:extLst>
              <a:ext uri="{FF2B5EF4-FFF2-40B4-BE49-F238E27FC236}">
                <a16:creationId xmlns:a16="http://schemas.microsoft.com/office/drawing/2014/main" id="{5F351339-6496-0254-E9B2-E0398816E61E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4" name="Straight Connector 1203">
            <a:extLst>
              <a:ext uri="{FF2B5EF4-FFF2-40B4-BE49-F238E27FC236}">
                <a16:creationId xmlns:a16="http://schemas.microsoft.com/office/drawing/2014/main" id="{D4D4165C-5D44-7BA7-9E54-799FC70F9856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5" name="Straight Connector 1204">
            <a:extLst>
              <a:ext uri="{FF2B5EF4-FFF2-40B4-BE49-F238E27FC236}">
                <a16:creationId xmlns:a16="http://schemas.microsoft.com/office/drawing/2014/main" id="{A66873B0-7BAE-5C35-C59B-17D61F61B677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6" name="Straight Connector 1205">
            <a:extLst>
              <a:ext uri="{FF2B5EF4-FFF2-40B4-BE49-F238E27FC236}">
                <a16:creationId xmlns:a16="http://schemas.microsoft.com/office/drawing/2014/main" id="{29179504-816F-89BD-239D-2E90A65E5CEF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1" name="Straight Connector 1230">
            <a:extLst>
              <a:ext uri="{FF2B5EF4-FFF2-40B4-BE49-F238E27FC236}">
                <a16:creationId xmlns:a16="http://schemas.microsoft.com/office/drawing/2014/main" id="{F62113FC-1D17-D936-BB65-5A9F65F8C5F3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161060</xdr:colOff>
      <xdr:row>1008</xdr:row>
      <xdr:rowOff>4762</xdr:rowOff>
    </xdr:from>
    <xdr:to>
      <xdr:col>51</xdr:col>
      <xdr:colOff>76961</xdr:colOff>
      <xdr:row>1020</xdr:row>
      <xdr:rowOff>90488</xdr:rowOff>
    </xdr:to>
    <xdr:grpSp>
      <xdr:nvGrpSpPr>
        <xdr:cNvPr id="1352" name="Group 1351">
          <a:extLst>
            <a:ext uri="{FF2B5EF4-FFF2-40B4-BE49-F238E27FC236}">
              <a16:creationId xmlns:a16="http://schemas.microsoft.com/office/drawing/2014/main" id="{32B6E893-2DA4-3142-2B42-702954FACDF9}"/>
            </a:ext>
          </a:extLst>
        </xdr:cNvPr>
        <xdr:cNvGrpSpPr/>
      </xdr:nvGrpSpPr>
      <xdr:grpSpPr>
        <a:xfrm>
          <a:off x="4209185" y="152271412"/>
          <a:ext cx="4125951" cy="1800226"/>
          <a:chOff x="4209185" y="150556912"/>
          <a:chExt cx="4125951" cy="1800226"/>
        </a:xfrm>
      </xdr:grpSpPr>
      <xdr:cxnSp macro="">
        <xdr:nvCxnSpPr>
          <xdr:cNvPr id="920" name="Straight Arrow Connector 919">
            <a:extLst>
              <a:ext uri="{FF2B5EF4-FFF2-40B4-BE49-F238E27FC236}">
                <a16:creationId xmlns:a16="http://schemas.microsoft.com/office/drawing/2014/main" id="{37CC5389-4FD0-1264-3329-30EE103A2E37}"/>
              </a:ext>
            </a:extLst>
          </xdr:cNvPr>
          <xdr:cNvCxnSpPr/>
        </xdr:nvCxnSpPr>
        <xdr:spPr>
          <a:xfrm>
            <a:off x="8258181" y="15087600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B14B72BB-D30B-80C2-963D-810869A0237B}"/>
              </a:ext>
            </a:extLst>
          </xdr:cNvPr>
          <xdr:cNvSpPr/>
        </xdr:nvSpPr>
        <xdr:spPr>
          <a:xfrm>
            <a:off x="4376738" y="150980775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79" name="Straight Connector 978">
            <a:extLst>
              <a:ext uri="{FF2B5EF4-FFF2-40B4-BE49-F238E27FC236}">
                <a16:creationId xmlns:a16="http://schemas.microsoft.com/office/drawing/2014/main" id="{40605BF1-3CC5-89D7-038D-FA631F6FE2B7}"/>
              </a:ext>
            </a:extLst>
          </xdr:cNvPr>
          <xdr:cNvCxnSpPr/>
        </xdr:nvCxnSpPr>
        <xdr:spPr>
          <a:xfrm>
            <a:off x="4533900" y="150980775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1" name="Straight Connector 980">
            <a:extLst>
              <a:ext uri="{FF2B5EF4-FFF2-40B4-BE49-F238E27FC236}">
                <a16:creationId xmlns:a16="http://schemas.microsoft.com/office/drawing/2014/main" id="{D037F8B0-3A70-2D53-0547-2BF82E363785}"/>
              </a:ext>
            </a:extLst>
          </xdr:cNvPr>
          <xdr:cNvCxnSpPr/>
        </xdr:nvCxnSpPr>
        <xdr:spPr>
          <a:xfrm>
            <a:off x="4533900" y="151123650"/>
            <a:ext cx="371951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3" name="Straight Arrow Connector 982">
            <a:extLst>
              <a:ext uri="{FF2B5EF4-FFF2-40B4-BE49-F238E27FC236}">
                <a16:creationId xmlns:a16="http://schemas.microsoft.com/office/drawing/2014/main" id="{C4E955FB-41C1-22B1-42D7-41A9B039B502}"/>
              </a:ext>
            </a:extLst>
          </xdr:cNvPr>
          <xdr:cNvCxnSpPr/>
        </xdr:nvCxnSpPr>
        <xdr:spPr>
          <a:xfrm>
            <a:off x="5991231" y="15088076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5" name="Straight Arrow Connector 984">
            <a:extLst>
              <a:ext uri="{FF2B5EF4-FFF2-40B4-BE49-F238E27FC236}">
                <a16:creationId xmlns:a16="http://schemas.microsoft.com/office/drawing/2014/main" id="{82FC5C63-7714-A266-E40C-EA943D8923BF}"/>
              </a:ext>
            </a:extLst>
          </xdr:cNvPr>
          <xdr:cNvCxnSpPr/>
        </xdr:nvCxnSpPr>
        <xdr:spPr>
          <a:xfrm>
            <a:off x="6153156" y="15088076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6" name="Straight Arrow Connector 985">
            <a:extLst>
              <a:ext uri="{FF2B5EF4-FFF2-40B4-BE49-F238E27FC236}">
                <a16:creationId xmlns:a16="http://schemas.microsoft.com/office/drawing/2014/main" id="{CDBD71FD-A1A9-FD8A-0FF6-7055E13DB857}"/>
              </a:ext>
            </a:extLst>
          </xdr:cNvPr>
          <xdr:cNvCxnSpPr/>
        </xdr:nvCxnSpPr>
        <xdr:spPr>
          <a:xfrm>
            <a:off x="6315081" y="15087600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7" name="Straight Connector 986">
            <a:extLst>
              <a:ext uri="{FF2B5EF4-FFF2-40B4-BE49-F238E27FC236}">
                <a16:creationId xmlns:a16="http://schemas.microsoft.com/office/drawing/2014/main" id="{DAD98D91-2415-F331-07F0-165CCC58E579}"/>
              </a:ext>
            </a:extLst>
          </xdr:cNvPr>
          <xdr:cNvCxnSpPr/>
        </xdr:nvCxnSpPr>
        <xdr:spPr>
          <a:xfrm>
            <a:off x="5829307" y="150876000"/>
            <a:ext cx="24384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9" name="Straight Arrow Connector 988">
            <a:extLst>
              <a:ext uri="{FF2B5EF4-FFF2-40B4-BE49-F238E27FC236}">
                <a16:creationId xmlns:a16="http://schemas.microsoft.com/office/drawing/2014/main" id="{77CE0840-7633-A267-E996-A2B23929878F}"/>
              </a:ext>
            </a:extLst>
          </xdr:cNvPr>
          <xdr:cNvCxnSpPr/>
        </xdr:nvCxnSpPr>
        <xdr:spPr>
          <a:xfrm>
            <a:off x="6477006" y="15088076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0" name="Straight Arrow Connector 989">
            <a:extLst>
              <a:ext uri="{FF2B5EF4-FFF2-40B4-BE49-F238E27FC236}">
                <a16:creationId xmlns:a16="http://schemas.microsoft.com/office/drawing/2014/main" id="{DD0139E7-4C11-5E88-858E-EB063613E521}"/>
              </a:ext>
            </a:extLst>
          </xdr:cNvPr>
          <xdr:cNvCxnSpPr/>
        </xdr:nvCxnSpPr>
        <xdr:spPr>
          <a:xfrm>
            <a:off x="6638931" y="15088076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1" name="Straight Arrow Connector 990">
            <a:extLst>
              <a:ext uri="{FF2B5EF4-FFF2-40B4-BE49-F238E27FC236}">
                <a16:creationId xmlns:a16="http://schemas.microsoft.com/office/drawing/2014/main" id="{9B8D5E36-1909-A56F-CFEE-91CF9AE11D67}"/>
              </a:ext>
            </a:extLst>
          </xdr:cNvPr>
          <xdr:cNvCxnSpPr/>
        </xdr:nvCxnSpPr>
        <xdr:spPr>
          <a:xfrm>
            <a:off x="6800856" y="15087600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2" name="Straight Arrow Connector 991">
            <a:extLst>
              <a:ext uri="{FF2B5EF4-FFF2-40B4-BE49-F238E27FC236}">
                <a16:creationId xmlns:a16="http://schemas.microsoft.com/office/drawing/2014/main" id="{8E61658E-9A6C-2D7E-4926-BF79EF48AC7D}"/>
              </a:ext>
            </a:extLst>
          </xdr:cNvPr>
          <xdr:cNvCxnSpPr/>
        </xdr:nvCxnSpPr>
        <xdr:spPr>
          <a:xfrm>
            <a:off x="6962781" y="15088076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2" name="Straight Arrow Connector 1001">
            <a:extLst>
              <a:ext uri="{FF2B5EF4-FFF2-40B4-BE49-F238E27FC236}">
                <a16:creationId xmlns:a16="http://schemas.microsoft.com/office/drawing/2014/main" id="{F38616C3-D484-38BC-592D-B5F63FC7F865}"/>
              </a:ext>
            </a:extLst>
          </xdr:cNvPr>
          <xdr:cNvCxnSpPr/>
        </xdr:nvCxnSpPr>
        <xdr:spPr>
          <a:xfrm>
            <a:off x="7124706" y="15088076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8" name="Straight Arrow Connector 1007">
            <a:extLst>
              <a:ext uri="{FF2B5EF4-FFF2-40B4-BE49-F238E27FC236}">
                <a16:creationId xmlns:a16="http://schemas.microsoft.com/office/drawing/2014/main" id="{5BCFB5A8-2E26-ED83-7ED4-70B95EA4CA16}"/>
              </a:ext>
            </a:extLst>
          </xdr:cNvPr>
          <xdr:cNvCxnSpPr/>
        </xdr:nvCxnSpPr>
        <xdr:spPr>
          <a:xfrm>
            <a:off x="7286631" y="15088076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9" name="Straight Arrow Connector 1008">
            <a:extLst>
              <a:ext uri="{FF2B5EF4-FFF2-40B4-BE49-F238E27FC236}">
                <a16:creationId xmlns:a16="http://schemas.microsoft.com/office/drawing/2014/main" id="{6B446C31-6D21-82D6-4DC2-683D9C469DDA}"/>
              </a:ext>
            </a:extLst>
          </xdr:cNvPr>
          <xdr:cNvCxnSpPr/>
        </xdr:nvCxnSpPr>
        <xdr:spPr>
          <a:xfrm>
            <a:off x="7448556" y="15087600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7" name="Straight Arrow Connector 1106">
            <a:extLst>
              <a:ext uri="{FF2B5EF4-FFF2-40B4-BE49-F238E27FC236}">
                <a16:creationId xmlns:a16="http://schemas.microsoft.com/office/drawing/2014/main" id="{85FFAE14-A705-EEC4-0B78-7A699282C6B2}"/>
              </a:ext>
            </a:extLst>
          </xdr:cNvPr>
          <xdr:cNvCxnSpPr/>
        </xdr:nvCxnSpPr>
        <xdr:spPr>
          <a:xfrm>
            <a:off x="7610481" y="15088076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8" name="Straight Arrow Connector 1117">
            <a:extLst>
              <a:ext uri="{FF2B5EF4-FFF2-40B4-BE49-F238E27FC236}">
                <a16:creationId xmlns:a16="http://schemas.microsoft.com/office/drawing/2014/main" id="{62D04AC3-919D-A055-BF0E-D86E0916DC12}"/>
              </a:ext>
            </a:extLst>
          </xdr:cNvPr>
          <xdr:cNvCxnSpPr/>
        </xdr:nvCxnSpPr>
        <xdr:spPr>
          <a:xfrm>
            <a:off x="7772406" y="15088076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1" name="Straight Arrow Connector 1150">
            <a:extLst>
              <a:ext uri="{FF2B5EF4-FFF2-40B4-BE49-F238E27FC236}">
                <a16:creationId xmlns:a16="http://schemas.microsoft.com/office/drawing/2014/main" id="{E423334E-02AB-8028-834F-F9D8501B12F0}"/>
              </a:ext>
            </a:extLst>
          </xdr:cNvPr>
          <xdr:cNvCxnSpPr/>
        </xdr:nvCxnSpPr>
        <xdr:spPr>
          <a:xfrm>
            <a:off x="7934331" y="15087600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2" name="Straight Arrow Connector 1151">
            <a:extLst>
              <a:ext uri="{FF2B5EF4-FFF2-40B4-BE49-F238E27FC236}">
                <a16:creationId xmlns:a16="http://schemas.microsoft.com/office/drawing/2014/main" id="{D3114067-B9D6-93C9-2AEE-8E4AAECF1194}"/>
              </a:ext>
            </a:extLst>
          </xdr:cNvPr>
          <xdr:cNvCxnSpPr/>
        </xdr:nvCxnSpPr>
        <xdr:spPr>
          <a:xfrm>
            <a:off x="8096256" y="15088076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3" name="Straight Connector 1152">
            <a:extLst>
              <a:ext uri="{FF2B5EF4-FFF2-40B4-BE49-F238E27FC236}">
                <a16:creationId xmlns:a16="http://schemas.microsoft.com/office/drawing/2014/main" id="{DDF4BBB1-86D8-6333-EB64-B3C6D1C9B446}"/>
              </a:ext>
            </a:extLst>
          </xdr:cNvPr>
          <xdr:cNvCxnSpPr/>
        </xdr:nvCxnSpPr>
        <xdr:spPr>
          <a:xfrm>
            <a:off x="7196144" y="150828378"/>
            <a:ext cx="85725" cy="12382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54" name="Arc 1153">
            <a:extLst>
              <a:ext uri="{FF2B5EF4-FFF2-40B4-BE49-F238E27FC236}">
                <a16:creationId xmlns:a16="http://schemas.microsoft.com/office/drawing/2014/main" id="{031558E9-B277-0445-4528-B955AA30B6F6}"/>
              </a:ext>
            </a:extLst>
          </xdr:cNvPr>
          <xdr:cNvSpPr/>
        </xdr:nvSpPr>
        <xdr:spPr>
          <a:xfrm rot="13409232">
            <a:off x="4209185" y="150851323"/>
            <a:ext cx="554180" cy="554180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155" name="Straight Connector 1154">
            <a:extLst>
              <a:ext uri="{FF2B5EF4-FFF2-40B4-BE49-F238E27FC236}">
                <a16:creationId xmlns:a16="http://schemas.microsoft.com/office/drawing/2014/main" id="{91542548-AD22-90C9-0819-4AEBDE0353DB}"/>
              </a:ext>
            </a:extLst>
          </xdr:cNvPr>
          <xdr:cNvCxnSpPr/>
        </xdr:nvCxnSpPr>
        <xdr:spPr>
          <a:xfrm>
            <a:off x="4533901" y="151304622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7" name="Straight Arrow Connector 1166">
            <a:extLst>
              <a:ext uri="{FF2B5EF4-FFF2-40B4-BE49-F238E27FC236}">
                <a16:creationId xmlns:a16="http://schemas.microsoft.com/office/drawing/2014/main" id="{25C55061-AF53-D6D4-C1B6-C9BFF368BB65}"/>
              </a:ext>
            </a:extLst>
          </xdr:cNvPr>
          <xdr:cNvCxnSpPr/>
        </xdr:nvCxnSpPr>
        <xdr:spPr>
          <a:xfrm>
            <a:off x="4538662" y="151490362"/>
            <a:ext cx="433388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0" name="Straight Connector 1169">
            <a:extLst>
              <a:ext uri="{FF2B5EF4-FFF2-40B4-BE49-F238E27FC236}">
                <a16:creationId xmlns:a16="http://schemas.microsoft.com/office/drawing/2014/main" id="{08FA6EC4-FD04-FB6B-FB0A-786532E88C92}"/>
              </a:ext>
            </a:extLst>
          </xdr:cNvPr>
          <xdr:cNvCxnSpPr/>
        </xdr:nvCxnSpPr>
        <xdr:spPr>
          <a:xfrm>
            <a:off x="4533900" y="151842788"/>
            <a:ext cx="0" cy="5095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1" name="Straight Connector 1170">
            <a:extLst>
              <a:ext uri="{FF2B5EF4-FFF2-40B4-BE49-F238E27FC236}">
                <a16:creationId xmlns:a16="http://schemas.microsoft.com/office/drawing/2014/main" id="{C6C3FD10-C68F-69E7-2808-CEBC1D74ECD0}"/>
              </a:ext>
            </a:extLst>
          </xdr:cNvPr>
          <xdr:cNvCxnSpPr/>
        </xdr:nvCxnSpPr>
        <xdr:spPr>
          <a:xfrm>
            <a:off x="4457698" y="151980900"/>
            <a:ext cx="38623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2" name="Straight Connector 1171">
            <a:extLst>
              <a:ext uri="{FF2B5EF4-FFF2-40B4-BE49-F238E27FC236}">
                <a16:creationId xmlns:a16="http://schemas.microsoft.com/office/drawing/2014/main" id="{D91A5D97-CFDA-EDF1-FD46-28DAD85E3D24}"/>
              </a:ext>
            </a:extLst>
          </xdr:cNvPr>
          <xdr:cNvCxnSpPr/>
        </xdr:nvCxnSpPr>
        <xdr:spPr>
          <a:xfrm flipH="1">
            <a:off x="4495799" y="15194756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3" name="Straight Connector 1172">
            <a:extLst>
              <a:ext uri="{FF2B5EF4-FFF2-40B4-BE49-F238E27FC236}">
                <a16:creationId xmlns:a16="http://schemas.microsoft.com/office/drawing/2014/main" id="{4512C4D6-9EBC-58EB-6E62-23A984D2D499}"/>
              </a:ext>
            </a:extLst>
          </xdr:cNvPr>
          <xdr:cNvCxnSpPr/>
        </xdr:nvCxnSpPr>
        <xdr:spPr>
          <a:xfrm>
            <a:off x="8258175" y="151842788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5" name="Straight Connector 1174">
            <a:extLst>
              <a:ext uri="{FF2B5EF4-FFF2-40B4-BE49-F238E27FC236}">
                <a16:creationId xmlns:a16="http://schemas.microsoft.com/office/drawing/2014/main" id="{BA1C6D1D-EF10-2F89-A67A-13FAE093ED17}"/>
              </a:ext>
            </a:extLst>
          </xdr:cNvPr>
          <xdr:cNvCxnSpPr/>
        </xdr:nvCxnSpPr>
        <xdr:spPr>
          <a:xfrm flipH="1">
            <a:off x="8220074" y="15194756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6" name="Straight Connector 1175">
            <a:extLst>
              <a:ext uri="{FF2B5EF4-FFF2-40B4-BE49-F238E27FC236}">
                <a16:creationId xmlns:a16="http://schemas.microsoft.com/office/drawing/2014/main" id="{30B12807-495B-BB59-A3D7-08CC68D61FAC}"/>
              </a:ext>
            </a:extLst>
          </xdr:cNvPr>
          <xdr:cNvCxnSpPr/>
        </xdr:nvCxnSpPr>
        <xdr:spPr>
          <a:xfrm>
            <a:off x="8262938" y="151290335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9" name="Straight Connector 1178">
            <a:extLst>
              <a:ext uri="{FF2B5EF4-FFF2-40B4-BE49-F238E27FC236}">
                <a16:creationId xmlns:a16="http://schemas.microsoft.com/office/drawing/2014/main" id="{9D7A9BFD-C050-71EF-D8A4-2B158B3DC552}"/>
              </a:ext>
            </a:extLst>
          </xdr:cNvPr>
          <xdr:cNvCxnSpPr/>
        </xdr:nvCxnSpPr>
        <xdr:spPr>
          <a:xfrm>
            <a:off x="5829300" y="151418925"/>
            <a:ext cx="0" cy="628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0" name="Straight Connector 1179">
            <a:extLst>
              <a:ext uri="{FF2B5EF4-FFF2-40B4-BE49-F238E27FC236}">
                <a16:creationId xmlns:a16="http://schemas.microsoft.com/office/drawing/2014/main" id="{1BDAF8F1-4B96-68FC-6C8E-D403539C4E03}"/>
              </a:ext>
            </a:extLst>
          </xdr:cNvPr>
          <xdr:cNvCxnSpPr/>
        </xdr:nvCxnSpPr>
        <xdr:spPr>
          <a:xfrm flipH="1">
            <a:off x="5791199" y="15194756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1" name="Straight Arrow Connector 1180">
            <a:extLst>
              <a:ext uri="{FF2B5EF4-FFF2-40B4-BE49-F238E27FC236}">
                <a16:creationId xmlns:a16="http://schemas.microsoft.com/office/drawing/2014/main" id="{59638937-5C0B-369C-2685-5D90D6DF2EF0}"/>
              </a:ext>
            </a:extLst>
          </xdr:cNvPr>
          <xdr:cNvCxnSpPr/>
        </xdr:nvCxnSpPr>
        <xdr:spPr>
          <a:xfrm>
            <a:off x="5834063" y="150556912"/>
            <a:ext cx="0" cy="56197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3" name="Straight Connector 1182">
            <a:extLst>
              <a:ext uri="{FF2B5EF4-FFF2-40B4-BE49-F238E27FC236}">
                <a16:creationId xmlns:a16="http://schemas.microsoft.com/office/drawing/2014/main" id="{97B1F00C-EA50-C9CA-380D-1BCD4CD4294F}"/>
              </a:ext>
            </a:extLst>
          </xdr:cNvPr>
          <xdr:cNvCxnSpPr/>
        </xdr:nvCxnSpPr>
        <xdr:spPr>
          <a:xfrm>
            <a:off x="4457699" y="152266650"/>
            <a:ext cx="38623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4" name="Straight Connector 1183">
            <a:extLst>
              <a:ext uri="{FF2B5EF4-FFF2-40B4-BE49-F238E27FC236}">
                <a16:creationId xmlns:a16="http://schemas.microsoft.com/office/drawing/2014/main" id="{12CEC13E-8356-BB42-7495-178D9461DB20}"/>
              </a:ext>
            </a:extLst>
          </xdr:cNvPr>
          <xdr:cNvCxnSpPr/>
        </xdr:nvCxnSpPr>
        <xdr:spPr>
          <a:xfrm flipH="1">
            <a:off x="4495800" y="15223331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6" name="Straight Connector 1185">
            <a:extLst>
              <a:ext uri="{FF2B5EF4-FFF2-40B4-BE49-F238E27FC236}">
                <a16:creationId xmlns:a16="http://schemas.microsoft.com/office/drawing/2014/main" id="{5494095D-23DC-55D9-F6B1-E9F0992925D7}"/>
              </a:ext>
            </a:extLst>
          </xdr:cNvPr>
          <xdr:cNvCxnSpPr/>
        </xdr:nvCxnSpPr>
        <xdr:spPr>
          <a:xfrm flipH="1">
            <a:off x="8220075" y="15223331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45" name="Isosceles Triangle 1344">
            <a:extLst>
              <a:ext uri="{FF2B5EF4-FFF2-40B4-BE49-F238E27FC236}">
                <a16:creationId xmlns:a16="http://schemas.microsoft.com/office/drawing/2014/main" id="{8FC15472-E129-41CF-954C-CF684F35A9CB}"/>
              </a:ext>
            </a:extLst>
          </xdr:cNvPr>
          <xdr:cNvSpPr/>
        </xdr:nvSpPr>
        <xdr:spPr>
          <a:xfrm>
            <a:off x="8191500" y="151123650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27</xdr:col>
      <xdr:colOff>0</xdr:colOff>
      <xdr:row>1022</xdr:row>
      <xdr:rowOff>9524</xdr:rowOff>
    </xdr:from>
    <xdr:to>
      <xdr:col>51</xdr:col>
      <xdr:colOff>57911</xdr:colOff>
      <xdr:row>1024</xdr:row>
      <xdr:rowOff>19049</xdr:rowOff>
    </xdr:to>
    <xdr:grpSp>
      <xdr:nvGrpSpPr>
        <xdr:cNvPr id="1351" name="Group 1350">
          <a:extLst>
            <a:ext uri="{FF2B5EF4-FFF2-40B4-BE49-F238E27FC236}">
              <a16:creationId xmlns:a16="http://schemas.microsoft.com/office/drawing/2014/main" id="{106FBB96-5308-3DE9-1E3B-BD55829BA582}"/>
            </a:ext>
          </a:extLst>
        </xdr:cNvPr>
        <xdr:cNvGrpSpPr/>
      </xdr:nvGrpSpPr>
      <xdr:grpSpPr>
        <a:xfrm>
          <a:off x="4371975" y="154276424"/>
          <a:ext cx="3944111" cy="295275"/>
          <a:chOff x="4371975" y="152561924"/>
          <a:chExt cx="3944111" cy="295275"/>
        </a:xfrm>
      </xdr:grpSpPr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4E5CBCD3-68F1-4942-B83C-377BFF95233F}"/>
              </a:ext>
            </a:extLst>
          </xdr:cNvPr>
          <xdr:cNvSpPr/>
        </xdr:nvSpPr>
        <xdr:spPr>
          <a:xfrm>
            <a:off x="4371975" y="152561924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65" name="Straight Connector 1264">
            <a:extLst>
              <a:ext uri="{FF2B5EF4-FFF2-40B4-BE49-F238E27FC236}">
                <a16:creationId xmlns:a16="http://schemas.microsoft.com/office/drawing/2014/main" id="{0CDF9984-4FF6-4124-BEE7-3B6534A1F0A6}"/>
              </a:ext>
            </a:extLst>
          </xdr:cNvPr>
          <xdr:cNvCxnSpPr/>
        </xdr:nvCxnSpPr>
        <xdr:spPr>
          <a:xfrm>
            <a:off x="4529137" y="152561924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0" name="Straight Connector 1339">
            <a:extLst>
              <a:ext uri="{FF2B5EF4-FFF2-40B4-BE49-F238E27FC236}">
                <a16:creationId xmlns:a16="http://schemas.microsoft.com/office/drawing/2014/main" id="{4AFCE683-BF5A-4C10-8DEC-F65815CB94D9}"/>
              </a:ext>
            </a:extLst>
          </xdr:cNvPr>
          <xdr:cNvCxnSpPr/>
        </xdr:nvCxnSpPr>
        <xdr:spPr>
          <a:xfrm>
            <a:off x="4529137" y="152704799"/>
            <a:ext cx="371951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48" name="Isosceles Triangle 1347">
            <a:extLst>
              <a:ext uri="{FF2B5EF4-FFF2-40B4-BE49-F238E27FC236}">
                <a16:creationId xmlns:a16="http://schemas.microsoft.com/office/drawing/2014/main" id="{557D7E8B-E09F-4B87-8128-D29028A992C2}"/>
              </a:ext>
            </a:extLst>
          </xdr:cNvPr>
          <xdr:cNvSpPr/>
        </xdr:nvSpPr>
        <xdr:spPr>
          <a:xfrm>
            <a:off x="8172450" y="152704800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80963</xdr:colOff>
      <xdr:row>1045</xdr:row>
      <xdr:rowOff>66675</xdr:rowOff>
    </xdr:from>
    <xdr:to>
      <xdr:col>7</xdr:col>
      <xdr:colOff>133350</xdr:colOff>
      <xdr:row>1045</xdr:row>
      <xdr:rowOff>66675</xdr:rowOff>
    </xdr:to>
    <xdr:cxnSp macro="">
      <xdr:nvCxnSpPr>
        <xdr:cNvPr id="1356" name="Straight Arrow Connector 1355">
          <a:extLst>
            <a:ext uri="{FF2B5EF4-FFF2-40B4-BE49-F238E27FC236}">
              <a16:creationId xmlns:a16="http://schemas.microsoft.com/office/drawing/2014/main" id="{453F318D-0AFF-4084-B18F-C3924CDB222A}"/>
            </a:ext>
          </a:extLst>
        </xdr:cNvPr>
        <xdr:cNvCxnSpPr/>
      </xdr:nvCxnSpPr>
      <xdr:spPr>
        <a:xfrm>
          <a:off x="1052513" y="1377886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1046</xdr:row>
      <xdr:rowOff>66675</xdr:rowOff>
    </xdr:from>
    <xdr:to>
      <xdr:col>7</xdr:col>
      <xdr:colOff>133350</xdr:colOff>
      <xdr:row>1046</xdr:row>
      <xdr:rowOff>66675</xdr:rowOff>
    </xdr:to>
    <xdr:cxnSp macro="">
      <xdr:nvCxnSpPr>
        <xdr:cNvPr id="1396" name="Straight Arrow Connector 1395">
          <a:extLst>
            <a:ext uri="{FF2B5EF4-FFF2-40B4-BE49-F238E27FC236}">
              <a16:creationId xmlns:a16="http://schemas.microsoft.com/office/drawing/2014/main" id="{6D1BCD54-0071-48D7-B58F-7BB03A5D5ED7}"/>
            </a:ext>
          </a:extLst>
        </xdr:cNvPr>
        <xdr:cNvCxnSpPr/>
      </xdr:nvCxnSpPr>
      <xdr:spPr>
        <a:xfrm>
          <a:off x="1052513" y="1379315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1047</xdr:row>
      <xdr:rowOff>66675</xdr:rowOff>
    </xdr:from>
    <xdr:to>
      <xdr:col>7</xdr:col>
      <xdr:colOff>133350</xdr:colOff>
      <xdr:row>1047</xdr:row>
      <xdr:rowOff>66675</xdr:rowOff>
    </xdr:to>
    <xdr:cxnSp macro="">
      <xdr:nvCxnSpPr>
        <xdr:cNvPr id="1397" name="Straight Arrow Connector 1396">
          <a:extLst>
            <a:ext uri="{FF2B5EF4-FFF2-40B4-BE49-F238E27FC236}">
              <a16:creationId xmlns:a16="http://schemas.microsoft.com/office/drawing/2014/main" id="{4076B463-FF8D-4945-99E0-BEC290786620}"/>
            </a:ext>
          </a:extLst>
        </xdr:cNvPr>
        <xdr:cNvCxnSpPr/>
      </xdr:nvCxnSpPr>
      <xdr:spPr>
        <a:xfrm>
          <a:off x="1052513" y="1380744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80963</xdr:colOff>
      <xdr:row>1050</xdr:row>
      <xdr:rowOff>66675</xdr:rowOff>
    </xdr:from>
    <xdr:to>
      <xdr:col>26</xdr:col>
      <xdr:colOff>133350</xdr:colOff>
      <xdr:row>1050</xdr:row>
      <xdr:rowOff>66675</xdr:rowOff>
    </xdr:to>
    <xdr:cxnSp macro="">
      <xdr:nvCxnSpPr>
        <xdr:cNvPr id="1398" name="Straight Arrow Connector 1397">
          <a:extLst>
            <a:ext uri="{FF2B5EF4-FFF2-40B4-BE49-F238E27FC236}">
              <a16:creationId xmlns:a16="http://schemas.microsoft.com/office/drawing/2014/main" id="{28760420-48A6-4B7D-A7FE-D28E06C14BF9}"/>
            </a:ext>
          </a:extLst>
        </xdr:cNvPr>
        <xdr:cNvCxnSpPr/>
      </xdr:nvCxnSpPr>
      <xdr:spPr>
        <a:xfrm>
          <a:off x="1052513" y="1540478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1066</xdr:row>
      <xdr:rowOff>66674</xdr:rowOff>
    </xdr:from>
    <xdr:to>
      <xdr:col>15</xdr:col>
      <xdr:colOff>57150</xdr:colOff>
      <xdr:row>1080</xdr:row>
      <xdr:rowOff>76200</xdr:rowOff>
    </xdr:to>
    <xdr:grpSp>
      <xdr:nvGrpSpPr>
        <xdr:cNvPr id="1431" name="Group 1430">
          <a:extLst>
            <a:ext uri="{FF2B5EF4-FFF2-40B4-BE49-F238E27FC236}">
              <a16:creationId xmlns:a16="http://schemas.microsoft.com/office/drawing/2014/main" id="{EA946E56-76E7-4731-86BB-DBBEFB603409}"/>
            </a:ext>
          </a:extLst>
        </xdr:cNvPr>
        <xdr:cNvGrpSpPr/>
      </xdr:nvGrpSpPr>
      <xdr:grpSpPr>
        <a:xfrm>
          <a:off x="419100" y="161105849"/>
          <a:ext cx="2066925" cy="2009776"/>
          <a:chOff x="1066800" y="495299"/>
          <a:chExt cx="2066925" cy="2009776"/>
        </a:xfrm>
      </xdr:grpSpPr>
      <xdr:grpSp>
        <xdr:nvGrpSpPr>
          <xdr:cNvPr id="1432" name="Group 1431">
            <a:extLst>
              <a:ext uri="{FF2B5EF4-FFF2-40B4-BE49-F238E27FC236}">
                <a16:creationId xmlns:a16="http://schemas.microsoft.com/office/drawing/2014/main" id="{4A8817A4-7837-5553-7755-B3A9043062A5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1451" name="Straight Connector 1450">
              <a:extLst>
                <a:ext uri="{FF2B5EF4-FFF2-40B4-BE49-F238E27FC236}">
                  <a16:creationId xmlns:a16="http://schemas.microsoft.com/office/drawing/2014/main" id="{FD591458-4FC6-FB48-F60A-A0551A71CF51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52" name="Straight Connector 1451">
              <a:extLst>
                <a:ext uri="{FF2B5EF4-FFF2-40B4-BE49-F238E27FC236}">
                  <a16:creationId xmlns:a16="http://schemas.microsoft.com/office/drawing/2014/main" id="{F3D7EE1C-A88E-A6B9-B145-5C08FE8BD36A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53" name="Straight Connector 1452">
              <a:extLst>
                <a:ext uri="{FF2B5EF4-FFF2-40B4-BE49-F238E27FC236}">
                  <a16:creationId xmlns:a16="http://schemas.microsoft.com/office/drawing/2014/main" id="{466E4984-DA96-3529-4FDD-399262D0F9A7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54" name="Arc 1453">
              <a:extLst>
                <a:ext uri="{FF2B5EF4-FFF2-40B4-BE49-F238E27FC236}">
                  <a16:creationId xmlns:a16="http://schemas.microsoft.com/office/drawing/2014/main" id="{F3044524-B03D-563B-1D42-EFF5C1A77B48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55" name="Straight Connector 1454">
              <a:extLst>
                <a:ext uri="{FF2B5EF4-FFF2-40B4-BE49-F238E27FC236}">
                  <a16:creationId xmlns:a16="http://schemas.microsoft.com/office/drawing/2014/main" id="{79F12268-8C02-342A-644C-9AFBDB8BAE6F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56" name="Straight Connector 1455">
              <a:extLst>
                <a:ext uri="{FF2B5EF4-FFF2-40B4-BE49-F238E27FC236}">
                  <a16:creationId xmlns:a16="http://schemas.microsoft.com/office/drawing/2014/main" id="{29A4119A-4ADC-CF38-7479-0794639E5759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57" name="Straight Connector 1456">
              <a:extLst>
                <a:ext uri="{FF2B5EF4-FFF2-40B4-BE49-F238E27FC236}">
                  <a16:creationId xmlns:a16="http://schemas.microsoft.com/office/drawing/2014/main" id="{6CCE3E04-DCF0-8D1A-DA7E-F573520494F7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58" name="Straight Connector 1457">
              <a:extLst>
                <a:ext uri="{FF2B5EF4-FFF2-40B4-BE49-F238E27FC236}">
                  <a16:creationId xmlns:a16="http://schemas.microsoft.com/office/drawing/2014/main" id="{5A4ABAB4-DA76-54C2-A7E6-F7382433B44F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59" name="Arc 1458">
              <a:extLst>
                <a:ext uri="{FF2B5EF4-FFF2-40B4-BE49-F238E27FC236}">
                  <a16:creationId xmlns:a16="http://schemas.microsoft.com/office/drawing/2014/main" id="{2AA8DE1C-C5FD-96CC-81CF-D32FF3C0C2A4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60" name="Straight Connector 1459">
              <a:extLst>
                <a:ext uri="{FF2B5EF4-FFF2-40B4-BE49-F238E27FC236}">
                  <a16:creationId xmlns:a16="http://schemas.microsoft.com/office/drawing/2014/main" id="{F97E0F36-9CD9-7BF5-C9F0-59A4F6B65C53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61" name="Straight Connector 1460">
              <a:extLst>
                <a:ext uri="{FF2B5EF4-FFF2-40B4-BE49-F238E27FC236}">
                  <a16:creationId xmlns:a16="http://schemas.microsoft.com/office/drawing/2014/main" id="{C760E9FC-0652-4BE3-38E8-EF39BFC36A91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62" name="Straight Connector 1461">
              <a:extLst>
                <a:ext uri="{FF2B5EF4-FFF2-40B4-BE49-F238E27FC236}">
                  <a16:creationId xmlns:a16="http://schemas.microsoft.com/office/drawing/2014/main" id="{2B5759CC-D9B2-DCA6-73D5-BB311FB6B859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63" name="Straight Connector 1462">
              <a:extLst>
                <a:ext uri="{FF2B5EF4-FFF2-40B4-BE49-F238E27FC236}">
                  <a16:creationId xmlns:a16="http://schemas.microsoft.com/office/drawing/2014/main" id="{1A256D7E-1313-609E-7670-46128BD563F3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64" name="Straight Connector 1463">
              <a:extLst>
                <a:ext uri="{FF2B5EF4-FFF2-40B4-BE49-F238E27FC236}">
                  <a16:creationId xmlns:a16="http://schemas.microsoft.com/office/drawing/2014/main" id="{EEE5F54B-50EF-783E-D5C7-BD4DF656A098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65" name="Arc 1464">
              <a:extLst>
                <a:ext uri="{FF2B5EF4-FFF2-40B4-BE49-F238E27FC236}">
                  <a16:creationId xmlns:a16="http://schemas.microsoft.com/office/drawing/2014/main" id="{0E0EB75A-DFD7-144C-FCF5-3AB9241EA8F2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466" name="Arc 1465">
              <a:extLst>
                <a:ext uri="{FF2B5EF4-FFF2-40B4-BE49-F238E27FC236}">
                  <a16:creationId xmlns:a16="http://schemas.microsoft.com/office/drawing/2014/main" id="{77CF1DC9-7811-3992-5747-FC9C6C10B81B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1433" name="Straight Connector 1432">
            <a:extLst>
              <a:ext uri="{FF2B5EF4-FFF2-40B4-BE49-F238E27FC236}">
                <a16:creationId xmlns:a16="http://schemas.microsoft.com/office/drawing/2014/main" id="{CF7AD749-8EEE-FF59-860B-879D84EFF70D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4" name="Straight Connector 1433">
            <a:extLst>
              <a:ext uri="{FF2B5EF4-FFF2-40B4-BE49-F238E27FC236}">
                <a16:creationId xmlns:a16="http://schemas.microsoft.com/office/drawing/2014/main" id="{E2D3497C-77E8-3EB2-2507-D6B2259AEEF1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5" name="Straight Connector 1434">
            <a:extLst>
              <a:ext uri="{FF2B5EF4-FFF2-40B4-BE49-F238E27FC236}">
                <a16:creationId xmlns:a16="http://schemas.microsoft.com/office/drawing/2014/main" id="{BC9EC4E5-C313-D435-789C-B19CF8F7A1D7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6" name="Straight Connector 1435">
            <a:extLst>
              <a:ext uri="{FF2B5EF4-FFF2-40B4-BE49-F238E27FC236}">
                <a16:creationId xmlns:a16="http://schemas.microsoft.com/office/drawing/2014/main" id="{02A1BB15-DEAA-3164-6677-7D66787FDEF1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7" name="Straight Connector 1436">
            <a:extLst>
              <a:ext uri="{FF2B5EF4-FFF2-40B4-BE49-F238E27FC236}">
                <a16:creationId xmlns:a16="http://schemas.microsoft.com/office/drawing/2014/main" id="{11D14BDB-BA28-5243-F6FB-B4F2E5C0278B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9" name="Straight Connector 1438">
            <a:extLst>
              <a:ext uri="{FF2B5EF4-FFF2-40B4-BE49-F238E27FC236}">
                <a16:creationId xmlns:a16="http://schemas.microsoft.com/office/drawing/2014/main" id="{4CDE5586-C266-FF6B-9910-06F55075F865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0" name="Straight Connector 1439">
            <a:extLst>
              <a:ext uri="{FF2B5EF4-FFF2-40B4-BE49-F238E27FC236}">
                <a16:creationId xmlns:a16="http://schemas.microsoft.com/office/drawing/2014/main" id="{CA42EEB7-55A9-8FD1-C5A5-7FB5ED09E5EB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1" name="Straight Connector 1440">
            <a:extLst>
              <a:ext uri="{FF2B5EF4-FFF2-40B4-BE49-F238E27FC236}">
                <a16:creationId xmlns:a16="http://schemas.microsoft.com/office/drawing/2014/main" id="{8949BB04-0C17-4AAC-6021-9E7287980280}"/>
              </a:ext>
            </a:extLst>
          </xdr:cNvPr>
          <xdr:cNvCxnSpPr/>
        </xdr:nvCxnSpPr>
        <xdr:spPr>
          <a:xfrm>
            <a:off x="1395413" y="2428875"/>
            <a:ext cx="14239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2" name="Straight Connector 1441">
            <a:extLst>
              <a:ext uri="{FF2B5EF4-FFF2-40B4-BE49-F238E27FC236}">
                <a16:creationId xmlns:a16="http://schemas.microsoft.com/office/drawing/2014/main" id="{CA6CDCFF-553D-5076-43BC-170C8A50CC51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3" name="Straight Connector 1442">
            <a:extLst>
              <a:ext uri="{FF2B5EF4-FFF2-40B4-BE49-F238E27FC236}">
                <a16:creationId xmlns:a16="http://schemas.microsoft.com/office/drawing/2014/main" id="{33EA2B64-0E5D-79F1-2955-01AA544ED8B6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4" name="Straight Connector 1443">
            <a:extLst>
              <a:ext uri="{FF2B5EF4-FFF2-40B4-BE49-F238E27FC236}">
                <a16:creationId xmlns:a16="http://schemas.microsoft.com/office/drawing/2014/main" id="{D8112480-6D86-837E-5CC4-955337DBFB07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5" name="Straight Connector 1444">
            <a:extLst>
              <a:ext uri="{FF2B5EF4-FFF2-40B4-BE49-F238E27FC236}">
                <a16:creationId xmlns:a16="http://schemas.microsoft.com/office/drawing/2014/main" id="{3206A318-35C0-3D35-1A08-8430F1E5FE85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6" name="Straight Connector 1445">
            <a:extLst>
              <a:ext uri="{FF2B5EF4-FFF2-40B4-BE49-F238E27FC236}">
                <a16:creationId xmlns:a16="http://schemas.microsoft.com/office/drawing/2014/main" id="{BC7E9CF4-61B6-0F41-202B-52A72037721D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7" name="Straight Connector 1446">
            <a:extLst>
              <a:ext uri="{FF2B5EF4-FFF2-40B4-BE49-F238E27FC236}">
                <a16:creationId xmlns:a16="http://schemas.microsoft.com/office/drawing/2014/main" id="{8111C92F-5B1E-93C0-8AD8-FF44D38F5BA2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8" name="Straight Connector 1447">
            <a:extLst>
              <a:ext uri="{FF2B5EF4-FFF2-40B4-BE49-F238E27FC236}">
                <a16:creationId xmlns:a16="http://schemas.microsoft.com/office/drawing/2014/main" id="{C8ACDA81-04D6-B02F-9CAB-A3009FE609D7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9" name="Straight Connector 1448">
            <a:extLst>
              <a:ext uri="{FF2B5EF4-FFF2-40B4-BE49-F238E27FC236}">
                <a16:creationId xmlns:a16="http://schemas.microsoft.com/office/drawing/2014/main" id="{112C7344-8704-BD6B-2F64-646FB1F27834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0" name="Straight Connector 1449">
            <a:extLst>
              <a:ext uri="{FF2B5EF4-FFF2-40B4-BE49-F238E27FC236}">
                <a16:creationId xmlns:a16="http://schemas.microsoft.com/office/drawing/2014/main" id="{9D1B71EF-7E54-70FA-9CFD-8C450C2FD907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0</xdr:colOff>
      <xdr:row>1082</xdr:row>
      <xdr:rowOff>0</xdr:rowOff>
    </xdr:from>
    <xdr:to>
      <xdr:col>51</xdr:col>
      <xdr:colOff>157162</xdr:colOff>
      <xdr:row>1084</xdr:row>
      <xdr:rowOff>19049</xdr:rowOff>
    </xdr:to>
    <xdr:grpSp>
      <xdr:nvGrpSpPr>
        <xdr:cNvPr id="1787" name="Group 1786">
          <a:extLst>
            <a:ext uri="{FF2B5EF4-FFF2-40B4-BE49-F238E27FC236}">
              <a16:creationId xmlns:a16="http://schemas.microsoft.com/office/drawing/2014/main" id="{AF113FFD-9205-80ED-3622-FAEFA81B1A5C}"/>
            </a:ext>
          </a:extLst>
        </xdr:cNvPr>
        <xdr:cNvGrpSpPr/>
      </xdr:nvGrpSpPr>
      <xdr:grpSpPr>
        <a:xfrm>
          <a:off x="4371975" y="163325175"/>
          <a:ext cx="4043362" cy="304799"/>
          <a:chOff x="4371975" y="161610675"/>
          <a:chExt cx="4043362" cy="304799"/>
        </a:xfrm>
      </xdr:grpSpPr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545C336C-7086-4882-A1C1-3E35D8A3AA00}"/>
              </a:ext>
            </a:extLst>
          </xdr:cNvPr>
          <xdr:cNvSpPr/>
        </xdr:nvSpPr>
        <xdr:spPr>
          <a:xfrm>
            <a:off x="4371975" y="161620199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68" name="Straight Connector 1467">
            <a:extLst>
              <a:ext uri="{FF2B5EF4-FFF2-40B4-BE49-F238E27FC236}">
                <a16:creationId xmlns:a16="http://schemas.microsoft.com/office/drawing/2014/main" id="{89CFC1BB-8B56-49B2-B970-641978177F59}"/>
              </a:ext>
            </a:extLst>
          </xdr:cNvPr>
          <xdr:cNvCxnSpPr/>
        </xdr:nvCxnSpPr>
        <xdr:spPr>
          <a:xfrm>
            <a:off x="4529137" y="161620199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9" name="Straight Connector 1468">
            <a:extLst>
              <a:ext uri="{FF2B5EF4-FFF2-40B4-BE49-F238E27FC236}">
                <a16:creationId xmlns:a16="http://schemas.microsoft.com/office/drawing/2014/main" id="{1ADF0E88-DAE1-4030-AEAB-BE8278A63541}"/>
              </a:ext>
            </a:extLst>
          </xdr:cNvPr>
          <xdr:cNvCxnSpPr/>
        </xdr:nvCxnSpPr>
        <xdr:spPr>
          <a:xfrm>
            <a:off x="4529137" y="161763074"/>
            <a:ext cx="371951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64419EE8-ABAA-4D5D-8FDB-503AA2B894CE}"/>
              </a:ext>
            </a:extLst>
          </xdr:cNvPr>
          <xdr:cNvSpPr/>
        </xdr:nvSpPr>
        <xdr:spPr>
          <a:xfrm>
            <a:off x="8262937" y="161620201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71" name="Straight Connector 1470">
            <a:extLst>
              <a:ext uri="{FF2B5EF4-FFF2-40B4-BE49-F238E27FC236}">
                <a16:creationId xmlns:a16="http://schemas.microsoft.com/office/drawing/2014/main" id="{031A46F6-AB25-4B20-BB36-4EE6B44CD04D}"/>
              </a:ext>
            </a:extLst>
          </xdr:cNvPr>
          <xdr:cNvCxnSpPr/>
        </xdr:nvCxnSpPr>
        <xdr:spPr>
          <a:xfrm>
            <a:off x="8248649" y="161610675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80963</xdr:colOff>
      <xdr:row>1110</xdr:row>
      <xdr:rowOff>66675</xdr:rowOff>
    </xdr:from>
    <xdr:to>
      <xdr:col>7</xdr:col>
      <xdr:colOff>133350</xdr:colOff>
      <xdr:row>1110</xdr:row>
      <xdr:rowOff>66675</xdr:rowOff>
    </xdr:to>
    <xdr:cxnSp macro="">
      <xdr:nvCxnSpPr>
        <xdr:cNvPr id="1492" name="Straight Arrow Connector 1491">
          <a:extLst>
            <a:ext uri="{FF2B5EF4-FFF2-40B4-BE49-F238E27FC236}">
              <a16:creationId xmlns:a16="http://schemas.microsoft.com/office/drawing/2014/main" id="{7487D0AE-1E26-40BA-B9C1-27CE3331490D}"/>
            </a:ext>
          </a:extLst>
        </xdr:cNvPr>
        <xdr:cNvCxnSpPr/>
      </xdr:nvCxnSpPr>
      <xdr:spPr>
        <a:xfrm>
          <a:off x="1052513" y="1377886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1111</xdr:row>
      <xdr:rowOff>66675</xdr:rowOff>
    </xdr:from>
    <xdr:to>
      <xdr:col>7</xdr:col>
      <xdr:colOff>133350</xdr:colOff>
      <xdr:row>1111</xdr:row>
      <xdr:rowOff>66675</xdr:rowOff>
    </xdr:to>
    <xdr:cxnSp macro="">
      <xdr:nvCxnSpPr>
        <xdr:cNvPr id="1493" name="Straight Arrow Connector 1492">
          <a:extLst>
            <a:ext uri="{FF2B5EF4-FFF2-40B4-BE49-F238E27FC236}">
              <a16:creationId xmlns:a16="http://schemas.microsoft.com/office/drawing/2014/main" id="{3BF5C7BA-A08B-46EF-9E2E-0FB66B1539F9}"/>
            </a:ext>
          </a:extLst>
        </xdr:cNvPr>
        <xdr:cNvCxnSpPr/>
      </xdr:nvCxnSpPr>
      <xdr:spPr>
        <a:xfrm>
          <a:off x="1052513" y="1379315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1115</xdr:row>
      <xdr:rowOff>66675</xdr:rowOff>
    </xdr:from>
    <xdr:to>
      <xdr:col>7</xdr:col>
      <xdr:colOff>133350</xdr:colOff>
      <xdr:row>1115</xdr:row>
      <xdr:rowOff>66675</xdr:rowOff>
    </xdr:to>
    <xdr:cxnSp macro="">
      <xdr:nvCxnSpPr>
        <xdr:cNvPr id="1501" name="Straight Arrow Connector 1500">
          <a:extLst>
            <a:ext uri="{FF2B5EF4-FFF2-40B4-BE49-F238E27FC236}">
              <a16:creationId xmlns:a16="http://schemas.microsoft.com/office/drawing/2014/main" id="{0AF90A67-BCE7-4D78-9FFF-082D36529014}"/>
            </a:ext>
          </a:extLst>
        </xdr:cNvPr>
        <xdr:cNvCxnSpPr/>
      </xdr:nvCxnSpPr>
      <xdr:spPr>
        <a:xfrm>
          <a:off x="1052513" y="1648206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1116</xdr:row>
      <xdr:rowOff>66675</xdr:rowOff>
    </xdr:from>
    <xdr:to>
      <xdr:col>7</xdr:col>
      <xdr:colOff>133350</xdr:colOff>
      <xdr:row>1116</xdr:row>
      <xdr:rowOff>66675</xdr:rowOff>
    </xdr:to>
    <xdr:cxnSp macro="">
      <xdr:nvCxnSpPr>
        <xdr:cNvPr id="1502" name="Straight Arrow Connector 1501">
          <a:extLst>
            <a:ext uri="{FF2B5EF4-FFF2-40B4-BE49-F238E27FC236}">
              <a16:creationId xmlns:a16="http://schemas.microsoft.com/office/drawing/2014/main" id="{0FC2D4F0-1EB8-4E74-91D3-DA3689D72283}"/>
            </a:ext>
          </a:extLst>
        </xdr:cNvPr>
        <xdr:cNvCxnSpPr/>
      </xdr:nvCxnSpPr>
      <xdr:spPr>
        <a:xfrm>
          <a:off x="1052513" y="1655349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80963</xdr:colOff>
      <xdr:row>1115</xdr:row>
      <xdr:rowOff>66675</xdr:rowOff>
    </xdr:from>
    <xdr:to>
      <xdr:col>38</xdr:col>
      <xdr:colOff>133350</xdr:colOff>
      <xdr:row>1115</xdr:row>
      <xdr:rowOff>66675</xdr:rowOff>
    </xdr:to>
    <xdr:cxnSp macro="">
      <xdr:nvCxnSpPr>
        <xdr:cNvPr id="1503" name="Straight Arrow Connector 1502">
          <a:extLst>
            <a:ext uri="{FF2B5EF4-FFF2-40B4-BE49-F238E27FC236}">
              <a16:creationId xmlns:a16="http://schemas.microsoft.com/office/drawing/2014/main" id="{3DB29C57-61E8-46D1-8544-8B9051280EFA}"/>
            </a:ext>
          </a:extLst>
        </xdr:cNvPr>
        <xdr:cNvCxnSpPr/>
      </xdr:nvCxnSpPr>
      <xdr:spPr>
        <a:xfrm>
          <a:off x="1052513" y="1646777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80963</xdr:colOff>
      <xdr:row>1116</xdr:row>
      <xdr:rowOff>66675</xdr:rowOff>
    </xdr:from>
    <xdr:to>
      <xdr:col>30</xdr:col>
      <xdr:colOff>133350</xdr:colOff>
      <xdr:row>1116</xdr:row>
      <xdr:rowOff>66675</xdr:rowOff>
    </xdr:to>
    <xdr:cxnSp macro="">
      <xdr:nvCxnSpPr>
        <xdr:cNvPr id="1504" name="Straight Arrow Connector 1503">
          <a:extLst>
            <a:ext uri="{FF2B5EF4-FFF2-40B4-BE49-F238E27FC236}">
              <a16:creationId xmlns:a16="http://schemas.microsoft.com/office/drawing/2014/main" id="{8CA560EE-F1E0-494B-B4E7-03A14B646345}"/>
            </a:ext>
          </a:extLst>
        </xdr:cNvPr>
        <xdr:cNvCxnSpPr/>
      </xdr:nvCxnSpPr>
      <xdr:spPr>
        <a:xfrm>
          <a:off x="6072188" y="1653921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80963</xdr:colOff>
      <xdr:row>1117</xdr:row>
      <xdr:rowOff>66675</xdr:rowOff>
    </xdr:from>
    <xdr:to>
      <xdr:col>29</xdr:col>
      <xdr:colOff>133350</xdr:colOff>
      <xdr:row>1117</xdr:row>
      <xdr:rowOff>66675</xdr:rowOff>
    </xdr:to>
    <xdr:cxnSp macro="">
      <xdr:nvCxnSpPr>
        <xdr:cNvPr id="1505" name="Straight Arrow Connector 1504">
          <a:extLst>
            <a:ext uri="{FF2B5EF4-FFF2-40B4-BE49-F238E27FC236}">
              <a16:creationId xmlns:a16="http://schemas.microsoft.com/office/drawing/2014/main" id="{A9373E08-1933-4E4A-B5A2-2FF21F972789}"/>
            </a:ext>
          </a:extLst>
        </xdr:cNvPr>
        <xdr:cNvCxnSpPr/>
      </xdr:nvCxnSpPr>
      <xdr:spPr>
        <a:xfrm>
          <a:off x="4776788" y="1658207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80963</xdr:colOff>
      <xdr:row>1120</xdr:row>
      <xdr:rowOff>66675</xdr:rowOff>
    </xdr:from>
    <xdr:to>
      <xdr:col>14</xdr:col>
      <xdr:colOff>133350</xdr:colOff>
      <xdr:row>1120</xdr:row>
      <xdr:rowOff>66675</xdr:rowOff>
    </xdr:to>
    <xdr:cxnSp macro="">
      <xdr:nvCxnSpPr>
        <xdr:cNvPr id="1506" name="Straight Arrow Connector 1505">
          <a:extLst>
            <a:ext uri="{FF2B5EF4-FFF2-40B4-BE49-F238E27FC236}">
              <a16:creationId xmlns:a16="http://schemas.microsoft.com/office/drawing/2014/main" id="{99B9DEDA-83ED-4557-AEF6-FA4D9989A21D}"/>
            </a:ext>
          </a:extLst>
        </xdr:cNvPr>
        <xdr:cNvCxnSpPr/>
      </xdr:nvCxnSpPr>
      <xdr:spPr>
        <a:xfrm>
          <a:off x="4614863" y="1661064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80963</xdr:colOff>
      <xdr:row>1123</xdr:row>
      <xdr:rowOff>66675</xdr:rowOff>
    </xdr:from>
    <xdr:to>
      <xdr:col>26</xdr:col>
      <xdr:colOff>133350</xdr:colOff>
      <xdr:row>1123</xdr:row>
      <xdr:rowOff>66675</xdr:rowOff>
    </xdr:to>
    <xdr:cxnSp macro="">
      <xdr:nvCxnSpPr>
        <xdr:cNvPr id="1508" name="Straight Arrow Connector 1507">
          <a:extLst>
            <a:ext uri="{FF2B5EF4-FFF2-40B4-BE49-F238E27FC236}">
              <a16:creationId xmlns:a16="http://schemas.microsoft.com/office/drawing/2014/main" id="{EE7BDBCB-77F0-4737-A567-880AFC7E826E}"/>
            </a:ext>
          </a:extLst>
        </xdr:cNvPr>
        <xdr:cNvCxnSpPr/>
      </xdr:nvCxnSpPr>
      <xdr:spPr>
        <a:xfrm>
          <a:off x="4129088" y="1686782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80963</xdr:colOff>
      <xdr:row>1261</xdr:row>
      <xdr:rowOff>138113</xdr:rowOff>
    </xdr:from>
    <xdr:to>
      <xdr:col>37</xdr:col>
      <xdr:colOff>76535</xdr:colOff>
      <xdr:row>1271</xdr:row>
      <xdr:rowOff>76200</xdr:rowOff>
    </xdr:to>
    <xdr:grpSp>
      <xdr:nvGrpSpPr>
        <xdr:cNvPr id="1524" name="Group 1523">
          <a:extLst>
            <a:ext uri="{FF2B5EF4-FFF2-40B4-BE49-F238E27FC236}">
              <a16:creationId xmlns:a16="http://schemas.microsoft.com/office/drawing/2014/main" id="{9832A15E-0AE1-AC99-E34A-34BE5CE55304}"/>
            </a:ext>
          </a:extLst>
        </xdr:cNvPr>
        <xdr:cNvGrpSpPr/>
      </xdr:nvGrpSpPr>
      <xdr:grpSpPr>
        <a:xfrm>
          <a:off x="3643313" y="190009463"/>
          <a:ext cx="2424447" cy="1366837"/>
          <a:chOff x="3643313" y="174093188"/>
          <a:chExt cx="2424447" cy="1366837"/>
        </a:xfrm>
      </xdr:grpSpPr>
      <xdr:cxnSp macro="">
        <xdr:nvCxnSpPr>
          <xdr:cNvPr id="1426" name="Straight Connector 1425">
            <a:extLst>
              <a:ext uri="{FF2B5EF4-FFF2-40B4-BE49-F238E27FC236}">
                <a16:creationId xmlns:a16="http://schemas.microsoft.com/office/drawing/2014/main" id="{231A7B2A-8F7A-7358-60B2-6BC83039A774}"/>
              </a:ext>
            </a:extLst>
          </xdr:cNvPr>
          <xdr:cNvCxnSpPr/>
        </xdr:nvCxnSpPr>
        <xdr:spPr>
          <a:xfrm>
            <a:off x="3719513" y="174669450"/>
            <a:ext cx="2281237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72" name="Isosceles Triangle 1471">
            <a:extLst>
              <a:ext uri="{FF2B5EF4-FFF2-40B4-BE49-F238E27FC236}">
                <a16:creationId xmlns:a16="http://schemas.microsoft.com/office/drawing/2014/main" id="{6D80286A-95A4-D9D9-25C0-E1392E1F4ED4}"/>
              </a:ext>
            </a:extLst>
          </xdr:cNvPr>
          <xdr:cNvSpPr/>
        </xdr:nvSpPr>
        <xdr:spPr>
          <a:xfrm>
            <a:off x="3652457" y="174683739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73" name="Isosceles Triangle 1472">
            <a:extLst>
              <a:ext uri="{FF2B5EF4-FFF2-40B4-BE49-F238E27FC236}">
                <a16:creationId xmlns:a16="http://schemas.microsoft.com/office/drawing/2014/main" id="{33F6FCCE-AB6E-606E-2D5B-AFBCC576AAC6}"/>
              </a:ext>
            </a:extLst>
          </xdr:cNvPr>
          <xdr:cNvSpPr/>
        </xdr:nvSpPr>
        <xdr:spPr>
          <a:xfrm>
            <a:off x="5924124" y="174678977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75" name="Straight Connector 1474">
            <a:extLst>
              <a:ext uri="{FF2B5EF4-FFF2-40B4-BE49-F238E27FC236}">
                <a16:creationId xmlns:a16="http://schemas.microsoft.com/office/drawing/2014/main" id="{9747D92A-F45F-C4B0-3A4C-38B765510A90}"/>
              </a:ext>
            </a:extLst>
          </xdr:cNvPr>
          <xdr:cNvCxnSpPr/>
        </xdr:nvCxnSpPr>
        <xdr:spPr>
          <a:xfrm>
            <a:off x="3724275" y="175255238"/>
            <a:ext cx="0" cy="204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6" name="Straight Arrow Connector 1475">
            <a:extLst>
              <a:ext uri="{FF2B5EF4-FFF2-40B4-BE49-F238E27FC236}">
                <a16:creationId xmlns:a16="http://schemas.microsoft.com/office/drawing/2014/main" id="{7E3D7B92-8E79-8F28-9FFE-F7E4153F6F6A}"/>
              </a:ext>
            </a:extLst>
          </xdr:cNvPr>
          <xdr:cNvCxnSpPr/>
        </xdr:nvCxnSpPr>
        <xdr:spPr>
          <a:xfrm flipV="1">
            <a:off x="3724275" y="17481232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7" name="Straight Connector 1476">
            <a:extLst>
              <a:ext uri="{FF2B5EF4-FFF2-40B4-BE49-F238E27FC236}">
                <a16:creationId xmlns:a16="http://schemas.microsoft.com/office/drawing/2014/main" id="{D5BB3888-F327-DE6D-BCF4-3D3D8CD6FF69}"/>
              </a:ext>
            </a:extLst>
          </xdr:cNvPr>
          <xdr:cNvCxnSpPr/>
        </xdr:nvCxnSpPr>
        <xdr:spPr>
          <a:xfrm>
            <a:off x="3643313" y="175383825"/>
            <a:ext cx="24050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8" name="Straight Connector 1477">
            <a:extLst>
              <a:ext uri="{FF2B5EF4-FFF2-40B4-BE49-F238E27FC236}">
                <a16:creationId xmlns:a16="http://schemas.microsoft.com/office/drawing/2014/main" id="{42843025-CFED-BD9C-F550-58D2D6DC135A}"/>
              </a:ext>
            </a:extLst>
          </xdr:cNvPr>
          <xdr:cNvCxnSpPr/>
        </xdr:nvCxnSpPr>
        <xdr:spPr>
          <a:xfrm flipH="1">
            <a:off x="3686168" y="1753504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9" name="Straight Connector 1488">
            <a:extLst>
              <a:ext uri="{FF2B5EF4-FFF2-40B4-BE49-F238E27FC236}">
                <a16:creationId xmlns:a16="http://schemas.microsoft.com/office/drawing/2014/main" id="{C1804A11-E7E7-A32B-835B-09CBE4062FC5}"/>
              </a:ext>
            </a:extLst>
          </xdr:cNvPr>
          <xdr:cNvCxnSpPr/>
        </xdr:nvCxnSpPr>
        <xdr:spPr>
          <a:xfrm>
            <a:off x="5991190" y="175255238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0" name="Straight Arrow Connector 1489">
            <a:extLst>
              <a:ext uri="{FF2B5EF4-FFF2-40B4-BE49-F238E27FC236}">
                <a16:creationId xmlns:a16="http://schemas.microsoft.com/office/drawing/2014/main" id="{B6D0DE5D-3797-9038-8C87-83ACC1CB6F1E}"/>
              </a:ext>
            </a:extLst>
          </xdr:cNvPr>
          <xdr:cNvCxnSpPr/>
        </xdr:nvCxnSpPr>
        <xdr:spPr>
          <a:xfrm flipV="1">
            <a:off x="5991181" y="174812325"/>
            <a:ext cx="0" cy="2857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1" name="Straight Connector 1490">
            <a:extLst>
              <a:ext uri="{FF2B5EF4-FFF2-40B4-BE49-F238E27FC236}">
                <a16:creationId xmlns:a16="http://schemas.microsoft.com/office/drawing/2014/main" id="{E0395519-6DF7-67AD-6EDE-1A3D25FA65F5}"/>
              </a:ext>
            </a:extLst>
          </xdr:cNvPr>
          <xdr:cNvCxnSpPr/>
        </xdr:nvCxnSpPr>
        <xdr:spPr>
          <a:xfrm flipH="1">
            <a:off x="5953090" y="1753504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4" name="Straight Arrow Connector 1493">
            <a:extLst>
              <a:ext uri="{FF2B5EF4-FFF2-40B4-BE49-F238E27FC236}">
                <a16:creationId xmlns:a16="http://schemas.microsoft.com/office/drawing/2014/main" id="{0ACBF96A-323D-0933-2A23-BEAEECFD277D}"/>
              </a:ext>
            </a:extLst>
          </xdr:cNvPr>
          <xdr:cNvCxnSpPr/>
        </xdr:nvCxnSpPr>
        <xdr:spPr>
          <a:xfrm>
            <a:off x="3733801" y="174955201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6" name="Straight Connector 1495">
            <a:extLst>
              <a:ext uri="{FF2B5EF4-FFF2-40B4-BE49-F238E27FC236}">
                <a16:creationId xmlns:a16="http://schemas.microsoft.com/office/drawing/2014/main" id="{C45A3709-15E0-B19F-790D-DB8A415DAEFB}"/>
              </a:ext>
            </a:extLst>
          </xdr:cNvPr>
          <xdr:cNvCxnSpPr/>
        </xdr:nvCxnSpPr>
        <xdr:spPr>
          <a:xfrm flipV="1">
            <a:off x="3718105" y="174093188"/>
            <a:ext cx="1144408" cy="576262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7" name="Straight Arrow Connector 1496">
            <a:extLst>
              <a:ext uri="{FF2B5EF4-FFF2-40B4-BE49-F238E27FC236}">
                <a16:creationId xmlns:a16="http://schemas.microsoft.com/office/drawing/2014/main" id="{2F7E7FE5-89BF-D114-AA1C-D307E06CD06D}"/>
              </a:ext>
            </a:extLst>
          </xdr:cNvPr>
          <xdr:cNvCxnSpPr/>
        </xdr:nvCxnSpPr>
        <xdr:spPr>
          <a:xfrm>
            <a:off x="3886200" y="174598013"/>
            <a:ext cx="0" cy="619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8" name="Straight Arrow Connector 1497">
            <a:extLst>
              <a:ext uri="{FF2B5EF4-FFF2-40B4-BE49-F238E27FC236}">
                <a16:creationId xmlns:a16="http://schemas.microsoft.com/office/drawing/2014/main" id="{2E60E6D8-DD61-B034-1F82-BDEAB4D828C6}"/>
              </a:ext>
            </a:extLst>
          </xdr:cNvPr>
          <xdr:cNvCxnSpPr/>
        </xdr:nvCxnSpPr>
        <xdr:spPr>
          <a:xfrm>
            <a:off x="4695825" y="174174150"/>
            <a:ext cx="0" cy="49053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9" name="Straight Arrow Connector 1498">
            <a:extLst>
              <a:ext uri="{FF2B5EF4-FFF2-40B4-BE49-F238E27FC236}">
                <a16:creationId xmlns:a16="http://schemas.microsoft.com/office/drawing/2014/main" id="{CD74C5A0-54DB-906B-BDFF-019D99DA584E}"/>
              </a:ext>
            </a:extLst>
          </xdr:cNvPr>
          <xdr:cNvCxnSpPr/>
        </xdr:nvCxnSpPr>
        <xdr:spPr>
          <a:xfrm>
            <a:off x="5667376" y="174517050"/>
            <a:ext cx="0" cy="14287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7" name="Straight Arrow Connector 1506">
            <a:extLst>
              <a:ext uri="{FF2B5EF4-FFF2-40B4-BE49-F238E27FC236}">
                <a16:creationId xmlns:a16="http://schemas.microsoft.com/office/drawing/2014/main" id="{7E5E419C-BEB6-523C-0183-28234079F2D9}"/>
              </a:ext>
            </a:extLst>
          </xdr:cNvPr>
          <xdr:cNvCxnSpPr/>
        </xdr:nvCxnSpPr>
        <xdr:spPr>
          <a:xfrm>
            <a:off x="5829301" y="174612300"/>
            <a:ext cx="0" cy="5238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1" name="Straight Arrow Connector 1510">
            <a:extLst>
              <a:ext uri="{FF2B5EF4-FFF2-40B4-BE49-F238E27FC236}">
                <a16:creationId xmlns:a16="http://schemas.microsoft.com/office/drawing/2014/main" id="{42CDDE46-DA4D-34DD-B946-EF97C69A1FEA}"/>
              </a:ext>
            </a:extLst>
          </xdr:cNvPr>
          <xdr:cNvCxnSpPr/>
        </xdr:nvCxnSpPr>
        <xdr:spPr>
          <a:xfrm>
            <a:off x="4048124" y="174512288"/>
            <a:ext cx="0" cy="14763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2" name="Straight Arrow Connector 1511">
            <a:extLst>
              <a:ext uri="{FF2B5EF4-FFF2-40B4-BE49-F238E27FC236}">
                <a16:creationId xmlns:a16="http://schemas.microsoft.com/office/drawing/2014/main" id="{9EF29ECB-DFEC-53B4-D0C6-3D8073BBD271}"/>
              </a:ext>
            </a:extLst>
          </xdr:cNvPr>
          <xdr:cNvCxnSpPr/>
        </xdr:nvCxnSpPr>
        <xdr:spPr>
          <a:xfrm>
            <a:off x="4210049" y="174436088"/>
            <a:ext cx="0" cy="22383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3" name="Straight Arrow Connector 1512">
            <a:extLst>
              <a:ext uri="{FF2B5EF4-FFF2-40B4-BE49-F238E27FC236}">
                <a16:creationId xmlns:a16="http://schemas.microsoft.com/office/drawing/2014/main" id="{33882B78-3B04-7578-CA47-FE5CB31B8EEE}"/>
              </a:ext>
            </a:extLst>
          </xdr:cNvPr>
          <xdr:cNvCxnSpPr/>
        </xdr:nvCxnSpPr>
        <xdr:spPr>
          <a:xfrm>
            <a:off x="4371974" y="174350363"/>
            <a:ext cx="0" cy="30956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4" name="Straight Arrow Connector 1513">
            <a:extLst>
              <a:ext uri="{FF2B5EF4-FFF2-40B4-BE49-F238E27FC236}">
                <a16:creationId xmlns:a16="http://schemas.microsoft.com/office/drawing/2014/main" id="{8FD3B71F-449E-4D5A-9108-56F1C7FF4206}"/>
              </a:ext>
            </a:extLst>
          </xdr:cNvPr>
          <xdr:cNvCxnSpPr/>
        </xdr:nvCxnSpPr>
        <xdr:spPr>
          <a:xfrm>
            <a:off x="4533899" y="174269400"/>
            <a:ext cx="0" cy="3905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5" name="Straight Arrow Connector 1514">
            <a:extLst>
              <a:ext uri="{FF2B5EF4-FFF2-40B4-BE49-F238E27FC236}">
                <a16:creationId xmlns:a16="http://schemas.microsoft.com/office/drawing/2014/main" id="{A7EE2AF9-8FAC-403E-2FA2-0562207FDDD7}"/>
              </a:ext>
            </a:extLst>
          </xdr:cNvPr>
          <xdr:cNvCxnSpPr/>
        </xdr:nvCxnSpPr>
        <xdr:spPr>
          <a:xfrm>
            <a:off x="5019675" y="174183675"/>
            <a:ext cx="0" cy="4762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6" name="Straight Arrow Connector 1515">
            <a:extLst>
              <a:ext uri="{FF2B5EF4-FFF2-40B4-BE49-F238E27FC236}">
                <a16:creationId xmlns:a16="http://schemas.microsoft.com/office/drawing/2014/main" id="{40DE16E5-695A-D8F4-D551-45AF7023C2B4}"/>
              </a:ext>
            </a:extLst>
          </xdr:cNvPr>
          <xdr:cNvCxnSpPr/>
        </xdr:nvCxnSpPr>
        <xdr:spPr>
          <a:xfrm>
            <a:off x="5181599" y="174264638"/>
            <a:ext cx="0" cy="39528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7" name="Straight Arrow Connector 1516">
            <a:extLst>
              <a:ext uri="{FF2B5EF4-FFF2-40B4-BE49-F238E27FC236}">
                <a16:creationId xmlns:a16="http://schemas.microsoft.com/office/drawing/2014/main" id="{8039EFEC-DE77-FA58-A255-DA8B38DB5EFD}"/>
              </a:ext>
            </a:extLst>
          </xdr:cNvPr>
          <xdr:cNvCxnSpPr/>
        </xdr:nvCxnSpPr>
        <xdr:spPr>
          <a:xfrm>
            <a:off x="5343524" y="174350363"/>
            <a:ext cx="0" cy="3095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8" name="Straight Arrow Connector 1517">
            <a:extLst>
              <a:ext uri="{FF2B5EF4-FFF2-40B4-BE49-F238E27FC236}">
                <a16:creationId xmlns:a16="http://schemas.microsoft.com/office/drawing/2014/main" id="{F90327B4-2E9F-7821-BBF1-58158C55EE19}"/>
              </a:ext>
            </a:extLst>
          </xdr:cNvPr>
          <xdr:cNvCxnSpPr/>
        </xdr:nvCxnSpPr>
        <xdr:spPr>
          <a:xfrm>
            <a:off x="5505449" y="174436088"/>
            <a:ext cx="0" cy="2238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9" name="Straight Arrow Connector 1518">
            <a:extLst>
              <a:ext uri="{FF2B5EF4-FFF2-40B4-BE49-F238E27FC236}">
                <a16:creationId xmlns:a16="http://schemas.microsoft.com/office/drawing/2014/main" id="{41777025-372E-1A86-D766-A883A024F80E}"/>
              </a:ext>
            </a:extLst>
          </xdr:cNvPr>
          <xdr:cNvCxnSpPr/>
        </xdr:nvCxnSpPr>
        <xdr:spPr>
          <a:xfrm>
            <a:off x="4857750" y="174097950"/>
            <a:ext cx="0" cy="56197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3" name="Straight Connector 1522">
            <a:extLst>
              <a:ext uri="{FF2B5EF4-FFF2-40B4-BE49-F238E27FC236}">
                <a16:creationId xmlns:a16="http://schemas.microsoft.com/office/drawing/2014/main" id="{2F88DCF4-0E5A-4091-BEB3-6F81CBA2C5F0}"/>
              </a:ext>
            </a:extLst>
          </xdr:cNvPr>
          <xdr:cNvCxnSpPr/>
        </xdr:nvCxnSpPr>
        <xdr:spPr>
          <a:xfrm flipH="1" flipV="1">
            <a:off x="4862513" y="174102713"/>
            <a:ext cx="1146810" cy="57150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95250</xdr:colOff>
      <xdr:row>1258</xdr:row>
      <xdr:rowOff>66674</xdr:rowOff>
    </xdr:from>
    <xdr:to>
      <xdr:col>15</xdr:col>
      <xdr:colOff>57150</xdr:colOff>
      <xdr:row>1272</xdr:row>
      <xdr:rowOff>76200</xdr:rowOff>
    </xdr:to>
    <xdr:grpSp>
      <xdr:nvGrpSpPr>
        <xdr:cNvPr id="1538" name="Group 1537">
          <a:extLst>
            <a:ext uri="{FF2B5EF4-FFF2-40B4-BE49-F238E27FC236}">
              <a16:creationId xmlns:a16="http://schemas.microsoft.com/office/drawing/2014/main" id="{A499829C-5252-48A1-B400-A30A8375116A}"/>
            </a:ext>
          </a:extLst>
        </xdr:cNvPr>
        <xdr:cNvGrpSpPr/>
      </xdr:nvGrpSpPr>
      <xdr:grpSpPr>
        <a:xfrm>
          <a:off x="419100" y="189509399"/>
          <a:ext cx="2066925" cy="2009776"/>
          <a:chOff x="1066800" y="495299"/>
          <a:chExt cx="2066925" cy="2009776"/>
        </a:xfrm>
      </xdr:grpSpPr>
      <xdr:grpSp>
        <xdr:nvGrpSpPr>
          <xdr:cNvPr id="1539" name="Group 1538">
            <a:extLst>
              <a:ext uri="{FF2B5EF4-FFF2-40B4-BE49-F238E27FC236}">
                <a16:creationId xmlns:a16="http://schemas.microsoft.com/office/drawing/2014/main" id="{48DD202B-93CB-657F-AF33-14B136074585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1557" name="Straight Connector 1556">
              <a:extLst>
                <a:ext uri="{FF2B5EF4-FFF2-40B4-BE49-F238E27FC236}">
                  <a16:creationId xmlns:a16="http://schemas.microsoft.com/office/drawing/2014/main" id="{538C98AF-14F9-BFF5-0138-6D9F9F6C96BE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58" name="Straight Connector 1557">
              <a:extLst>
                <a:ext uri="{FF2B5EF4-FFF2-40B4-BE49-F238E27FC236}">
                  <a16:creationId xmlns:a16="http://schemas.microsoft.com/office/drawing/2014/main" id="{FF07AE67-27C4-8795-79A9-F7A948BFB75E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59" name="Straight Connector 1558">
              <a:extLst>
                <a:ext uri="{FF2B5EF4-FFF2-40B4-BE49-F238E27FC236}">
                  <a16:creationId xmlns:a16="http://schemas.microsoft.com/office/drawing/2014/main" id="{9B32C8E1-82C8-14D8-3B3A-A59761F7D068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60" name="Arc 1559">
              <a:extLst>
                <a:ext uri="{FF2B5EF4-FFF2-40B4-BE49-F238E27FC236}">
                  <a16:creationId xmlns:a16="http://schemas.microsoft.com/office/drawing/2014/main" id="{96AA9CAF-D242-479D-8EF6-B0FA74D973F3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561" name="Straight Connector 1560">
              <a:extLst>
                <a:ext uri="{FF2B5EF4-FFF2-40B4-BE49-F238E27FC236}">
                  <a16:creationId xmlns:a16="http://schemas.microsoft.com/office/drawing/2014/main" id="{7C09C045-6403-16CF-DF26-9E437A0CF772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62" name="Straight Connector 1561">
              <a:extLst>
                <a:ext uri="{FF2B5EF4-FFF2-40B4-BE49-F238E27FC236}">
                  <a16:creationId xmlns:a16="http://schemas.microsoft.com/office/drawing/2014/main" id="{426AC0A9-563D-329B-597C-A0F92F419CD6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63" name="Straight Connector 1562">
              <a:extLst>
                <a:ext uri="{FF2B5EF4-FFF2-40B4-BE49-F238E27FC236}">
                  <a16:creationId xmlns:a16="http://schemas.microsoft.com/office/drawing/2014/main" id="{89F7A484-3F65-EBC2-1962-47FE88CCE4FF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64" name="Straight Connector 1563">
              <a:extLst>
                <a:ext uri="{FF2B5EF4-FFF2-40B4-BE49-F238E27FC236}">
                  <a16:creationId xmlns:a16="http://schemas.microsoft.com/office/drawing/2014/main" id="{B9C2867E-D57F-F8C0-C7A6-BA757E9C0BB5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65" name="Arc 1564">
              <a:extLst>
                <a:ext uri="{FF2B5EF4-FFF2-40B4-BE49-F238E27FC236}">
                  <a16:creationId xmlns:a16="http://schemas.microsoft.com/office/drawing/2014/main" id="{69A5872F-9010-FF8D-ACA8-113E930F9EF8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566" name="Straight Connector 1565">
              <a:extLst>
                <a:ext uri="{FF2B5EF4-FFF2-40B4-BE49-F238E27FC236}">
                  <a16:creationId xmlns:a16="http://schemas.microsoft.com/office/drawing/2014/main" id="{6BDA4B95-2C49-E4C0-2411-E04F7AD206C0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67" name="Straight Connector 1566">
              <a:extLst>
                <a:ext uri="{FF2B5EF4-FFF2-40B4-BE49-F238E27FC236}">
                  <a16:creationId xmlns:a16="http://schemas.microsoft.com/office/drawing/2014/main" id="{0E634E0A-E2BA-AD5B-05A9-C3AF48D654E7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68" name="Straight Connector 1567">
              <a:extLst>
                <a:ext uri="{FF2B5EF4-FFF2-40B4-BE49-F238E27FC236}">
                  <a16:creationId xmlns:a16="http://schemas.microsoft.com/office/drawing/2014/main" id="{222D849C-4908-4125-FD96-1547FF9F36F6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69" name="Straight Connector 1568">
              <a:extLst>
                <a:ext uri="{FF2B5EF4-FFF2-40B4-BE49-F238E27FC236}">
                  <a16:creationId xmlns:a16="http://schemas.microsoft.com/office/drawing/2014/main" id="{35B7AA78-3FD4-6C2D-0F82-91935E822D8C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70" name="Straight Connector 1569">
              <a:extLst>
                <a:ext uri="{FF2B5EF4-FFF2-40B4-BE49-F238E27FC236}">
                  <a16:creationId xmlns:a16="http://schemas.microsoft.com/office/drawing/2014/main" id="{2D520A03-0A4D-3C56-172B-88C54F09BC77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71" name="Arc 1570">
              <a:extLst>
                <a:ext uri="{FF2B5EF4-FFF2-40B4-BE49-F238E27FC236}">
                  <a16:creationId xmlns:a16="http://schemas.microsoft.com/office/drawing/2014/main" id="{F2D28156-7DDC-1C34-3B7A-C9C774671B02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572" name="Arc 1571">
              <a:extLst>
                <a:ext uri="{FF2B5EF4-FFF2-40B4-BE49-F238E27FC236}">
                  <a16:creationId xmlns:a16="http://schemas.microsoft.com/office/drawing/2014/main" id="{1945849E-945F-7389-D1FD-55FDAB9B0B51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1540" name="Straight Connector 1539">
            <a:extLst>
              <a:ext uri="{FF2B5EF4-FFF2-40B4-BE49-F238E27FC236}">
                <a16:creationId xmlns:a16="http://schemas.microsoft.com/office/drawing/2014/main" id="{7730A5B3-86FF-657E-B0CD-DD8799D41AD1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1" name="Straight Connector 1540">
            <a:extLst>
              <a:ext uri="{FF2B5EF4-FFF2-40B4-BE49-F238E27FC236}">
                <a16:creationId xmlns:a16="http://schemas.microsoft.com/office/drawing/2014/main" id="{FBD92723-A8AB-9D60-7953-22F459BA2A6D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2" name="Straight Connector 1541">
            <a:extLst>
              <a:ext uri="{FF2B5EF4-FFF2-40B4-BE49-F238E27FC236}">
                <a16:creationId xmlns:a16="http://schemas.microsoft.com/office/drawing/2014/main" id="{A71DD4E6-00B5-FD75-7ABB-6A4A11AA68DF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3" name="Straight Connector 1542">
            <a:extLst>
              <a:ext uri="{FF2B5EF4-FFF2-40B4-BE49-F238E27FC236}">
                <a16:creationId xmlns:a16="http://schemas.microsoft.com/office/drawing/2014/main" id="{259A363B-383F-910F-1250-AD58354854FE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4" name="Straight Connector 1543">
            <a:extLst>
              <a:ext uri="{FF2B5EF4-FFF2-40B4-BE49-F238E27FC236}">
                <a16:creationId xmlns:a16="http://schemas.microsoft.com/office/drawing/2014/main" id="{83E5148E-85F9-DA98-45B9-C978558CF9ED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5" name="Straight Connector 1544">
            <a:extLst>
              <a:ext uri="{FF2B5EF4-FFF2-40B4-BE49-F238E27FC236}">
                <a16:creationId xmlns:a16="http://schemas.microsoft.com/office/drawing/2014/main" id="{E20C4819-FB0A-9A5A-5CCE-B85498956026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6" name="Straight Connector 1545">
            <a:extLst>
              <a:ext uri="{FF2B5EF4-FFF2-40B4-BE49-F238E27FC236}">
                <a16:creationId xmlns:a16="http://schemas.microsoft.com/office/drawing/2014/main" id="{7BD467E1-7085-A71F-E8C4-C255637F2823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7" name="Straight Connector 1546">
            <a:extLst>
              <a:ext uri="{FF2B5EF4-FFF2-40B4-BE49-F238E27FC236}">
                <a16:creationId xmlns:a16="http://schemas.microsoft.com/office/drawing/2014/main" id="{96CC7360-5B27-9242-F51C-BC149F32FDEE}"/>
              </a:ext>
            </a:extLst>
          </xdr:cNvPr>
          <xdr:cNvCxnSpPr/>
        </xdr:nvCxnSpPr>
        <xdr:spPr>
          <a:xfrm>
            <a:off x="1395413" y="2428875"/>
            <a:ext cx="14239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8" name="Straight Connector 1547">
            <a:extLst>
              <a:ext uri="{FF2B5EF4-FFF2-40B4-BE49-F238E27FC236}">
                <a16:creationId xmlns:a16="http://schemas.microsoft.com/office/drawing/2014/main" id="{A0ABAF8A-8ACE-7754-3C8E-B2CE653476D7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9" name="Straight Connector 1548">
            <a:extLst>
              <a:ext uri="{FF2B5EF4-FFF2-40B4-BE49-F238E27FC236}">
                <a16:creationId xmlns:a16="http://schemas.microsoft.com/office/drawing/2014/main" id="{1A3CBEBD-48DC-6E8B-2099-24266E0E7DA8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0" name="Straight Connector 1549">
            <a:extLst>
              <a:ext uri="{FF2B5EF4-FFF2-40B4-BE49-F238E27FC236}">
                <a16:creationId xmlns:a16="http://schemas.microsoft.com/office/drawing/2014/main" id="{39B8A16F-8BB7-9306-8C1E-0F1B8C003461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1" name="Straight Connector 1550">
            <a:extLst>
              <a:ext uri="{FF2B5EF4-FFF2-40B4-BE49-F238E27FC236}">
                <a16:creationId xmlns:a16="http://schemas.microsoft.com/office/drawing/2014/main" id="{DB010C24-E4E6-D45B-6AE1-70ACE0FC14B9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2" name="Straight Connector 1551">
            <a:extLst>
              <a:ext uri="{FF2B5EF4-FFF2-40B4-BE49-F238E27FC236}">
                <a16:creationId xmlns:a16="http://schemas.microsoft.com/office/drawing/2014/main" id="{C9F535F9-9CC1-EB47-BBD8-D9252BB6323F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3" name="Straight Connector 1552">
            <a:extLst>
              <a:ext uri="{FF2B5EF4-FFF2-40B4-BE49-F238E27FC236}">
                <a16:creationId xmlns:a16="http://schemas.microsoft.com/office/drawing/2014/main" id="{02B5FB97-B419-FB53-69AA-096E0D85A903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4" name="Straight Connector 1553">
            <a:extLst>
              <a:ext uri="{FF2B5EF4-FFF2-40B4-BE49-F238E27FC236}">
                <a16:creationId xmlns:a16="http://schemas.microsoft.com/office/drawing/2014/main" id="{E240502B-AEF1-14DF-5467-8202FF08AA43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5" name="Straight Connector 1554">
            <a:extLst>
              <a:ext uri="{FF2B5EF4-FFF2-40B4-BE49-F238E27FC236}">
                <a16:creationId xmlns:a16="http://schemas.microsoft.com/office/drawing/2014/main" id="{2E4F4DCE-A9C7-A656-1568-8E414FDE911E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6" name="Straight Connector 1555">
            <a:extLst>
              <a:ext uri="{FF2B5EF4-FFF2-40B4-BE49-F238E27FC236}">
                <a16:creationId xmlns:a16="http://schemas.microsoft.com/office/drawing/2014/main" id="{2526D324-9977-60D0-A802-90ED0329B3DC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90491</xdr:colOff>
      <xdr:row>1275</xdr:row>
      <xdr:rowOff>0</xdr:rowOff>
    </xdr:from>
    <xdr:to>
      <xdr:col>37</xdr:col>
      <xdr:colOff>76919</xdr:colOff>
      <xdr:row>1275</xdr:row>
      <xdr:rowOff>138113</xdr:rowOff>
    </xdr:to>
    <xdr:grpSp>
      <xdr:nvGrpSpPr>
        <xdr:cNvPr id="1580" name="Group 1579">
          <a:extLst>
            <a:ext uri="{FF2B5EF4-FFF2-40B4-BE49-F238E27FC236}">
              <a16:creationId xmlns:a16="http://schemas.microsoft.com/office/drawing/2014/main" id="{00638819-50B1-B5D3-F91B-AAF9243B410D}"/>
            </a:ext>
          </a:extLst>
        </xdr:cNvPr>
        <xdr:cNvGrpSpPr/>
      </xdr:nvGrpSpPr>
      <xdr:grpSpPr>
        <a:xfrm>
          <a:off x="3652841" y="191871600"/>
          <a:ext cx="2415303" cy="138113"/>
          <a:chOff x="3652841" y="175955325"/>
          <a:chExt cx="2415303" cy="138113"/>
        </a:xfrm>
      </xdr:grpSpPr>
      <xdr:cxnSp macro="">
        <xdr:nvCxnSpPr>
          <xdr:cNvPr id="1573" name="Straight Connector 1572">
            <a:extLst>
              <a:ext uri="{FF2B5EF4-FFF2-40B4-BE49-F238E27FC236}">
                <a16:creationId xmlns:a16="http://schemas.microsoft.com/office/drawing/2014/main" id="{B37DE54F-DCA9-4395-9F73-9F637B4A0638}"/>
              </a:ext>
            </a:extLst>
          </xdr:cNvPr>
          <xdr:cNvCxnSpPr/>
        </xdr:nvCxnSpPr>
        <xdr:spPr>
          <a:xfrm>
            <a:off x="3719897" y="175955325"/>
            <a:ext cx="2281237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74" name="Isosceles Triangle 1573">
            <a:extLst>
              <a:ext uri="{FF2B5EF4-FFF2-40B4-BE49-F238E27FC236}">
                <a16:creationId xmlns:a16="http://schemas.microsoft.com/office/drawing/2014/main" id="{8BF56784-D608-47C2-A0B1-8C2DFA8B4A8D}"/>
              </a:ext>
            </a:extLst>
          </xdr:cNvPr>
          <xdr:cNvSpPr/>
        </xdr:nvSpPr>
        <xdr:spPr>
          <a:xfrm>
            <a:off x="3652841" y="175969614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75" name="Isosceles Triangle 1574">
            <a:extLst>
              <a:ext uri="{FF2B5EF4-FFF2-40B4-BE49-F238E27FC236}">
                <a16:creationId xmlns:a16="http://schemas.microsoft.com/office/drawing/2014/main" id="{944E0BE7-48B6-476F-9C89-5D779916DFEE}"/>
              </a:ext>
            </a:extLst>
          </xdr:cNvPr>
          <xdr:cNvSpPr/>
        </xdr:nvSpPr>
        <xdr:spPr>
          <a:xfrm>
            <a:off x="5924508" y="175964852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80963</xdr:colOff>
      <xdr:row>1286</xdr:row>
      <xdr:rowOff>66675</xdr:rowOff>
    </xdr:from>
    <xdr:to>
      <xdr:col>7</xdr:col>
      <xdr:colOff>133350</xdr:colOff>
      <xdr:row>1286</xdr:row>
      <xdr:rowOff>66675</xdr:rowOff>
    </xdr:to>
    <xdr:cxnSp macro="">
      <xdr:nvCxnSpPr>
        <xdr:cNvPr id="1576" name="Straight Arrow Connector 1575">
          <a:extLst>
            <a:ext uri="{FF2B5EF4-FFF2-40B4-BE49-F238E27FC236}">
              <a16:creationId xmlns:a16="http://schemas.microsoft.com/office/drawing/2014/main" id="{89E63839-283D-49AB-82A6-B8257EC35F41}"/>
            </a:ext>
          </a:extLst>
        </xdr:cNvPr>
        <xdr:cNvCxnSpPr/>
      </xdr:nvCxnSpPr>
      <xdr:spPr>
        <a:xfrm>
          <a:off x="1052513" y="1656778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71438</xdr:colOff>
      <xdr:row>1287</xdr:row>
      <xdr:rowOff>66675</xdr:rowOff>
    </xdr:from>
    <xdr:to>
      <xdr:col>8</xdr:col>
      <xdr:colOff>123825</xdr:colOff>
      <xdr:row>1287</xdr:row>
      <xdr:rowOff>66675</xdr:rowOff>
    </xdr:to>
    <xdr:cxnSp macro="">
      <xdr:nvCxnSpPr>
        <xdr:cNvPr id="1577" name="Straight Arrow Connector 1576">
          <a:extLst>
            <a:ext uri="{FF2B5EF4-FFF2-40B4-BE49-F238E27FC236}">
              <a16:creationId xmlns:a16="http://schemas.microsoft.com/office/drawing/2014/main" id="{0070BB97-A965-42FE-A24A-1E0A1F09C9F6}"/>
            </a:ext>
          </a:extLst>
        </xdr:cNvPr>
        <xdr:cNvCxnSpPr/>
      </xdr:nvCxnSpPr>
      <xdr:spPr>
        <a:xfrm>
          <a:off x="1204913" y="177736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80963</xdr:colOff>
      <xdr:row>1287</xdr:row>
      <xdr:rowOff>66675</xdr:rowOff>
    </xdr:from>
    <xdr:to>
      <xdr:col>29</xdr:col>
      <xdr:colOff>133350</xdr:colOff>
      <xdr:row>1287</xdr:row>
      <xdr:rowOff>66675</xdr:rowOff>
    </xdr:to>
    <xdr:cxnSp macro="">
      <xdr:nvCxnSpPr>
        <xdr:cNvPr id="1578" name="Straight Arrow Connector 1577">
          <a:extLst>
            <a:ext uri="{FF2B5EF4-FFF2-40B4-BE49-F238E27FC236}">
              <a16:creationId xmlns:a16="http://schemas.microsoft.com/office/drawing/2014/main" id="{479FBF2D-D08C-48C6-8121-A2C287CEA97E}"/>
            </a:ext>
          </a:extLst>
        </xdr:cNvPr>
        <xdr:cNvCxnSpPr/>
      </xdr:nvCxnSpPr>
      <xdr:spPr>
        <a:xfrm>
          <a:off x="10606088" y="177736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1313</xdr:row>
      <xdr:rowOff>66674</xdr:rowOff>
    </xdr:from>
    <xdr:to>
      <xdr:col>15</xdr:col>
      <xdr:colOff>57150</xdr:colOff>
      <xdr:row>1327</xdr:row>
      <xdr:rowOff>76200</xdr:rowOff>
    </xdr:to>
    <xdr:grpSp>
      <xdr:nvGrpSpPr>
        <xdr:cNvPr id="1510" name="Group 1509">
          <a:extLst>
            <a:ext uri="{FF2B5EF4-FFF2-40B4-BE49-F238E27FC236}">
              <a16:creationId xmlns:a16="http://schemas.microsoft.com/office/drawing/2014/main" id="{E109D17E-81E2-48A5-9F21-AE4FCF44248E}"/>
            </a:ext>
          </a:extLst>
        </xdr:cNvPr>
        <xdr:cNvGrpSpPr/>
      </xdr:nvGrpSpPr>
      <xdr:grpSpPr>
        <a:xfrm>
          <a:off x="419100" y="197853299"/>
          <a:ext cx="2066925" cy="2009776"/>
          <a:chOff x="1066800" y="495299"/>
          <a:chExt cx="2066925" cy="2009776"/>
        </a:xfrm>
      </xdr:grpSpPr>
      <xdr:grpSp>
        <xdr:nvGrpSpPr>
          <xdr:cNvPr id="1521" name="Group 1520">
            <a:extLst>
              <a:ext uri="{FF2B5EF4-FFF2-40B4-BE49-F238E27FC236}">
                <a16:creationId xmlns:a16="http://schemas.microsoft.com/office/drawing/2014/main" id="{D0F38BD1-B443-B633-EFDA-CA2F3E6BADF9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1584" name="Straight Connector 1583">
              <a:extLst>
                <a:ext uri="{FF2B5EF4-FFF2-40B4-BE49-F238E27FC236}">
                  <a16:creationId xmlns:a16="http://schemas.microsoft.com/office/drawing/2014/main" id="{CCE02CB2-1277-352A-43AA-70E268AB6A4F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85" name="Straight Connector 1584">
              <a:extLst>
                <a:ext uri="{FF2B5EF4-FFF2-40B4-BE49-F238E27FC236}">
                  <a16:creationId xmlns:a16="http://schemas.microsoft.com/office/drawing/2014/main" id="{04D90C0D-CA81-A948-A659-2590A5DCE847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86" name="Straight Connector 1585">
              <a:extLst>
                <a:ext uri="{FF2B5EF4-FFF2-40B4-BE49-F238E27FC236}">
                  <a16:creationId xmlns:a16="http://schemas.microsoft.com/office/drawing/2014/main" id="{5B878FA4-74E9-CE7C-2624-0CA4A049BE2B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87" name="Arc 1586">
              <a:extLst>
                <a:ext uri="{FF2B5EF4-FFF2-40B4-BE49-F238E27FC236}">
                  <a16:creationId xmlns:a16="http://schemas.microsoft.com/office/drawing/2014/main" id="{4D36E32A-54B6-DED4-AE84-A250CAF92EB4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588" name="Straight Connector 1587">
              <a:extLst>
                <a:ext uri="{FF2B5EF4-FFF2-40B4-BE49-F238E27FC236}">
                  <a16:creationId xmlns:a16="http://schemas.microsoft.com/office/drawing/2014/main" id="{317A3568-2A15-D746-51C7-84525DC0E275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89" name="Straight Connector 1588">
              <a:extLst>
                <a:ext uri="{FF2B5EF4-FFF2-40B4-BE49-F238E27FC236}">
                  <a16:creationId xmlns:a16="http://schemas.microsoft.com/office/drawing/2014/main" id="{F4138221-8BC0-27F1-259D-CEB6AA4E741D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0" name="Straight Connector 1589">
              <a:extLst>
                <a:ext uri="{FF2B5EF4-FFF2-40B4-BE49-F238E27FC236}">
                  <a16:creationId xmlns:a16="http://schemas.microsoft.com/office/drawing/2014/main" id="{6BA0691F-6086-4D30-3FE5-79416C0C1524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1" name="Straight Connector 1590">
              <a:extLst>
                <a:ext uri="{FF2B5EF4-FFF2-40B4-BE49-F238E27FC236}">
                  <a16:creationId xmlns:a16="http://schemas.microsoft.com/office/drawing/2014/main" id="{8E791409-35FE-457A-A8C7-6CE42FB336E4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92" name="Arc 1591">
              <a:extLst>
                <a:ext uri="{FF2B5EF4-FFF2-40B4-BE49-F238E27FC236}">
                  <a16:creationId xmlns:a16="http://schemas.microsoft.com/office/drawing/2014/main" id="{55FB3E52-45CD-EE95-8CF9-7862602C5F61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593" name="Straight Connector 1592">
              <a:extLst>
                <a:ext uri="{FF2B5EF4-FFF2-40B4-BE49-F238E27FC236}">
                  <a16:creationId xmlns:a16="http://schemas.microsoft.com/office/drawing/2014/main" id="{B1E29A4A-F7D4-B470-6292-9E5D1841C5A9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4" name="Straight Connector 1593">
              <a:extLst>
                <a:ext uri="{FF2B5EF4-FFF2-40B4-BE49-F238E27FC236}">
                  <a16:creationId xmlns:a16="http://schemas.microsoft.com/office/drawing/2014/main" id="{E915C918-1C00-C1FD-8BFC-91A7ABD0F3C3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6" name="Straight Connector 1595">
              <a:extLst>
                <a:ext uri="{FF2B5EF4-FFF2-40B4-BE49-F238E27FC236}">
                  <a16:creationId xmlns:a16="http://schemas.microsoft.com/office/drawing/2014/main" id="{6F860CB3-FEF8-DEB5-5845-F4F65885576D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7" name="Straight Connector 1596">
              <a:extLst>
                <a:ext uri="{FF2B5EF4-FFF2-40B4-BE49-F238E27FC236}">
                  <a16:creationId xmlns:a16="http://schemas.microsoft.com/office/drawing/2014/main" id="{9050E1ED-7B7B-9CBE-2E6D-ABD404E3E82B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8" name="Straight Connector 1597">
              <a:extLst>
                <a:ext uri="{FF2B5EF4-FFF2-40B4-BE49-F238E27FC236}">
                  <a16:creationId xmlns:a16="http://schemas.microsoft.com/office/drawing/2014/main" id="{A34E6611-77D7-90CE-F86F-28D7211CEFF0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99" name="Arc 1598">
              <a:extLst>
                <a:ext uri="{FF2B5EF4-FFF2-40B4-BE49-F238E27FC236}">
                  <a16:creationId xmlns:a16="http://schemas.microsoft.com/office/drawing/2014/main" id="{24CAE28E-4DE0-E4EE-EAA8-39354F95E520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00" name="Arc 1599">
              <a:extLst>
                <a:ext uri="{FF2B5EF4-FFF2-40B4-BE49-F238E27FC236}">
                  <a16:creationId xmlns:a16="http://schemas.microsoft.com/office/drawing/2014/main" id="{5ADDD807-600D-DB91-BCD4-2F92905F760E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1522" name="Straight Connector 1521">
            <a:extLst>
              <a:ext uri="{FF2B5EF4-FFF2-40B4-BE49-F238E27FC236}">
                <a16:creationId xmlns:a16="http://schemas.microsoft.com/office/drawing/2014/main" id="{B1150EB4-2BAE-A3AD-249F-7DD9BF8D69C3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6" name="Straight Connector 1525">
            <a:extLst>
              <a:ext uri="{FF2B5EF4-FFF2-40B4-BE49-F238E27FC236}">
                <a16:creationId xmlns:a16="http://schemas.microsoft.com/office/drawing/2014/main" id="{3B52F6F5-F5BC-B54D-85B1-AAFE40382E3D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7" name="Straight Connector 1526">
            <a:extLst>
              <a:ext uri="{FF2B5EF4-FFF2-40B4-BE49-F238E27FC236}">
                <a16:creationId xmlns:a16="http://schemas.microsoft.com/office/drawing/2014/main" id="{45F96D05-1362-2DE8-0BF8-4C61E9345FE8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8" name="Straight Connector 1527">
            <a:extLst>
              <a:ext uri="{FF2B5EF4-FFF2-40B4-BE49-F238E27FC236}">
                <a16:creationId xmlns:a16="http://schemas.microsoft.com/office/drawing/2014/main" id="{9AA8D727-8745-1E4A-0DFF-6FD2F1481394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9" name="Straight Connector 1528">
            <a:extLst>
              <a:ext uri="{FF2B5EF4-FFF2-40B4-BE49-F238E27FC236}">
                <a16:creationId xmlns:a16="http://schemas.microsoft.com/office/drawing/2014/main" id="{93073BBE-E78C-FA17-A75E-47F371D233A1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0" name="Straight Connector 1529">
            <a:extLst>
              <a:ext uri="{FF2B5EF4-FFF2-40B4-BE49-F238E27FC236}">
                <a16:creationId xmlns:a16="http://schemas.microsoft.com/office/drawing/2014/main" id="{C8571AD7-0D1A-96AA-D445-1682E2A3B55C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1" name="Straight Connector 1530">
            <a:extLst>
              <a:ext uri="{FF2B5EF4-FFF2-40B4-BE49-F238E27FC236}">
                <a16:creationId xmlns:a16="http://schemas.microsoft.com/office/drawing/2014/main" id="{5A8D43EA-E35C-D11A-73DF-81AD58AAD9E8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2" name="Straight Connector 1531">
            <a:extLst>
              <a:ext uri="{FF2B5EF4-FFF2-40B4-BE49-F238E27FC236}">
                <a16:creationId xmlns:a16="http://schemas.microsoft.com/office/drawing/2014/main" id="{9051066F-F2FC-B467-F82B-2424EF58CCAE}"/>
              </a:ext>
            </a:extLst>
          </xdr:cNvPr>
          <xdr:cNvCxnSpPr/>
        </xdr:nvCxnSpPr>
        <xdr:spPr>
          <a:xfrm>
            <a:off x="1395413" y="2428875"/>
            <a:ext cx="14239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3" name="Straight Connector 1532">
            <a:extLst>
              <a:ext uri="{FF2B5EF4-FFF2-40B4-BE49-F238E27FC236}">
                <a16:creationId xmlns:a16="http://schemas.microsoft.com/office/drawing/2014/main" id="{ADE8D5ED-91CC-B2F3-98A8-280118E8124A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4" name="Straight Connector 1533">
            <a:extLst>
              <a:ext uri="{FF2B5EF4-FFF2-40B4-BE49-F238E27FC236}">
                <a16:creationId xmlns:a16="http://schemas.microsoft.com/office/drawing/2014/main" id="{81EEE9BA-B645-4759-1900-52A29FBCA299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5" name="Straight Connector 1534">
            <a:extLst>
              <a:ext uri="{FF2B5EF4-FFF2-40B4-BE49-F238E27FC236}">
                <a16:creationId xmlns:a16="http://schemas.microsoft.com/office/drawing/2014/main" id="{7825CE45-CA13-4AE9-8CB8-F4306D819160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6" name="Straight Connector 1535">
            <a:extLst>
              <a:ext uri="{FF2B5EF4-FFF2-40B4-BE49-F238E27FC236}">
                <a16:creationId xmlns:a16="http://schemas.microsoft.com/office/drawing/2014/main" id="{8B5EACD6-E307-06BD-53B4-6C1EEBBFDD46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7" name="Straight Connector 1536">
            <a:extLst>
              <a:ext uri="{FF2B5EF4-FFF2-40B4-BE49-F238E27FC236}">
                <a16:creationId xmlns:a16="http://schemas.microsoft.com/office/drawing/2014/main" id="{2E81BFEF-0EA4-5672-1D75-8D7D29B9914F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9" name="Straight Connector 1578">
            <a:extLst>
              <a:ext uri="{FF2B5EF4-FFF2-40B4-BE49-F238E27FC236}">
                <a16:creationId xmlns:a16="http://schemas.microsoft.com/office/drawing/2014/main" id="{02A3C612-0918-CA11-69E1-0A9357F595A2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1" name="Straight Connector 1580">
            <a:extLst>
              <a:ext uri="{FF2B5EF4-FFF2-40B4-BE49-F238E27FC236}">
                <a16:creationId xmlns:a16="http://schemas.microsoft.com/office/drawing/2014/main" id="{8EFE805F-68BA-56CE-5553-D103628F85AB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2" name="Straight Connector 1581">
            <a:extLst>
              <a:ext uri="{FF2B5EF4-FFF2-40B4-BE49-F238E27FC236}">
                <a16:creationId xmlns:a16="http://schemas.microsoft.com/office/drawing/2014/main" id="{AE018B40-9AD4-A802-CE73-E21C2611FAC2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3" name="Straight Connector 1582">
            <a:extLst>
              <a:ext uri="{FF2B5EF4-FFF2-40B4-BE49-F238E27FC236}">
                <a16:creationId xmlns:a16="http://schemas.microsoft.com/office/drawing/2014/main" id="{4AF86866-6F66-0D23-A193-B8ACC1983794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85725</xdr:colOff>
      <xdr:row>1330</xdr:row>
      <xdr:rowOff>9525</xdr:rowOff>
    </xdr:from>
    <xdr:to>
      <xdr:col>51</xdr:col>
      <xdr:colOff>76961</xdr:colOff>
      <xdr:row>1330</xdr:row>
      <xdr:rowOff>142874</xdr:rowOff>
    </xdr:to>
    <xdr:grpSp>
      <xdr:nvGrpSpPr>
        <xdr:cNvPr id="1670" name="Group 1669">
          <a:extLst>
            <a:ext uri="{FF2B5EF4-FFF2-40B4-BE49-F238E27FC236}">
              <a16:creationId xmlns:a16="http://schemas.microsoft.com/office/drawing/2014/main" id="{04217CA8-60A6-4EC1-94FD-044AE53DE685}"/>
            </a:ext>
          </a:extLst>
        </xdr:cNvPr>
        <xdr:cNvGrpSpPr/>
      </xdr:nvGrpSpPr>
      <xdr:grpSpPr>
        <a:xfrm>
          <a:off x="4457700" y="200225025"/>
          <a:ext cx="3877436" cy="133349"/>
          <a:chOff x="4457700" y="144218025"/>
          <a:chExt cx="3877436" cy="133349"/>
        </a:xfrm>
      </xdr:grpSpPr>
      <xdr:cxnSp macro="">
        <xdr:nvCxnSpPr>
          <xdr:cNvPr id="1671" name="Straight Connector 1670">
            <a:extLst>
              <a:ext uri="{FF2B5EF4-FFF2-40B4-BE49-F238E27FC236}">
                <a16:creationId xmlns:a16="http://schemas.microsoft.com/office/drawing/2014/main" id="{EEB83284-4307-96E9-C38F-8D816BDD3819}"/>
              </a:ext>
            </a:extLst>
          </xdr:cNvPr>
          <xdr:cNvCxnSpPr/>
        </xdr:nvCxnSpPr>
        <xdr:spPr>
          <a:xfrm>
            <a:off x="4533900" y="144218025"/>
            <a:ext cx="371951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72" name="Isosceles Triangle 1671">
            <a:extLst>
              <a:ext uri="{FF2B5EF4-FFF2-40B4-BE49-F238E27FC236}">
                <a16:creationId xmlns:a16="http://schemas.microsoft.com/office/drawing/2014/main" id="{0E923CA9-0DA3-B8B0-45BF-9C03E0FA0562}"/>
              </a:ext>
            </a:extLst>
          </xdr:cNvPr>
          <xdr:cNvSpPr/>
        </xdr:nvSpPr>
        <xdr:spPr>
          <a:xfrm>
            <a:off x="4457700" y="144227550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73" name="Isosceles Triangle 1672">
            <a:extLst>
              <a:ext uri="{FF2B5EF4-FFF2-40B4-BE49-F238E27FC236}">
                <a16:creationId xmlns:a16="http://schemas.microsoft.com/office/drawing/2014/main" id="{21649D79-29D0-A5F3-9609-7DDCF9CD614D}"/>
              </a:ext>
            </a:extLst>
          </xdr:cNvPr>
          <xdr:cNvSpPr/>
        </xdr:nvSpPr>
        <xdr:spPr>
          <a:xfrm>
            <a:off x="8191500" y="144218025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27</xdr:col>
      <xdr:colOff>85723</xdr:colOff>
      <xdr:row>1315</xdr:row>
      <xdr:rowOff>4762</xdr:rowOff>
    </xdr:from>
    <xdr:to>
      <xdr:col>51</xdr:col>
      <xdr:colOff>76961</xdr:colOff>
      <xdr:row>1327</xdr:row>
      <xdr:rowOff>90488</xdr:rowOff>
    </xdr:to>
    <xdr:grpSp>
      <xdr:nvGrpSpPr>
        <xdr:cNvPr id="1680" name="Group 1679">
          <a:extLst>
            <a:ext uri="{FF2B5EF4-FFF2-40B4-BE49-F238E27FC236}">
              <a16:creationId xmlns:a16="http://schemas.microsoft.com/office/drawing/2014/main" id="{7FFD5316-4166-FDAC-DFB7-7594CFEE391D}"/>
            </a:ext>
          </a:extLst>
        </xdr:cNvPr>
        <xdr:cNvGrpSpPr/>
      </xdr:nvGrpSpPr>
      <xdr:grpSpPr>
        <a:xfrm>
          <a:off x="4457698" y="198077137"/>
          <a:ext cx="3877438" cy="1800226"/>
          <a:chOff x="4457698" y="186790012"/>
          <a:chExt cx="3877438" cy="1800226"/>
        </a:xfrm>
      </xdr:grpSpPr>
      <xdr:cxnSp macro="">
        <xdr:nvCxnSpPr>
          <xdr:cNvPr id="1601" name="Straight Arrow Connector 1600">
            <a:extLst>
              <a:ext uri="{FF2B5EF4-FFF2-40B4-BE49-F238E27FC236}">
                <a16:creationId xmlns:a16="http://schemas.microsoft.com/office/drawing/2014/main" id="{19718930-4304-4581-98BA-25CCCEAC9877}"/>
              </a:ext>
            </a:extLst>
          </xdr:cNvPr>
          <xdr:cNvCxnSpPr/>
        </xdr:nvCxnSpPr>
        <xdr:spPr>
          <a:xfrm>
            <a:off x="8258181" y="18710910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2" name="Straight Connector 1601">
            <a:extLst>
              <a:ext uri="{FF2B5EF4-FFF2-40B4-BE49-F238E27FC236}">
                <a16:creationId xmlns:a16="http://schemas.microsoft.com/office/drawing/2014/main" id="{298B9CAA-9DE9-492A-9836-E111E05AAEFF}"/>
              </a:ext>
            </a:extLst>
          </xdr:cNvPr>
          <xdr:cNvCxnSpPr/>
        </xdr:nvCxnSpPr>
        <xdr:spPr>
          <a:xfrm>
            <a:off x="4533900" y="187356750"/>
            <a:ext cx="371951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6" name="Straight Connector 1605">
            <a:extLst>
              <a:ext uri="{FF2B5EF4-FFF2-40B4-BE49-F238E27FC236}">
                <a16:creationId xmlns:a16="http://schemas.microsoft.com/office/drawing/2014/main" id="{9E50DEE7-52A9-46CF-9E9B-E7993E6C0FB3}"/>
              </a:ext>
            </a:extLst>
          </xdr:cNvPr>
          <xdr:cNvCxnSpPr/>
        </xdr:nvCxnSpPr>
        <xdr:spPr>
          <a:xfrm>
            <a:off x="6472238" y="187109100"/>
            <a:ext cx="1795469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7" name="Straight Arrow Connector 1606">
            <a:extLst>
              <a:ext uri="{FF2B5EF4-FFF2-40B4-BE49-F238E27FC236}">
                <a16:creationId xmlns:a16="http://schemas.microsoft.com/office/drawing/2014/main" id="{D1BD2F39-1309-48F7-9E87-1924A625E3A3}"/>
              </a:ext>
            </a:extLst>
          </xdr:cNvPr>
          <xdr:cNvCxnSpPr/>
        </xdr:nvCxnSpPr>
        <xdr:spPr>
          <a:xfrm>
            <a:off x="6477006" y="18711386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8" name="Straight Arrow Connector 1607">
            <a:extLst>
              <a:ext uri="{FF2B5EF4-FFF2-40B4-BE49-F238E27FC236}">
                <a16:creationId xmlns:a16="http://schemas.microsoft.com/office/drawing/2014/main" id="{FBF1DE59-E9A0-44F8-B6E7-074D6777B12F}"/>
              </a:ext>
            </a:extLst>
          </xdr:cNvPr>
          <xdr:cNvCxnSpPr/>
        </xdr:nvCxnSpPr>
        <xdr:spPr>
          <a:xfrm>
            <a:off x="6638931" y="18711386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9" name="Straight Arrow Connector 1608">
            <a:extLst>
              <a:ext uri="{FF2B5EF4-FFF2-40B4-BE49-F238E27FC236}">
                <a16:creationId xmlns:a16="http://schemas.microsoft.com/office/drawing/2014/main" id="{996BC5E1-0E1D-4B6E-8718-ED9FAC77723D}"/>
              </a:ext>
            </a:extLst>
          </xdr:cNvPr>
          <xdr:cNvCxnSpPr/>
        </xdr:nvCxnSpPr>
        <xdr:spPr>
          <a:xfrm>
            <a:off x="6800856" y="18710910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0" name="Straight Arrow Connector 1609">
            <a:extLst>
              <a:ext uri="{FF2B5EF4-FFF2-40B4-BE49-F238E27FC236}">
                <a16:creationId xmlns:a16="http://schemas.microsoft.com/office/drawing/2014/main" id="{412AB259-F4B8-4189-9B5C-3A0DA7886888}"/>
              </a:ext>
            </a:extLst>
          </xdr:cNvPr>
          <xdr:cNvCxnSpPr/>
        </xdr:nvCxnSpPr>
        <xdr:spPr>
          <a:xfrm>
            <a:off x="6962781" y="18711386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1" name="Straight Arrow Connector 1610">
            <a:extLst>
              <a:ext uri="{FF2B5EF4-FFF2-40B4-BE49-F238E27FC236}">
                <a16:creationId xmlns:a16="http://schemas.microsoft.com/office/drawing/2014/main" id="{C1444E3A-1E27-41F8-87AD-EC0CFBBA90AE}"/>
              </a:ext>
            </a:extLst>
          </xdr:cNvPr>
          <xdr:cNvCxnSpPr/>
        </xdr:nvCxnSpPr>
        <xdr:spPr>
          <a:xfrm>
            <a:off x="7124706" y="18711386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3" name="Straight Arrow Connector 1612">
            <a:extLst>
              <a:ext uri="{FF2B5EF4-FFF2-40B4-BE49-F238E27FC236}">
                <a16:creationId xmlns:a16="http://schemas.microsoft.com/office/drawing/2014/main" id="{DD56CC7A-7836-4C61-BE82-661D06A789BD}"/>
              </a:ext>
            </a:extLst>
          </xdr:cNvPr>
          <xdr:cNvCxnSpPr/>
        </xdr:nvCxnSpPr>
        <xdr:spPr>
          <a:xfrm>
            <a:off x="7286631" y="18711386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4" name="Straight Arrow Connector 1613">
            <a:extLst>
              <a:ext uri="{FF2B5EF4-FFF2-40B4-BE49-F238E27FC236}">
                <a16:creationId xmlns:a16="http://schemas.microsoft.com/office/drawing/2014/main" id="{6535FA98-E425-4EA9-A20C-928543CC9DE2}"/>
              </a:ext>
            </a:extLst>
          </xdr:cNvPr>
          <xdr:cNvCxnSpPr/>
        </xdr:nvCxnSpPr>
        <xdr:spPr>
          <a:xfrm>
            <a:off x="7448556" y="18710910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5" name="Straight Arrow Connector 1614">
            <a:extLst>
              <a:ext uri="{FF2B5EF4-FFF2-40B4-BE49-F238E27FC236}">
                <a16:creationId xmlns:a16="http://schemas.microsoft.com/office/drawing/2014/main" id="{9522BC40-30B8-454A-86C2-372955AC8E38}"/>
              </a:ext>
            </a:extLst>
          </xdr:cNvPr>
          <xdr:cNvCxnSpPr/>
        </xdr:nvCxnSpPr>
        <xdr:spPr>
          <a:xfrm>
            <a:off x="7610481" y="18711386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7" name="Straight Arrow Connector 1616">
            <a:extLst>
              <a:ext uri="{FF2B5EF4-FFF2-40B4-BE49-F238E27FC236}">
                <a16:creationId xmlns:a16="http://schemas.microsoft.com/office/drawing/2014/main" id="{C9EE4C93-F8FD-41B7-A32F-FEF6567F3C2F}"/>
              </a:ext>
            </a:extLst>
          </xdr:cNvPr>
          <xdr:cNvCxnSpPr/>
        </xdr:nvCxnSpPr>
        <xdr:spPr>
          <a:xfrm>
            <a:off x="7772406" y="18711386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8" name="Straight Arrow Connector 1617">
            <a:extLst>
              <a:ext uri="{FF2B5EF4-FFF2-40B4-BE49-F238E27FC236}">
                <a16:creationId xmlns:a16="http://schemas.microsoft.com/office/drawing/2014/main" id="{7F8BEAD6-4658-412E-B19F-1430265B2C50}"/>
              </a:ext>
            </a:extLst>
          </xdr:cNvPr>
          <xdr:cNvCxnSpPr/>
        </xdr:nvCxnSpPr>
        <xdr:spPr>
          <a:xfrm>
            <a:off x="7934331" y="18710910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9" name="Straight Arrow Connector 1618">
            <a:extLst>
              <a:ext uri="{FF2B5EF4-FFF2-40B4-BE49-F238E27FC236}">
                <a16:creationId xmlns:a16="http://schemas.microsoft.com/office/drawing/2014/main" id="{4A98D27D-CCB6-4B98-BFFB-BC3942E94B50}"/>
              </a:ext>
            </a:extLst>
          </xdr:cNvPr>
          <xdr:cNvCxnSpPr/>
        </xdr:nvCxnSpPr>
        <xdr:spPr>
          <a:xfrm>
            <a:off x="8096256" y="18711386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0" name="Straight Connector 1619">
            <a:extLst>
              <a:ext uri="{FF2B5EF4-FFF2-40B4-BE49-F238E27FC236}">
                <a16:creationId xmlns:a16="http://schemas.microsoft.com/office/drawing/2014/main" id="{5A25D42C-FA8C-4292-A8D9-E0357F7DC0AB}"/>
              </a:ext>
            </a:extLst>
          </xdr:cNvPr>
          <xdr:cNvCxnSpPr/>
        </xdr:nvCxnSpPr>
        <xdr:spPr>
          <a:xfrm>
            <a:off x="7196144" y="187061478"/>
            <a:ext cx="85725" cy="12382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1" name="Straight Connector 1620">
            <a:extLst>
              <a:ext uri="{FF2B5EF4-FFF2-40B4-BE49-F238E27FC236}">
                <a16:creationId xmlns:a16="http://schemas.microsoft.com/office/drawing/2014/main" id="{76722C64-3046-40FD-AD33-3DFFD148D3DF}"/>
              </a:ext>
            </a:extLst>
          </xdr:cNvPr>
          <xdr:cNvCxnSpPr/>
        </xdr:nvCxnSpPr>
        <xdr:spPr>
          <a:xfrm>
            <a:off x="4533901" y="187537722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4" name="Straight Arrow Connector 1623">
            <a:extLst>
              <a:ext uri="{FF2B5EF4-FFF2-40B4-BE49-F238E27FC236}">
                <a16:creationId xmlns:a16="http://schemas.microsoft.com/office/drawing/2014/main" id="{102DEF8E-26AF-43D0-A623-6ABA3EA50A7C}"/>
              </a:ext>
            </a:extLst>
          </xdr:cNvPr>
          <xdr:cNvCxnSpPr/>
        </xdr:nvCxnSpPr>
        <xdr:spPr>
          <a:xfrm>
            <a:off x="4538662" y="187723462"/>
            <a:ext cx="433388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6" name="Straight Connector 1625">
            <a:extLst>
              <a:ext uri="{FF2B5EF4-FFF2-40B4-BE49-F238E27FC236}">
                <a16:creationId xmlns:a16="http://schemas.microsoft.com/office/drawing/2014/main" id="{65A0A82D-63C7-4351-8156-7AB40FF2234A}"/>
              </a:ext>
            </a:extLst>
          </xdr:cNvPr>
          <xdr:cNvCxnSpPr/>
        </xdr:nvCxnSpPr>
        <xdr:spPr>
          <a:xfrm>
            <a:off x="4533900" y="188075888"/>
            <a:ext cx="0" cy="5095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7" name="Straight Connector 1626">
            <a:extLst>
              <a:ext uri="{FF2B5EF4-FFF2-40B4-BE49-F238E27FC236}">
                <a16:creationId xmlns:a16="http://schemas.microsoft.com/office/drawing/2014/main" id="{6ECB88FC-1A3F-4DA7-8C77-8F15215F892C}"/>
              </a:ext>
            </a:extLst>
          </xdr:cNvPr>
          <xdr:cNvCxnSpPr/>
        </xdr:nvCxnSpPr>
        <xdr:spPr>
          <a:xfrm>
            <a:off x="4457698" y="188214000"/>
            <a:ext cx="38623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9" name="Straight Connector 1628">
            <a:extLst>
              <a:ext uri="{FF2B5EF4-FFF2-40B4-BE49-F238E27FC236}">
                <a16:creationId xmlns:a16="http://schemas.microsoft.com/office/drawing/2014/main" id="{F83C08D4-EE4A-4293-82C9-059901FE4BE2}"/>
              </a:ext>
            </a:extLst>
          </xdr:cNvPr>
          <xdr:cNvCxnSpPr/>
        </xdr:nvCxnSpPr>
        <xdr:spPr>
          <a:xfrm flipH="1">
            <a:off x="4495799" y="18818066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2" name="Straight Connector 1631">
            <a:extLst>
              <a:ext uri="{FF2B5EF4-FFF2-40B4-BE49-F238E27FC236}">
                <a16:creationId xmlns:a16="http://schemas.microsoft.com/office/drawing/2014/main" id="{AFC94F9F-7C1A-4C36-9049-80455A99445E}"/>
              </a:ext>
            </a:extLst>
          </xdr:cNvPr>
          <xdr:cNvCxnSpPr/>
        </xdr:nvCxnSpPr>
        <xdr:spPr>
          <a:xfrm>
            <a:off x="8258175" y="188075888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4" name="Straight Connector 1633">
            <a:extLst>
              <a:ext uri="{FF2B5EF4-FFF2-40B4-BE49-F238E27FC236}">
                <a16:creationId xmlns:a16="http://schemas.microsoft.com/office/drawing/2014/main" id="{702EED61-C4CE-4C4D-9EF4-A85CADA735B9}"/>
              </a:ext>
            </a:extLst>
          </xdr:cNvPr>
          <xdr:cNvCxnSpPr/>
        </xdr:nvCxnSpPr>
        <xdr:spPr>
          <a:xfrm flipH="1">
            <a:off x="8220074" y="18818066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6" name="Straight Connector 1645">
            <a:extLst>
              <a:ext uri="{FF2B5EF4-FFF2-40B4-BE49-F238E27FC236}">
                <a16:creationId xmlns:a16="http://schemas.microsoft.com/office/drawing/2014/main" id="{81A04405-A210-4B80-B247-BDF6EE599E78}"/>
              </a:ext>
            </a:extLst>
          </xdr:cNvPr>
          <xdr:cNvCxnSpPr/>
        </xdr:nvCxnSpPr>
        <xdr:spPr>
          <a:xfrm>
            <a:off x="8262938" y="187523435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7" name="Straight Connector 1646">
            <a:extLst>
              <a:ext uri="{FF2B5EF4-FFF2-40B4-BE49-F238E27FC236}">
                <a16:creationId xmlns:a16="http://schemas.microsoft.com/office/drawing/2014/main" id="{C77FDB2E-C071-42DE-9717-706D5E596634}"/>
              </a:ext>
            </a:extLst>
          </xdr:cNvPr>
          <xdr:cNvCxnSpPr/>
        </xdr:nvCxnSpPr>
        <xdr:spPr>
          <a:xfrm>
            <a:off x="5505446" y="187652025"/>
            <a:ext cx="0" cy="628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9" name="Straight Connector 1648">
            <a:extLst>
              <a:ext uri="{FF2B5EF4-FFF2-40B4-BE49-F238E27FC236}">
                <a16:creationId xmlns:a16="http://schemas.microsoft.com/office/drawing/2014/main" id="{25C4B560-EB0D-48F0-9A69-886AF5D6CE38}"/>
              </a:ext>
            </a:extLst>
          </xdr:cNvPr>
          <xdr:cNvCxnSpPr/>
        </xdr:nvCxnSpPr>
        <xdr:spPr>
          <a:xfrm flipH="1">
            <a:off x="5467345" y="18818066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2" name="Straight Arrow Connector 1651">
            <a:extLst>
              <a:ext uri="{FF2B5EF4-FFF2-40B4-BE49-F238E27FC236}">
                <a16:creationId xmlns:a16="http://schemas.microsoft.com/office/drawing/2014/main" id="{7AF36C7C-658E-4A42-A326-A6AF0807FD98}"/>
              </a:ext>
            </a:extLst>
          </xdr:cNvPr>
          <xdr:cNvCxnSpPr/>
        </xdr:nvCxnSpPr>
        <xdr:spPr>
          <a:xfrm>
            <a:off x="5510210" y="186790012"/>
            <a:ext cx="0" cy="56197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3" name="Straight Connector 1652">
            <a:extLst>
              <a:ext uri="{FF2B5EF4-FFF2-40B4-BE49-F238E27FC236}">
                <a16:creationId xmlns:a16="http://schemas.microsoft.com/office/drawing/2014/main" id="{6BA769F6-BCF6-4A33-A0FA-14BDAB10D576}"/>
              </a:ext>
            </a:extLst>
          </xdr:cNvPr>
          <xdr:cNvCxnSpPr/>
        </xdr:nvCxnSpPr>
        <xdr:spPr>
          <a:xfrm>
            <a:off x="4457699" y="188499750"/>
            <a:ext cx="38623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4" name="Straight Connector 1653">
            <a:extLst>
              <a:ext uri="{FF2B5EF4-FFF2-40B4-BE49-F238E27FC236}">
                <a16:creationId xmlns:a16="http://schemas.microsoft.com/office/drawing/2014/main" id="{A82F2693-EF37-48A7-AEC5-202A19D0F4CB}"/>
              </a:ext>
            </a:extLst>
          </xdr:cNvPr>
          <xdr:cNvCxnSpPr/>
        </xdr:nvCxnSpPr>
        <xdr:spPr>
          <a:xfrm flipH="1">
            <a:off x="4495800" y="18846641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5" name="Straight Connector 1654">
            <a:extLst>
              <a:ext uri="{FF2B5EF4-FFF2-40B4-BE49-F238E27FC236}">
                <a16:creationId xmlns:a16="http://schemas.microsoft.com/office/drawing/2014/main" id="{DFA68861-0BE0-4919-82C2-411746840930}"/>
              </a:ext>
            </a:extLst>
          </xdr:cNvPr>
          <xdr:cNvCxnSpPr/>
        </xdr:nvCxnSpPr>
        <xdr:spPr>
          <a:xfrm flipH="1">
            <a:off x="8220075" y="18846641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9" name="Isosceles Triangle 1658">
            <a:extLst>
              <a:ext uri="{FF2B5EF4-FFF2-40B4-BE49-F238E27FC236}">
                <a16:creationId xmlns:a16="http://schemas.microsoft.com/office/drawing/2014/main" id="{6C26218A-AD9D-42B5-B0FB-8F8804007B88}"/>
              </a:ext>
            </a:extLst>
          </xdr:cNvPr>
          <xdr:cNvSpPr/>
        </xdr:nvSpPr>
        <xdr:spPr>
          <a:xfrm>
            <a:off x="4457700" y="187366275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60" name="Isosceles Triangle 1659">
            <a:extLst>
              <a:ext uri="{FF2B5EF4-FFF2-40B4-BE49-F238E27FC236}">
                <a16:creationId xmlns:a16="http://schemas.microsoft.com/office/drawing/2014/main" id="{AC2F8EDB-A930-4123-9713-073E56610163}"/>
              </a:ext>
            </a:extLst>
          </xdr:cNvPr>
          <xdr:cNvSpPr/>
        </xdr:nvSpPr>
        <xdr:spPr>
          <a:xfrm>
            <a:off x="8191500" y="187356750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74" name="Straight Connector 1673">
            <a:extLst>
              <a:ext uri="{FF2B5EF4-FFF2-40B4-BE49-F238E27FC236}">
                <a16:creationId xmlns:a16="http://schemas.microsoft.com/office/drawing/2014/main" id="{95DCB7E3-A005-446C-BD88-391B61A0B919}"/>
              </a:ext>
            </a:extLst>
          </xdr:cNvPr>
          <xdr:cNvCxnSpPr/>
        </xdr:nvCxnSpPr>
        <xdr:spPr>
          <a:xfrm>
            <a:off x="6477000" y="187652026"/>
            <a:ext cx="0" cy="628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5" name="Straight Connector 1674">
            <a:extLst>
              <a:ext uri="{FF2B5EF4-FFF2-40B4-BE49-F238E27FC236}">
                <a16:creationId xmlns:a16="http://schemas.microsoft.com/office/drawing/2014/main" id="{E3C0E1E9-6D11-46F8-B5F8-392012968351}"/>
              </a:ext>
            </a:extLst>
          </xdr:cNvPr>
          <xdr:cNvCxnSpPr/>
        </xdr:nvCxnSpPr>
        <xdr:spPr>
          <a:xfrm flipH="1">
            <a:off x="6438899" y="188180664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80963</xdr:colOff>
      <xdr:row>1356</xdr:row>
      <xdr:rowOff>66675</xdr:rowOff>
    </xdr:from>
    <xdr:to>
      <xdr:col>7</xdr:col>
      <xdr:colOff>133350</xdr:colOff>
      <xdr:row>1356</xdr:row>
      <xdr:rowOff>66675</xdr:rowOff>
    </xdr:to>
    <xdr:cxnSp macro="">
      <xdr:nvCxnSpPr>
        <xdr:cNvPr id="1677" name="Straight Arrow Connector 1676">
          <a:extLst>
            <a:ext uri="{FF2B5EF4-FFF2-40B4-BE49-F238E27FC236}">
              <a16:creationId xmlns:a16="http://schemas.microsoft.com/office/drawing/2014/main" id="{59857FD8-C2D3-47AD-92A0-655C7ECD76BF}"/>
            </a:ext>
          </a:extLst>
        </xdr:cNvPr>
        <xdr:cNvCxnSpPr/>
      </xdr:nvCxnSpPr>
      <xdr:spPr>
        <a:xfrm>
          <a:off x="1052513" y="1479899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1357</xdr:row>
      <xdr:rowOff>66675</xdr:rowOff>
    </xdr:from>
    <xdr:to>
      <xdr:col>7</xdr:col>
      <xdr:colOff>133350</xdr:colOff>
      <xdr:row>1357</xdr:row>
      <xdr:rowOff>66675</xdr:rowOff>
    </xdr:to>
    <xdr:cxnSp macro="">
      <xdr:nvCxnSpPr>
        <xdr:cNvPr id="1678" name="Straight Arrow Connector 1677">
          <a:extLst>
            <a:ext uri="{FF2B5EF4-FFF2-40B4-BE49-F238E27FC236}">
              <a16:creationId xmlns:a16="http://schemas.microsoft.com/office/drawing/2014/main" id="{0B20426B-23E8-442C-B6B5-D31534EE9250}"/>
            </a:ext>
          </a:extLst>
        </xdr:cNvPr>
        <xdr:cNvCxnSpPr/>
      </xdr:nvCxnSpPr>
      <xdr:spPr>
        <a:xfrm>
          <a:off x="1052513" y="1481328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80963</xdr:colOff>
      <xdr:row>1357</xdr:row>
      <xdr:rowOff>66675</xdr:rowOff>
    </xdr:from>
    <xdr:to>
      <xdr:col>49</xdr:col>
      <xdr:colOff>133350</xdr:colOff>
      <xdr:row>1357</xdr:row>
      <xdr:rowOff>66675</xdr:rowOff>
    </xdr:to>
    <xdr:cxnSp macro="">
      <xdr:nvCxnSpPr>
        <xdr:cNvPr id="1679" name="Straight Arrow Connector 1678">
          <a:extLst>
            <a:ext uri="{FF2B5EF4-FFF2-40B4-BE49-F238E27FC236}">
              <a16:creationId xmlns:a16="http://schemas.microsoft.com/office/drawing/2014/main" id="{381C6BE0-28EB-46B5-9760-98CB62CE5A87}"/>
            </a:ext>
          </a:extLst>
        </xdr:cNvPr>
        <xdr:cNvCxnSpPr/>
      </xdr:nvCxnSpPr>
      <xdr:spPr>
        <a:xfrm>
          <a:off x="7853363" y="1481328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1369</xdr:row>
      <xdr:rowOff>66674</xdr:rowOff>
    </xdr:from>
    <xdr:to>
      <xdr:col>15</xdr:col>
      <xdr:colOff>57150</xdr:colOff>
      <xdr:row>1383</xdr:row>
      <xdr:rowOff>76200</xdr:rowOff>
    </xdr:to>
    <xdr:grpSp>
      <xdr:nvGrpSpPr>
        <xdr:cNvPr id="1603" name="Group 1602">
          <a:extLst>
            <a:ext uri="{FF2B5EF4-FFF2-40B4-BE49-F238E27FC236}">
              <a16:creationId xmlns:a16="http://schemas.microsoft.com/office/drawing/2014/main" id="{790408D4-F67B-4EFC-AFE7-CE78D568C5F0}"/>
            </a:ext>
          </a:extLst>
        </xdr:cNvPr>
        <xdr:cNvGrpSpPr/>
      </xdr:nvGrpSpPr>
      <xdr:grpSpPr>
        <a:xfrm>
          <a:off x="419100" y="206340074"/>
          <a:ext cx="2066925" cy="2009776"/>
          <a:chOff x="1066800" y="495299"/>
          <a:chExt cx="2066925" cy="2009776"/>
        </a:xfrm>
      </xdr:grpSpPr>
      <xdr:grpSp>
        <xdr:nvGrpSpPr>
          <xdr:cNvPr id="1604" name="Group 1603">
            <a:extLst>
              <a:ext uri="{FF2B5EF4-FFF2-40B4-BE49-F238E27FC236}">
                <a16:creationId xmlns:a16="http://schemas.microsoft.com/office/drawing/2014/main" id="{2367BC18-155C-60E9-D7C3-7D0243423C11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1696" name="Straight Connector 1695">
              <a:extLst>
                <a:ext uri="{FF2B5EF4-FFF2-40B4-BE49-F238E27FC236}">
                  <a16:creationId xmlns:a16="http://schemas.microsoft.com/office/drawing/2014/main" id="{0FE68A58-0F7C-41D1-CDF1-FEB24DDEE0FD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97" name="Straight Connector 1696">
              <a:extLst>
                <a:ext uri="{FF2B5EF4-FFF2-40B4-BE49-F238E27FC236}">
                  <a16:creationId xmlns:a16="http://schemas.microsoft.com/office/drawing/2014/main" id="{61FB1BDD-33A4-AAD1-7086-BFDB8EBB1A4B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98" name="Straight Connector 1697">
              <a:extLst>
                <a:ext uri="{FF2B5EF4-FFF2-40B4-BE49-F238E27FC236}">
                  <a16:creationId xmlns:a16="http://schemas.microsoft.com/office/drawing/2014/main" id="{494420AA-0602-CF26-02B9-457633BADF19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699" name="Arc 1698">
              <a:extLst>
                <a:ext uri="{FF2B5EF4-FFF2-40B4-BE49-F238E27FC236}">
                  <a16:creationId xmlns:a16="http://schemas.microsoft.com/office/drawing/2014/main" id="{352B273E-1646-9198-F382-80FEE56ED75A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700" name="Straight Connector 1699">
              <a:extLst>
                <a:ext uri="{FF2B5EF4-FFF2-40B4-BE49-F238E27FC236}">
                  <a16:creationId xmlns:a16="http://schemas.microsoft.com/office/drawing/2014/main" id="{67AFA77C-6C17-CB13-1369-C83BA0177437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01" name="Straight Connector 1700">
              <a:extLst>
                <a:ext uri="{FF2B5EF4-FFF2-40B4-BE49-F238E27FC236}">
                  <a16:creationId xmlns:a16="http://schemas.microsoft.com/office/drawing/2014/main" id="{C44233C0-ACFC-0A41-BDE8-DD74A6331078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02" name="Straight Connector 1701">
              <a:extLst>
                <a:ext uri="{FF2B5EF4-FFF2-40B4-BE49-F238E27FC236}">
                  <a16:creationId xmlns:a16="http://schemas.microsoft.com/office/drawing/2014/main" id="{31D9204F-4BF8-B76D-D6FE-56AF2972375B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03" name="Straight Connector 1702">
              <a:extLst>
                <a:ext uri="{FF2B5EF4-FFF2-40B4-BE49-F238E27FC236}">
                  <a16:creationId xmlns:a16="http://schemas.microsoft.com/office/drawing/2014/main" id="{45898EA4-5C17-3A67-C4D3-0CF07457259D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704" name="Arc 1703">
              <a:extLst>
                <a:ext uri="{FF2B5EF4-FFF2-40B4-BE49-F238E27FC236}">
                  <a16:creationId xmlns:a16="http://schemas.microsoft.com/office/drawing/2014/main" id="{27E1B652-4B54-3485-D61D-730EAED8B547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705" name="Straight Connector 1704">
              <a:extLst>
                <a:ext uri="{FF2B5EF4-FFF2-40B4-BE49-F238E27FC236}">
                  <a16:creationId xmlns:a16="http://schemas.microsoft.com/office/drawing/2014/main" id="{679DFD35-96AC-2834-954A-F7ED47FFDFD2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06" name="Straight Connector 1705">
              <a:extLst>
                <a:ext uri="{FF2B5EF4-FFF2-40B4-BE49-F238E27FC236}">
                  <a16:creationId xmlns:a16="http://schemas.microsoft.com/office/drawing/2014/main" id="{571D85A3-C7D6-9909-20C9-52587F8A9814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07" name="Straight Connector 1706">
              <a:extLst>
                <a:ext uri="{FF2B5EF4-FFF2-40B4-BE49-F238E27FC236}">
                  <a16:creationId xmlns:a16="http://schemas.microsoft.com/office/drawing/2014/main" id="{D5EF24EF-AE5A-CF88-6483-4134FEF65AA6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08" name="Straight Connector 1707">
              <a:extLst>
                <a:ext uri="{FF2B5EF4-FFF2-40B4-BE49-F238E27FC236}">
                  <a16:creationId xmlns:a16="http://schemas.microsoft.com/office/drawing/2014/main" id="{DA512507-F19F-75AF-B285-8F479754463F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09" name="Straight Connector 1708">
              <a:extLst>
                <a:ext uri="{FF2B5EF4-FFF2-40B4-BE49-F238E27FC236}">
                  <a16:creationId xmlns:a16="http://schemas.microsoft.com/office/drawing/2014/main" id="{D279F87F-3341-CF0F-C51A-2E33A538D8C8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710" name="Arc 1709">
              <a:extLst>
                <a:ext uri="{FF2B5EF4-FFF2-40B4-BE49-F238E27FC236}">
                  <a16:creationId xmlns:a16="http://schemas.microsoft.com/office/drawing/2014/main" id="{00B4E7CE-C2ED-7731-450C-C9F1D6736751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711" name="Arc 1710">
              <a:extLst>
                <a:ext uri="{FF2B5EF4-FFF2-40B4-BE49-F238E27FC236}">
                  <a16:creationId xmlns:a16="http://schemas.microsoft.com/office/drawing/2014/main" id="{923A183B-E614-32C1-0A7C-99F9D03192B8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1605" name="Straight Connector 1604">
            <a:extLst>
              <a:ext uri="{FF2B5EF4-FFF2-40B4-BE49-F238E27FC236}">
                <a16:creationId xmlns:a16="http://schemas.microsoft.com/office/drawing/2014/main" id="{30CCD71C-044A-E208-769A-825E6FFDE4A0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6" name="Straight Connector 1675">
            <a:extLst>
              <a:ext uri="{FF2B5EF4-FFF2-40B4-BE49-F238E27FC236}">
                <a16:creationId xmlns:a16="http://schemas.microsoft.com/office/drawing/2014/main" id="{702D99A3-24E9-19A4-8F7E-23AF515831BE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1" name="Straight Connector 1680">
            <a:extLst>
              <a:ext uri="{FF2B5EF4-FFF2-40B4-BE49-F238E27FC236}">
                <a16:creationId xmlns:a16="http://schemas.microsoft.com/office/drawing/2014/main" id="{14EDDB78-D19E-3EEE-EBF2-EE7A7F005EB5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2" name="Straight Connector 1681">
            <a:extLst>
              <a:ext uri="{FF2B5EF4-FFF2-40B4-BE49-F238E27FC236}">
                <a16:creationId xmlns:a16="http://schemas.microsoft.com/office/drawing/2014/main" id="{87732523-DD98-464A-A227-B251DB7B40A1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3" name="Straight Connector 1682">
            <a:extLst>
              <a:ext uri="{FF2B5EF4-FFF2-40B4-BE49-F238E27FC236}">
                <a16:creationId xmlns:a16="http://schemas.microsoft.com/office/drawing/2014/main" id="{007E3C72-D063-871E-CD22-890AE752F3E8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4" name="Straight Connector 1683">
            <a:extLst>
              <a:ext uri="{FF2B5EF4-FFF2-40B4-BE49-F238E27FC236}">
                <a16:creationId xmlns:a16="http://schemas.microsoft.com/office/drawing/2014/main" id="{A5FF847E-2BE0-C8B8-8D34-8634EB098116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5" name="Straight Connector 1684">
            <a:extLst>
              <a:ext uri="{FF2B5EF4-FFF2-40B4-BE49-F238E27FC236}">
                <a16:creationId xmlns:a16="http://schemas.microsoft.com/office/drawing/2014/main" id="{6AA0E064-FEC4-DA23-E3E5-BABC0EC5CF7F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6" name="Straight Connector 1685">
            <a:extLst>
              <a:ext uri="{FF2B5EF4-FFF2-40B4-BE49-F238E27FC236}">
                <a16:creationId xmlns:a16="http://schemas.microsoft.com/office/drawing/2014/main" id="{FF483187-D87E-82CE-E123-106342CCBE90}"/>
              </a:ext>
            </a:extLst>
          </xdr:cNvPr>
          <xdr:cNvCxnSpPr/>
        </xdr:nvCxnSpPr>
        <xdr:spPr>
          <a:xfrm>
            <a:off x="1395413" y="2428875"/>
            <a:ext cx="14239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7" name="Straight Connector 1686">
            <a:extLst>
              <a:ext uri="{FF2B5EF4-FFF2-40B4-BE49-F238E27FC236}">
                <a16:creationId xmlns:a16="http://schemas.microsoft.com/office/drawing/2014/main" id="{12E954B1-6E24-B793-E16D-212183B46769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8" name="Straight Connector 1687">
            <a:extLst>
              <a:ext uri="{FF2B5EF4-FFF2-40B4-BE49-F238E27FC236}">
                <a16:creationId xmlns:a16="http://schemas.microsoft.com/office/drawing/2014/main" id="{DEEB6441-A15A-1B2A-2C22-B040DF777DD2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9" name="Straight Connector 1688">
            <a:extLst>
              <a:ext uri="{FF2B5EF4-FFF2-40B4-BE49-F238E27FC236}">
                <a16:creationId xmlns:a16="http://schemas.microsoft.com/office/drawing/2014/main" id="{6D78A247-770D-2191-DD56-6DE5083A8F7F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0" name="Straight Connector 1689">
            <a:extLst>
              <a:ext uri="{FF2B5EF4-FFF2-40B4-BE49-F238E27FC236}">
                <a16:creationId xmlns:a16="http://schemas.microsoft.com/office/drawing/2014/main" id="{97151AFE-F25D-0871-8812-781777B3E02E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1" name="Straight Connector 1690">
            <a:extLst>
              <a:ext uri="{FF2B5EF4-FFF2-40B4-BE49-F238E27FC236}">
                <a16:creationId xmlns:a16="http://schemas.microsoft.com/office/drawing/2014/main" id="{77AF9964-A055-CFA0-3A5B-FBB12BD6B6C3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2" name="Straight Connector 1691">
            <a:extLst>
              <a:ext uri="{FF2B5EF4-FFF2-40B4-BE49-F238E27FC236}">
                <a16:creationId xmlns:a16="http://schemas.microsoft.com/office/drawing/2014/main" id="{562DCD9B-32C5-55B6-9F2A-43B7916F2D38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3" name="Straight Connector 1692">
            <a:extLst>
              <a:ext uri="{FF2B5EF4-FFF2-40B4-BE49-F238E27FC236}">
                <a16:creationId xmlns:a16="http://schemas.microsoft.com/office/drawing/2014/main" id="{A897A442-6F64-53A1-F1B0-107BE93D4408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4" name="Straight Connector 1693">
            <a:extLst>
              <a:ext uri="{FF2B5EF4-FFF2-40B4-BE49-F238E27FC236}">
                <a16:creationId xmlns:a16="http://schemas.microsoft.com/office/drawing/2014/main" id="{C8561031-78B4-E36E-7AAB-909B5A2DC7B5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5" name="Straight Connector 1694">
            <a:extLst>
              <a:ext uri="{FF2B5EF4-FFF2-40B4-BE49-F238E27FC236}">
                <a16:creationId xmlns:a16="http://schemas.microsoft.com/office/drawing/2014/main" id="{0C8A1707-5388-6668-7487-BD3DC29D3852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0</xdr:colOff>
      <xdr:row>1385</xdr:row>
      <xdr:rowOff>9524</xdr:rowOff>
    </xdr:from>
    <xdr:to>
      <xdr:col>50</xdr:col>
      <xdr:colOff>152400</xdr:colOff>
      <xdr:row>1387</xdr:row>
      <xdr:rowOff>19049</xdr:rowOff>
    </xdr:to>
    <xdr:grpSp>
      <xdr:nvGrpSpPr>
        <xdr:cNvPr id="1785" name="Group 1784">
          <a:extLst>
            <a:ext uri="{FF2B5EF4-FFF2-40B4-BE49-F238E27FC236}">
              <a16:creationId xmlns:a16="http://schemas.microsoft.com/office/drawing/2014/main" id="{8BD18143-893B-4435-F671-EF76265435EB}"/>
            </a:ext>
          </a:extLst>
        </xdr:cNvPr>
        <xdr:cNvGrpSpPr/>
      </xdr:nvGrpSpPr>
      <xdr:grpSpPr>
        <a:xfrm>
          <a:off x="4371975" y="208568924"/>
          <a:ext cx="3876675" cy="295275"/>
          <a:chOff x="4371975" y="197281799"/>
          <a:chExt cx="3876675" cy="295275"/>
        </a:xfrm>
      </xdr:grpSpPr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10F7CFDD-F5E8-ABA6-C70B-C680CEDF4AC3}"/>
              </a:ext>
            </a:extLst>
          </xdr:cNvPr>
          <xdr:cNvSpPr/>
        </xdr:nvSpPr>
        <xdr:spPr>
          <a:xfrm>
            <a:off x="4371975" y="197281799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51" name="Straight Connector 1750">
            <a:extLst>
              <a:ext uri="{FF2B5EF4-FFF2-40B4-BE49-F238E27FC236}">
                <a16:creationId xmlns:a16="http://schemas.microsoft.com/office/drawing/2014/main" id="{4A9B4855-2941-E88E-5343-FE0A610709D8}"/>
              </a:ext>
            </a:extLst>
          </xdr:cNvPr>
          <xdr:cNvCxnSpPr/>
        </xdr:nvCxnSpPr>
        <xdr:spPr>
          <a:xfrm>
            <a:off x="4529137" y="197281799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2" name="Straight Connector 1751">
            <a:extLst>
              <a:ext uri="{FF2B5EF4-FFF2-40B4-BE49-F238E27FC236}">
                <a16:creationId xmlns:a16="http://schemas.microsoft.com/office/drawing/2014/main" id="{D769FDD2-E49A-43E0-F3BF-ED4C5B967257}"/>
              </a:ext>
            </a:extLst>
          </xdr:cNvPr>
          <xdr:cNvCxnSpPr/>
        </xdr:nvCxnSpPr>
        <xdr:spPr>
          <a:xfrm>
            <a:off x="4529137" y="197419911"/>
            <a:ext cx="371951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53" name="Isosceles Triangle 1752">
            <a:extLst>
              <a:ext uri="{FF2B5EF4-FFF2-40B4-BE49-F238E27FC236}">
                <a16:creationId xmlns:a16="http://schemas.microsoft.com/office/drawing/2014/main" id="{EA34FC9E-4EB0-5301-C99A-0B9742CCADA9}"/>
              </a:ext>
            </a:extLst>
          </xdr:cNvPr>
          <xdr:cNvSpPr/>
        </xdr:nvSpPr>
        <xdr:spPr>
          <a:xfrm>
            <a:off x="7215175" y="197424675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25</xdr:col>
      <xdr:colOff>161060</xdr:colOff>
      <xdr:row>1371</xdr:row>
      <xdr:rowOff>9525</xdr:rowOff>
    </xdr:from>
    <xdr:to>
      <xdr:col>51</xdr:col>
      <xdr:colOff>61913</xdr:colOff>
      <xdr:row>1383</xdr:row>
      <xdr:rowOff>85725</xdr:rowOff>
    </xdr:to>
    <xdr:grpSp>
      <xdr:nvGrpSpPr>
        <xdr:cNvPr id="1786" name="Group 1785">
          <a:extLst>
            <a:ext uri="{FF2B5EF4-FFF2-40B4-BE49-F238E27FC236}">
              <a16:creationId xmlns:a16="http://schemas.microsoft.com/office/drawing/2014/main" id="{B93550C1-70E0-93C5-8CD0-4A043C2EA8E6}"/>
            </a:ext>
          </a:extLst>
        </xdr:cNvPr>
        <xdr:cNvGrpSpPr/>
      </xdr:nvGrpSpPr>
      <xdr:grpSpPr>
        <a:xfrm>
          <a:off x="4209185" y="206568675"/>
          <a:ext cx="4110903" cy="1790700"/>
          <a:chOff x="4209185" y="195281550"/>
          <a:chExt cx="4110903" cy="1790700"/>
        </a:xfrm>
      </xdr:grpSpPr>
      <xdr:cxnSp macro="">
        <xdr:nvCxnSpPr>
          <xdr:cNvPr id="1713" name="Straight Arrow Connector 1712">
            <a:extLst>
              <a:ext uri="{FF2B5EF4-FFF2-40B4-BE49-F238E27FC236}">
                <a16:creationId xmlns:a16="http://schemas.microsoft.com/office/drawing/2014/main" id="{6A542C6B-86E5-C4D1-27CB-0A00623ED405}"/>
              </a:ext>
            </a:extLst>
          </xdr:cNvPr>
          <xdr:cNvCxnSpPr/>
        </xdr:nvCxnSpPr>
        <xdr:spPr>
          <a:xfrm>
            <a:off x="5667381" y="195476813"/>
            <a:ext cx="0" cy="3619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C88CBBE7-EC3D-52BB-9E1D-4CABBDE5570C}"/>
              </a:ext>
            </a:extLst>
          </xdr:cNvPr>
          <xdr:cNvSpPr/>
        </xdr:nvSpPr>
        <xdr:spPr>
          <a:xfrm>
            <a:off x="4376738" y="195700650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16" name="Straight Connector 1715">
            <a:extLst>
              <a:ext uri="{FF2B5EF4-FFF2-40B4-BE49-F238E27FC236}">
                <a16:creationId xmlns:a16="http://schemas.microsoft.com/office/drawing/2014/main" id="{60CF4C9B-F6E8-61C0-0A95-388911875DA7}"/>
              </a:ext>
            </a:extLst>
          </xdr:cNvPr>
          <xdr:cNvCxnSpPr/>
        </xdr:nvCxnSpPr>
        <xdr:spPr>
          <a:xfrm>
            <a:off x="4533900" y="195843525"/>
            <a:ext cx="371951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7" name="Straight Arrow Connector 1716">
            <a:extLst>
              <a:ext uri="{FF2B5EF4-FFF2-40B4-BE49-F238E27FC236}">
                <a16:creationId xmlns:a16="http://schemas.microsoft.com/office/drawing/2014/main" id="{970C1D80-0BE2-B2A4-245D-AC74F39AD398}"/>
              </a:ext>
            </a:extLst>
          </xdr:cNvPr>
          <xdr:cNvCxnSpPr/>
        </xdr:nvCxnSpPr>
        <xdr:spPr>
          <a:xfrm>
            <a:off x="5991231" y="195476813"/>
            <a:ext cx="0" cy="3619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8" name="Straight Arrow Connector 1717">
            <a:extLst>
              <a:ext uri="{FF2B5EF4-FFF2-40B4-BE49-F238E27FC236}">
                <a16:creationId xmlns:a16="http://schemas.microsoft.com/office/drawing/2014/main" id="{DE6B8596-6653-9F1D-97CA-1702187C24BC}"/>
              </a:ext>
            </a:extLst>
          </xdr:cNvPr>
          <xdr:cNvCxnSpPr/>
        </xdr:nvCxnSpPr>
        <xdr:spPr>
          <a:xfrm>
            <a:off x="6153156" y="195472050"/>
            <a:ext cx="0" cy="3667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9" name="Straight Arrow Connector 1718">
            <a:extLst>
              <a:ext uri="{FF2B5EF4-FFF2-40B4-BE49-F238E27FC236}">
                <a16:creationId xmlns:a16="http://schemas.microsoft.com/office/drawing/2014/main" id="{4EF50BA3-4E87-D808-6931-3A86EE3D023C}"/>
              </a:ext>
            </a:extLst>
          </xdr:cNvPr>
          <xdr:cNvCxnSpPr/>
        </xdr:nvCxnSpPr>
        <xdr:spPr>
          <a:xfrm>
            <a:off x="6315081" y="195481575"/>
            <a:ext cx="0" cy="3524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0" name="Straight Connector 1719">
            <a:extLst>
              <a:ext uri="{FF2B5EF4-FFF2-40B4-BE49-F238E27FC236}">
                <a16:creationId xmlns:a16="http://schemas.microsoft.com/office/drawing/2014/main" id="{C1986BA4-6262-0DE0-9C8C-4C4DDD7425A9}"/>
              </a:ext>
            </a:extLst>
          </xdr:cNvPr>
          <xdr:cNvCxnSpPr/>
        </xdr:nvCxnSpPr>
        <xdr:spPr>
          <a:xfrm>
            <a:off x="7286625" y="195591113"/>
            <a:ext cx="966792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1" name="Straight Arrow Connector 1720">
            <a:extLst>
              <a:ext uri="{FF2B5EF4-FFF2-40B4-BE49-F238E27FC236}">
                <a16:creationId xmlns:a16="http://schemas.microsoft.com/office/drawing/2014/main" id="{7BC18E3C-EB7C-95E8-2655-57005A796C6E}"/>
              </a:ext>
            </a:extLst>
          </xdr:cNvPr>
          <xdr:cNvCxnSpPr/>
        </xdr:nvCxnSpPr>
        <xdr:spPr>
          <a:xfrm>
            <a:off x="6477006" y="195476813"/>
            <a:ext cx="0" cy="3619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2" name="Straight Arrow Connector 1721">
            <a:extLst>
              <a:ext uri="{FF2B5EF4-FFF2-40B4-BE49-F238E27FC236}">
                <a16:creationId xmlns:a16="http://schemas.microsoft.com/office/drawing/2014/main" id="{8121303E-F947-CAB3-93C4-FCBB98C86CBC}"/>
              </a:ext>
            </a:extLst>
          </xdr:cNvPr>
          <xdr:cNvCxnSpPr/>
        </xdr:nvCxnSpPr>
        <xdr:spPr>
          <a:xfrm>
            <a:off x="6638931" y="195476813"/>
            <a:ext cx="0" cy="3619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3" name="Straight Arrow Connector 1722">
            <a:extLst>
              <a:ext uri="{FF2B5EF4-FFF2-40B4-BE49-F238E27FC236}">
                <a16:creationId xmlns:a16="http://schemas.microsoft.com/office/drawing/2014/main" id="{EC6B607C-8307-8847-D4A7-9D04AC72DAB1}"/>
              </a:ext>
            </a:extLst>
          </xdr:cNvPr>
          <xdr:cNvCxnSpPr/>
        </xdr:nvCxnSpPr>
        <xdr:spPr>
          <a:xfrm>
            <a:off x="6800856" y="195476813"/>
            <a:ext cx="0" cy="35718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4" name="Straight Arrow Connector 1723">
            <a:extLst>
              <a:ext uri="{FF2B5EF4-FFF2-40B4-BE49-F238E27FC236}">
                <a16:creationId xmlns:a16="http://schemas.microsoft.com/office/drawing/2014/main" id="{9E6E5361-B9F1-D450-E25F-13A49F398044}"/>
              </a:ext>
            </a:extLst>
          </xdr:cNvPr>
          <xdr:cNvCxnSpPr/>
        </xdr:nvCxnSpPr>
        <xdr:spPr>
          <a:xfrm>
            <a:off x="6962781" y="195476813"/>
            <a:ext cx="0" cy="3619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5" name="Straight Arrow Connector 1724">
            <a:extLst>
              <a:ext uri="{FF2B5EF4-FFF2-40B4-BE49-F238E27FC236}">
                <a16:creationId xmlns:a16="http://schemas.microsoft.com/office/drawing/2014/main" id="{CD54DB24-0151-DB35-C0CD-2AED81AC94A8}"/>
              </a:ext>
            </a:extLst>
          </xdr:cNvPr>
          <xdr:cNvCxnSpPr/>
        </xdr:nvCxnSpPr>
        <xdr:spPr>
          <a:xfrm>
            <a:off x="7124706" y="195476813"/>
            <a:ext cx="0" cy="3619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6" name="Straight Arrow Connector 1725">
            <a:extLst>
              <a:ext uri="{FF2B5EF4-FFF2-40B4-BE49-F238E27FC236}">
                <a16:creationId xmlns:a16="http://schemas.microsoft.com/office/drawing/2014/main" id="{26411CD1-7E99-31B7-BD2A-F6E0785A7FDA}"/>
              </a:ext>
            </a:extLst>
          </xdr:cNvPr>
          <xdr:cNvCxnSpPr/>
        </xdr:nvCxnSpPr>
        <xdr:spPr>
          <a:xfrm>
            <a:off x="7286631" y="195476813"/>
            <a:ext cx="0" cy="3619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7" name="Straight Arrow Connector 1726">
            <a:extLst>
              <a:ext uri="{FF2B5EF4-FFF2-40B4-BE49-F238E27FC236}">
                <a16:creationId xmlns:a16="http://schemas.microsoft.com/office/drawing/2014/main" id="{2AEEAEF5-6028-BE71-1175-62EEBA3B2FB8}"/>
              </a:ext>
            </a:extLst>
          </xdr:cNvPr>
          <xdr:cNvCxnSpPr/>
        </xdr:nvCxnSpPr>
        <xdr:spPr>
          <a:xfrm>
            <a:off x="7448556" y="19559587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8" name="Straight Arrow Connector 1727">
            <a:extLst>
              <a:ext uri="{FF2B5EF4-FFF2-40B4-BE49-F238E27FC236}">
                <a16:creationId xmlns:a16="http://schemas.microsoft.com/office/drawing/2014/main" id="{0A618300-1158-ECC6-AAAB-64C7F493DE56}"/>
              </a:ext>
            </a:extLst>
          </xdr:cNvPr>
          <xdr:cNvCxnSpPr/>
        </xdr:nvCxnSpPr>
        <xdr:spPr>
          <a:xfrm>
            <a:off x="7610481" y="19560063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9" name="Straight Arrow Connector 1728">
            <a:extLst>
              <a:ext uri="{FF2B5EF4-FFF2-40B4-BE49-F238E27FC236}">
                <a16:creationId xmlns:a16="http://schemas.microsoft.com/office/drawing/2014/main" id="{74BCED32-3313-7C0F-2857-643A08500047}"/>
              </a:ext>
            </a:extLst>
          </xdr:cNvPr>
          <xdr:cNvCxnSpPr/>
        </xdr:nvCxnSpPr>
        <xdr:spPr>
          <a:xfrm>
            <a:off x="7772406" y="19560063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0" name="Straight Arrow Connector 1729">
            <a:extLst>
              <a:ext uri="{FF2B5EF4-FFF2-40B4-BE49-F238E27FC236}">
                <a16:creationId xmlns:a16="http://schemas.microsoft.com/office/drawing/2014/main" id="{612D14CC-44BA-A615-F824-E0476B665F2C}"/>
              </a:ext>
            </a:extLst>
          </xdr:cNvPr>
          <xdr:cNvCxnSpPr/>
        </xdr:nvCxnSpPr>
        <xdr:spPr>
          <a:xfrm>
            <a:off x="7934331" y="19559587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1" name="Straight Arrow Connector 1730">
            <a:extLst>
              <a:ext uri="{FF2B5EF4-FFF2-40B4-BE49-F238E27FC236}">
                <a16:creationId xmlns:a16="http://schemas.microsoft.com/office/drawing/2014/main" id="{6EB0C79F-A041-9AFD-9ECF-9D623541E0C0}"/>
              </a:ext>
            </a:extLst>
          </xdr:cNvPr>
          <xdr:cNvCxnSpPr/>
        </xdr:nvCxnSpPr>
        <xdr:spPr>
          <a:xfrm>
            <a:off x="8096256" y="19560063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2" name="Straight Connector 1731">
            <a:extLst>
              <a:ext uri="{FF2B5EF4-FFF2-40B4-BE49-F238E27FC236}">
                <a16:creationId xmlns:a16="http://schemas.microsoft.com/office/drawing/2014/main" id="{2E4CD5BE-DD03-04D9-7760-6B2D188383D2}"/>
              </a:ext>
            </a:extLst>
          </xdr:cNvPr>
          <xdr:cNvCxnSpPr/>
        </xdr:nvCxnSpPr>
        <xdr:spPr>
          <a:xfrm>
            <a:off x="7843844" y="195548253"/>
            <a:ext cx="85725" cy="12382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33" name="Arc 1732">
            <a:extLst>
              <a:ext uri="{FF2B5EF4-FFF2-40B4-BE49-F238E27FC236}">
                <a16:creationId xmlns:a16="http://schemas.microsoft.com/office/drawing/2014/main" id="{45B46F5A-272E-FB63-538D-D77E281BC324}"/>
              </a:ext>
            </a:extLst>
          </xdr:cNvPr>
          <xdr:cNvSpPr/>
        </xdr:nvSpPr>
        <xdr:spPr>
          <a:xfrm rot="13409232">
            <a:off x="4209185" y="195571198"/>
            <a:ext cx="554180" cy="554180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734" name="Straight Connector 1733">
            <a:extLst>
              <a:ext uri="{FF2B5EF4-FFF2-40B4-BE49-F238E27FC236}">
                <a16:creationId xmlns:a16="http://schemas.microsoft.com/office/drawing/2014/main" id="{B5FD28FE-082C-16CF-03F3-6679A8F1C4FB}"/>
              </a:ext>
            </a:extLst>
          </xdr:cNvPr>
          <xdr:cNvCxnSpPr/>
        </xdr:nvCxnSpPr>
        <xdr:spPr>
          <a:xfrm>
            <a:off x="4533901" y="196024497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5" name="Straight Arrow Connector 1734">
            <a:extLst>
              <a:ext uri="{FF2B5EF4-FFF2-40B4-BE49-F238E27FC236}">
                <a16:creationId xmlns:a16="http://schemas.microsoft.com/office/drawing/2014/main" id="{B47EE249-69B3-E9F9-657B-60A20EDC7B2A}"/>
              </a:ext>
            </a:extLst>
          </xdr:cNvPr>
          <xdr:cNvCxnSpPr/>
        </xdr:nvCxnSpPr>
        <xdr:spPr>
          <a:xfrm>
            <a:off x="4538662" y="196210237"/>
            <a:ext cx="433388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6" name="Straight Connector 1735">
            <a:extLst>
              <a:ext uri="{FF2B5EF4-FFF2-40B4-BE49-F238E27FC236}">
                <a16:creationId xmlns:a16="http://schemas.microsoft.com/office/drawing/2014/main" id="{1CCD5AF3-93FF-3041-B59A-019626ED14D1}"/>
              </a:ext>
            </a:extLst>
          </xdr:cNvPr>
          <xdr:cNvCxnSpPr/>
        </xdr:nvCxnSpPr>
        <xdr:spPr>
          <a:xfrm>
            <a:off x="4533900" y="196562663"/>
            <a:ext cx="0" cy="5095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7" name="Straight Connector 1736">
            <a:extLst>
              <a:ext uri="{FF2B5EF4-FFF2-40B4-BE49-F238E27FC236}">
                <a16:creationId xmlns:a16="http://schemas.microsoft.com/office/drawing/2014/main" id="{9F6F17A1-92F2-4432-588E-070AD6ED44E7}"/>
              </a:ext>
            </a:extLst>
          </xdr:cNvPr>
          <xdr:cNvCxnSpPr/>
        </xdr:nvCxnSpPr>
        <xdr:spPr>
          <a:xfrm>
            <a:off x="4457698" y="196700775"/>
            <a:ext cx="38623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8" name="Straight Connector 1737">
            <a:extLst>
              <a:ext uri="{FF2B5EF4-FFF2-40B4-BE49-F238E27FC236}">
                <a16:creationId xmlns:a16="http://schemas.microsoft.com/office/drawing/2014/main" id="{BBA9FA07-AC92-63CA-8473-E01538FB9DC3}"/>
              </a:ext>
            </a:extLst>
          </xdr:cNvPr>
          <xdr:cNvCxnSpPr/>
        </xdr:nvCxnSpPr>
        <xdr:spPr>
          <a:xfrm flipH="1">
            <a:off x="4495799" y="1966674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9" name="Straight Connector 1738">
            <a:extLst>
              <a:ext uri="{FF2B5EF4-FFF2-40B4-BE49-F238E27FC236}">
                <a16:creationId xmlns:a16="http://schemas.microsoft.com/office/drawing/2014/main" id="{1A52B36D-3F17-6710-6797-6C87277982E7}"/>
              </a:ext>
            </a:extLst>
          </xdr:cNvPr>
          <xdr:cNvCxnSpPr/>
        </xdr:nvCxnSpPr>
        <xdr:spPr>
          <a:xfrm>
            <a:off x="8258175" y="195938775"/>
            <a:ext cx="0" cy="819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0" name="Straight Connector 1739">
            <a:extLst>
              <a:ext uri="{FF2B5EF4-FFF2-40B4-BE49-F238E27FC236}">
                <a16:creationId xmlns:a16="http://schemas.microsoft.com/office/drawing/2014/main" id="{A9854BC0-5D82-A4A7-E712-02E466DF8A40}"/>
              </a:ext>
            </a:extLst>
          </xdr:cNvPr>
          <xdr:cNvCxnSpPr/>
        </xdr:nvCxnSpPr>
        <xdr:spPr>
          <a:xfrm flipH="1">
            <a:off x="8220074" y="1966674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1" name="Straight Connector 1740">
            <a:extLst>
              <a:ext uri="{FF2B5EF4-FFF2-40B4-BE49-F238E27FC236}">
                <a16:creationId xmlns:a16="http://schemas.microsoft.com/office/drawing/2014/main" id="{CA5C5E1B-96FA-00DA-35F0-CAE86921A06E}"/>
              </a:ext>
            </a:extLst>
          </xdr:cNvPr>
          <xdr:cNvCxnSpPr/>
        </xdr:nvCxnSpPr>
        <xdr:spPr>
          <a:xfrm>
            <a:off x="7286625" y="195991163"/>
            <a:ext cx="0" cy="385761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2" name="Straight Connector 1741">
            <a:extLst>
              <a:ext uri="{FF2B5EF4-FFF2-40B4-BE49-F238E27FC236}">
                <a16:creationId xmlns:a16="http://schemas.microsoft.com/office/drawing/2014/main" id="{5BFA47CC-0F4F-6571-949E-DD6CBD6969FA}"/>
              </a:ext>
            </a:extLst>
          </xdr:cNvPr>
          <xdr:cNvCxnSpPr/>
        </xdr:nvCxnSpPr>
        <xdr:spPr>
          <a:xfrm>
            <a:off x="5829300" y="196138800"/>
            <a:ext cx="0" cy="628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3" name="Straight Connector 1742">
            <a:extLst>
              <a:ext uri="{FF2B5EF4-FFF2-40B4-BE49-F238E27FC236}">
                <a16:creationId xmlns:a16="http://schemas.microsoft.com/office/drawing/2014/main" id="{822AC563-DFEA-92B0-0E0C-F78C1B217EB0}"/>
              </a:ext>
            </a:extLst>
          </xdr:cNvPr>
          <xdr:cNvCxnSpPr/>
        </xdr:nvCxnSpPr>
        <xdr:spPr>
          <a:xfrm flipH="1">
            <a:off x="5791199" y="1966674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4" name="Straight Arrow Connector 1743">
            <a:extLst>
              <a:ext uri="{FF2B5EF4-FFF2-40B4-BE49-F238E27FC236}">
                <a16:creationId xmlns:a16="http://schemas.microsoft.com/office/drawing/2014/main" id="{6259999E-8B25-C837-C60A-1D76F55A1182}"/>
              </a:ext>
            </a:extLst>
          </xdr:cNvPr>
          <xdr:cNvCxnSpPr/>
        </xdr:nvCxnSpPr>
        <xdr:spPr>
          <a:xfrm>
            <a:off x="8253413" y="195286312"/>
            <a:ext cx="0" cy="56197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5" name="Straight Connector 1744">
            <a:extLst>
              <a:ext uri="{FF2B5EF4-FFF2-40B4-BE49-F238E27FC236}">
                <a16:creationId xmlns:a16="http://schemas.microsoft.com/office/drawing/2014/main" id="{BED6D544-56B1-9E8F-D90A-6CEBDB028378}"/>
              </a:ext>
            </a:extLst>
          </xdr:cNvPr>
          <xdr:cNvCxnSpPr/>
        </xdr:nvCxnSpPr>
        <xdr:spPr>
          <a:xfrm>
            <a:off x="4457699" y="196986525"/>
            <a:ext cx="28860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6" name="Straight Connector 1745">
            <a:extLst>
              <a:ext uri="{FF2B5EF4-FFF2-40B4-BE49-F238E27FC236}">
                <a16:creationId xmlns:a16="http://schemas.microsoft.com/office/drawing/2014/main" id="{D0F17F15-E4E3-367A-E8E6-56260F070779}"/>
              </a:ext>
            </a:extLst>
          </xdr:cNvPr>
          <xdr:cNvCxnSpPr/>
        </xdr:nvCxnSpPr>
        <xdr:spPr>
          <a:xfrm flipH="1">
            <a:off x="4495800" y="19695318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48" name="Isosceles Triangle 1747">
            <a:extLst>
              <a:ext uri="{FF2B5EF4-FFF2-40B4-BE49-F238E27FC236}">
                <a16:creationId xmlns:a16="http://schemas.microsoft.com/office/drawing/2014/main" id="{BB866648-3EBE-EC13-A868-CF87ED77E92A}"/>
              </a:ext>
            </a:extLst>
          </xdr:cNvPr>
          <xdr:cNvSpPr/>
        </xdr:nvSpPr>
        <xdr:spPr>
          <a:xfrm>
            <a:off x="7219950" y="195843525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56" name="Straight Arrow Connector 1755">
            <a:extLst>
              <a:ext uri="{FF2B5EF4-FFF2-40B4-BE49-F238E27FC236}">
                <a16:creationId xmlns:a16="http://schemas.microsoft.com/office/drawing/2014/main" id="{16C1921F-519A-440E-ACF5-2CC4662000AE}"/>
              </a:ext>
            </a:extLst>
          </xdr:cNvPr>
          <xdr:cNvCxnSpPr/>
        </xdr:nvCxnSpPr>
        <xdr:spPr>
          <a:xfrm>
            <a:off x="5829300" y="195281550"/>
            <a:ext cx="0" cy="56197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9" name="Straight Connector 1758">
            <a:extLst>
              <a:ext uri="{FF2B5EF4-FFF2-40B4-BE49-F238E27FC236}">
                <a16:creationId xmlns:a16="http://schemas.microsoft.com/office/drawing/2014/main" id="{5E0DAFB0-E34F-406D-9ED1-8569FB7467FB}"/>
              </a:ext>
            </a:extLst>
          </xdr:cNvPr>
          <xdr:cNvCxnSpPr/>
        </xdr:nvCxnSpPr>
        <xdr:spPr>
          <a:xfrm>
            <a:off x="4533901" y="195476811"/>
            <a:ext cx="27527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0" name="Straight Arrow Connector 1769">
            <a:extLst>
              <a:ext uri="{FF2B5EF4-FFF2-40B4-BE49-F238E27FC236}">
                <a16:creationId xmlns:a16="http://schemas.microsoft.com/office/drawing/2014/main" id="{08D1CDCC-5222-4FEE-BFB7-AE935C7141ED}"/>
              </a:ext>
            </a:extLst>
          </xdr:cNvPr>
          <xdr:cNvCxnSpPr/>
        </xdr:nvCxnSpPr>
        <xdr:spPr>
          <a:xfrm>
            <a:off x="4533900" y="195476807"/>
            <a:ext cx="0" cy="3619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1" name="Straight Arrow Connector 1770">
            <a:extLst>
              <a:ext uri="{FF2B5EF4-FFF2-40B4-BE49-F238E27FC236}">
                <a16:creationId xmlns:a16="http://schemas.microsoft.com/office/drawing/2014/main" id="{A3EA5DCC-DDF9-409C-99BF-EB48A59E5B24}"/>
              </a:ext>
            </a:extLst>
          </xdr:cNvPr>
          <xdr:cNvCxnSpPr/>
        </xdr:nvCxnSpPr>
        <xdr:spPr>
          <a:xfrm>
            <a:off x="4695825" y="195472044"/>
            <a:ext cx="0" cy="36671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2" name="Straight Arrow Connector 1771">
            <a:extLst>
              <a:ext uri="{FF2B5EF4-FFF2-40B4-BE49-F238E27FC236}">
                <a16:creationId xmlns:a16="http://schemas.microsoft.com/office/drawing/2014/main" id="{C14E4F64-BF3F-4B7F-AA41-0E2536A3E5FD}"/>
              </a:ext>
            </a:extLst>
          </xdr:cNvPr>
          <xdr:cNvCxnSpPr/>
        </xdr:nvCxnSpPr>
        <xdr:spPr>
          <a:xfrm>
            <a:off x="4857750" y="195481569"/>
            <a:ext cx="0" cy="3524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3" name="Straight Arrow Connector 1772">
            <a:extLst>
              <a:ext uri="{FF2B5EF4-FFF2-40B4-BE49-F238E27FC236}">
                <a16:creationId xmlns:a16="http://schemas.microsoft.com/office/drawing/2014/main" id="{D9CF0D62-BAAE-448D-A1C5-877074668F99}"/>
              </a:ext>
            </a:extLst>
          </xdr:cNvPr>
          <xdr:cNvCxnSpPr/>
        </xdr:nvCxnSpPr>
        <xdr:spPr>
          <a:xfrm>
            <a:off x="5019675" y="195476807"/>
            <a:ext cx="0" cy="36195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4" name="Straight Arrow Connector 1773">
            <a:extLst>
              <a:ext uri="{FF2B5EF4-FFF2-40B4-BE49-F238E27FC236}">
                <a16:creationId xmlns:a16="http://schemas.microsoft.com/office/drawing/2014/main" id="{7FE0AE01-05E3-4CBE-A5E6-9E691315449E}"/>
              </a:ext>
            </a:extLst>
          </xdr:cNvPr>
          <xdr:cNvCxnSpPr/>
        </xdr:nvCxnSpPr>
        <xdr:spPr>
          <a:xfrm>
            <a:off x="5181600" y="195476807"/>
            <a:ext cx="0" cy="3619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5" name="Straight Arrow Connector 1774">
            <a:extLst>
              <a:ext uri="{FF2B5EF4-FFF2-40B4-BE49-F238E27FC236}">
                <a16:creationId xmlns:a16="http://schemas.microsoft.com/office/drawing/2014/main" id="{DF139A93-A643-43B6-8887-2DC980EC95BB}"/>
              </a:ext>
            </a:extLst>
          </xdr:cNvPr>
          <xdr:cNvCxnSpPr/>
        </xdr:nvCxnSpPr>
        <xdr:spPr>
          <a:xfrm>
            <a:off x="5343525" y="195476807"/>
            <a:ext cx="0" cy="35718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6" name="Straight Arrow Connector 1775">
            <a:extLst>
              <a:ext uri="{FF2B5EF4-FFF2-40B4-BE49-F238E27FC236}">
                <a16:creationId xmlns:a16="http://schemas.microsoft.com/office/drawing/2014/main" id="{028B9DD1-09E5-4F46-A241-041B4F5CB0DB}"/>
              </a:ext>
            </a:extLst>
          </xdr:cNvPr>
          <xdr:cNvCxnSpPr/>
        </xdr:nvCxnSpPr>
        <xdr:spPr>
          <a:xfrm>
            <a:off x="5505450" y="195481569"/>
            <a:ext cx="0" cy="35718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7" name="Straight Connector 1776">
            <a:extLst>
              <a:ext uri="{FF2B5EF4-FFF2-40B4-BE49-F238E27FC236}">
                <a16:creationId xmlns:a16="http://schemas.microsoft.com/office/drawing/2014/main" id="{4C6103C7-114F-47D2-809A-9E08CB4ECCA5}"/>
              </a:ext>
            </a:extLst>
          </xdr:cNvPr>
          <xdr:cNvCxnSpPr/>
        </xdr:nvCxnSpPr>
        <xdr:spPr>
          <a:xfrm>
            <a:off x="5091119" y="195405378"/>
            <a:ext cx="85725" cy="12382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8" name="Straight Connector 1777">
            <a:extLst>
              <a:ext uri="{FF2B5EF4-FFF2-40B4-BE49-F238E27FC236}">
                <a16:creationId xmlns:a16="http://schemas.microsoft.com/office/drawing/2014/main" id="{2BBD29B8-93E7-46F9-804B-1832B156FE9B}"/>
              </a:ext>
            </a:extLst>
          </xdr:cNvPr>
          <xdr:cNvCxnSpPr/>
        </xdr:nvCxnSpPr>
        <xdr:spPr>
          <a:xfrm>
            <a:off x="7286625" y="196567425"/>
            <a:ext cx="0" cy="481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9" name="Straight Connector 1778">
            <a:extLst>
              <a:ext uri="{FF2B5EF4-FFF2-40B4-BE49-F238E27FC236}">
                <a16:creationId xmlns:a16="http://schemas.microsoft.com/office/drawing/2014/main" id="{D97C7B8D-321C-44D5-A9D6-C2C6D6B06C6A}"/>
              </a:ext>
            </a:extLst>
          </xdr:cNvPr>
          <xdr:cNvCxnSpPr/>
        </xdr:nvCxnSpPr>
        <xdr:spPr>
          <a:xfrm flipH="1">
            <a:off x="7248524" y="1966674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2" name="Straight Connector 1781">
            <a:extLst>
              <a:ext uri="{FF2B5EF4-FFF2-40B4-BE49-F238E27FC236}">
                <a16:creationId xmlns:a16="http://schemas.microsoft.com/office/drawing/2014/main" id="{5C36B680-9DE6-41C8-95FB-6B77CF48088A}"/>
              </a:ext>
            </a:extLst>
          </xdr:cNvPr>
          <xdr:cNvCxnSpPr/>
        </xdr:nvCxnSpPr>
        <xdr:spPr>
          <a:xfrm flipH="1">
            <a:off x="7248522" y="19695319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5" name="Straight Connector 1714">
            <a:extLst>
              <a:ext uri="{FF2B5EF4-FFF2-40B4-BE49-F238E27FC236}">
                <a16:creationId xmlns:a16="http://schemas.microsoft.com/office/drawing/2014/main" id="{30B1CFAF-696C-1780-E03E-8B6927B023C3}"/>
              </a:ext>
            </a:extLst>
          </xdr:cNvPr>
          <xdr:cNvCxnSpPr/>
        </xdr:nvCxnSpPr>
        <xdr:spPr>
          <a:xfrm>
            <a:off x="4533900" y="19570065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161060</xdr:colOff>
      <xdr:row>1068</xdr:row>
      <xdr:rowOff>133353</xdr:rowOff>
    </xdr:from>
    <xdr:to>
      <xdr:col>52</xdr:col>
      <xdr:colOff>149368</xdr:colOff>
      <xdr:row>1080</xdr:row>
      <xdr:rowOff>90488</xdr:rowOff>
    </xdr:to>
    <xdr:grpSp>
      <xdr:nvGrpSpPr>
        <xdr:cNvPr id="1788" name="Group 1787">
          <a:extLst>
            <a:ext uri="{FF2B5EF4-FFF2-40B4-BE49-F238E27FC236}">
              <a16:creationId xmlns:a16="http://schemas.microsoft.com/office/drawing/2014/main" id="{D0AB2407-4531-3044-6209-E55B31B64F17}"/>
            </a:ext>
          </a:extLst>
        </xdr:cNvPr>
        <xdr:cNvGrpSpPr/>
      </xdr:nvGrpSpPr>
      <xdr:grpSpPr>
        <a:xfrm>
          <a:off x="4209185" y="161458278"/>
          <a:ext cx="4360283" cy="1671635"/>
          <a:chOff x="4209185" y="159743778"/>
          <a:chExt cx="4360283" cy="1671635"/>
        </a:xfrm>
      </xdr:grpSpPr>
      <xdr:cxnSp macro="">
        <xdr:nvCxnSpPr>
          <xdr:cNvPr id="973" name="Straight Arrow Connector 972">
            <a:extLst>
              <a:ext uri="{FF2B5EF4-FFF2-40B4-BE49-F238E27FC236}">
                <a16:creationId xmlns:a16="http://schemas.microsoft.com/office/drawing/2014/main" id="{3F78D772-7CEF-AA9C-2EDD-3A9867BA8264}"/>
              </a:ext>
            </a:extLst>
          </xdr:cNvPr>
          <xdr:cNvCxnSpPr/>
        </xdr:nvCxnSpPr>
        <xdr:spPr>
          <a:xfrm>
            <a:off x="8258181" y="15993427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F5C1EF52-F4DE-0DA4-74B0-F5A6F4956F2C}"/>
              </a:ext>
            </a:extLst>
          </xdr:cNvPr>
          <xdr:cNvSpPr/>
        </xdr:nvSpPr>
        <xdr:spPr>
          <a:xfrm>
            <a:off x="4376738" y="160039050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82" name="Straight Connector 1181">
            <a:extLst>
              <a:ext uri="{FF2B5EF4-FFF2-40B4-BE49-F238E27FC236}">
                <a16:creationId xmlns:a16="http://schemas.microsoft.com/office/drawing/2014/main" id="{81C5805C-3736-A0FE-BE51-87937E59B1D4}"/>
              </a:ext>
            </a:extLst>
          </xdr:cNvPr>
          <xdr:cNvCxnSpPr/>
        </xdr:nvCxnSpPr>
        <xdr:spPr>
          <a:xfrm>
            <a:off x="4533900" y="160181925"/>
            <a:ext cx="371951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1" name="Straight Arrow Connector 1340">
            <a:extLst>
              <a:ext uri="{FF2B5EF4-FFF2-40B4-BE49-F238E27FC236}">
                <a16:creationId xmlns:a16="http://schemas.microsoft.com/office/drawing/2014/main" id="{DF290A52-4322-854B-341E-44C85DDD4872}"/>
              </a:ext>
            </a:extLst>
          </xdr:cNvPr>
          <xdr:cNvCxnSpPr/>
        </xdr:nvCxnSpPr>
        <xdr:spPr>
          <a:xfrm>
            <a:off x="5991231" y="159800925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2" name="Straight Arrow Connector 1341">
            <a:extLst>
              <a:ext uri="{FF2B5EF4-FFF2-40B4-BE49-F238E27FC236}">
                <a16:creationId xmlns:a16="http://schemas.microsoft.com/office/drawing/2014/main" id="{059E2095-D422-6C85-AB59-AFA4F9E0224B}"/>
              </a:ext>
            </a:extLst>
          </xdr:cNvPr>
          <xdr:cNvCxnSpPr/>
        </xdr:nvCxnSpPr>
        <xdr:spPr>
          <a:xfrm>
            <a:off x="6153156" y="159800925"/>
            <a:ext cx="0" cy="37623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9" name="Straight Arrow Connector 1398">
            <a:extLst>
              <a:ext uri="{FF2B5EF4-FFF2-40B4-BE49-F238E27FC236}">
                <a16:creationId xmlns:a16="http://schemas.microsoft.com/office/drawing/2014/main" id="{297525CF-630C-E147-771F-703BDECE4D2A}"/>
              </a:ext>
            </a:extLst>
          </xdr:cNvPr>
          <xdr:cNvCxnSpPr/>
        </xdr:nvCxnSpPr>
        <xdr:spPr>
          <a:xfrm>
            <a:off x="6315081" y="159796163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0" name="Straight Connector 1399">
            <a:extLst>
              <a:ext uri="{FF2B5EF4-FFF2-40B4-BE49-F238E27FC236}">
                <a16:creationId xmlns:a16="http://schemas.microsoft.com/office/drawing/2014/main" id="{8C1968D6-DFB4-B74D-FA47-4C3B8E3623D0}"/>
              </a:ext>
            </a:extLst>
          </xdr:cNvPr>
          <xdr:cNvCxnSpPr/>
        </xdr:nvCxnSpPr>
        <xdr:spPr>
          <a:xfrm>
            <a:off x="6310313" y="159934275"/>
            <a:ext cx="1957394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1" name="Straight Arrow Connector 1400">
            <a:extLst>
              <a:ext uri="{FF2B5EF4-FFF2-40B4-BE49-F238E27FC236}">
                <a16:creationId xmlns:a16="http://schemas.microsoft.com/office/drawing/2014/main" id="{B80DB1A7-35BA-105F-0F28-B1799CA07283}"/>
              </a:ext>
            </a:extLst>
          </xdr:cNvPr>
          <xdr:cNvCxnSpPr/>
        </xdr:nvCxnSpPr>
        <xdr:spPr>
          <a:xfrm>
            <a:off x="6477006" y="15993903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2" name="Straight Arrow Connector 1401">
            <a:extLst>
              <a:ext uri="{FF2B5EF4-FFF2-40B4-BE49-F238E27FC236}">
                <a16:creationId xmlns:a16="http://schemas.microsoft.com/office/drawing/2014/main" id="{EEFE0F8C-8455-3529-2C41-544613233996}"/>
              </a:ext>
            </a:extLst>
          </xdr:cNvPr>
          <xdr:cNvCxnSpPr/>
        </xdr:nvCxnSpPr>
        <xdr:spPr>
          <a:xfrm>
            <a:off x="6638931" y="15993903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3" name="Straight Arrow Connector 1402">
            <a:extLst>
              <a:ext uri="{FF2B5EF4-FFF2-40B4-BE49-F238E27FC236}">
                <a16:creationId xmlns:a16="http://schemas.microsoft.com/office/drawing/2014/main" id="{DAE2905E-530D-8F24-6A5F-0D3FE74EB38E}"/>
              </a:ext>
            </a:extLst>
          </xdr:cNvPr>
          <xdr:cNvCxnSpPr/>
        </xdr:nvCxnSpPr>
        <xdr:spPr>
          <a:xfrm>
            <a:off x="6800856" y="15993427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4" name="Straight Arrow Connector 1403">
            <a:extLst>
              <a:ext uri="{FF2B5EF4-FFF2-40B4-BE49-F238E27FC236}">
                <a16:creationId xmlns:a16="http://schemas.microsoft.com/office/drawing/2014/main" id="{76B2DBAB-5935-6FFA-AC6A-FF5AF1970B0E}"/>
              </a:ext>
            </a:extLst>
          </xdr:cNvPr>
          <xdr:cNvCxnSpPr/>
        </xdr:nvCxnSpPr>
        <xdr:spPr>
          <a:xfrm>
            <a:off x="6962781" y="15993903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5" name="Straight Arrow Connector 1404">
            <a:extLst>
              <a:ext uri="{FF2B5EF4-FFF2-40B4-BE49-F238E27FC236}">
                <a16:creationId xmlns:a16="http://schemas.microsoft.com/office/drawing/2014/main" id="{D205FAB5-F875-55C2-8F7A-9BB92F0DACA4}"/>
              </a:ext>
            </a:extLst>
          </xdr:cNvPr>
          <xdr:cNvCxnSpPr/>
        </xdr:nvCxnSpPr>
        <xdr:spPr>
          <a:xfrm>
            <a:off x="7124706" y="15993903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6" name="Straight Arrow Connector 1405">
            <a:extLst>
              <a:ext uri="{FF2B5EF4-FFF2-40B4-BE49-F238E27FC236}">
                <a16:creationId xmlns:a16="http://schemas.microsoft.com/office/drawing/2014/main" id="{0D33CF5B-3446-42ED-FD9F-1385132F4B68}"/>
              </a:ext>
            </a:extLst>
          </xdr:cNvPr>
          <xdr:cNvCxnSpPr/>
        </xdr:nvCxnSpPr>
        <xdr:spPr>
          <a:xfrm>
            <a:off x="7286631" y="15993903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7" name="Straight Arrow Connector 1406">
            <a:extLst>
              <a:ext uri="{FF2B5EF4-FFF2-40B4-BE49-F238E27FC236}">
                <a16:creationId xmlns:a16="http://schemas.microsoft.com/office/drawing/2014/main" id="{71583014-B9D4-8951-965B-864F45B5BE20}"/>
              </a:ext>
            </a:extLst>
          </xdr:cNvPr>
          <xdr:cNvCxnSpPr/>
        </xdr:nvCxnSpPr>
        <xdr:spPr>
          <a:xfrm>
            <a:off x="7448556" y="15993427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8" name="Straight Arrow Connector 1407">
            <a:extLst>
              <a:ext uri="{FF2B5EF4-FFF2-40B4-BE49-F238E27FC236}">
                <a16:creationId xmlns:a16="http://schemas.microsoft.com/office/drawing/2014/main" id="{4DFF5054-0BFF-1016-4805-DB0C740D5622}"/>
              </a:ext>
            </a:extLst>
          </xdr:cNvPr>
          <xdr:cNvCxnSpPr/>
        </xdr:nvCxnSpPr>
        <xdr:spPr>
          <a:xfrm>
            <a:off x="7610481" y="15993903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9" name="Straight Arrow Connector 1408">
            <a:extLst>
              <a:ext uri="{FF2B5EF4-FFF2-40B4-BE49-F238E27FC236}">
                <a16:creationId xmlns:a16="http://schemas.microsoft.com/office/drawing/2014/main" id="{1A4CAFFC-C079-FBD7-0201-295477E1591E}"/>
              </a:ext>
            </a:extLst>
          </xdr:cNvPr>
          <xdr:cNvCxnSpPr/>
        </xdr:nvCxnSpPr>
        <xdr:spPr>
          <a:xfrm>
            <a:off x="7772406" y="15993903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0" name="Straight Arrow Connector 1409">
            <a:extLst>
              <a:ext uri="{FF2B5EF4-FFF2-40B4-BE49-F238E27FC236}">
                <a16:creationId xmlns:a16="http://schemas.microsoft.com/office/drawing/2014/main" id="{8ADE9B9A-4C50-050E-9B8A-104E0B67769B}"/>
              </a:ext>
            </a:extLst>
          </xdr:cNvPr>
          <xdr:cNvCxnSpPr/>
        </xdr:nvCxnSpPr>
        <xdr:spPr>
          <a:xfrm>
            <a:off x="7934331" y="15993427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1" name="Straight Arrow Connector 1410">
            <a:extLst>
              <a:ext uri="{FF2B5EF4-FFF2-40B4-BE49-F238E27FC236}">
                <a16:creationId xmlns:a16="http://schemas.microsoft.com/office/drawing/2014/main" id="{6F8C6B54-5A0A-2B5F-4586-7D429E7D18A1}"/>
              </a:ext>
            </a:extLst>
          </xdr:cNvPr>
          <xdr:cNvCxnSpPr/>
        </xdr:nvCxnSpPr>
        <xdr:spPr>
          <a:xfrm>
            <a:off x="8096256" y="15993903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2" name="Straight Connector 1411">
            <a:extLst>
              <a:ext uri="{FF2B5EF4-FFF2-40B4-BE49-F238E27FC236}">
                <a16:creationId xmlns:a16="http://schemas.microsoft.com/office/drawing/2014/main" id="{0BD48161-5F5B-41B6-E8AC-67C1262E5A3F}"/>
              </a:ext>
            </a:extLst>
          </xdr:cNvPr>
          <xdr:cNvCxnSpPr/>
        </xdr:nvCxnSpPr>
        <xdr:spPr>
          <a:xfrm>
            <a:off x="7196144" y="159886653"/>
            <a:ext cx="85725" cy="12382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13" name="Arc 1412">
            <a:extLst>
              <a:ext uri="{FF2B5EF4-FFF2-40B4-BE49-F238E27FC236}">
                <a16:creationId xmlns:a16="http://schemas.microsoft.com/office/drawing/2014/main" id="{05DAA5DB-90ED-D12C-9449-BDC32679F8EF}"/>
              </a:ext>
            </a:extLst>
          </xdr:cNvPr>
          <xdr:cNvSpPr/>
        </xdr:nvSpPr>
        <xdr:spPr>
          <a:xfrm rot="13409232">
            <a:off x="4209185" y="159909598"/>
            <a:ext cx="554180" cy="554180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414" name="Straight Connector 1413">
            <a:extLst>
              <a:ext uri="{FF2B5EF4-FFF2-40B4-BE49-F238E27FC236}">
                <a16:creationId xmlns:a16="http://schemas.microsoft.com/office/drawing/2014/main" id="{6DE17DCF-C20B-5DA8-296D-6C08DA3B7110}"/>
              </a:ext>
            </a:extLst>
          </xdr:cNvPr>
          <xdr:cNvCxnSpPr/>
        </xdr:nvCxnSpPr>
        <xdr:spPr>
          <a:xfrm>
            <a:off x="4533901" y="160362897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5" name="Straight Arrow Connector 1414">
            <a:extLst>
              <a:ext uri="{FF2B5EF4-FFF2-40B4-BE49-F238E27FC236}">
                <a16:creationId xmlns:a16="http://schemas.microsoft.com/office/drawing/2014/main" id="{BA2974E2-7E62-99BC-8D10-4686FBC780A8}"/>
              </a:ext>
            </a:extLst>
          </xdr:cNvPr>
          <xdr:cNvCxnSpPr/>
        </xdr:nvCxnSpPr>
        <xdr:spPr>
          <a:xfrm>
            <a:off x="4538662" y="160548637"/>
            <a:ext cx="433388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6" name="Straight Connector 1415">
            <a:extLst>
              <a:ext uri="{FF2B5EF4-FFF2-40B4-BE49-F238E27FC236}">
                <a16:creationId xmlns:a16="http://schemas.microsoft.com/office/drawing/2014/main" id="{9FA355F5-95EE-261F-A771-7EB24EC5A8A7}"/>
              </a:ext>
            </a:extLst>
          </xdr:cNvPr>
          <xdr:cNvCxnSpPr/>
        </xdr:nvCxnSpPr>
        <xdr:spPr>
          <a:xfrm>
            <a:off x="4533900" y="160901063"/>
            <a:ext cx="0" cy="5095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7" name="Straight Connector 1416">
            <a:extLst>
              <a:ext uri="{FF2B5EF4-FFF2-40B4-BE49-F238E27FC236}">
                <a16:creationId xmlns:a16="http://schemas.microsoft.com/office/drawing/2014/main" id="{C7A2061A-FEE3-0DF6-9F62-C2C90CBF6401}"/>
              </a:ext>
            </a:extLst>
          </xdr:cNvPr>
          <xdr:cNvCxnSpPr/>
        </xdr:nvCxnSpPr>
        <xdr:spPr>
          <a:xfrm>
            <a:off x="4457698" y="161039175"/>
            <a:ext cx="38623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8" name="Straight Connector 1417">
            <a:extLst>
              <a:ext uri="{FF2B5EF4-FFF2-40B4-BE49-F238E27FC236}">
                <a16:creationId xmlns:a16="http://schemas.microsoft.com/office/drawing/2014/main" id="{361F8AF2-EF44-7FCD-B952-81C0BC9B1936}"/>
              </a:ext>
            </a:extLst>
          </xdr:cNvPr>
          <xdr:cNvCxnSpPr/>
        </xdr:nvCxnSpPr>
        <xdr:spPr>
          <a:xfrm flipH="1">
            <a:off x="4495799" y="1610058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9" name="Straight Connector 1418">
            <a:extLst>
              <a:ext uri="{FF2B5EF4-FFF2-40B4-BE49-F238E27FC236}">
                <a16:creationId xmlns:a16="http://schemas.microsoft.com/office/drawing/2014/main" id="{26F02920-D079-F354-77DD-586B8288C888}"/>
              </a:ext>
            </a:extLst>
          </xdr:cNvPr>
          <xdr:cNvCxnSpPr/>
        </xdr:nvCxnSpPr>
        <xdr:spPr>
          <a:xfrm>
            <a:off x="8258175" y="160901063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0" name="Straight Connector 1419">
            <a:extLst>
              <a:ext uri="{FF2B5EF4-FFF2-40B4-BE49-F238E27FC236}">
                <a16:creationId xmlns:a16="http://schemas.microsoft.com/office/drawing/2014/main" id="{47DCA6B5-748D-2DBF-7963-4F24BC5F3B59}"/>
              </a:ext>
            </a:extLst>
          </xdr:cNvPr>
          <xdr:cNvCxnSpPr/>
        </xdr:nvCxnSpPr>
        <xdr:spPr>
          <a:xfrm flipH="1">
            <a:off x="8220074" y="1610058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1" name="Straight Connector 1420">
            <a:extLst>
              <a:ext uri="{FF2B5EF4-FFF2-40B4-BE49-F238E27FC236}">
                <a16:creationId xmlns:a16="http://schemas.microsoft.com/office/drawing/2014/main" id="{54B57FBE-C537-EAA2-63E8-33ABE42B6502}"/>
              </a:ext>
            </a:extLst>
          </xdr:cNvPr>
          <xdr:cNvCxnSpPr/>
        </xdr:nvCxnSpPr>
        <xdr:spPr>
          <a:xfrm>
            <a:off x="8262938" y="160348610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B3052D82-8316-FDBC-2276-B0DAF307487A}"/>
              </a:ext>
            </a:extLst>
          </xdr:cNvPr>
          <xdr:cNvSpPr/>
        </xdr:nvSpPr>
        <xdr:spPr>
          <a:xfrm>
            <a:off x="8267700" y="160039052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23" name="Straight Connector 1422">
            <a:extLst>
              <a:ext uri="{FF2B5EF4-FFF2-40B4-BE49-F238E27FC236}">
                <a16:creationId xmlns:a16="http://schemas.microsoft.com/office/drawing/2014/main" id="{4CA9EEF6-1266-CFFD-4FAD-79EA61145021}"/>
              </a:ext>
            </a:extLst>
          </xdr:cNvPr>
          <xdr:cNvCxnSpPr/>
        </xdr:nvCxnSpPr>
        <xdr:spPr>
          <a:xfrm>
            <a:off x="8253412" y="160029526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4" name="Straight Connector 1423">
            <a:extLst>
              <a:ext uri="{FF2B5EF4-FFF2-40B4-BE49-F238E27FC236}">
                <a16:creationId xmlns:a16="http://schemas.microsoft.com/office/drawing/2014/main" id="{9EECE347-3278-F098-1C8A-6253228A77F6}"/>
              </a:ext>
            </a:extLst>
          </xdr:cNvPr>
          <xdr:cNvCxnSpPr/>
        </xdr:nvCxnSpPr>
        <xdr:spPr>
          <a:xfrm>
            <a:off x="6315079" y="160296225"/>
            <a:ext cx="0" cy="809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5" name="Straight Connector 1424">
            <a:extLst>
              <a:ext uri="{FF2B5EF4-FFF2-40B4-BE49-F238E27FC236}">
                <a16:creationId xmlns:a16="http://schemas.microsoft.com/office/drawing/2014/main" id="{095D36C7-E340-9A67-5512-E94E28C5DDE4}"/>
              </a:ext>
            </a:extLst>
          </xdr:cNvPr>
          <xdr:cNvCxnSpPr/>
        </xdr:nvCxnSpPr>
        <xdr:spPr>
          <a:xfrm flipH="1">
            <a:off x="6276978" y="1610058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27" name="Arc 1426">
            <a:extLst>
              <a:ext uri="{FF2B5EF4-FFF2-40B4-BE49-F238E27FC236}">
                <a16:creationId xmlns:a16="http://schemas.microsoft.com/office/drawing/2014/main" id="{E1A3840B-B5C0-B29F-16EF-AA5041856511}"/>
              </a:ext>
            </a:extLst>
          </xdr:cNvPr>
          <xdr:cNvSpPr/>
        </xdr:nvSpPr>
        <xdr:spPr>
          <a:xfrm rot="2739182">
            <a:off x="8015288" y="159905700"/>
            <a:ext cx="554180" cy="554180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428" name="Straight Connector 1427">
            <a:extLst>
              <a:ext uri="{FF2B5EF4-FFF2-40B4-BE49-F238E27FC236}">
                <a16:creationId xmlns:a16="http://schemas.microsoft.com/office/drawing/2014/main" id="{F5D18912-E14D-39EC-2509-DDD602097439}"/>
              </a:ext>
            </a:extLst>
          </xdr:cNvPr>
          <xdr:cNvCxnSpPr/>
        </xdr:nvCxnSpPr>
        <xdr:spPr>
          <a:xfrm>
            <a:off x="4457699" y="161324925"/>
            <a:ext cx="38623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9" name="Straight Connector 1428">
            <a:extLst>
              <a:ext uri="{FF2B5EF4-FFF2-40B4-BE49-F238E27FC236}">
                <a16:creationId xmlns:a16="http://schemas.microsoft.com/office/drawing/2014/main" id="{0654D781-8378-B6F4-101F-DB6D96DE2648}"/>
              </a:ext>
            </a:extLst>
          </xdr:cNvPr>
          <xdr:cNvCxnSpPr/>
        </xdr:nvCxnSpPr>
        <xdr:spPr>
          <a:xfrm flipH="1">
            <a:off x="4495800" y="16129158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0" name="Straight Connector 1429">
            <a:extLst>
              <a:ext uri="{FF2B5EF4-FFF2-40B4-BE49-F238E27FC236}">
                <a16:creationId xmlns:a16="http://schemas.microsoft.com/office/drawing/2014/main" id="{423D70C4-7784-A051-20F6-189258F94D97}"/>
              </a:ext>
            </a:extLst>
          </xdr:cNvPr>
          <xdr:cNvCxnSpPr/>
        </xdr:nvCxnSpPr>
        <xdr:spPr>
          <a:xfrm flipH="1">
            <a:off x="8220075" y="16129158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4" name="Straight Connector 1473">
            <a:extLst>
              <a:ext uri="{FF2B5EF4-FFF2-40B4-BE49-F238E27FC236}">
                <a16:creationId xmlns:a16="http://schemas.microsoft.com/office/drawing/2014/main" id="{D296749C-1D30-49A2-8015-EC9F38AB3FF1}"/>
              </a:ext>
            </a:extLst>
          </xdr:cNvPr>
          <xdr:cNvCxnSpPr/>
        </xdr:nvCxnSpPr>
        <xdr:spPr>
          <a:xfrm>
            <a:off x="4529138" y="159800930"/>
            <a:ext cx="1785939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9" name="Straight Arrow Connector 1478">
            <a:extLst>
              <a:ext uri="{FF2B5EF4-FFF2-40B4-BE49-F238E27FC236}">
                <a16:creationId xmlns:a16="http://schemas.microsoft.com/office/drawing/2014/main" id="{33EE5E48-D039-43F3-BDA1-46E1079BC583}"/>
              </a:ext>
            </a:extLst>
          </xdr:cNvPr>
          <xdr:cNvCxnSpPr/>
        </xdr:nvCxnSpPr>
        <xdr:spPr>
          <a:xfrm>
            <a:off x="5505449" y="159805687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0" name="Straight Arrow Connector 1479">
            <a:extLst>
              <a:ext uri="{FF2B5EF4-FFF2-40B4-BE49-F238E27FC236}">
                <a16:creationId xmlns:a16="http://schemas.microsoft.com/office/drawing/2014/main" id="{8FDD3DE2-37AF-4B07-9544-09A1F901298A}"/>
              </a:ext>
            </a:extLst>
          </xdr:cNvPr>
          <xdr:cNvCxnSpPr/>
        </xdr:nvCxnSpPr>
        <xdr:spPr>
          <a:xfrm>
            <a:off x="5667374" y="159805687"/>
            <a:ext cx="0" cy="37623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1" name="Straight Arrow Connector 1480">
            <a:extLst>
              <a:ext uri="{FF2B5EF4-FFF2-40B4-BE49-F238E27FC236}">
                <a16:creationId xmlns:a16="http://schemas.microsoft.com/office/drawing/2014/main" id="{8D8BFEDB-236C-4D1F-B9B7-683EB8B3ABE6}"/>
              </a:ext>
            </a:extLst>
          </xdr:cNvPr>
          <xdr:cNvCxnSpPr/>
        </xdr:nvCxnSpPr>
        <xdr:spPr>
          <a:xfrm>
            <a:off x="5829299" y="159800925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2" name="Straight Arrow Connector 1481">
            <a:extLst>
              <a:ext uri="{FF2B5EF4-FFF2-40B4-BE49-F238E27FC236}">
                <a16:creationId xmlns:a16="http://schemas.microsoft.com/office/drawing/2014/main" id="{87C4F572-0376-404B-A68B-85B72003AB2C}"/>
              </a:ext>
            </a:extLst>
          </xdr:cNvPr>
          <xdr:cNvCxnSpPr/>
        </xdr:nvCxnSpPr>
        <xdr:spPr>
          <a:xfrm>
            <a:off x="5019674" y="159800923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3" name="Straight Arrow Connector 1482">
            <a:extLst>
              <a:ext uri="{FF2B5EF4-FFF2-40B4-BE49-F238E27FC236}">
                <a16:creationId xmlns:a16="http://schemas.microsoft.com/office/drawing/2014/main" id="{06DA2367-A374-43C5-8D1E-535050B0ACD0}"/>
              </a:ext>
            </a:extLst>
          </xdr:cNvPr>
          <xdr:cNvCxnSpPr/>
        </xdr:nvCxnSpPr>
        <xdr:spPr>
          <a:xfrm>
            <a:off x="5181599" y="159800923"/>
            <a:ext cx="0" cy="37623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4" name="Straight Arrow Connector 1483">
            <a:extLst>
              <a:ext uri="{FF2B5EF4-FFF2-40B4-BE49-F238E27FC236}">
                <a16:creationId xmlns:a16="http://schemas.microsoft.com/office/drawing/2014/main" id="{2B717C93-9FA2-4CD9-BE06-BC67CFC5A073}"/>
              </a:ext>
            </a:extLst>
          </xdr:cNvPr>
          <xdr:cNvCxnSpPr/>
        </xdr:nvCxnSpPr>
        <xdr:spPr>
          <a:xfrm>
            <a:off x="5343524" y="159796161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5" name="Straight Arrow Connector 1484">
            <a:extLst>
              <a:ext uri="{FF2B5EF4-FFF2-40B4-BE49-F238E27FC236}">
                <a16:creationId xmlns:a16="http://schemas.microsoft.com/office/drawing/2014/main" id="{FB73D672-90E4-4967-9980-2593F506C914}"/>
              </a:ext>
            </a:extLst>
          </xdr:cNvPr>
          <xdr:cNvCxnSpPr/>
        </xdr:nvCxnSpPr>
        <xdr:spPr>
          <a:xfrm>
            <a:off x="4533899" y="159805686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6" name="Straight Arrow Connector 1485">
            <a:extLst>
              <a:ext uri="{FF2B5EF4-FFF2-40B4-BE49-F238E27FC236}">
                <a16:creationId xmlns:a16="http://schemas.microsoft.com/office/drawing/2014/main" id="{C3403318-4797-48DC-91E2-B56C1C6589BF}"/>
              </a:ext>
            </a:extLst>
          </xdr:cNvPr>
          <xdr:cNvCxnSpPr/>
        </xdr:nvCxnSpPr>
        <xdr:spPr>
          <a:xfrm>
            <a:off x="4695824" y="159805686"/>
            <a:ext cx="0" cy="37623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7" name="Straight Arrow Connector 1486">
            <a:extLst>
              <a:ext uri="{FF2B5EF4-FFF2-40B4-BE49-F238E27FC236}">
                <a16:creationId xmlns:a16="http://schemas.microsoft.com/office/drawing/2014/main" id="{9071811D-C130-452B-9B38-5AE874501CA2}"/>
              </a:ext>
            </a:extLst>
          </xdr:cNvPr>
          <xdr:cNvCxnSpPr/>
        </xdr:nvCxnSpPr>
        <xdr:spPr>
          <a:xfrm>
            <a:off x="4857749" y="159800924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8" name="Straight Connector 1487">
            <a:extLst>
              <a:ext uri="{FF2B5EF4-FFF2-40B4-BE49-F238E27FC236}">
                <a16:creationId xmlns:a16="http://schemas.microsoft.com/office/drawing/2014/main" id="{32E5017D-6D3F-4BD1-B672-3BCD84E79F03}"/>
              </a:ext>
            </a:extLst>
          </xdr:cNvPr>
          <xdr:cNvCxnSpPr/>
        </xdr:nvCxnSpPr>
        <xdr:spPr>
          <a:xfrm>
            <a:off x="5414969" y="159743778"/>
            <a:ext cx="85725" cy="12382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0" name="Straight Arrow Connector 1499">
            <a:extLst>
              <a:ext uri="{FF2B5EF4-FFF2-40B4-BE49-F238E27FC236}">
                <a16:creationId xmlns:a16="http://schemas.microsoft.com/office/drawing/2014/main" id="{E4896E6C-4E5A-4292-8079-C8D5AF72E3CE}"/>
              </a:ext>
            </a:extLst>
          </xdr:cNvPr>
          <xdr:cNvCxnSpPr/>
        </xdr:nvCxnSpPr>
        <xdr:spPr>
          <a:xfrm>
            <a:off x="6319837" y="160548637"/>
            <a:ext cx="433388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8" name="Straight Connector 1177">
            <a:extLst>
              <a:ext uri="{FF2B5EF4-FFF2-40B4-BE49-F238E27FC236}">
                <a16:creationId xmlns:a16="http://schemas.microsoft.com/office/drawing/2014/main" id="{F80F32D1-2A0B-2CF3-024F-F417E4A3E5EC}"/>
              </a:ext>
            </a:extLst>
          </xdr:cNvPr>
          <xdr:cNvCxnSpPr/>
        </xdr:nvCxnSpPr>
        <xdr:spPr>
          <a:xfrm>
            <a:off x="4533900" y="16003905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80963</xdr:colOff>
      <xdr:row>1401</xdr:row>
      <xdr:rowOff>66675</xdr:rowOff>
    </xdr:from>
    <xdr:to>
      <xdr:col>7</xdr:col>
      <xdr:colOff>133350</xdr:colOff>
      <xdr:row>1401</xdr:row>
      <xdr:rowOff>66675</xdr:rowOff>
    </xdr:to>
    <xdr:cxnSp macro="">
      <xdr:nvCxnSpPr>
        <xdr:cNvPr id="1791" name="Straight Arrow Connector 1790">
          <a:extLst>
            <a:ext uri="{FF2B5EF4-FFF2-40B4-BE49-F238E27FC236}">
              <a16:creationId xmlns:a16="http://schemas.microsoft.com/office/drawing/2014/main" id="{4A1FEE67-E6A4-4061-87B7-05DBE1BFE3ED}"/>
            </a:ext>
          </a:extLst>
        </xdr:cNvPr>
        <xdr:cNvCxnSpPr/>
      </xdr:nvCxnSpPr>
      <xdr:spPr>
        <a:xfrm>
          <a:off x="1052513" y="1927098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1402</xdr:row>
      <xdr:rowOff>66675</xdr:rowOff>
    </xdr:from>
    <xdr:to>
      <xdr:col>7</xdr:col>
      <xdr:colOff>133350</xdr:colOff>
      <xdr:row>1402</xdr:row>
      <xdr:rowOff>66675</xdr:rowOff>
    </xdr:to>
    <xdr:cxnSp macro="">
      <xdr:nvCxnSpPr>
        <xdr:cNvPr id="1792" name="Straight Arrow Connector 1791">
          <a:extLst>
            <a:ext uri="{FF2B5EF4-FFF2-40B4-BE49-F238E27FC236}">
              <a16:creationId xmlns:a16="http://schemas.microsoft.com/office/drawing/2014/main" id="{2618F7A1-54ED-40FA-971C-F9316B86FC60}"/>
            </a:ext>
          </a:extLst>
        </xdr:cNvPr>
        <xdr:cNvCxnSpPr/>
      </xdr:nvCxnSpPr>
      <xdr:spPr>
        <a:xfrm>
          <a:off x="1052513" y="1997678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1403</xdr:row>
      <xdr:rowOff>66675</xdr:rowOff>
    </xdr:from>
    <xdr:to>
      <xdr:col>7</xdr:col>
      <xdr:colOff>133350</xdr:colOff>
      <xdr:row>1403</xdr:row>
      <xdr:rowOff>66675</xdr:rowOff>
    </xdr:to>
    <xdr:cxnSp macro="">
      <xdr:nvCxnSpPr>
        <xdr:cNvPr id="1793" name="Straight Arrow Connector 1792">
          <a:extLst>
            <a:ext uri="{FF2B5EF4-FFF2-40B4-BE49-F238E27FC236}">
              <a16:creationId xmlns:a16="http://schemas.microsoft.com/office/drawing/2014/main" id="{5A882F25-8F60-494D-BBE2-27DF2B31F419}"/>
            </a:ext>
          </a:extLst>
        </xdr:cNvPr>
        <xdr:cNvCxnSpPr/>
      </xdr:nvCxnSpPr>
      <xdr:spPr>
        <a:xfrm>
          <a:off x="1052513" y="1999107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80963</xdr:colOff>
      <xdr:row>1407</xdr:row>
      <xdr:rowOff>66675</xdr:rowOff>
    </xdr:from>
    <xdr:to>
      <xdr:col>39</xdr:col>
      <xdr:colOff>133350</xdr:colOff>
      <xdr:row>1407</xdr:row>
      <xdr:rowOff>66675</xdr:rowOff>
    </xdr:to>
    <xdr:cxnSp macro="">
      <xdr:nvCxnSpPr>
        <xdr:cNvPr id="1794" name="Straight Arrow Connector 1793">
          <a:extLst>
            <a:ext uri="{FF2B5EF4-FFF2-40B4-BE49-F238E27FC236}">
              <a16:creationId xmlns:a16="http://schemas.microsoft.com/office/drawing/2014/main" id="{7D82350C-329F-40C1-A318-71C5D6DB338B}"/>
            </a:ext>
          </a:extLst>
        </xdr:cNvPr>
        <xdr:cNvCxnSpPr/>
      </xdr:nvCxnSpPr>
      <xdr:spPr>
        <a:xfrm>
          <a:off x="1052513" y="1999107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80963</xdr:colOff>
      <xdr:row>1410</xdr:row>
      <xdr:rowOff>66675</xdr:rowOff>
    </xdr:from>
    <xdr:to>
      <xdr:col>12</xdr:col>
      <xdr:colOff>133350</xdr:colOff>
      <xdr:row>1410</xdr:row>
      <xdr:rowOff>66675</xdr:rowOff>
    </xdr:to>
    <xdr:cxnSp macro="">
      <xdr:nvCxnSpPr>
        <xdr:cNvPr id="1712" name="Straight Arrow Connector 1711">
          <a:extLst>
            <a:ext uri="{FF2B5EF4-FFF2-40B4-BE49-F238E27FC236}">
              <a16:creationId xmlns:a16="http://schemas.microsoft.com/office/drawing/2014/main" id="{B52EA0DF-A195-49F9-A21F-51CD4018381D}"/>
            </a:ext>
          </a:extLst>
        </xdr:cNvPr>
        <xdr:cNvCxnSpPr/>
      </xdr:nvCxnSpPr>
      <xdr:spPr>
        <a:xfrm>
          <a:off x="1052513" y="2000535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80963</xdr:colOff>
      <xdr:row>1410</xdr:row>
      <xdr:rowOff>66675</xdr:rowOff>
    </xdr:from>
    <xdr:to>
      <xdr:col>43</xdr:col>
      <xdr:colOff>133350</xdr:colOff>
      <xdr:row>1410</xdr:row>
      <xdr:rowOff>66675</xdr:rowOff>
    </xdr:to>
    <xdr:cxnSp macro="">
      <xdr:nvCxnSpPr>
        <xdr:cNvPr id="1747" name="Straight Arrow Connector 1746">
          <a:extLst>
            <a:ext uri="{FF2B5EF4-FFF2-40B4-BE49-F238E27FC236}">
              <a16:creationId xmlns:a16="http://schemas.microsoft.com/office/drawing/2014/main" id="{EEB945EC-6CB9-4FD0-863B-78B54358E36C}"/>
            </a:ext>
          </a:extLst>
        </xdr:cNvPr>
        <xdr:cNvCxnSpPr/>
      </xdr:nvCxnSpPr>
      <xdr:spPr>
        <a:xfrm>
          <a:off x="1862138" y="2007679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1405</xdr:row>
      <xdr:rowOff>66675</xdr:rowOff>
    </xdr:from>
    <xdr:to>
      <xdr:col>7</xdr:col>
      <xdr:colOff>133350</xdr:colOff>
      <xdr:row>1405</xdr:row>
      <xdr:rowOff>66675</xdr:rowOff>
    </xdr:to>
    <xdr:cxnSp macro="">
      <xdr:nvCxnSpPr>
        <xdr:cNvPr id="1749" name="Straight Arrow Connector 1748">
          <a:extLst>
            <a:ext uri="{FF2B5EF4-FFF2-40B4-BE49-F238E27FC236}">
              <a16:creationId xmlns:a16="http://schemas.microsoft.com/office/drawing/2014/main" id="{F02C6396-3B2A-426F-B10A-0997EDA87083}"/>
            </a:ext>
          </a:extLst>
        </xdr:cNvPr>
        <xdr:cNvCxnSpPr/>
      </xdr:nvCxnSpPr>
      <xdr:spPr>
        <a:xfrm>
          <a:off x="1052513" y="1999107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80963</xdr:colOff>
      <xdr:row>1408</xdr:row>
      <xdr:rowOff>66675</xdr:rowOff>
    </xdr:from>
    <xdr:to>
      <xdr:col>68</xdr:col>
      <xdr:colOff>133350</xdr:colOff>
      <xdr:row>1408</xdr:row>
      <xdr:rowOff>66675</xdr:rowOff>
    </xdr:to>
    <xdr:cxnSp macro="">
      <xdr:nvCxnSpPr>
        <xdr:cNvPr id="1754" name="Straight Arrow Connector 1753">
          <a:extLst>
            <a:ext uri="{FF2B5EF4-FFF2-40B4-BE49-F238E27FC236}">
              <a16:creationId xmlns:a16="http://schemas.microsoft.com/office/drawing/2014/main" id="{A806B060-7C9E-481A-9065-551944A522BB}"/>
            </a:ext>
          </a:extLst>
        </xdr:cNvPr>
        <xdr:cNvCxnSpPr/>
      </xdr:nvCxnSpPr>
      <xdr:spPr>
        <a:xfrm>
          <a:off x="6234113" y="2013394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80963</xdr:colOff>
      <xdr:row>1409</xdr:row>
      <xdr:rowOff>66675</xdr:rowOff>
    </xdr:from>
    <xdr:to>
      <xdr:col>6</xdr:col>
      <xdr:colOff>133350</xdr:colOff>
      <xdr:row>1409</xdr:row>
      <xdr:rowOff>66675</xdr:rowOff>
    </xdr:to>
    <xdr:cxnSp macro="">
      <xdr:nvCxnSpPr>
        <xdr:cNvPr id="1755" name="Straight Arrow Connector 1754">
          <a:extLst>
            <a:ext uri="{FF2B5EF4-FFF2-40B4-BE49-F238E27FC236}">
              <a16:creationId xmlns:a16="http://schemas.microsoft.com/office/drawing/2014/main" id="{D8520E11-0CD2-4371-A7E8-1E35CE10C621}"/>
            </a:ext>
          </a:extLst>
        </xdr:cNvPr>
        <xdr:cNvCxnSpPr/>
      </xdr:nvCxnSpPr>
      <xdr:spPr>
        <a:xfrm>
          <a:off x="10929938" y="2014823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95250</xdr:colOff>
      <xdr:row>1461</xdr:row>
      <xdr:rowOff>85725</xdr:rowOff>
    </xdr:from>
    <xdr:to>
      <xdr:col>34</xdr:col>
      <xdr:colOff>61913</xdr:colOff>
      <xdr:row>1467</xdr:row>
      <xdr:rowOff>71438</xdr:rowOff>
    </xdr:to>
    <xdr:grpSp>
      <xdr:nvGrpSpPr>
        <xdr:cNvPr id="1883" name="Group 1882">
          <a:extLst>
            <a:ext uri="{FF2B5EF4-FFF2-40B4-BE49-F238E27FC236}">
              <a16:creationId xmlns:a16="http://schemas.microsoft.com/office/drawing/2014/main" id="{44EB1031-B014-9D93-4933-C0D5F56FDD67}"/>
            </a:ext>
          </a:extLst>
        </xdr:cNvPr>
        <xdr:cNvGrpSpPr/>
      </xdr:nvGrpSpPr>
      <xdr:grpSpPr>
        <a:xfrm>
          <a:off x="4791075" y="219989400"/>
          <a:ext cx="776288" cy="842963"/>
          <a:chOff x="4791075" y="208083150"/>
          <a:chExt cx="776288" cy="842963"/>
        </a:xfrm>
      </xdr:grpSpPr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67C9386F-4F4F-49B6-A351-A26DF0657674}"/>
              </a:ext>
            </a:extLst>
          </xdr:cNvPr>
          <xdr:cNvSpPr/>
        </xdr:nvSpPr>
        <xdr:spPr>
          <a:xfrm>
            <a:off x="4857750" y="208149825"/>
            <a:ext cx="323850" cy="419100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783" name="Straight Connector 1782">
            <a:extLst>
              <a:ext uri="{FF2B5EF4-FFF2-40B4-BE49-F238E27FC236}">
                <a16:creationId xmlns:a16="http://schemas.microsoft.com/office/drawing/2014/main" id="{265D8282-373D-2D10-1471-1A276F8B1819}"/>
              </a:ext>
            </a:extLst>
          </xdr:cNvPr>
          <xdr:cNvCxnSpPr/>
        </xdr:nvCxnSpPr>
        <xdr:spPr>
          <a:xfrm>
            <a:off x="4857750" y="208640363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4" name="Straight Connector 1783">
            <a:extLst>
              <a:ext uri="{FF2B5EF4-FFF2-40B4-BE49-F238E27FC236}">
                <a16:creationId xmlns:a16="http://schemas.microsoft.com/office/drawing/2014/main" id="{BD4CBD23-A714-96C6-2F5E-C86F6B8D5B71}"/>
              </a:ext>
            </a:extLst>
          </xdr:cNvPr>
          <xdr:cNvCxnSpPr/>
        </xdr:nvCxnSpPr>
        <xdr:spPr>
          <a:xfrm>
            <a:off x="4791075" y="208854675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5" name="Straight Connector 1794">
            <a:extLst>
              <a:ext uri="{FF2B5EF4-FFF2-40B4-BE49-F238E27FC236}">
                <a16:creationId xmlns:a16="http://schemas.microsoft.com/office/drawing/2014/main" id="{5D7D1160-5151-9F36-8BB4-70403ED5F8D5}"/>
              </a:ext>
            </a:extLst>
          </xdr:cNvPr>
          <xdr:cNvCxnSpPr/>
        </xdr:nvCxnSpPr>
        <xdr:spPr>
          <a:xfrm flipH="1">
            <a:off x="4824413" y="2088213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6" name="Straight Connector 1795">
            <a:extLst>
              <a:ext uri="{FF2B5EF4-FFF2-40B4-BE49-F238E27FC236}">
                <a16:creationId xmlns:a16="http://schemas.microsoft.com/office/drawing/2014/main" id="{07CD881F-8946-8ABA-94FC-0B2105BBDE5E}"/>
              </a:ext>
            </a:extLst>
          </xdr:cNvPr>
          <xdr:cNvCxnSpPr/>
        </xdr:nvCxnSpPr>
        <xdr:spPr>
          <a:xfrm>
            <a:off x="5181600" y="208640363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7" name="Straight Connector 1796">
            <a:extLst>
              <a:ext uri="{FF2B5EF4-FFF2-40B4-BE49-F238E27FC236}">
                <a16:creationId xmlns:a16="http://schemas.microsoft.com/office/drawing/2014/main" id="{6E965502-0350-2A01-84F8-FF8AC6C0D1C2}"/>
              </a:ext>
            </a:extLst>
          </xdr:cNvPr>
          <xdr:cNvCxnSpPr/>
        </xdr:nvCxnSpPr>
        <xdr:spPr>
          <a:xfrm flipH="1">
            <a:off x="5148263" y="2088213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8" name="Straight Connector 1797">
            <a:extLst>
              <a:ext uri="{FF2B5EF4-FFF2-40B4-BE49-F238E27FC236}">
                <a16:creationId xmlns:a16="http://schemas.microsoft.com/office/drawing/2014/main" id="{7DECC556-1CB5-EC37-AA2C-296B54AAC739}"/>
              </a:ext>
            </a:extLst>
          </xdr:cNvPr>
          <xdr:cNvCxnSpPr/>
        </xdr:nvCxnSpPr>
        <xdr:spPr>
          <a:xfrm>
            <a:off x="5238747" y="208145059"/>
            <a:ext cx="3286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9" name="Straight Connector 1798">
            <a:extLst>
              <a:ext uri="{FF2B5EF4-FFF2-40B4-BE49-F238E27FC236}">
                <a16:creationId xmlns:a16="http://schemas.microsoft.com/office/drawing/2014/main" id="{77346B8D-6724-8B7E-AAFB-8BAA60F06561}"/>
              </a:ext>
            </a:extLst>
          </xdr:cNvPr>
          <xdr:cNvCxnSpPr/>
        </xdr:nvCxnSpPr>
        <xdr:spPr>
          <a:xfrm>
            <a:off x="5233988" y="208568935"/>
            <a:ext cx="328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0" name="Straight Connector 1799">
            <a:extLst>
              <a:ext uri="{FF2B5EF4-FFF2-40B4-BE49-F238E27FC236}">
                <a16:creationId xmlns:a16="http://schemas.microsoft.com/office/drawing/2014/main" id="{E7F5C2C7-7466-17B5-F218-4066A65BE43B}"/>
              </a:ext>
            </a:extLst>
          </xdr:cNvPr>
          <xdr:cNvCxnSpPr/>
        </xdr:nvCxnSpPr>
        <xdr:spPr>
          <a:xfrm>
            <a:off x="5505450" y="208083150"/>
            <a:ext cx="0" cy="552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1" name="Straight Connector 1800">
            <a:extLst>
              <a:ext uri="{FF2B5EF4-FFF2-40B4-BE49-F238E27FC236}">
                <a16:creationId xmlns:a16="http://schemas.microsoft.com/office/drawing/2014/main" id="{FE80845A-9DD3-EA2F-221E-49FD247E27AB}"/>
              </a:ext>
            </a:extLst>
          </xdr:cNvPr>
          <xdr:cNvCxnSpPr/>
        </xdr:nvCxnSpPr>
        <xdr:spPr>
          <a:xfrm flipH="1">
            <a:off x="5472108" y="20811172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2" name="Straight Connector 1801">
            <a:extLst>
              <a:ext uri="{FF2B5EF4-FFF2-40B4-BE49-F238E27FC236}">
                <a16:creationId xmlns:a16="http://schemas.microsoft.com/office/drawing/2014/main" id="{BB1615A5-6C4D-2B01-B301-CB925EC89671}"/>
              </a:ext>
            </a:extLst>
          </xdr:cNvPr>
          <xdr:cNvCxnSpPr/>
        </xdr:nvCxnSpPr>
        <xdr:spPr>
          <a:xfrm flipH="1">
            <a:off x="5472103" y="20853560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80963</xdr:colOff>
      <xdr:row>1461</xdr:row>
      <xdr:rowOff>0</xdr:rowOff>
    </xdr:from>
    <xdr:to>
      <xdr:col>23</xdr:col>
      <xdr:colOff>139824</xdr:colOff>
      <xdr:row>1469</xdr:row>
      <xdr:rowOff>80963</xdr:rowOff>
    </xdr:to>
    <xdr:grpSp>
      <xdr:nvGrpSpPr>
        <xdr:cNvPr id="1897" name="Group 1896">
          <a:extLst>
            <a:ext uri="{FF2B5EF4-FFF2-40B4-BE49-F238E27FC236}">
              <a16:creationId xmlns:a16="http://schemas.microsoft.com/office/drawing/2014/main" id="{648D0D78-2E75-CB49-A231-6374FC63BE6C}"/>
            </a:ext>
          </a:extLst>
        </xdr:cNvPr>
        <xdr:cNvGrpSpPr/>
      </xdr:nvGrpSpPr>
      <xdr:grpSpPr>
        <a:xfrm>
          <a:off x="890588" y="219903675"/>
          <a:ext cx="2973511" cy="1223963"/>
          <a:chOff x="890588" y="208330800"/>
          <a:chExt cx="2973511" cy="1223963"/>
        </a:xfrm>
      </xdr:grpSpPr>
      <xdr:cxnSp macro="">
        <xdr:nvCxnSpPr>
          <xdr:cNvPr id="1881" name="Straight Arrow Connector 1880">
            <a:extLst>
              <a:ext uri="{FF2B5EF4-FFF2-40B4-BE49-F238E27FC236}">
                <a16:creationId xmlns:a16="http://schemas.microsoft.com/office/drawing/2014/main" id="{B9924671-7A79-4CC8-9571-5AC12525CEBB}"/>
              </a:ext>
            </a:extLst>
          </xdr:cNvPr>
          <xdr:cNvCxnSpPr/>
        </xdr:nvCxnSpPr>
        <xdr:spPr>
          <a:xfrm>
            <a:off x="3562365" y="20853081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4" name="Straight Connector 1803">
            <a:extLst>
              <a:ext uri="{FF2B5EF4-FFF2-40B4-BE49-F238E27FC236}">
                <a16:creationId xmlns:a16="http://schemas.microsoft.com/office/drawing/2014/main" id="{CB5F7FE2-1EB8-F358-0E07-1535ECA4E296}"/>
              </a:ext>
            </a:extLst>
          </xdr:cNvPr>
          <xdr:cNvCxnSpPr/>
        </xdr:nvCxnSpPr>
        <xdr:spPr>
          <a:xfrm>
            <a:off x="971550" y="208768949"/>
            <a:ext cx="25860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732B95D5-48AF-BE6D-AB81-6D320C413409}"/>
              </a:ext>
            </a:extLst>
          </xdr:cNvPr>
          <xdr:cNvSpPr/>
        </xdr:nvSpPr>
        <xdr:spPr>
          <a:xfrm>
            <a:off x="3571875" y="208626076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06" name="Straight Connector 1805">
            <a:extLst>
              <a:ext uri="{FF2B5EF4-FFF2-40B4-BE49-F238E27FC236}">
                <a16:creationId xmlns:a16="http://schemas.microsoft.com/office/drawing/2014/main" id="{F42D6453-145A-E3E4-6E9F-B6E87BECE1E2}"/>
              </a:ext>
            </a:extLst>
          </xdr:cNvPr>
          <xdr:cNvCxnSpPr/>
        </xdr:nvCxnSpPr>
        <xdr:spPr>
          <a:xfrm>
            <a:off x="3557587" y="20861655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7" name="Straight Arrow Connector 1806">
            <a:extLst>
              <a:ext uri="{FF2B5EF4-FFF2-40B4-BE49-F238E27FC236}">
                <a16:creationId xmlns:a16="http://schemas.microsoft.com/office/drawing/2014/main" id="{24C2A863-DEBC-2CC8-0CDF-F19D42E5A05D}"/>
              </a:ext>
            </a:extLst>
          </xdr:cNvPr>
          <xdr:cNvCxnSpPr/>
        </xdr:nvCxnSpPr>
        <xdr:spPr>
          <a:xfrm>
            <a:off x="976312" y="208330800"/>
            <a:ext cx="0" cy="4381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8" name="Straight Connector 1807">
            <a:extLst>
              <a:ext uri="{FF2B5EF4-FFF2-40B4-BE49-F238E27FC236}">
                <a16:creationId xmlns:a16="http://schemas.microsoft.com/office/drawing/2014/main" id="{7E13D0A5-B164-A56E-2D77-C7293E2911B6}"/>
              </a:ext>
            </a:extLst>
          </xdr:cNvPr>
          <xdr:cNvCxnSpPr/>
        </xdr:nvCxnSpPr>
        <xdr:spPr>
          <a:xfrm>
            <a:off x="971550" y="208835625"/>
            <a:ext cx="0" cy="7191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9" name="Straight Connector 1808">
            <a:extLst>
              <a:ext uri="{FF2B5EF4-FFF2-40B4-BE49-F238E27FC236}">
                <a16:creationId xmlns:a16="http://schemas.microsoft.com/office/drawing/2014/main" id="{EABBAA0A-BC3C-3260-308C-61BA8DE42417}"/>
              </a:ext>
            </a:extLst>
          </xdr:cNvPr>
          <xdr:cNvCxnSpPr/>
        </xdr:nvCxnSpPr>
        <xdr:spPr>
          <a:xfrm>
            <a:off x="890588" y="209473809"/>
            <a:ext cx="2743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0" name="Straight Arrow Connector 1809">
            <a:extLst>
              <a:ext uri="{FF2B5EF4-FFF2-40B4-BE49-F238E27FC236}">
                <a16:creationId xmlns:a16="http://schemas.microsoft.com/office/drawing/2014/main" id="{FA2966B1-832F-3E20-1721-79BD23EC9BDE}"/>
              </a:ext>
            </a:extLst>
          </xdr:cNvPr>
          <xdr:cNvCxnSpPr/>
        </xdr:nvCxnSpPr>
        <xdr:spPr>
          <a:xfrm flipV="1">
            <a:off x="3562350" y="208949925"/>
            <a:ext cx="0" cy="242888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1" name="Straight Connector 1810">
            <a:extLst>
              <a:ext uri="{FF2B5EF4-FFF2-40B4-BE49-F238E27FC236}">
                <a16:creationId xmlns:a16="http://schemas.microsoft.com/office/drawing/2014/main" id="{5E41DC89-DBBF-CB38-26FD-A37CD39ABF72}"/>
              </a:ext>
            </a:extLst>
          </xdr:cNvPr>
          <xdr:cNvCxnSpPr/>
        </xdr:nvCxnSpPr>
        <xdr:spPr>
          <a:xfrm flipH="1">
            <a:off x="933449" y="2094404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2" name="Straight Connector 1811">
            <a:extLst>
              <a:ext uri="{FF2B5EF4-FFF2-40B4-BE49-F238E27FC236}">
                <a16:creationId xmlns:a16="http://schemas.microsoft.com/office/drawing/2014/main" id="{E7254CE1-02AB-4D3F-3223-C8CFF95AD13C}"/>
              </a:ext>
            </a:extLst>
          </xdr:cNvPr>
          <xdr:cNvCxnSpPr/>
        </xdr:nvCxnSpPr>
        <xdr:spPr>
          <a:xfrm>
            <a:off x="3562349" y="209349975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3" name="Straight Connector 1812">
            <a:extLst>
              <a:ext uri="{FF2B5EF4-FFF2-40B4-BE49-F238E27FC236}">
                <a16:creationId xmlns:a16="http://schemas.microsoft.com/office/drawing/2014/main" id="{052B4B5C-555F-E6C8-6D6C-35A20EA4054B}"/>
              </a:ext>
            </a:extLst>
          </xdr:cNvPr>
          <xdr:cNvCxnSpPr/>
        </xdr:nvCxnSpPr>
        <xdr:spPr>
          <a:xfrm flipH="1">
            <a:off x="3524248" y="2094404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4" name="Straight Arrow Connector 1813">
            <a:extLst>
              <a:ext uri="{FF2B5EF4-FFF2-40B4-BE49-F238E27FC236}">
                <a16:creationId xmlns:a16="http://schemas.microsoft.com/office/drawing/2014/main" id="{9A0B9187-A1F6-B730-9AFA-09C62E40CE7F}"/>
              </a:ext>
            </a:extLst>
          </xdr:cNvPr>
          <xdr:cNvCxnSpPr/>
        </xdr:nvCxnSpPr>
        <xdr:spPr>
          <a:xfrm>
            <a:off x="981075" y="209111850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15" name="Arc 1814">
            <a:extLst>
              <a:ext uri="{FF2B5EF4-FFF2-40B4-BE49-F238E27FC236}">
                <a16:creationId xmlns:a16="http://schemas.microsoft.com/office/drawing/2014/main" id="{C4097ECD-BD69-AAE7-557D-CF9F232F1FF2}"/>
              </a:ext>
            </a:extLst>
          </xdr:cNvPr>
          <xdr:cNvSpPr/>
        </xdr:nvSpPr>
        <xdr:spPr>
          <a:xfrm rot="2590035">
            <a:off x="3305175" y="208521300"/>
            <a:ext cx="558924" cy="558924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61" name="Straight Connector 1860">
            <a:extLst>
              <a:ext uri="{FF2B5EF4-FFF2-40B4-BE49-F238E27FC236}">
                <a16:creationId xmlns:a16="http://schemas.microsoft.com/office/drawing/2014/main" id="{57589BBD-2625-468E-8DF5-8D91311C0CE0}"/>
              </a:ext>
            </a:extLst>
          </xdr:cNvPr>
          <xdr:cNvCxnSpPr/>
        </xdr:nvCxnSpPr>
        <xdr:spPr>
          <a:xfrm>
            <a:off x="971552" y="208521296"/>
            <a:ext cx="2595561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2" name="Straight Arrow Connector 1861">
            <a:extLst>
              <a:ext uri="{FF2B5EF4-FFF2-40B4-BE49-F238E27FC236}">
                <a16:creationId xmlns:a16="http://schemas.microsoft.com/office/drawing/2014/main" id="{06343A24-8E5A-4BAF-AE3D-CBD97FE68080}"/>
              </a:ext>
            </a:extLst>
          </xdr:cNvPr>
          <xdr:cNvCxnSpPr/>
        </xdr:nvCxnSpPr>
        <xdr:spPr>
          <a:xfrm>
            <a:off x="1133483" y="20852605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3" name="Straight Arrow Connector 1862">
            <a:extLst>
              <a:ext uri="{FF2B5EF4-FFF2-40B4-BE49-F238E27FC236}">
                <a16:creationId xmlns:a16="http://schemas.microsoft.com/office/drawing/2014/main" id="{1D4F4A1D-0655-41E2-B06B-A34760F23CBF}"/>
              </a:ext>
            </a:extLst>
          </xdr:cNvPr>
          <xdr:cNvCxnSpPr/>
        </xdr:nvCxnSpPr>
        <xdr:spPr>
          <a:xfrm>
            <a:off x="1295408" y="20853082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4" name="Straight Arrow Connector 1863">
            <a:extLst>
              <a:ext uri="{FF2B5EF4-FFF2-40B4-BE49-F238E27FC236}">
                <a16:creationId xmlns:a16="http://schemas.microsoft.com/office/drawing/2014/main" id="{078AA0A7-1965-4C49-AE3D-36EB66DABCB1}"/>
              </a:ext>
            </a:extLst>
          </xdr:cNvPr>
          <xdr:cNvCxnSpPr/>
        </xdr:nvCxnSpPr>
        <xdr:spPr>
          <a:xfrm>
            <a:off x="1457333" y="208530821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5" name="Straight Arrow Connector 1864">
            <a:extLst>
              <a:ext uri="{FF2B5EF4-FFF2-40B4-BE49-F238E27FC236}">
                <a16:creationId xmlns:a16="http://schemas.microsoft.com/office/drawing/2014/main" id="{5A9AB132-5545-490B-A232-812DD2D75A13}"/>
              </a:ext>
            </a:extLst>
          </xdr:cNvPr>
          <xdr:cNvCxnSpPr/>
        </xdr:nvCxnSpPr>
        <xdr:spPr>
          <a:xfrm>
            <a:off x="1619258" y="20852605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6" name="Straight Arrow Connector 1865">
            <a:extLst>
              <a:ext uri="{FF2B5EF4-FFF2-40B4-BE49-F238E27FC236}">
                <a16:creationId xmlns:a16="http://schemas.microsoft.com/office/drawing/2014/main" id="{958301DB-385D-47F4-866C-760ADAFBEF2C}"/>
              </a:ext>
            </a:extLst>
          </xdr:cNvPr>
          <xdr:cNvCxnSpPr/>
        </xdr:nvCxnSpPr>
        <xdr:spPr>
          <a:xfrm>
            <a:off x="1781183" y="208530821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7" name="Straight Connector 1866">
            <a:extLst>
              <a:ext uri="{FF2B5EF4-FFF2-40B4-BE49-F238E27FC236}">
                <a16:creationId xmlns:a16="http://schemas.microsoft.com/office/drawing/2014/main" id="{A2600570-ACE5-4D45-9DC3-A0A8AF0AE140}"/>
              </a:ext>
            </a:extLst>
          </xdr:cNvPr>
          <xdr:cNvCxnSpPr/>
        </xdr:nvCxnSpPr>
        <xdr:spPr>
          <a:xfrm>
            <a:off x="2176471" y="208449861"/>
            <a:ext cx="85725" cy="12382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9" name="Straight Arrow Connector 1868">
            <a:extLst>
              <a:ext uri="{FF2B5EF4-FFF2-40B4-BE49-F238E27FC236}">
                <a16:creationId xmlns:a16="http://schemas.microsoft.com/office/drawing/2014/main" id="{A4767298-E6C5-4402-B711-9A227CACF5CD}"/>
              </a:ext>
            </a:extLst>
          </xdr:cNvPr>
          <xdr:cNvCxnSpPr/>
        </xdr:nvCxnSpPr>
        <xdr:spPr>
          <a:xfrm>
            <a:off x="1943105" y="20852129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0" name="Straight Arrow Connector 1869">
            <a:extLst>
              <a:ext uri="{FF2B5EF4-FFF2-40B4-BE49-F238E27FC236}">
                <a16:creationId xmlns:a16="http://schemas.microsoft.com/office/drawing/2014/main" id="{FA35914F-F095-422E-A602-907A51F66FF4}"/>
              </a:ext>
            </a:extLst>
          </xdr:cNvPr>
          <xdr:cNvCxnSpPr/>
        </xdr:nvCxnSpPr>
        <xdr:spPr>
          <a:xfrm>
            <a:off x="2105030" y="208526059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1" name="Straight Arrow Connector 1870">
            <a:extLst>
              <a:ext uri="{FF2B5EF4-FFF2-40B4-BE49-F238E27FC236}">
                <a16:creationId xmlns:a16="http://schemas.microsoft.com/office/drawing/2014/main" id="{41EBED45-13CE-4563-8727-99D3E6E181BC}"/>
              </a:ext>
            </a:extLst>
          </xdr:cNvPr>
          <xdr:cNvCxnSpPr/>
        </xdr:nvCxnSpPr>
        <xdr:spPr>
          <a:xfrm>
            <a:off x="2266955" y="20852606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2" name="Straight Arrow Connector 1871">
            <a:extLst>
              <a:ext uri="{FF2B5EF4-FFF2-40B4-BE49-F238E27FC236}">
                <a16:creationId xmlns:a16="http://schemas.microsoft.com/office/drawing/2014/main" id="{CA83F251-BA35-4869-97B3-41B84AD82C2D}"/>
              </a:ext>
            </a:extLst>
          </xdr:cNvPr>
          <xdr:cNvCxnSpPr/>
        </xdr:nvCxnSpPr>
        <xdr:spPr>
          <a:xfrm>
            <a:off x="2428880" y="20852129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3" name="Straight Arrow Connector 1872">
            <a:extLst>
              <a:ext uri="{FF2B5EF4-FFF2-40B4-BE49-F238E27FC236}">
                <a16:creationId xmlns:a16="http://schemas.microsoft.com/office/drawing/2014/main" id="{4DEAFC30-6B42-426E-B32F-9665C512ECC1}"/>
              </a:ext>
            </a:extLst>
          </xdr:cNvPr>
          <xdr:cNvCxnSpPr/>
        </xdr:nvCxnSpPr>
        <xdr:spPr>
          <a:xfrm>
            <a:off x="2590805" y="20852606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6" name="Straight Arrow Connector 1875">
            <a:extLst>
              <a:ext uri="{FF2B5EF4-FFF2-40B4-BE49-F238E27FC236}">
                <a16:creationId xmlns:a16="http://schemas.microsoft.com/office/drawing/2014/main" id="{B5C129A8-7516-4B27-8E70-2F00573A7ADF}"/>
              </a:ext>
            </a:extLst>
          </xdr:cNvPr>
          <xdr:cNvCxnSpPr/>
        </xdr:nvCxnSpPr>
        <xdr:spPr>
          <a:xfrm>
            <a:off x="2752730" y="208526059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7" name="Straight Arrow Connector 1876">
            <a:extLst>
              <a:ext uri="{FF2B5EF4-FFF2-40B4-BE49-F238E27FC236}">
                <a16:creationId xmlns:a16="http://schemas.microsoft.com/office/drawing/2014/main" id="{049C3ADC-1768-40A0-BEF6-B4E661AF5078}"/>
              </a:ext>
            </a:extLst>
          </xdr:cNvPr>
          <xdr:cNvCxnSpPr/>
        </xdr:nvCxnSpPr>
        <xdr:spPr>
          <a:xfrm>
            <a:off x="2914655" y="20852606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8" name="Straight Arrow Connector 1877">
            <a:extLst>
              <a:ext uri="{FF2B5EF4-FFF2-40B4-BE49-F238E27FC236}">
                <a16:creationId xmlns:a16="http://schemas.microsoft.com/office/drawing/2014/main" id="{6DFF5D55-7CFF-4074-A9EE-2996930F855A}"/>
              </a:ext>
            </a:extLst>
          </xdr:cNvPr>
          <xdr:cNvCxnSpPr/>
        </xdr:nvCxnSpPr>
        <xdr:spPr>
          <a:xfrm>
            <a:off x="3076580" y="20852129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9" name="Straight Arrow Connector 1878">
            <a:extLst>
              <a:ext uri="{FF2B5EF4-FFF2-40B4-BE49-F238E27FC236}">
                <a16:creationId xmlns:a16="http://schemas.microsoft.com/office/drawing/2014/main" id="{7CC39C02-EBAA-4978-BBEA-555DC4C97109}"/>
              </a:ext>
            </a:extLst>
          </xdr:cNvPr>
          <xdr:cNvCxnSpPr/>
        </xdr:nvCxnSpPr>
        <xdr:spPr>
          <a:xfrm>
            <a:off x="3238505" y="20852606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0" name="Straight Arrow Connector 1879">
            <a:extLst>
              <a:ext uri="{FF2B5EF4-FFF2-40B4-BE49-F238E27FC236}">
                <a16:creationId xmlns:a16="http://schemas.microsoft.com/office/drawing/2014/main" id="{EB518124-BDAA-4FBD-8DA3-07929DB4F615}"/>
              </a:ext>
            </a:extLst>
          </xdr:cNvPr>
          <xdr:cNvCxnSpPr/>
        </xdr:nvCxnSpPr>
        <xdr:spPr>
          <a:xfrm>
            <a:off x="3400440" y="20852605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57150</xdr:colOff>
      <xdr:row>1492</xdr:row>
      <xdr:rowOff>66675</xdr:rowOff>
    </xdr:from>
    <xdr:to>
      <xdr:col>8</xdr:col>
      <xdr:colOff>109537</xdr:colOff>
      <xdr:row>1492</xdr:row>
      <xdr:rowOff>66675</xdr:rowOff>
    </xdr:to>
    <xdr:cxnSp macro="">
      <xdr:nvCxnSpPr>
        <xdr:cNvPr id="1859" name="Straight Arrow Connector 1858">
          <a:extLst>
            <a:ext uri="{FF2B5EF4-FFF2-40B4-BE49-F238E27FC236}">
              <a16:creationId xmlns:a16="http://schemas.microsoft.com/office/drawing/2014/main" id="{9D255F3E-3FE0-4656-80E8-40D22A454BEC}"/>
            </a:ext>
          </a:extLst>
        </xdr:cNvPr>
        <xdr:cNvCxnSpPr/>
      </xdr:nvCxnSpPr>
      <xdr:spPr>
        <a:xfrm>
          <a:off x="1514475" y="567499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1491</xdr:row>
      <xdr:rowOff>66675</xdr:rowOff>
    </xdr:from>
    <xdr:to>
      <xdr:col>8</xdr:col>
      <xdr:colOff>109537</xdr:colOff>
      <xdr:row>1491</xdr:row>
      <xdr:rowOff>66675</xdr:rowOff>
    </xdr:to>
    <xdr:cxnSp macro="">
      <xdr:nvCxnSpPr>
        <xdr:cNvPr id="1860" name="Straight Arrow Connector 1859">
          <a:extLst>
            <a:ext uri="{FF2B5EF4-FFF2-40B4-BE49-F238E27FC236}">
              <a16:creationId xmlns:a16="http://schemas.microsoft.com/office/drawing/2014/main" id="{5067C645-BD26-4967-907C-1BA62528FE9C}"/>
            </a:ext>
          </a:extLst>
        </xdr:cNvPr>
        <xdr:cNvCxnSpPr/>
      </xdr:nvCxnSpPr>
      <xdr:spPr>
        <a:xfrm>
          <a:off x="1514475" y="568928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1491</xdr:row>
      <xdr:rowOff>66675</xdr:rowOff>
    </xdr:from>
    <xdr:to>
      <xdr:col>26</xdr:col>
      <xdr:colOff>109537</xdr:colOff>
      <xdr:row>1491</xdr:row>
      <xdr:rowOff>66675</xdr:rowOff>
    </xdr:to>
    <xdr:cxnSp macro="">
      <xdr:nvCxnSpPr>
        <xdr:cNvPr id="1868" name="Straight Arrow Connector 1867">
          <a:extLst>
            <a:ext uri="{FF2B5EF4-FFF2-40B4-BE49-F238E27FC236}">
              <a16:creationId xmlns:a16="http://schemas.microsoft.com/office/drawing/2014/main" id="{5F787D7C-BBD8-48CE-A4EF-51BE6E46C252}"/>
            </a:ext>
          </a:extLst>
        </xdr:cNvPr>
        <xdr:cNvCxnSpPr/>
      </xdr:nvCxnSpPr>
      <xdr:spPr>
        <a:xfrm>
          <a:off x="1190625" y="2107787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57150</xdr:colOff>
      <xdr:row>1492</xdr:row>
      <xdr:rowOff>66675</xdr:rowOff>
    </xdr:from>
    <xdr:to>
      <xdr:col>32</xdr:col>
      <xdr:colOff>109537</xdr:colOff>
      <xdr:row>1492</xdr:row>
      <xdr:rowOff>66675</xdr:rowOff>
    </xdr:to>
    <xdr:cxnSp macro="">
      <xdr:nvCxnSpPr>
        <xdr:cNvPr id="1874" name="Straight Arrow Connector 1873">
          <a:extLst>
            <a:ext uri="{FF2B5EF4-FFF2-40B4-BE49-F238E27FC236}">
              <a16:creationId xmlns:a16="http://schemas.microsoft.com/office/drawing/2014/main" id="{2DF1A0C1-6E36-4175-8F76-051A8CD4BAB9}"/>
            </a:ext>
          </a:extLst>
        </xdr:cNvPr>
        <xdr:cNvCxnSpPr/>
      </xdr:nvCxnSpPr>
      <xdr:spPr>
        <a:xfrm>
          <a:off x="4105275" y="2107787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85725</xdr:colOff>
      <xdr:row>1458</xdr:row>
      <xdr:rowOff>76200</xdr:rowOff>
    </xdr:from>
    <xdr:to>
      <xdr:col>56</xdr:col>
      <xdr:colOff>119063</xdr:colOff>
      <xdr:row>1472</xdr:row>
      <xdr:rowOff>95250</xdr:rowOff>
    </xdr:to>
    <xdr:grpSp>
      <xdr:nvGrpSpPr>
        <xdr:cNvPr id="1896" name="Group 1895">
          <a:extLst>
            <a:ext uri="{FF2B5EF4-FFF2-40B4-BE49-F238E27FC236}">
              <a16:creationId xmlns:a16="http://schemas.microsoft.com/office/drawing/2014/main" id="{1991D9F5-2E01-6E26-3CF7-FFF2C3D810A5}"/>
            </a:ext>
          </a:extLst>
        </xdr:cNvPr>
        <xdr:cNvGrpSpPr/>
      </xdr:nvGrpSpPr>
      <xdr:grpSpPr>
        <a:xfrm>
          <a:off x="6238875" y="219551250"/>
          <a:ext cx="2947988" cy="2019300"/>
          <a:chOff x="6238875" y="207978375"/>
          <a:chExt cx="2947988" cy="2019300"/>
        </a:xfrm>
      </xdr:grpSpPr>
      <xdr:sp macro="" textlink="">
        <xdr:nvSpPr>
          <xdr:cNvPr id="1816" name="Freeform: Shape 1815">
            <a:extLst>
              <a:ext uri="{FF2B5EF4-FFF2-40B4-BE49-F238E27FC236}">
                <a16:creationId xmlns:a16="http://schemas.microsoft.com/office/drawing/2014/main" id="{585D03E2-A0BA-A896-6F5E-02474EF45287}"/>
              </a:ext>
            </a:extLst>
          </xdr:cNvPr>
          <xdr:cNvSpPr/>
        </xdr:nvSpPr>
        <xdr:spPr>
          <a:xfrm>
            <a:off x="6638925" y="208049813"/>
            <a:ext cx="2109788" cy="995362"/>
          </a:xfrm>
          <a:custGeom>
            <a:avLst/>
            <a:gdLst>
              <a:gd name="connsiteX0" fmla="*/ 2109788 w 2109788"/>
              <a:gd name="connsiteY0" fmla="*/ 276225 h 995362"/>
              <a:gd name="connsiteX1" fmla="*/ 1781175 w 2109788"/>
              <a:gd name="connsiteY1" fmla="*/ 0 h 995362"/>
              <a:gd name="connsiteX2" fmla="*/ 0 w 2109788"/>
              <a:gd name="connsiteY2" fmla="*/ 995362 h 995362"/>
              <a:gd name="connsiteX3" fmla="*/ 2109788 w 2109788"/>
              <a:gd name="connsiteY3" fmla="*/ 276225 h 9953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109788" h="995362">
                <a:moveTo>
                  <a:pt x="2109788" y="276225"/>
                </a:moveTo>
                <a:lnTo>
                  <a:pt x="1781175" y="0"/>
                </a:lnTo>
                <a:lnTo>
                  <a:pt x="0" y="995362"/>
                </a:lnTo>
                <a:lnTo>
                  <a:pt x="2109788" y="276225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17" name="Freeform: Shape 1816">
            <a:extLst>
              <a:ext uri="{FF2B5EF4-FFF2-40B4-BE49-F238E27FC236}">
                <a16:creationId xmlns:a16="http://schemas.microsoft.com/office/drawing/2014/main" id="{68A98042-9045-1B33-521C-544E10DFC70B}"/>
              </a:ext>
            </a:extLst>
          </xdr:cNvPr>
          <xdr:cNvSpPr/>
        </xdr:nvSpPr>
        <xdr:spPr>
          <a:xfrm>
            <a:off x="6634163" y="208330800"/>
            <a:ext cx="2109787" cy="1000125"/>
          </a:xfrm>
          <a:custGeom>
            <a:avLst/>
            <a:gdLst>
              <a:gd name="connsiteX0" fmla="*/ 0 w 2109787"/>
              <a:gd name="connsiteY0" fmla="*/ 719138 h 1000125"/>
              <a:gd name="connsiteX1" fmla="*/ 0 w 2109787"/>
              <a:gd name="connsiteY1" fmla="*/ 1000125 h 1000125"/>
              <a:gd name="connsiteX2" fmla="*/ 2109787 w 2109787"/>
              <a:gd name="connsiteY2" fmla="*/ 285750 h 1000125"/>
              <a:gd name="connsiteX3" fmla="*/ 2109787 w 2109787"/>
              <a:gd name="connsiteY3" fmla="*/ 0 h 1000125"/>
              <a:gd name="connsiteX4" fmla="*/ 0 w 2109787"/>
              <a:gd name="connsiteY4" fmla="*/ 719138 h 10001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109787" h="1000125">
                <a:moveTo>
                  <a:pt x="0" y="719138"/>
                </a:moveTo>
                <a:lnTo>
                  <a:pt x="0" y="1000125"/>
                </a:lnTo>
                <a:lnTo>
                  <a:pt x="2109787" y="285750"/>
                </a:lnTo>
                <a:lnTo>
                  <a:pt x="2109787" y="0"/>
                </a:lnTo>
                <a:lnTo>
                  <a:pt x="0" y="719138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819" name="Straight Connector 1818">
            <a:extLst>
              <a:ext uri="{FF2B5EF4-FFF2-40B4-BE49-F238E27FC236}">
                <a16:creationId xmlns:a16="http://schemas.microsoft.com/office/drawing/2014/main" id="{C16884E4-BC51-26AC-FBBB-F09490696D92}"/>
              </a:ext>
            </a:extLst>
          </xdr:cNvPr>
          <xdr:cNvCxnSpPr/>
        </xdr:nvCxnSpPr>
        <xdr:spPr>
          <a:xfrm>
            <a:off x="8424862" y="208049813"/>
            <a:ext cx="0" cy="31908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1" name="Straight Connector 1820">
            <a:extLst>
              <a:ext uri="{FF2B5EF4-FFF2-40B4-BE49-F238E27FC236}">
                <a16:creationId xmlns:a16="http://schemas.microsoft.com/office/drawing/2014/main" id="{8F3A2A76-B293-D748-F70C-B1B778A97D3D}"/>
              </a:ext>
            </a:extLst>
          </xdr:cNvPr>
          <xdr:cNvCxnSpPr/>
        </xdr:nvCxnSpPr>
        <xdr:spPr>
          <a:xfrm flipH="1" flipV="1">
            <a:off x="8420100" y="208350844"/>
            <a:ext cx="323851" cy="27046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4" name="Straight Connector 1823">
            <a:extLst>
              <a:ext uri="{FF2B5EF4-FFF2-40B4-BE49-F238E27FC236}">
                <a16:creationId xmlns:a16="http://schemas.microsoft.com/office/drawing/2014/main" id="{1D2C3F23-66A5-D9A3-C7C8-41C8573C0F63}"/>
              </a:ext>
            </a:extLst>
          </xdr:cNvPr>
          <xdr:cNvCxnSpPr>
            <a:endCxn id="1817" idx="1"/>
          </xdr:cNvCxnSpPr>
        </xdr:nvCxnSpPr>
        <xdr:spPr>
          <a:xfrm flipH="1">
            <a:off x="6634163" y="208359375"/>
            <a:ext cx="1790700" cy="97155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9" name="Straight Connector 1828">
            <a:extLst>
              <a:ext uri="{FF2B5EF4-FFF2-40B4-BE49-F238E27FC236}">
                <a16:creationId xmlns:a16="http://schemas.microsoft.com/office/drawing/2014/main" id="{20A89186-AB67-4D31-B331-A879E5B48FC6}"/>
              </a:ext>
            </a:extLst>
          </xdr:cNvPr>
          <xdr:cNvCxnSpPr/>
        </xdr:nvCxnSpPr>
        <xdr:spPr>
          <a:xfrm flipH="1" flipV="1">
            <a:off x="8677275" y="207978375"/>
            <a:ext cx="501817" cy="419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4" name="Straight Connector 1833">
            <a:extLst>
              <a:ext uri="{FF2B5EF4-FFF2-40B4-BE49-F238E27FC236}">
                <a16:creationId xmlns:a16="http://schemas.microsoft.com/office/drawing/2014/main" id="{4BFD7980-539B-E336-B4DE-AF2A3E603288}"/>
              </a:ext>
            </a:extLst>
          </xdr:cNvPr>
          <xdr:cNvCxnSpPr/>
        </xdr:nvCxnSpPr>
        <xdr:spPr>
          <a:xfrm>
            <a:off x="8801100" y="208330800"/>
            <a:ext cx="385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7" name="Straight Connector 1836">
            <a:extLst>
              <a:ext uri="{FF2B5EF4-FFF2-40B4-BE49-F238E27FC236}">
                <a16:creationId xmlns:a16="http://schemas.microsoft.com/office/drawing/2014/main" id="{5257DD2E-C2C1-F02B-71BF-14A8C14C189E}"/>
              </a:ext>
            </a:extLst>
          </xdr:cNvPr>
          <xdr:cNvCxnSpPr/>
        </xdr:nvCxnSpPr>
        <xdr:spPr>
          <a:xfrm>
            <a:off x="8505825" y="208045050"/>
            <a:ext cx="361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2" name="Straight Connector 1841">
            <a:extLst>
              <a:ext uri="{FF2B5EF4-FFF2-40B4-BE49-F238E27FC236}">
                <a16:creationId xmlns:a16="http://schemas.microsoft.com/office/drawing/2014/main" id="{B7E72B01-DC96-B837-C2FF-6E82CD18FBCB}"/>
              </a:ext>
            </a:extLst>
          </xdr:cNvPr>
          <xdr:cNvCxnSpPr/>
        </xdr:nvCxnSpPr>
        <xdr:spPr>
          <a:xfrm flipH="1">
            <a:off x="8734425" y="207997425"/>
            <a:ext cx="476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3" name="Straight Connector 1842">
            <a:extLst>
              <a:ext uri="{FF2B5EF4-FFF2-40B4-BE49-F238E27FC236}">
                <a16:creationId xmlns:a16="http://schemas.microsoft.com/office/drawing/2014/main" id="{B2D5E5E2-FAE7-42DC-816A-F15925834C54}"/>
              </a:ext>
            </a:extLst>
          </xdr:cNvPr>
          <xdr:cNvCxnSpPr/>
        </xdr:nvCxnSpPr>
        <xdr:spPr>
          <a:xfrm flipH="1">
            <a:off x="9072563" y="208283175"/>
            <a:ext cx="476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5" name="Straight Connector 1844">
            <a:extLst>
              <a:ext uri="{FF2B5EF4-FFF2-40B4-BE49-F238E27FC236}">
                <a16:creationId xmlns:a16="http://schemas.microsoft.com/office/drawing/2014/main" id="{01BDE150-EA5D-4CB0-E36E-BA223658E065}"/>
              </a:ext>
            </a:extLst>
          </xdr:cNvPr>
          <xdr:cNvCxnSpPr/>
        </xdr:nvCxnSpPr>
        <xdr:spPr>
          <a:xfrm>
            <a:off x="9096374" y="208254602"/>
            <a:ext cx="0" cy="4238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6" name="Straight Connector 1845">
            <a:extLst>
              <a:ext uri="{FF2B5EF4-FFF2-40B4-BE49-F238E27FC236}">
                <a16:creationId xmlns:a16="http://schemas.microsoft.com/office/drawing/2014/main" id="{C066BBCC-9E05-47D8-A7DE-D07C0A3C414B}"/>
              </a:ext>
            </a:extLst>
          </xdr:cNvPr>
          <xdr:cNvCxnSpPr/>
        </xdr:nvCxnSpPr>
        <xdr:spPr>
          <a:xfrm>
            <a:off x="8782049" y="208616551"/>
            <a:ext cx="3905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1" name="Straight Connector 1850">
            <a:extLst>
              <a:ext uri="{FF2B5EF4-FFF2-40B4-BE49-F238E27FC236}">
                <a16:creationId xmlns:a16="http://schemas.microsoft.com/office/drawing/2014/main" id="{A8FFE99A-ABEC-5779-5F9B-1D6259EAA2BC}"/>
              </a:ext>
            </a:extLst>
          </xdr:cNvPr>
          <xdr:cNvCxnSpPr/>
        </xdr:nvCxnSpPr>
        <xdr:spPr>
          <a:xfrm flipH="1">
            <a:off x="9053512" y="20857845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4" name="Straight Connector 1853">
            <a:extLst>
              <a:ext uri="{FF2B5EF4-FFF2-40B4-BE49-F238E27FC236}">
                <a16:creationId xmlns:a16="http://schemas.microsoft.com/office/drawing/2014/main" id="{EB352DA0-2482-4A37-B829-E7E3292F1699}"/>
              </a:ext>
            </a:extLst>
          </xdr:cNvPr>
          <xdr:cNvCxnSpPr/>
        </xdr:nvCxnSpPr>
        <xdr:spPr>
          <a:xfrm>
            <a:off x="6243638" y="209045173"/>
            <a:ext cx="3524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5" name="Straight Connector 1854">
            <a:extLst>
              <a:ext uri="{FF2B5EF4-FFF2-40B4-BE49-F238E27FC236}">
                <a16:creationId xmlns:a16="http://schemas.microsoft.com/office/drawing/2014/main" id="{B2366371-2C6F-4934-AE85-63CFA7135524}"/>
              </a:ext>
            </a:extLst>
          </xdr:cNvPr>
          <xdr:cNvCxnSpPr/>
        </xdr:nvCxnSpPr>
        <xdr:spPr>
          <a:xfrm>
            <a:off x="6315075" y="208983259"/>
            <a:ext cx="0" cy="4238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6" name="Straight Connector 1855">
            <a:extLst>
              <a:ext uri="{FF2B5EF4-FFF2-40B4-BE49-F238E27FC236}">
                <a16:creationId xmlns:a16="http://schemas.microsoft.com/office/drawing/2014/main" id="{EC3644FA-C734-43EF-8CE2-3D6BEE7826FB}"/>
              </a:ext>
            </a:extLst>
          </xdr:cNvPr>
          <xdr:cNvCxnSpPr/>
        </xdr:nvCxnSpPr>
        <xdr:spPr>
          <a:xfrm>
            <a:off x="6238875" y="209330924"/>
            <a:ext cx="3714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7" name="Straight Connector 1856">
            <a:extLst>
              <a:ext uri="{FF2B5EF4-FFF2-40B4-BE49-F238E27FC236}">
                <a16:creationId xmlns:a16="http://schemas.microsoft.com/office/drawing/2014/main" id="{41BE834F-9410-4EDA-A895-3B2BF99E2330}"/>
              </a:ext>
            </a:extLst>
          </xdr:cNvPr>
          <xdr:cNvCxnSpPr/>
        </xdr:nvCxnSpPr>
        <xdr:spPr>
          <a:xfrm flipH="1">
            <a:off x="6272213" y="209292825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8" name="Straight Connector 1857">
            <a:extLst>
              <a:ext uri="{FF2B5EF4-FFF2-40B4-BE49-F238E27FC236}">
                <a16:creationId xmlns:a16="http://schemas.microsoft.com/office/drawing/2014/main" id="{BE78DE6C-6AD9-46B4-8A0B-E52D7CEF2B82}"/>
              </a:ext>
            </a:extLst>
          </xdr:cNvPr>
          <xdr:cNvCxnSpPr/>
        </xdr:nvCxnSpPr>
        <xdr:spPr>
          <a:xfrm flipH="1">
            <a:off x="6272212" y="209007075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2" name="Straight Connector 1881">
            <a:extLst>
              <a:ext uri="{FF2B5EF4-FFF2-40B4-BE49-F238E27FC236}">
                <a16:creationId xmlns:a16="http://schemas.microsoft.com/office/drawing/2014/main" id="{E208578D-B592-41EF-8234-0E7A496DDE95}"/>
              </a:ext>
            </a:extLst>
          </xdr:cNvPr>
          <xdr:cNvCxnSpPr/>
        </xdr:nvCxnSpPr>
        <xdr:spPr>
          <a:xfrm flipH="1" flipV="1">
            <a:off x="6667500" y="209407125"/>
            <a:ext cx="707106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6" name="Straight Connector 1885">
            <a:extLst>
              <a:ext uri="{FF2B5EF4-FFF2-40B4-BE49-F238E27FC236}">
                <a16:creationId xmlns:a16="http://schemas.microsoft.com/office/drawing/2014/main" id="{7C149E6F-427F-C373-4A4E-13221C4DBC74}"/>
              </a:ext>
            </a:extLst>
          </xdr:cNvPr>
          <xdr:cNvCxnSpPr/>
        </xdr:nvCxnSpPr>
        <xdr:spPr>
          <a:xfrm flipH="1">
            <a:off x="7205203" y="208787742"/>
            <a:ext cx="1848466" cy="120040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7" name="Straight Connector 1886">
            <a:extLst>
              <a:ext uri="{FF2B5EF4-FFF2-40B4-BE49-F238E27FC236}">
                <a16:creationId xmlns:a16="http://schemas.microsoft.com/office/drawing/2014/main" id="{FCD857D6-ECF0-4FE8-ADAD-F09A4562FE53}"/>
              </a:ext>
            </a:extLst>
          </xdr:cNvPr>
          <xdr:cNvCxnSpPr/>
        </xdr:nvCxnSpPr>
        <xdr:spPr>
          <a:xfrm flipH="1" flipV="1">
            <a:off x="8791575" y="208673700"/>
            <a:ext cx="273718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4" name="Straight Connector 1893">
            <a:extLst>
              <a:ext uri="{FF2B5EF4-FFF2-40B4-BE49-F238E27FC236}">
                <a16:creationId xmlns:a16="http://schemas.microsoft.com/office/drawing/2014/main" id="{C44576F2-0FA9-0D88-4412-1DF03066F46B}"/>
              </a:ext>
            </a:extLst>
          </xdr:cNvPr>
          <xdr:cNvCxnSpPr/>
        </xdr:nvCxnSpPr>
        <xdr:spPr>
          <a:xfrm>
            <a:off x="8982075" y="208778475"/>
            <a:ext cx="4763" cy="119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5" name="Straight Connector 1894">
            <a:extLst>
              <a:ext uri="{FF2B5EF4-FFF2-40B4-BE49-F238E27FC236}">
                <a16:creationId xmlns:a16="http://schemas.microsoft.com/office/drawing/2014/main" id="{B9AB3847-C4FB-447A-BBCB-007A47C12207}"/>
              </a:ext>
            </a:extLst>
          </xdr:cNvPr>
          <xdr:cNvCxnSpPr/>
        </xdr:nvCxnSpPr>
        <xdr:spPr>
          <a:xfrm>
            <a:off x="7291388" y="209869086"/>
            <a:ext cx="4763" cy="119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51</xdr:col>
      <xdr:colOff>95250</xdr:colOff>
      <xdr:row>1506</xdr:row>
      <xdr:rowOff>71438</xdr:rowOff>
    </xdr:from>
    <xdr:to>
      <xdr:col>56</xdr:col>
      <xdr:colOff>61913</xdr:colOff>
      <xdr:row>1512</xdr:row>
      <xdr:rowOff>71438</xdr:rowOff>
    </xdr:to>
    <xdr:grpSp>
      <xdr:nvGrpSpPr>
        <xdr:cNvPr id="1875" name="Group 1874">
          <a:extLst>
            <a:ext uri="{FF2B5EF4-FFF2-40B4-BE49-F238E27FC236}">
              <a16:creationId xmlns:a16="http://schemas.microsoft.com/office/drawing/2014/main" id="{CFFDA09E-8417-4CB1-A498-479AD902EE0A}"/>
            </a:ext>
          </a:extLst>
        </xdr:cNvPr>
        <xdr:cNvGrpSpPr/>
      </xdr:nvGrpSpPr>
      <xdr:grpSpPr>
        <a:xfrm>
          <a:off x="8353425" y="226890263"/>
          <a:ext cx="776288" cy="857250"/>
          <a:chOff x="8029575" y="182227538"/>
          <a:chExt cx="776288" cy="857250"/>
        </a:xfrm>
      </xdr:grpSpPr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BCA52D6F-759F-DB66-9A16-777F3E68A4F0}"/>
              </a:ext>
            </a:extLst>
          </xdr:cNvPr>
          <xdr:cNvSpPr/>
        </xdr:nvSpPr>
        <xdr:spPr>
          <a:xfrm>
            <a:off x="8096250" y="182303738"/>
            <a:ext cx="323850" cy="42386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885" name="Straight Connector 1884">
            <a:extLst>
              <a:ext uri="{FF2B5EF4-FFF2-40B4-BE49-F238E27FC236}">
                <a16:creationId xmlns:a16="http://schemas.microsoft.com/office/drawing/2014/main" id="{2A312E81-04BE-4FA9-AF0D-D8534645C3C0}"/>
              </a:ext>
            </a:extLst>
          </xdr:cNvPr>
          <xdr:cNvCxnSpPr/>
        </xdr:nvCxnSpPr>
        <xdr:spPr>
          <a:xfrm>
            <a:off x="8096250" y="18279903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8" name="Straight Connector 1887">
            <a:extLst>
              <a:ext uri="{FF2B5EF4-FFF2-40B4-BE49-F238E27FC236}">
                <a16:creationId xmlns:a16="http://schemas.microsoft.com/office/drawing/2014/main" id="{8CC38D75-094E-DE89-0AE5-8375DFBFD995}"/>
              </a:ext>
            </a:extLst>
          </xdr:cNvPr>
          <xdr:cNvCxnSpPr/>
        </xdr:nvCxnSpPr>
        <xdr:spPr>
          <a:xfrm>
            <a:off x="8029575" y="183013350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9" name="Straight Connector 1888">
            <a:extLst>
              <a:ext uri="{FF2B5EF4-FFF2-40B4-BE49-F238E27FC236}">
                <a16:creationId xmlns:a16="http://schemas.microsoft.com/office/drawing/2014/main" id="{0B219D9A-665C-3AD0-4E92-013513245C58}"/>
              </a:ext>
            </a:extLst>
          </xdr:cNvPr>
          <xdr:cNvCxnSpPr/>
        </xdr:nvCxnSpPr>
        <xdr:spPr>
          <a:xfrm flipH="1">
            <a:off x="8062913" y="1829800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0" name="Straight Connector 1889">
            <a:extLst>
              <a:ext uri="{FF2B5EF4-FFF2-40B4-BE49-F238E27FC236}">
                <a16:creationId xmlns:a16="http://schemas.microsoft.com/office/drawing/2014/main" id="{2FE6FC4A-1E95-99C2-9EE7-B806E78D0905}"/>
              </a:ext>
            </a:extLst>
          </xdr:cNvPr>
          <xdr:cNvCxnSpPr/>
        </xdr:nvCxnSpPr>
        <xdr:spPr>
          <a:xfrm>
            <a:off x="8420100" y="18279903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1" name="Straight Connector 1890">
            <a:extLst>
              <a:ext uri="{FF2B5EF4-FFF2-40B4-BE49-F238E27FC236}">
                <a16:creationId xmlns:a16="http://schemas.microsoft.com/office/drawing/2014/main" id="{EC843F37-E14B-D119-D42E-F60BD2B50A8C}"/>
              </a:ext>
            </a:extLst>
          </xdr:cNvPr>
          <xdr:cNvCxnSpPr/>
        </xdr:nvCxnSpPr>
        <xdr:spPr>
          <a:xfrm flipH="1">
            <a:off x="8386763" y="1829800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2" name="Straight Connector 1891">
            <a:extLst>
              <a:ext uri="{FF2B5EF4-FFF2-40B4-BE49-F238E27FC236}">
                <a16:creationId xmlns:a16="http://schemas.microsoft.com/office/drawing/2014/main" id="{43BB6596-7A4D-CFE4-86D1-B8D2A6D869D6}"/>
              </a:ext>
            </a:extLst>
          </xdr:cNvPr>
          <xdr:cNvCxnSpPr/>
        </xdr:nvCxnSpPr>
        <xdr:spPr>
          <a:xfrm>
            <a:off x="8477247" y="182298976"/>
            <a:ext cx="3286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3" name="Straight Connector 1892">
            <a:extLst>
              <a:ext uri="{FF2B5EF4-FFF2-40B4-BE49-F238E27FC236}">
                <a16:creationId xmlns:a16="http://schemas.microsoft.com/office/drawing/2014/main" id="{15DAFA5D-5EA7-6A50-D0FC-4C7396F5C98C}"/>
              </a:ext>
            </a:extLst>
          </xdr:cNvPr>
          <xdr:cNvCxnSpPr/>
        </xdr:nvCxnSpPr>
        <xdr:spPr>
          <a:xfrm>
            <a:off x="8472488" y="182727601"/>
            <a:ext cx="328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8" name="Straight Connector 1897">
            <a:extLst>
              <a:ext uri="{FF2B5EF4-FFF2-40B4-BE49-F238E27FC236}">
                <a16:creationId xmlns:a16="http://schemas.microsoft.com/office/drawing/2014/main" id="{847EF072-13F9-72B7-EB19-7AEB5FB9CD0C}"/>
              </a:ext>
            </a:extLst>
          </xdr:cNvPr>
          <xdr:cNvCxnSpPr/>
        </xdr:nvCxnSpPr>
        <xdr:spPr>
          <a:xfrm>
            <a:off x="8743950" y="182227538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9" name="Straight Connector 1898">
            <a:extLst>
              <a:ext uri="{FF2B5EF4-FFF2-40B4-BE49-F238E27FC236}">
                <a16:creationId xmlns:a16="http://schemas.microsoft.com/office/drawing/2014/main" id="{B8BECDA6-56AD-CDE0-9284-AA23F45DBBFA}"/>
              </a:ext>
            </a:extLst>
          </xdr:cNvPr>
          <xdr:cNvCxnSpPr/>
        </xdr:nvCxnSpPr>
        <xdr:spPr>
          <a:xfrm flipH="1">
            <a:off x="8710608" y="18226564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0" name="Straight Connector 1899">
            <a:extLst>
              <a:ext uri="{FF2B5EF4-FFF2-40B4-BE49-F238E27FC236}">
                <a16:creationId xmlns:a16="http://schemas.microsoft.com/office/drawing/2014/main" id="{C7029A5F-677F-9481-0BE3-102A34B50BEE}"/>
              </a:ext>
            </a:extLst>
          </xdr:cNvPr>
          <xdr:cNvCxnSpPr/>
        </xdr:nvCxnSpPr>
        <xdr:spPr>
          <a:xfrm flipH="1">
            <a:off x="8710603" y="18269427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95250</xdr:colOff>
      <xdr:row>1506</xdr:row>
      <xdr:rowOff>71438</xdr:rowOff>
    </xdr:from>
    <xdr:to>
      <xdr:col>64</xdr:col>
      <xdr:colOff>61913</xdr:colOff>
      <xdr:row>1514</xdr:row>
      <xdr:rowOff>71438</xdr:rowOff>
    </xdr:to>
    <xdr:grpSp>
      <xdr:nvGrpSpPr>
        <xdr:cNvPr id="1901" name="Group 1900">
          <a:extLst>
            <a:ext uri="{FF2B5EF4-FFF2-40B4-BE49-F238E27FC236}">
              <a16:creationId xmlns:a16="http://schemas.microsoft.com/office/drawing/2014/main" id="{EA334BAE-2AA3-4CA2-BCB5-D68448B5F8A4}"/>
            </a:ext>
          </a:extLst>
        </xdr:cNvPr>
        <xdr:cNvGrpSpPr/>
      </xdr:nvGrpSpPr>
      <xdr:grpSpPr>
        <a:xfrm>
          <a:off x="9648825" y="226890263"/>
          <a:ext cx="776288" cy="1143000"/>
          <a:chOff x="9324975" y="182227538"/>
          <a:chExt cx="776288" cy="1143000"/>
        </a:xfrm>
      </xdr:grpSpPr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4A5EE500-FA36-C545-1F2C-A5E9EBAC836C}"/>
              </a:ext>
            </a:extLst>
          </xdr:cNvPr>
          <xdr:cNvSpPr/>
        </xdr:nvSpPr>
        <xdr:spPr>
          <a:xfrm>
            <a:off x="9391650" y="182303738"/>
            <a:ext cx="323850" cy="70961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03" name="Straight Connector 1902">
            <a:extLst>
              <a:ext uri="{FF2B5EF4-FFF2-40B4-BE49-F238E27FC236}">
                <a16:creationId xmlns:a16="http://schemas.microsoft.com/office/drawing/2014/main" id="{D9D42231-7674-5984-5807-C48D532B6DDD}"/>
              </a:ext>
            </a:extLst>
          </xdr:cNvPr>
          <xdr:cNvCxnSpPr/>
        </xdr:nvCxnSpPr>
        <xdr:spPr>
          <a:xfrm>
            <a:off x="9391650" y="18308478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4" name="Straight Connector 1903">
            <a:extLst>
              <a:ext uri="{FF2B5EF4-FFF2-40B4-BE49-F238E27FC236}">
                <a16:creationId xmlns:a16="http://schemas.microsoft.com/office/drawing/2014/main" id="{8F6F332C-74AD-5943-645B-E09C899C8EEC}"/>
              </a:ext>
            </a:extLst>
          </xdr:cNvPr>
          <xdr:cNvCxnSpPr/>
        </xdr:nvCxnSpPr>
        <xdr:spPr>
          <a:xfrm>
            <a:off x="9324975" y="183299100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5" name="Straight Connector 1904">
            <a:extLst>
              <a:ext uri="{FF2B5EF4-FFF2-40B4-BE49-F238E27FC236}">
                <a16:creationId xmlns:a16="http://schemas.microsoft.com/office/drawing/2014/main" id="{C38F5FF7-064B-905F-84C9-02F9120294CC}"/>
              </a:ext>
            </a:extLst>
          </xdr:cNvPr>
          <xdr:cNvCxnSpPr/>
        </xdr:nvCxnSpPr>
        <xdr:spPr>
          <a:xfrm flipH="1">
            <a:off x="9358313" y="1832657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6" name="Straight Connector 1905">
            <a:extLst>
              <a:ext uri="{FF2B5EF4-FFF2-40B4-BE49-F238E27FC236}">
                <a16:creationId xmlns:a16="http://schemas.microsoft.com/office/drawing/2014/main" id="{EB0D73DA-DE5B-6BCA-DF46-57C547D4192F}"/>
              </a:ext>
            </a:extLst>
          </xdr:cNvPr>
          <xdr:cNvCxnSpPr/>
        </xdr:nvCxnSpPr>
        <xdr:spPr>
          <a:xfrm>
            <a:off x="9715500" y="18308478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7" name="Straight Connector 1906">
            <a:extLst>
              <a:ext uri="{FF2B5EF4-FFF2-40B4-BE49-F238E27FC236}">
                <a16:creationId xmlns:a16="http://schemas.microsoft.com/office/drawing/2014/main" id="{4ABE0465-2800-9A48-1C6F-1F4EFA537AF6}"/>
              </a:ext>
            </a:extLst>
          </xdr:cNvPr>
          <xdr:cNvCxnSpPr/>
        </xdr:nvCxnSpPr>
        <xdr:spPr>
          <a:xfrm flipH="1">
            <a:off x="9682163" y="1832657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8" name="Straight Connector 1907">
            <a:extLst>
              <a:ext uri="{FF2B5EF4-FFF2-40B4-BE49-F238E27FC236}">
                <a16:creationId xmlns:a16="http://schemas.microsoft.com/office/drawing/2014/main" id="{664D2A8D-4304-F1D0-8336-3037FB48E1B4}"/>
              </a:ext>
            </a:extLst>
          </xdr:cNvPr>
          <xdr:cNvCxnSpPr/>
        </xdr:nvCxnSpPr>
        <xdr:spPr>
          <a:xfrm>
            <a:off x="9772647" y="182303734"/>
            <a:ext cx="3286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9" name="Straight Connector 1908">
            <a:extLst>
              <a:ext uri="{FF2B5EF4-FFF2-40B4-BE49-F238E27FC236}">
                <a16:creationId xmlns:a16="http://schemas.microsoft.com/office/drawing/2014/main" id="{71D574FC-C6CC-BD8B-4A75-E702DC175295}"/>
              </a:ext>
            </a:extLst>
          </xdr:cNvPr>
          <xdr:cNvCxnSpPr/>
        </xdr:nvCxnSpPr>
        <xdr:spPr>
          <a:xfrm>
            <a:off x="9767888" y="183013360"/>
            <a:ext cx="328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0" name="Straight Connector 1909">
            <a:extLst>
              <a:ext uri="{FF2B5EF4-FFF2-40B4-BE49-F238E27FC236}">
                <a16:creationId xmlns:a16="http://schemas.microsoft.com/office/drawing/2014/main" id="{AC306699-045A-CA74-9B2F-A0F076743DA9}"/>
              </a:ext>
            </a:extLst>
          </xdr:cNvPr>
          <xdr:cNvCxnSpPr/>
        </xdr:nvCxnSpPr>
        <xdr:spPr>
          <a:xfrm>
            <a:off x="10039350" y="182227538"/>
            <a:ext cx="0" cy="852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1" name="Straight Connector 1910">
            <a:extLst>
              <a:ext uri="{FF2B5EF4-FFF2-40B4-BE49-F238E27FC236}">
                <a16:creationId xmlns:a16="http://schemas.microsoft.com/office/drawing/2014/main" id="{98A4A6D9-7F8A-8295-7EB6-166B2F4096FA}"/>
              </a:ext>
            </a:extLst>
          </xdr:cNvPr>
          <xdr:cNvCxnSpPr/>
        </xdr:nvCxnSpPr>
        <xdr:spPr>
          <a:xfrm flipH="1">
            <a:off x="10006008" y="18227039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2" name="Straight Connector 1911">
            <a:extLst>
              <a:ext uri="{FF2B5EF4-FFF2-40B4-BE49-F238E27FC236}">
                <a16:creationId xmlns:a16="http://schemas.microsoft.com/office/drawing/2014/main" id="{6F2FB2B8-AB4E-8D9D-8883-4A45AA600A78}"/>
              </a:ext>
            </a:extLst>
          </xdr:cNvPr>
          <xdr:cNvCxnSpPr/>
        </xdr:nvCxnSpPr>
        <xdr:spPr>
          <a:xfrm flipH="1">
            <a:off x="10006003" y="18298003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57150</xdr:colOff>
      <xdr:row>1546</xdr:row>
      <xdr:rowOff>66675</xdr:rowOff>
    </xdr:from>
    <xdr:to>
      <xdr:col>8</xdr:col>
      <xdr:colOff>109537</xdr:colOff>
      <xdr:row>1546</xdr:row>
      <xdr:rowOff>66675</xdr:rowOff>
    </xdr:to>
    <xdr:cxnSp macro="">
      <xdr:nvCxnSpPr>
        <xdr:cNvPr id="1764" name="Straight Arrow Connector 1763">
          <a:extLst>
            <a:ext uri="{FF2B5EF4-FFF2-40B4-BE49-F238E27FC236}">
              <a16:creationId xmlns:a16="http://schemas.microsoft.com/office/drawing/2014/main" id="{1E7FA705-4FEA-4A85-9459-A0F76817DA6D}"/>
            </a:ext>
          </a:extLst>
        </xdr:cNvPr>
        <xdr:cNvCxnSpPr/>
      </xdr:nvCxnSpPr>
      <xdr:spPr>
        <a:xfrm>
          <a:off x="1190625" y="2126837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57150</xdr:colOff>
      <xdr:row>1546</xdr:row>
      <xdr:rowOff>66675</xdr:rowOff>
    </xdr:from>
    <xdr:to>
      <xdr:col>44</xdr:col>
      <xdr:colOff>109537</xdr:colOff>
      <xdr:row>1546</xdr:row>
      <xdr:rowOff>66675</xdr:rowOff>
    </xdr:to>
    <xdr:cxnSp macro="">
      <xdr:nvCxnSpPr>
        <xdr:cNvPr id="1765" name="Straight Arrow Connector 1764">
          <a:extLst>
            <a:ext uri="{FF2B5EF4-FFF2-40B4-BE49-F238E27FC236}">
              <a16:creationId xmlns:a16="http://schemas.microsoft.com/office/drawing/2014/main" id="{45A4E5AD-7732-4651-95B6-95AD30EBA5E5}"/>
            </a:ext>
          </a:extLst>
        </xdr:cNvPr>
        <xdr:cNvCxnSpPr/>
      </xdr:nvCxnSpPr>
      <xdr:spPr>
        <a:xfrm>
          <a:off x="1352550" y="217741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1547</xdr:row>
      <xdr:rowOff>66675</xdr:rowOff>
    </xdr:from>
    <xdr:to>
      <xdr:col>8</xdr:col>
      <xdr:colOff>109537</xdr:colOff>
      <xdr:row>1547</xdr:row>
      <xdr:rowOff>66675</xdr:rowOff>
    </xdr:to>
    <xdr:cxnSp macro="">
      <xdr:nvCxnSpPr>
        <xdr:cNvPr id="1766" name="Straight Arrow Connector 1765">
          <a:extLst>
            <a:ext uri="{FF2B5EF4-FFF2-40B4-BE49-F238E27FC236}">
              <a16:creationId xmlns:a16="http://schemas.microsoft.com/office/drawing/2014/main" id="{83B6847C-0E50-4ED4-9EC4-E70133223E5D}"/>
            </a:ext>
          </a:extLst>
        </xdr:cNvPr>
        <xdr:cNvCxnSpPr/>
      </xdr:nvCxnSpPr>
      <xdr:spPr>
        <a:xfrm>
          <a:off x="1352550" y="217741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57150</xdr:colOff>
      <xdr:row>1547</xdr:row>
      <xdr:rowOff>66675</xdr:rowOff>
    </xdr:from>
    <xdr:to>
      <xdr:col>53</xdr:col>
      <xdr:colOff>109537</xdr:colOff>
      <xdr:row>1547</xdr:row>
      <xdr:rowOff>66675</xdr:rowOff>
    </xdr:to>
    <xdr:cxnSp macro="">
      <xdr:nvCxnSpPr>
        <xdr:cNvPr id="1767" name="Straight Arrow Connector 1766">
          <a:extLst>
            <a:ext uri="{FF2B5EF4-FFF2-40B4-BE49-F238E27FC236}">
              <a16:creationId xmlns:a16="http://schemas.microsoft.com/office/drawing/2014/main" id="{854C4BD3-D9FC-41FE-85C1-1F79A14C10EF}"/>
            </a:ext>
          </a:extLst>
        </xdr:cNvPr>
        <xdr:cNvCxnSpPr/>
      </xdr:nvCxnSpPr>
      <xdr:spPr>
        <a:xfrm>
          <a:off x="6858000" y="217741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1533</xdr:row>
      <xdr:rowOff>66675</xdr:rowOff>
    </xdr:from>
    <xdr:to>
      <xdr:col>12</xdr:col>
      <xdr:colOff>104775</xdr:colOff>
      <xdr:row>1533</xdr:row>
      <xdr:rowOff>66675</xdr:rowOff>
    </xdr:to>
    <xdr:cxnSp macro="">
      <xdr:nvCxnSpPr>
        <xdr:cNvPr id="1929" name="Straight Arrow Connector 1928">
          <a:extLst>
            <a:ext uri="{FF2B5EF4-FFF2-40B4-BE49-F238E27FC236}">
              <a16:creationId xmlns:a16="http://schemas.microsoft.com/office/drawing/2014/main" id="{86D4D29D-5E58-1682-4712-8F691E6B96F7}"/>
            </a:ext>
          </a:extLst>
        </xdr:cNvPr>
        <xdr:cNvCxnSpPr/>
      </xdr:nvCxnSpPr>
      <xdr:spPr>
        <a:xfrm>
          <a:off x="1990725" y="2177415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47625</xdr:colOff>
      <xdr:row>1533</xdr:row>
      <xdr:rowOff>66675</xdr:rowOff>
    </xdr:from>
    <xdr:to>
      <xdr:col>23</xdr:col>
      <xdr:colOff>104775</xdr:colOff>
      <xdr:row>1533</xdr:row>
      <xdr:rowOff>66675</xdr:rowOff>
    </xdr:to>
    <xdr:cxnSp macro="">
      <xdr:nvCxnSpPr>
        <xdr:cNvPr id="1931" name="Straight Arrow Connector 1930">
          <a:extLst>
            <a:ext uri="{FF2B5EF4-FFF2-40B4-BE49-F238E27FC236}">
              <a16:creationId xmlns:a16="http://schemas.microsoft.com/office/drawing/2014/main" id="{ECA20548-0786-41F6-AE62-D82BBA470271}"/>
            </a:ext>
          </a:extLst>
        </xdr:cNvPr>
        <xdr:cNvCxnSpPr/>
      </xdr:nvCxnSpPr>
      <xdr:spPr>
        <a:xfrm>
          <a:off x="1990725" y="2177415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57150</xdr:colOff>
      <xdr:row>1535</xdr:row>
      <xdr:rowOff>76200</xdr:rowOff>
    </xdr:from>
    <xdr:to>
      <xdr:col>70</xdr:col>
      <xdr:colOff>114300</xdr:colOff>
      <xdr:row>1535</xdr:row>
      <xdr:rowOff>76200</xdr:rowOff>
    </xdr:to>
    <xdr:cxnSp macro="">
      <xdr:nvCxnSpPr>
        <xdr:cNvPr id="1932" name="Straight Arrow Connector 1931">
          <a:extLst>
            <a:ext uri="{FF2B5EF4-FFF2-40B4-BE49-F238E27FC236}">
              <a16:creationId xmlns:a16="http://schemas.microsoft.com/office/drawing/2014/main" id="{B92B70BC-5FF9-4AFF-8357-4BF546C19B0D}"/>
            </a:ext>
          </a:extLst>
        </xdr:cNvPr>
        <xdr:cNvCxnSpPr/>
      </xdr:nvCxnSpPr>
      <xdr:spPr>
        <a:xfrm>
          <a:off x="11391900" y="218036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47625</xdr:colOff>
      <xdr:row>1538</xdr:row>
      <xdr:rowOff>66675</xdr:rowOff>
    </xdr:from>
    <xdr:to>
      <xdr:col>28</xdr:col>
      <xdr:colOff>104775</xdr:colOff>
      <xdr:row>1538</xdr:row>
      <xdr:rowOff>66675</xdr:rowOff>
    </xdr:to>
    <xdr:cxnSp macro="">
      <xdr:nvCxnSpPr>
        <xdr:cNvPr id="1933" name="Straight Arrow Connector 1932">
          <a:extLst>
            <a:ext uri="{FF2B5EF4-FFF2-40B4-BE49-F238E27FC236}">
              <a16:creationId xmlns:a16="http://schemas.microsoft.com/office/drawing/2014/main" id="{770E13E0-A921-4076-823B-CFF56993E547}"/>
            </a:ext>
          </a:extLst>
        </xdr:cNvPr>
        <xdr:cNvCxnSpPr/>
      </xdr:nvCxnSpPr>
      <xdr:spPr>
        <a:xfrm>
          <a:off x="1990725" y="2177415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47625</xdr:colOff>
      <xdr:row>1538</xdr:row>
      <xdr:rowOff>66675</xdr:rowOff>
    </xdr:from>
    <xdr:to>
      <xdr:col>36</xdr:col>
      <xdr:colOff>104775</xdr:colOff>
      <xdr:row>1538</xdr:row>
      <xdr:rowOff>66675</xdr:rowOff>
    </xdr:to>
    <xdr:cxnSp macro="">
      <xdr:nvCxnSpPr>
        <xdr:cNvPr id="1934" name="Straight Arrow Connector 1933">
          <a:extLst>
            <a:ext uri="{FF2B5EF4-FFF2-40B4-BE49-F238E27FC236}">
              <a16:creationId xmlns:a16="http://schemas.microsoft.com/office/drawing/2014/main" id="{3539C43F-E96D-49AC-8BDE-B86936070D42}"/>
            </a:ext>
          </a:extLst>
        </xdr:cNvPr>
        <xdr:cNvCxnSpPr/>
      </xdr:nvCxnSpPr>
      <xdr:spPr>
        <a:xfrm>
          <a:off x="4581525" y="2184558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47625</xdr:colOff>
      <xdr:row>1538</xdr:row>
      <xdr:rowOff>66675</xdr:rowOff>
    </xdr:from>
    <xdr:to>
      <xdr:col>44</xdr:col>
      <xdr:colOff>104775</xdr:colOff>
      <xdr:row>1538</xdr:row>
      <xdr:rowOff>66675</xdr:rowOff>
    </xdr:to>
    <xdr:cxnSp macro="">
      <xdr:nvCxnSpPr>
        <xdr:cNvPr id="1935" name="Straight Arrow Connector 1934">
          <a:extLst>
            <a:ext uri="{FF2B5EF4-FFF2-40B4-BE49-F238E27FC236}">
              <a16:creationId xmlns:a16="http://schemas.microsoft.com/office/drawing/2014/main" id="{C5CE6BCC-E336-4EB8-B15F-445EB4A89EAE}"/>
            </a:ext>
          </a:extLst>
        </xdr:cNvPr>
        <xdr:cNvCxnSpPr/>
      </xdr:nvCxnSpPr>
      <xdr:spPr>
        <a:xfrm>
          <a:off x="3771900" y="2177415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57150</xdr:colOff>
      <xdr:row>1539</xdr:row>
      <xdr:rowOff>66675</xdr:rowOff>
    </xdr:from>
    <xdr:to>
      <xdr:col>50</xdr:col>
      <xdr:colOff>114300</xdr:colOff>
      <xdr:row>1539</xdr:row>
      <xdr:rowOff>66675</xdr:rowOff>
    </xdr:to>
    <xdr:cxnSp macro="">
      <xdr:nvCxnSpPr>
        <xdr:cNvPr id="1936" name="Straight Arrow Connector 1935">
          <a:extLst>
            <a:ext uri="{FF2B5EF4-FFF2-40B4-BE49-F238E27FC236}">
              <a16:creationId xmlns:a16="http://schemas.microsoft.com/office/drawing/2014/main" id="{2052C297-850F-4D5D-A40C-5CFEEDFBE7DB}"/>
            </a:ext>
          </a:extLst>
        </xdr:cNvPr>
        <xdr:cNvCxnSpPr/>
      </xdr:nvCxnSpPr>
      <xdr:spPr>
        <a:xfrm>
          <a:off x="8153400" y="2185987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57150</xdr:colOff>
      <xdr:row>1539</xdr:row>
      <xdr:rowOff>66675</xdr:rowOff>
    </xdr:from>
    <xdr:to>
      <xdr:col>57</xdr:col>
      <xdr:colOff>114300</xdr:colOff>
      <xdr:row>1539</xdr:row>
      <xdr:rowOff>66675</xdr:rowOff>
    </xdr:to>
    <xdr:cxnSp macro="">
      <xdr:nvCxnSpPr>
        <xdr:cNvPr id="1937" name="Straight Arrow Connector 1936">
          <a:extLst>
            <a:ext uri="{FF2B5EF4-FFF2-40B4-BE49-F238E27FC236}">
              <a16:creationId xmlns:a16="http://schemas.microsoft.com/office/drawing/2014/main" id="{B43887F3-3646-47EF-8C0A-9E0D63EC286F}"/>
            </a:ext>
          </a:extLst>
        </xdr:cNvPr>
        <xdr:cNvCxnSpPr/>
      </xdr:nvCxnSpPr>
      <xdr:spPr>
        <a:xfrm>
          <a:off x="8153400" y="2185987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57150</xdr:colOff>
      <xdr:row>1539</xdr:row>
      <xdr:rowOff>66675</xdr:rowOff>
    </xdr:from>
    <xdr:to>
      <xdr:col>64</xdr:col>
      <xdr:colOff>114300</xdr:colOff>
      <xdr:row>1539</xdr:row>
      <xdr:rowOff>66675</xdr:rowOff>
    </xdr:to>
    <xdr:cxnSp macro="">
      <xdr:nvCxnSpPr>
        <xdr:cNvPr id="1938" name="Straight Arrow Connector 1937">
          <a:extLst>
            <a:ext uri="{FF2B5EF4-FFF2-40B4-BE49-F238E27FC236}">
              <a16:creationId xmlns:a16="http://schemas.microsoft.com/office/drawing/2014/main" id="{CFDD74EB-C435-47CB-B0A3-9709DB3BA7EB}"/>
            </a:ext>
          </a:extLst>
        </xdr:cNvPr>
        <xdr:cNvCxnSpPr/>
      </xdr:nvCxnSpPr>
      <xdr:spPr>
        <a:xfrm>
          <a:off x="9286875" y="2185987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152400</xdr:colOff>
      <xdr:row>1527</xdr:row>
      <xdr:rowOff>0</xdr:rowOff>
    </xdr:from>
    <xdr:to>
      <xdr:col>44</xdr:col>
      <xdr:colOff>0</xdr:colOff>
      <xdr:row>1531</xdr:row>
      <xdr:rowOff>0</xdr:rowOff>
    </xdr:to>
    <xdr:grpSp>
      <xdr:nvGrpSpPr>
        <xdr:cNvPr id="1838" name="Group 1837">
          <a:extLst>
            <a:ext uri="{FF2B5EF4-FFF2-40B4-BE49-F238E27FC236}">
              <a16:creationId xmlns:a16="http://schemas.microsoft.com/office/drawing/2014/main" id="{824005BF-D4D0-A700-C902-5522DF0AAE0C}"/>
            </a:ext>
          </a:extLst>
        </xdr:cNvPr>
        <xdr:cNvGrpSpPr/>
      </xdr:nvGrpSpPr>
      <xdr:grpSpPr>
        <a:xfrm>
          <a:off x="4362450" y="229819200"/>
          <a:ext cx="2762250" cy="571500"/>
          <a:chOff x="4362450" y="213902925"/>
          <a:chExt cx="2762250" cy="571500"/>
        </a:xfrm>
      </xdr:grpSpPr>
      <xdr:cxnSp macro="">
        <xdr:nvCxnSpPr>
          <xdr:cNvPr id="1941" name="Straight Connector 1940">
            <a:extLst>
              <a:ext uri="{FF2B5EF4-FFF2-40B4-BE49-F238E27FC236}">
                <a16:creationId xmlns:a16="http://schemas.microsoft.com/office/drawing/2014/main" id="{83AB36A9-3BDE-444D-A82E-97053441EAAB}"/>
              </a:ext>
            </a:extLst>
          </xdr:cNvPr>
          <xdr:cNvCxnSpPr/>
        </xdr:nvCxnSpPr>
        <xdr:spPr>
          <a:xfrm>
            <a:off x="4371975" y="214331548"/>
            <a:ext cx="25860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32BAC6CC-76DF-4142-94A1-E53B200DA917}"/>
              </a:ext>
            </a:extLst>
          </xdr:cNvPr>
          <xdr:cNvSpPr/>
        </xdr:nvSpPr>
        <xdr:spPr>
          <a:xfrm>
            <a:off x="6972300" y="214188675"/>
            <a:ext cx="152400" cy="285750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44" name="Straight Connector 1943">
            <a:extLst>
              <a:ext uri="{FF2B5EF4-FFF2-40B4-BE49-F238E27FC236}">
                <a16:creationId xmlns:a16="http://schemas.microsoft.com/office/drawing/2014/main" id="{94EBF6E6-CBE8-40F0-BBF9-5B71C3287391}"/>
              </a:ext>
            </a:extLst>
          </xdr:cNvPr>
          <xdr:cNvCxnSpPr/>
        </xdr:nvCxnSpPr>
        <xdr:spPr>
          <a:xfrm>
            <a:off x="6962775" y="21417915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45" name="Freeform: Shape 1944">
            <a:extLst>
              <a:ext uri="{FF2B5EF4-FFF2-40B4-BE49-F238E27FC236}">
                <a16:creationId xmlns:a16="http://schemas.microsoft.com/office/drawing/2014/main" id="{0F3A447E-2CF3-AD3F-6630-476550B88EE9}"/>
              </a:ext>
            </a:extLst>
          </xdr:cNvPr>
          <xdr:cNvSpPr/>
        </xdr:nvSpPr>
        <xdr:spPr>
          <a:xfrm>
            <a:off x="4362450" y="213902925"/>
            <a:ext cx="2600325" cy="438150"/>
          </a:xfrm>
          <a:custGeom>
            <a:avLst/>
            <a:gdLst>
              <a:gd name="connsiteX0" fmla="*/ 2600325 w 2600325"/>
              <a:gd name="connsiteY0" fmla="*/ 438150 h 438150"/>
              <a:gd name="connsiteX1" fmla="*/ 2600325 w 2600325"/>
              <a:gd name="connsiteY1" fmla="*/ 0 h 438150"/>
              <a:gd name="connsiteX2" fmla="*/ 0 w 2600325"/>
              <a:gd name="connsiteY2" fmla="*/ 0 h 438150"/>
              <a:gd name="connsiteX3" fmla="*/ 0 w 2600325"/>
              <a:gd name="connsiteY3" fmla="*/ 438150 h 438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600325" h="438150">
                <a:moveTo>
                  <a:pt x="2600325" y="438150"/>
                </a:moveTo>
                <a:lnTo>
                  <a:pt x="2600325" y="0"/>
                </a:lnTo>
                <a:lnTo>
                  <a:pt x="0" y="0"/>
                </a:lnTo>
                <a:lnTo>
                  <a:pt x="0" y="438150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27</xdr:col>
      <xdr:colOff>0</xdr:colOff>
      <xdr:row>1520</xdr:row>
      <xdr:rowOff>9525</xdr:rowOff>
    </xdr:from>
    <xdr:to>
      <xdr:col>44</xdr:col>
      <xdr:colOff>0</xdr:colOff>
      <xdr:row>1524</xdr:row>
      <xdr:rowOff>9525</xdr:rowOff>
    </xdr:to>
    <xdr:grpSp>
      <xdr:nvGrpSpPr>
        <xdr:cNvPr id="1836" name="Group 1835">
          <a:extLst>
            <a:ext uri="{FF2B5EF4-FFF2-40B4-BE49-F238E27FC236}">
              <a16:creationId xmlns:a16="http://schemas.microsoft.com/office/drawing/2014/main" id="{494D06FE-6AC8-A248-351F-8EE0E1CC2EAF}"/>
            </a:ext>
          </a:extLst>
        </xdr:cNvPr>
        <xdr:cNvGrpSpPr/>
      </xdr:nvGrpSpPr>
      <xdr:grpSpPr>
        <a:xfrm>
          <a:off x="4371975" y="228828600"/>
          <a:ext cx="2752725" cy="571500"/>
          <a:chOff x="4371975" y="212912325"/>
          <a:chExt cx="2752725" cy="571500"/>
        </a:xfrm>
      </xdr:grpSpPr>
      <xdr:cxnSp macro="">
        <xdr:nvCxnSpPr>
          <xdr:cNvPr id="1939" name="Straight Connector 1938">
            <a:extLst>
              <a:ext uri="{FF2B5EF4-FFF2-40B4-BE49-F238E27FC236}">
                <a16:creationId xmlns:a16="http://schemas.microsoft.com/office/drawing/2014/main" id="{135C326E-5F85-477D-AE5B-D06FBF622FB4}"/>
              </a:ext>
            </a:extLst>
          </xdr:cNvPr>
          <xdr:cNvCxnSpPr/>
        </xdr:nvCxnSpPr>
        <xdr:spPr>
          <a:xfrm>
            <a:off x="4371975" y="213331423"/>
            <a:ext cx="25860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C1826934-884E-4531-A3AF-3D6B0D543C44}"/>
              </a:ext>
            </a:extLst>
          </xdr:cNvPr>
          <xdr:cNvSpPr/>
        </xdr:nvSpPr>
        <xdr:spPr>
          <a:xfrm>
            <a:off x="6972300" y="213188550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43" name="Straight Connector 1942">
            <a:extLst>
              <a:ext uri="{FF2B5EF4-FFF2-40B4-BE49-F238E27FC236}">
                <a16:creationId xmlns:a16="http://schemas.microsoft.com/office/drawing/2014/main" id="{6A19F58A-715E-4ACD-9AA5-DCFFCCDDDF8C}"/>
              </a:ext>
            </a:extLst>
          </xdr:cNvPr>
          <xdr:cNvCxnSpPr/>
        </xdr:nvCxnSpPr>
        <xdr:spPr>
          <a:xfrm>
            <a:off x="6972300" y="21318855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48" name="Freeform: Shape 1947">
            <a:extLst>
              <a:ext uri="{FF2B5EF4-FFF2-40B4-BE49-F238E27FC236}">
                <a16:creationId xmlns:a16="http://schemas.microsoft.com/office/drawing/2014/main" id="{2D0080BB-D945-AF25-7F03-F3D3C2E7BFDC}"/>
              </a:ext>
            </a:extLst>
          </xdr:cNvPr>
          <xdr:cNvSpPr/>
        </xdr:nvSpPr>
        <xdr:spPr>
          <a:xfrm>
            <a:off x="4371975" y="212912325"/>
            <a:ext cx="2590800" cy="419100"/>
          </a:xfrm>
          <a:custGeom>
            <a:avLst/>
            <a:gdLst>
              <a:gd name="connsiteX0" fmla="*/ 2590800 w 2590800"/>
              <a:gd name="connsiteY0" fmla="*/ 409575 h 419100"/>
              <a:gd name="connsiteX1" fmla="*/ 2590800 w 2590800"/>
              <a:gd name="connsiteY1" fmla="*/ 0 h 419100"/>
              <a:gd name="connsiteX2" fmla="*/ 0 w 2590800"/>
              <a:gd name="connsiteY2" fmla="*/ 419100 h 419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90800" h="419100">
                <a:moveTo>
                  <a:pt x="2590800" y="409575"/>
                </a:moveTo>
                <a:lnTo>
                  <a:pt x="2590800" y="0"/>
                </a:lnTo>
                <a:lnTo>
                  <a:pt x="0" y="419100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26</xdr:col>
      <xdr:colOff>80963</xdr:colOff>
      <xdr:row>1505</xdr:row>
      <xdr:rowOff>0</xdr:rowOff>
    </xdr:from>
    <xdr:to>
      <xdr:col>44</xdr:col>
      <xdr:colOff>130299</xdr:colOff>
      <xdr:row>1516</xdr:row>
      <xdr:rowOff>80963</xdr:rowOff>
    </xdr:to>
    <xdr:grpSp>
      <xdr:nvGrpSpPr>
        <xdr:cNvPr id="1835" name="Group 1834">
          <a:extLst>
            <a:ext uri="{FF2B5EF4-FFF2-40B4-BE49-F238E27FC236}">
              <a16:creationId xmlns:a16="http://schemas.microsoft.com/office/drawing/2014/main" id="{EE1B8CAE-C874-4B48-FE95-9C7CFE7408F8}"/>
            </a:ext>
          </a:extLst>
        </xdr:cNvPr>
        <xdr:cNvGrpSpPr/>
      </xdr:nvGrpSpPr>
      <xdr:grpSpPr>
        <a:xfrm>
          <a:off x="4291013" y="226675950"/>
          <a:ext cx="2963986" cy="1652588"/>
          <a:chOff x="4291013" y="210759675"/>
          <a:chExt cx="2963986" cy="1652588"/>
        </a:xfrm>
      </xdr:grpSpPr>
      <xdr:sp macro="" textlink="">
        <xdr:nvSpPr>
          <xdr:cNvPr id="1830" name="Trapezoid 1829">
            <a:extLst>
              <a:ext uri="{FF2B5EF4-FFF2-40B4-BE49-F238E27FC236}">
                <a16:creationId xmlns:a16="http://schemas.microsoft.com/office/drawing/2014/main" id="{EEA32647-8074-D931-5968-1F42A1038083}"/>
              </a:ext>
            </a:extLst>
          </xdr:cNvPr>
          <xdr:cNvSpPr/>
        </xdr:nvSpPr>
        <xdr:spPr>
          <a:xfrm rot="16200000">
            <a:off x="5429255" y="210021489"/>
            <a:ext cx="457200" cy="2571748"/>
          </a:xfrm>
          <a:prstGeom prst="trapezoid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C757F8BF-3CFE-12CF-89C1-ACE7FC9CEE97}"/>
              </a:ext>
            </a:extLst>
          </xdr:cNvPr>
          <xdr:cNvSpPr/>
        </xdr:nvSpPr>
        <xdr:spPr>
          <a:xfrm>
            <a:off x="6972300" y="210902550"/>
            <a:ext cx="152400" cy="8524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17" name="Straight Arrow Connector 1916">
            <a:extLst>
              <a:ext uri="{FF2B5EF4-FFF2-40B4-BE49-F238E27FC236}">
                <a16:creationId xmlns:a16="http://schemas.microsoft.com/office/drawing/2014/main" id="{77FFDD0B-9D32-95A4-34FD-5A7717AACED1}"/>
              </a:ext>
            </a:extLst>
          </xdr:cNvPr>
          <xdr:cNvCxnSpPr/>
        </xdr:nvCxnSpPr>
        <xdr:spPr>
          <a:xfrm>
            <a:off x="4376737" y="210759675"/>
            <a:ext cx="0" cy="4381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8" name="Straight Connector 1917">
            <a:extLst>
              <a:ext uri="{FF2B5EF4-FFF2-40B4-BE49-F238E27FC236}">
                <a16:creationId xmlns:a16="http://schemas.microsoft.com/office/drawing/2014/main" id="{5D36C874-902E-B671-A1DC-1ED92CF6E39E}"/>
              </a:ext>
            </a:extLst>
          </xdr:cNvPr>
          <xdr:cNvCxnSpPr/>
        </xdr:nvCxnSpPr>
        <xdr:spPr>
          <a:xfrm>
            <a:off x="4371975" y="211512150"/>
            <a:ext cx="0" cy="900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9" name="Straight Connector 1918">
            <a:extLst>
              <a:ext uri="{FF2B5EF4-FFF2-40B4-BE49-F238E27FC236}">
                <a16:creationId xmlns:a16="http://schemas.microsoft.com/office/drawing/2014/main" id="{5BDAC07D-41EB-2804-993A-B2617BB085B7}"/>
              </a:ext>
            </a:extLst>
          </xdr:cNvPr>
          <xdr:cNvCxnSpPr/>
        </xdr:nvCxnSpPr>
        <xdr:spPr>
          <a:xfrm>
            <a:off x="4291013" y="212331309"/>
            <a:ext cx="2743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7" name="Straight Arrow Connector 1756">
            <a:extLst>
              <a:ext uri="{FF2B5EF4-FFF2-40B4-BE49-F238E27FC236}">
                <a16:creationId xmlns:a16="http://schemas.microsoft.com/office/drawing/2014/main" id="{68EEA47A-15C7-A73F-3066-A49A52CF8D59}"/>
              </a:ext>
            </a:extLst>
          </xdr:cNvPr>
          <xdr:cNvCxnSpPr/>
        </xdr:nvCxnSpPr>
        <xdr:spPr>
          <a:xfrm flipV="1">
            <a:off x="6962775" y="211807425"/>
            <a:ext cx="0" cy="242888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8" name="Straight Connector 1757">
            <a:extLst>
              <a:ext uri="{FF2B5EF4-FFF2-40B4-BE49-F238E27FC236}">
                <a16:creationId xmlns:a16="http://schemas.microsoft.com/office/drawing/2014/main" id="{12243D19-A9EC-B6B9-FD61-444CA0103778}"/>
              </a:ext>
            </a:extLst>
          </xdr:cNvPr>
          <xdr:cNvCxnSpPr/>
        </xdr:nvCxnSpPr>
        <xdr:spPr>
          <a:xfrm flipH="1">
            <a:off x="4333874" y="2122979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0" name="Straight Connector 1759">
            <a:extLst>
              <a:ext uri="{FF2B5EF4-FFF2-40B4-BE49-F238E27FC236}">
                <a16:creationId xmlns:a16="http://schemas.microsoft.com/office/drawing/2014/main" id="{63E857CA-5C36-6D2D-4AF5-DE311807C1CE}"/>
              </a:ext>
            </a:extLst>
          </xdr:cNvPr>
          <xdr:cNvCxnSpPr/>
        </xdr:nvCxnSpPr>
        <xdr:spPr>
          <a:xfrm>
            <a:off x="6962774" y="212207475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1" name="Straight Connector 1760">
            <a:extLst>
              <a:ext uri="{FF2B5EF4-FFF2-40B4-BE49-F238E27FC236}">
                <a16:creationId xmlns:a16="http://schemas.microsoft.com/office/drawing/2014/main" id="{B93156E9-43D8-31FB-2C36-E09036CAFF61}"/>
              </a:ext>
            </a:extLst>
          </xdr:cNvPr>
          <xdr:cNvCxnSpPr/>
        </xdr:nvCxnSpPr>
        <xdr:spPr>
          <a:xfrm flipH="1">
            <a:off x="6924673" y="2122979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2" name="Straight Arrow Connector 1761">
            <a:extLst>
              <a:ext uri="{FF2B5EF4-FFF2-40B4-BE49-F238E27FC236}">
                <a16:creationId xmlns:a16="http://schemas.microsoft.com/office/drawing/2014/main" id="{1DFA9BB7-398C-8E49-F058-989D858CB3F1}"/>
              </a:ext>
            </a:extLst>
          </xdr:cNvPr>
          <xdr:cNvCxnSpPr/>
        </xdr:nvCxnSpPr>
        <xdr:spPr>
          <a:xfrm>
            <a:off x="4381500" y="211836007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6" name="Straight Connector 1915">
            <a:extLst>
              <a:ext uri="{FF2B5EF4-FFF2-40B4-BE49-F238E27FC236}">
                <a16:creationId xmlns:a16="http://schemas.microsoft.com/office/drawing/2014/main" id="{6DA43702-0E3B-DF33-438C-BDCA51F223B3}"/>
              </a:ext>
            </a:extLst>
          </xdr:cNvPr>
          <xdr:cNvCxnSpPr/>
        </xdr:nvCxnSpPr>
        <xdr:spPr>
          <a:xfrm>
            <a:off x="6958012" y="210897788"/>
            <a:ext cx="0" cy="8715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33" name="Arc 1832">
            <a:extLst>
              <a:ext uri="{FF2B5EF4-FFF2-40B4-BE49-F238E27FC236}">
                <a16:creationId xmlns:a16="http://schemas.microsoft.com/office/drawing/2014/main" id="{C563E990-3FEE-47AC-80E8-F4C934E317DC}"/>
              </a:ext>
            </a:extLst>
          </xdr:cNvPr>
          <xdr:cNvSpPr/>
        </xdr:nvSpPr>
        <xdr:spPr>
          <a:xfrm rot="2590035">
            <a:off x="6696075" y="210988276"/>
            <a:ext cx="558924" cy="558924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95250</xdr:colOff>
      <xdr:row>430</xdr:row>
      <xdr:rowOff>66675</xdr:rowOff>
    </xdr:from>
    <xdr:to>
      <xdr:col>15</xdr:col>
      <xdr:colOff>57150</xdr:colOff>
      <xdr:row>444</xdr:row>
      <xdr:rowOff>76201</xdr:rowOff>
    </xdr:to>
    <xdr:grpSp>
      <xdr:nvGrpSpPr>
        <xdr:cNvPr id="1913" name="Group 1912">
          <a:extLst>
            <a:ext uri="{FF2B5EF4-FFF2-40B4-BE49-F238E27FC236}">
              <a16:creationId xmlns:a16="http://schemas.microsoft.com/office/drawing/2014/main" id="{F22DCFEB-603B-48D0-BB38-CBAF9DB13906}"/>
            </a:ext>
          </a:extLst>
        </xdr:cNvPr>
        <xdr:cNvGrpSpPr/>
      </xdr:nvGrpSpPr>
      <xdr:grpSpPr>
        <a:xfrm>
          <a:off x="419100" y="65865375"/>
          <a:ext cx="2066925" cy="2009776"/>
          <a:chOff x="1066800" y="495299"/>
          <a:chExt cx="2066925" cy="2009776"/>
        </a:xfrm>
      </xdr:grpSpPr>
      <xdr:grpSp>
        <xdr:nvGrpSpPr>
          <xdr:cNvPr id="1914" name="Group 1913">
            <a:extLst>
              <a:ext uri="{FF2B5EF4-FFF2-40B4-BE49-F238E27FC236}">
                <a16:creationId xmlns:a16="http://schemas.microsoft.com/office/drawing/2014/main" id="{700C2432-8EBE-EF3F-4618-A0991000F210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1957" name="Straight Connector 1956">
              <a:extLst>
                <a:ext uri="{FF2B5EF4-FFF2-40B4-BE49-F238E27FC236}">
                  <a16:creationId xmlns:a16="http://schemas.microsoft.com/office/drawing/2014/main" id="{218A5214-133D-D7B1-EE42-67A1D06C60C3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8" name="Straight Connector 1957">
              <a:extLst>
                <a:ext uri="{FF2B5EF4-FFF2-40B4-BE49-F238E27FC236}">
                  <a16:creationId xmlns:a16="http://schemas.microsoft.com/office/drawing/2014/main" id="{8E5C89BF-5D76-1A28-E601-B0839E54D6EE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9" name="Straight Connector 1958">
              <a:extLst>
                <a:ext uri="{FF2B5EF4-FFF2-40B4-BE49-F238E27FC236}">
                  <a16:creationId xmlns:a16="http://schemas.microsoft.com/office/drawing/2014/main" id="{AE693553-2681-58A8-2FEE-B12EF14899A8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60" name="Arc 1959">
              <a:extLst>
                <a:ext uri="{FF2B5EF4-FFF2-40B4-BE49-F238E27FC236}">
                  <a16:creationId xmlns:a16="http://schemas.microsoft.com/office/drawing/2014/main" id="{88F9D2DE-FED9-F3F1-8D8B-BE658F2B69B9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961" name="Straight Connector 1960">
              <a:extLst>
                <a:ext uri="{FF2B5EF4-FFF2-40B4-BE49-F238E27FC236}">
                  <a16:creationId xmlns:a16="http://schemas.microsoft.com/office/drawing/2014/main" id="{EAF65141-2009-EB7D-82DD-060D2DE9D9CD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2" name="Straight Connector 1961">
              <a:extLst>
                <a:ext uri="{FF2B5EF4-FFF2-40B4-BE49-F238E27FC236}">
                  <a16:creationId xmlns:a16="http://schemas.microsoft.com/office/drawing/2014/main" id="{7A49C580-BAE6-DBC7-DE32-4FF3B2098DAA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3" name="Straight Connector 1962">
              <a:extLst>
                <a:ext uri="{FF2B5EF4-FFF2-40B4-BE49-F238E27FC236}">
                  <a16:creationId xmlns:a16="http://schemas.microsoft.com/office/drawing/2014/main" id="{9EBE6052-FD18-D863-434D-4B6921F3F4D9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4" name="Straight Connector 1963">
              <a:extLst>
                <a:ext uri="{FF2B5EF4-FFF2-40B4-BE49-F238E27FC236}">
                  <a16:creationId xmlns:a16="http://schemas.microsoft.com/office/drawing/2014/main" id="{E58BE23E-242A-33F8-6EAE-30FC8684B946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65" name="Arc 1964">
              <a:extLst>
                <a:ext uri="{FF2B5EF4-FFF2-40B4-BE49-F238E27FC236}">
                  <a16:creationId xmlns:a16="http://schemas.microsoft.com/office/drawing/2014/main" id="{EE7F38BC-D70E-3357-8FA2-E73F3EC7A241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966" name="Straight Connector 1965">
              <a:extLst>
                <a:ext uri="{FF2B5EF4-FFF2-40B4-BE49-F238E27FC236}">
                  <a16:creationId xmlns:a16="http://schemas.microsoft.com/office/drawing/2014/main" id="{2EDF6672-B4CF-7E15-3B74-EBBE10EE8262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8" name="Straight Connector 1967">
              <a:extLst>
                <a:ext uri="{FF2B5EF4-FFF2-40B4-BE49-F238E27FC236}">
                  <a16:creationId xmlns:a16="http://schemas.microsoft.com/office/drawing/2014/main" id="{D4D0FCA1-8BE7-AE03-BA2E-00B512048141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9" name="Straight Connector 1968">
              <a:extLst>
                <a:ext uri="{FF2B5EF4-FFF2-40B4-BE49-F238E27FC236}">
                  <a16:creationId xmlns:a16="http://schemas.microsoft.com/office/drawing/2014/main" id="{65220B1F-A76D-E28D-9D73-99B5E0D8AF81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0" name="Straight Connector 1969">
              <a:extLst>
                <a:ext uri="{FF2B5EF4-FFF2-40B4-BE49-F238E27FC236}">
                  <a16:creationId xmlns:a16="http://schemas.microsoft.com/office/drawing/2014/main" id="{6F427439-B1C3-63B2-67B9-AEC4B46852DE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1" name="Straight Connector 1970">
              <a:extLst>
                <a:ext uri="{FF2B5EF4-FFF2-40B4-BE49-F238E27FC236}">
                  <a16:creationId xmlns:a16="http://schemas.microsoft.com/office/drawing/2014/main" id="{B1BA965C-DF22-99B7-E64A-E799BDA4829A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72" name="Arc 1971">
              <a:extLst>
                <a:ext uri="{FF2B5EF4-FFF2-40B4-BE49-F238E27FC236}">
                  <a16:creationId xmlns:a16="http://schemas.microsoft.com/office/drawing/2014/main" id="{74382E09-5182-D31D-3303-6A8BD4A8885E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73" name="Arc 1972">
              <a:extLst>
                <a:ext uri="{FF2B5EF4-FFF2-40B4-BE49-F238E27FC236}">
                  <a16:creationId xmlns:a16="http://schemas.microsoft.com/office/drawing/2014/main" id="{84DE6E5C-9268-1F66-6C00-7B525B0DE5BC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1920" name="Straight Connector 1919">
            <a:extLst>
              <a:ext uri="{FF2B5EF4-FFF2-40B4-BE49-F238E27FC236}">
                <a16:creationId xmlns:a16="http://schemas.microsoft.com/office/drawing/2014/main" id="{3E6BC751-486A-B4E9-27B6-DA55ADA1A962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1" name="Straight Connector 1920">
            <a:extLst>
              <a:ext uri="{FF2B5EF4-FFF2-40B4-BE49-F238E27FC236}">
                <a16:creationId xmlns:a16="http://schemas.microsoft.com/office/drawing/2014/main" id="{D33BF541-24E4-9E5C-9883-0AB8AB0AB36F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2" name="Straight Connector 1921">
            <a:extLst>
              <a:ext uri="{FF2B5EF4-FFF2-40B4-BE49-F238E27FC236}">
                <a16:creationId xmlns:a16="http://schemas.microsoft.com/office/drawing/2014/main" id="{17E31208-8C81-C7D1-3556-4A016B48ED19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3" name="Straight Connector 1922">
            <a:extLst>
              <a:ext uri="{FF2B5EF4-FFF2-40B4-BE49-F238E27FC236}">
                <a16:creationId xmlns:a16="http://schemas.microsoft.com/office/drawing/2014/main" id="{DEFB18D4-D5DE-8417-3B83-EBEC2F6FFE4F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4" name="Straight Connector 1923">
            <a:extLst>
              <a:ext uri="{FF2B5EF4-FFF2-40B4-BE49-F238E27FC236}">
                <a16:creationId xmlns:a16="http://schemas.microsoft.com/office/drawing/2014/main" id="{E0D1687C-3C7B-2035-E94F-DDBA1DBF5861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5" name="Straight Connector 1924">
            <a:extLst>
              <a:ext uri="{FF2B5EF4-FFF2-40B4-BE49-F238E27FC236}">
                <a16:creationId xmlns:a16="http://schemas.microsoft.com/office/drawing/2014/main" id="{523C15D8-0A12-F5E5-847E-5286BA27B2A8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6" name="Straight Connector 1925">
            <a:extLst>
              <a:ext uri="{FF2B5EF4-FFF2-40B4-BE49-F238E27FC236}">
                <a16:creationId xmlns:a16="http://schemas.microsoft.com/office/drawing/2014/main" id="{B4234DB3-253A-B9E2-6B68-37B142A090CE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7" name="Straight Connector 1926">
            <a:extLst>
              <a:ext uri="{FF2B5EF4-FFF2-40B4-BE49-F238E27FC236}">
                <a16:creationId xmlns:a16="http://schemas.microsoft.com/office/drawing/2014/main" id="{7DCBE124-AEEC-8245-488D-D9AC7958DE4F}"/>
              </a:ext>
            </a:extLst>
          </xdr:cNvPr>
          <xdr:cNvCxnSpPr/>
        </xdr:nvCxnSpPr>
        <xdr:spPr>
          <a:xfrm>
            <a:off x="1395413" y="2428875"/>
            <a:ext cx="1447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8" name="Straight Connector 1927">
            <a:extLst>
              <a:ext uri="{FF2B5EF4-FFF2-40B4-BE49-F238E27FC236}">
                <a16:creationId xmlns:a16="http://schemas.microsoft.com/office/drawing/2014/main" id="{9D3D3C44-D189-6E0B-CD6D-F5AFAB79E301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0" name="Straight Connector 1929">
            <a:extLst>
              <a:ext uri="{FF2B5EF4-FFF2-40B4-BE49-F238E27FC236}">
                <a16:creationId xmlns:a16="http://schemas.microsoft.com/office/drawing/2014/main" id="{DFC99938-9346-ED5A-F8C9-4103BBFBA87F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6" name="Straight Connector 1945">
            <a:extLst>
              <a:ext uri="{FF2B5EF4-FFF2-40B4-BE49-F238E27FC236}">
                <a16:creationId xmlns:a16="http://schemas.microsoft.com/office/drawing/2014/main" id="{D5175EB1-DBDB-F811-1B02-BE78D9D7F4B6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7" name="Straight Connector 1946">
            <a:extLst>
              <a:ext uri="{FF2B5EF4-FFF2-40B4-BE49-F238E27FC236}">
                <a16:creationId xmlns:a16="http://schemas.microsoft.com/office/drawing/2014/main" id="{EBCE0FA9-9CA0-AC98-B90C-15B36803DEA7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9" name="Straight Connector 1948">
            <a:extLst>
              <a:ext uri="{FF2B5EF4-FFF2-40B4-BE49-F238E27FC236}">
                <a16:creationId xmlns:a16="http://schemas.microsoft.com/office/drawing/2014/main" id="{788E9DED-3591-10B5-45FC-7C2F8AA90C5D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0" name="Straight Connector 1949">
            <a:extLst>
              <a:ext uri="{FF2B5EF4-FFF2-40B4-BE49-F238E27FC236}">
                <a16:creationId xmlns:a16="http://schemas.microsoft.com/office/drawing/2014/main" id="{39F3ECCE-3BD7-81D9-23EE-4332E5674A96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1" name="Straight Connector 1950">
            <a:extLst>
              <a:ext uri="{FF2B5EF4-FFF2-40B4-BE49-F238E27FC236}">
                <a16:creationId xmlns:a16="http://schemas.microsoft.com/office/drawing/2014/main" id="{D566FB24-0790-A66D-CE55-DCA045374186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4" name="Straight Connector 1953">
            <a:extLst>
              <a:ext uri="{FF2B5EF4-FFF2-40B4-BE49-F238E27FC236}">
                <a16:creationId xmlns:a16="http://schemas.microsoft.com/office/drawing/2014/main" id="{94C3D486-C727-4CAC-A371-C813115D8AA2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5" name="Straight Connector 1954">
            <a:extLst>
              <a:ext uri="{FF2B5EF4-FFF2-40B4-BE49-F238E27FC236}">
                <a16:creationId xmlns:a16="http://schemas.microsoft.com/office/drawing/2014/main" id="{17ABDF4B-D4AC-948E-9AD5-A4535049EBB0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161060</xdr:colOff>
      <xdr:row>433</xdr:row>
      <xdr:rowOff>133353</xdr:rowOff>
    </xdr:from>
    <xdr:to>
      <xdr:col>36</xdr:col>
      <xdr:colOff>76961</xdr:colOff>
      <xdr:row>442</xdr:row>
      <xdr:rowOff>66675</xdr:rowOff>
    </xdr:to>
    <xdr:grpSp>
      <xdr:nvGrpSpPr>
        <xdr:cNvPr id="1974" name="Group 1973">
          <a:extLst>
            <a:ext uri="{FF2B5EF4-FFF2-40B4-BE49-F238E27FC236}">
              <a16:creationId xmlns:a16="http://schemas.microsoft.com/office/drawing/2014/main" id="{49CE6FB3-4BDC-BBF4-B9A2-BAEF58892CF1}"/>
            </a:ext>
          </a:extLst>
        </xdr:cNvPr>
        <xdr:cNvGrpSpPr/>
      </xdr:nvGrpSpPr>
      <xdr:grpSpPr>
        <a:xfrm>
          <a:off x="3075710" y="66360678"/>
          <a:ext cx="2830551" cy="1219197"/>
          <a:chOff x="3075710" y="66503553"/>
          <a:chExt cx="2830551" cy="1219197"/>
        </a:xfrm>
      </xdr:grpSpPr>
      <xdr:cxnSp macro="">
        <xdr:nvCxnSpPr>
          <xdr:cNvPr id="1976" name="Straight Arrow Connector 1975">
            <a:extLst>
              <a:ext uri="{FF2B5EF4-FFF2-40B4-BE49-F238E27FC236}">
                <a16:creationId xmlns:a16="http://schemas.microsoft.com/office/drawing/2014/main" id="{080AAFEC-65ED-4C6F-4BF3-E31AAB31225C}"/>
              </a:ext>
            </a:extLst>
          </xdr:cNvPr>
          <xdr:cNvCxnSpPr/>
        </xdr:nvCxnSpPr>
        <xdr:spPr>
          <a:xfrm>
            <a:off x="3400425" y="6655593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8" name="Straight Arrow Connector 1977">
            <a:extLst>
              <a:ext uri="{FF2B5EF4-FFF2-40B4-BE49-F238E27FC236}">
                <a16:creationId xmlns:a16="http://schemas.microsoft.com/office/drawing/2014/main" id="{79720641-F191-3F8B-972D-1733798A2C74}"/>
              </a:ext>
            </a:extLst>
          </xdr:cNvPr>
          <xdr:cNvCxnSpPr/>
        </xdr:nvCxnSpPr>
        <xdr:spPr>
          <a:xfrm>
            <a:off x="5829300" y="6655117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8DC42D77-B3CF-DECA-DED5-11FD71BDE7B9}"/>
              </a:ext>
            </a:extLst>
          </xdr:cNvPr>
          <xdr:cNvSpPr/>
        </xdr:nvSpPr>
        <xdr:spPr>
          <a:xfrm>
            <a:off x="3243263" y="66655950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82" name="Straight Connector 1981">
            <a:extLst>
              <a:ext uri="{FF2B5EF4-FFF2-40B4-BE49-F238E27FC236}">
                <a16:creationId xmlns:a16="http://schemas.microsoft.com/office/drawing/2014/main" id="{31F21F3F-62AD-25E7-04D3-F3BC454843A9}"/>
              </a:ext>
            </a:extLst>
          </xdr:cNvPr>
          <xdr:cNvCxnSpPr/>
        </xdr:nvCxnSpPr>
        <xdr:spPr>
          <a:xfrm>
            <a:off x="3400425" y="6665595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3" name="Straight Connector 1982">
            <a:extLst>
              <a:ext uri="{FF2B5EF4-FFF2-40B4-BE49-F238E27FC236}">
                <a16:creationId xmlns:a16="http://schemas.microsoft.com/office/drawing/2014/main" id="{99A5AA1A-A496-95ED-A5B7-7C2DCB881E98}"/>
              </a:ext>
            </a:extLst>
          </xdr:cNvPr>
          <xdr:cNvCxnSpPr/>
        </xdr:nvCxnSpPr>
        <xdr:spPr>
          <a:xfrm>
            <a:off x="3400425" y="66798825"/>
            <a:ext cx="24288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5" name="Straight Arrow Connector 1494">
            <a:extLst>
              <a:ext uri="{FF2B5EF4-FFF2-40B4-BE49-F238E27FC236}">
                <a16:creationId xmlns:a16="http://schemas.microsoft.com/office/drawing/2014/main" id="{2C7A068D-6C41-B3D6-7D85-B4F581128105}"/>
              </a:ext>
            </a:extLst>
          </xdr:cNvPr>
          <xdr:cNvCxnSpPr/>
        </xdr:nvCxnSpPr>
        <xdr:spPr>
          <a:xfrm>
            <a:off x="3562350" y="6655593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0" name="Straight Arrow Connector 1519">
            <a:extLst>
              <a:ext uri="{FF2B5EF4-FFF2-40B4-BE49-F238E27FC236}">
                <a16:creationId xmlns:a16="http://schemas.microsoft.com/office/drawing/2014/main" id="{6F9BFACE-5B90-45CD-C2CC-7DDCC92C1CD5}"/>
              </a:ext>
            </a:extLst>
          </xdr:cNvPr>
          <xdr:cNvCxnSpPr/>
        </xdr:nvCxnSpPr>
        <xdr:spPr>
          <a:xfrm>
            <a:off x="3724275" y="6655593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5" name="Straight Arrow Connector 1524">
            <a:extLst>
              <a:ext uri="{FF2B5EF4-FFF2-40B4-BE49-F238E27FC236}">
                <a16:creationId xmlns:a16="http://schemas.microsoft.com/office/drawing/2014/main" id="{1E142F86-9518-315D-4DDB-BD092B4C3ED4}"/>
              </a:ext>
            </a:extLst>
          </xdr:cNvPr>
          <xdr:cNvCxnSpPr/>
        </xdr:nvCxnSpPr>
        <xdr:spPr>
          <a:xfrm>
            <a:off x="3886200" y="6655117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5" name="Straight Connector 1594">
            <a:extLst>
              <a:ext uri="{FF2B5EF4-FFF2-40B4-BE49-F238E27FC236}">
                <a16:creationId xmlns:a16="http://schemas.microsoft.com/office/drawing/2014/main" id="{2189D251-A5A9-EBBB-3D30-31DFE703F95E}"/>
              </a:ext>
            </a:extLst>
          </xdr:cNvPr>
          <xdr:cNvCxnSpPr/>
        </xdr:nvCxnSpPr>
        <xdr:spPr>
          <a:xfrm>
            <a:off x="3400426" y="66551175"/>
            <a:ext cx="24384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6" name="Straight Arrow Connector 1615">
            <a:extLst>
              <a:ext uri="{FF2B5EF4-FFF2-40B4-BE49-F238E27FC236}">
                <a16:creationId xmlns:a16="http://schemas.microsoft.com/office/drawing/2014/main" id="{BA92E3BD-01FB-B2A1-27C3-7BF2228D03B0}"/>
              </a:ext>
            </a:extLst>
          </xdr:cNvPr>
          <xdr:cNvCxnSpPr/>
        </xdr:nvCxnSpPr>
        <xdr:spPr>
          <a:xfrm>
            <a:off x="4048125" y="6655593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2" name="Straight Arrow Connector 1621">
            <a:extLst>
              <a:ext uri="{FF2B5EF4-FFF2-40B4-BE49-F238E27FC236}">
                <a16:creationId xmlns:a16="http://schemas.microsoft.com/office/drawing/2014/main" id="{79AE36B2-8928-45CE-590B-F09F1EF314D4}"/>
              </a:ext>
            </a:extLst>
          </xdr:cNvPr>
          <xdr:cNvCxnSpPr/>
        </xdr:nvCxnSpPr>
        <xdr:spPr>
          <a:xfrm>
            <a:off x="4210050" y="6655593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3" name="Straight Arrow Connector 1622">
            <a:extLst>
              <a:ext uri="{FF2B5EF4-FFF2-40B4-BE49-F238E27FC236}">
                <a16:creationId xmlns:a16="http://schemas.microsoft.com/office/drawing/2014/main" id="{0B032A58-A72E-1891-183E-4CD2E01ECE92}"/>
              </a:ext>
            </a:extLst>
          </xdr:cNvPr>
          <xdr:cNvCxnSpPr/>
        </xdr:nvCxnSpPr>
        <xdr:spPr>
          <a:xfrm>
            <a:off x="4371975" y="6655117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5" name="Straight Arrow Connector 1624">
            <a:extLst>
              <a:ext uri="{FF2B5EF4-FFF2-40B4-BE49-F238E27FC236}">
                <a16:creationId xmlns:a16="http://schemas.microsoft.com/office/drawing/2014/main" id="{F4BEC699-18F0-ADB1-C614-BBAC55635FF4}"/>
              </a:ext>
            </a:extLst>
          </xdr:cNvPr>
          <xdr:cNvCxnSpPr/>
        </xdr:nvCxnSpPr>
        <xdr:spPr>
          <a:xfrm>
            <a:off x="4533900" y="6655593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8" name="Straight Arrow Connector 1627">
            <a:extLst>
              <a:ext uri="{FF2B5EF4-FFF2-40B4-BE49-F238E27FC236}">
                <a16:creationId xmlns:a16="http://schemas.microsoft.com/office/drawing/2014/main" id="{598E5E48-675E-EE77-D41B-89CD32976B4A}"/>
              </a:ext>
            </a:extLst>
          </xdr:cNvPr>
          <xdr:cNvCxnSpPr/>
        </xdr:nvCxnSpPr>
        <xdr:spPr>
          <a:xfrm>
            <a:off x="4695825" y="6655593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0" name="Straight Arrow Connector 1629">
            <a:extLst>
              <a:ext uri="{FF2B5EF4-FFF2-40B4-BE49-F238E27FC236}">
                <a16:creationId xmlns:a16="http://schemas.microsoft.com/office/drawing/2014/main" id="{BFAB4BCC-B4B2-F7F9-BC43-A6C461DC463B}"/>
              </a:ext>
            </a:extLst>
          </xdr:cNvPr>
          <xdr:cNvCxnSpPr/>
        </xdr:nvCxnSpPr>
        <xdr:spPr>
          <a:xfrm>
            <a:off x="4857750" y="6655593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1" name="Straight Arrow Connector 1630">
            <a:extLst>
              <a:ext uri="{FF2B5EF4-FFF2-40B4-BE49-F238E27FC236}">
                <a16:creationId xmlns:a16="http://schemas.microsoft.com/office/drawing/2014/main" id="{420C1DC4-5440-7791-DCBF-25A3F6748060}"/>
              </a:ext>
            </a:extLst>
          </xdr:cNvPr>
          <xdr:cNvCxnSpPr/>
        </xdr:nvCxnSpPr>
        <xdr:spPr>
          <a:xfrm>
            <a:off x="5019675" y="6655117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3" name="Straight Arrow Connector 1632">
            <a:extLst>
              <a:ext uri="{FF2B5EF4-FFF2-40B4-BE49-F238E27FC236}">
                <a16:creationId xmlns:a16="http://schemas.microsoft.com/office/drawing/2014/main" id="{5BCF07E6-907B-668E-AB60-7BCE2923655C}"/>
              </a:ext>
            </a:extLst>
          </xdr:cNvPr>
          <xdr:cNvCxnSpPr/>
        </xdr:nvCxnSpPr>
        <xdr:spPr>
          <a:xfrm>
            <a:off x="5181600" y="66555937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5" name="Straight Arrow Connector 1634">
            <a:extLst>
              <a:ext uri="{FF2B5EF4-FFF2-40B4-BE49-F238E27FC236}">
                <a16:creationId xmlns:a16="http://schemas.microsoft.com/office/drawing/2014/main" id="{40A7D13C-CFCD-3B59-B45B-38B51E36F199}"/>
              </a:ext>
            </a:extLst>
          </xdr:cNvPr>
          <xdr:cNvCxnSpPr/>
        </xdr:nvCxnSpPr>
        <xdr:spPr>
          <a:xfrm>
            <a:off x="5343525" y="6655593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6" name="Straight Arrow Connector 1635">
            <a:extLst>
              <a:ext uri="{FF2B5EF4-FFF2-40B4-BE49-F238E27FC236}">
                <a16:creationId xmlns:a16="http://schemas.microsoft.com/office/drawing/2014/main" id="{9F907B5E-561E-B660-EE26-FD49073B3669}"/>
              </a:ext>
            </a:extLst>
          </xdr:cNvPr>
          <xdr:cNvCxnSpPr/>
        </xdr:nvCxnSpPr>
        <xdr:spPr>
          <a:xfrm>
            <a:off x="5505450" y="66551175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7" name="Straight Arrow Connector 1636">
            <a:extLst>
              <a:ext uri="{FF2B5EF4-FFF2-40B4-BE49-F238E27FC236}">
                <a16:creationId xmlns:a16="http://schemas.microsoft.com/office/drawing/2014/main" id="{74B68F6A-0152-E7CE-28BF-12772454FADF}"/>
              </a:ext>
            </a:extLst>
          </xdr:cNvPr>
          <xdr:cNvCxnSpPr/>
        </xdr:nvCxnSpPr>
        <xdr:spPr>
          <a:xfrm>
            <a:off x="5667375" y="66555938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8" name="Straight Connector 1637">
            <a:extLst>
              <a:ext uri="{FF2B5EF4-FFF2-40B4-BE49-F238E27FC236}">
                <a16:creationId xmlns:a16="http://schemas.microsoft.com/office/drawing/2014/main" id="{1886E5A2-81B3-3661-C544-4C72FA0408A1}"/>
              </a:ext>
            </a:extLst>
          </xdr:cNvPr>
          <xdr:cNvCxnSpPr/>
        </xdr:nvCxnSpPr>
        <xdr:spPr>
          <a:xfrm>
            <a:off x="4767263" y="66503553"/>
            <a:ext cx="85725" cy="12382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39" name="Arc 1638">
            <a:extLst>
              <a:ext uri="{FF2B5EF4-FFF2-40B4-BE49-F238E27FC236}">
                <a16:creationId xmlns:a16="http://schemas.microsoft.com/office/drawing/2014/main" id="{4C04AEC6-DE69-5257-758A-60694CECD958}"/>
              </a:ext>
            </a:extLst>
          </xdr:cNvPr>
          <xdr:cNvSpPr/>
        </xdr:nvSpPr>
        <xdr:spPr>
          <a:xfrm rot="13409232">
            <a:off x="3075710" y="66526498"/>
            <a:ext cx="554180" cy="554180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640" name="Straight Connector 1639">
            <a:extLst>
              <a:ext uri="{FF2B5EF4-FFF2-40B4-BE49-F238E27FC236}">
                <a16:creationId xmlns:a16="http://schemas.microsoft.com/office/drawing/2014/main" id="{19359B00-8901-0567-ACC5-74EA46F14668}"/>
              </a:ext>
            </a:extLst>
          </xdr:cNvPr>
          <xdr:cNvCxnSpPr/>
        </xdr:nvCxnSpPr>
        <xdr:spPr>
          <a:xfrm>
            <a:off x="3400426" y="66979797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2" name="Straight Arrow Connector 1641">
            <a:extLst>
              <a:ext uri="{FF2B5EF4-FFF2-40B4-BE49-F238E27FC236}">
                <a16:creationId xmlns:a16="http://schemas.microsoft.com/office/drawing/2014/main" id="{6F321EFA-D751-2B94-B853-F5AFE9B82BE1}"/>
              </a:ext>
            </a:extLst>
          </xdr:cNvPr>
          <xdr:cNvCxnSpPr/>
        </xdr:nvCxnSpPr>
        <xdr:spPr>
          <a:xfrm>
            <a:off x="3405187" y="67165537"/>
            <a:ext cx="433388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3" name="Straight Connector 1642">
            <a:extLst>
              <a:ext uri="{FF2B5EF4-FFF2-40B4-BE49-F238E27FC236}">
                <a16:creationId xmlns:a16="http://schemas.microsoft.com/office/drawing/2014/main" id="{E5A1443B-5DFE-4F9D-E411-8AB8A6F04D5A}"/>
              </a:ext>
            </a:extLst>
          </xdr:cNvPr>
          <xdr:cNvCxnSpPr/>
        </xdr:nvCxnSpPr>
        <xdr:spPr>
          <a:xfrm>
            <a:off x="3400425" y="67517963"/>
            <a:ext cx="0" cy="204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4" name="Straight Connector 1643">
            <a:extLst>
              <a:ext uri="{FF2B5EF4-FFF2-40B4-BE49-F238E27FC236}">
                <a16:creationId xmlns:a16="http://schemas.microsoft.com/office/drawing/2014/main" id="{035CAD7B-6608-A17E-864B-3AC7F4E1B079}"/>
              </a:ext>
            </a:extLst>
          </xdr:cNvPr>
          <xdr:cNvCxnSpPr/>
        </xdr:nvCxnSpPr>
        <xdr:spPr>
          <a:xfrm>
            <a:off x="3324223" y="67656075"/>
            <a:ext cx="2571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5" name="Straight Connector 1644">
            <a:extLst>
              <a:ext uri="{FF2B5EF4-FFF2-40B4-BE49-F238E27FC236}">
                <a16:creationId xmlns:a16="http://schemas.microsoft.com/office/drawing/2014/main" id="{62C1D345-8F8F-70E4-9049-F44637EB26CB}"/>
              </a:ext>
            </a:extLst>
          </xdr:cNvPr>
          <xdr:cNvCxnSpPr/>
        </xdr:nvCxnSpPr>
        <xdr:spPr>
          <a:xfrm flipH="1">
            <a:off x="3362324" y="676227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8" name="Straight Connector 1647">
            <a:extLst>
              <a:ext uri="{FF2B5EF4-FFF2-40B4-BE49-F238E27FC236}">
                <a16:creationId xmlns:a16="http://schemas.microsoft.com/office/drawing/2014/main" id="{168ACE91-2CC6-87D1-B3AB-1CF44F01DA2D}"/>
              </a:ext>
            </a:extLst>
          </xdr:cNvPr>
          <xdr:cNvCxnSpPr/>
        </xdr:nvCxnSpPr>
        <xdr:spPr>
          <a:xfrm>
            <a:off x="5829300" y="67517963"/>
            <a:ext cx="0" cy="204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0" name="Straight Connector 1649">
            <a:extLst>
              <a:ext uri="{FF2B5EF4-FFF2-40B4-BE49-F238E27FC236}">
                <a16:creationId xmlns:a16="http://schemas.microsoft.com/office/drawing/2014/main" id="{1D6EEF6E-E306-0704-0351-BF48154F2861}"/>
              </a:ext>
            </a:extLst>
          </xdr:cNvPr>
          <xdr:cNvCxnSpPr/>
        </xdr:nvCxnSpPr>
        <xdr:spPr>
          <a:xfrm flipH="1">
            <a:off x="5791199" y="676227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1" name="Straight Connector 1650">
            <a:extLst>
              <a:ext uri="{FF2B5EF4-FFF2-40B4-BE49-F238E27FC236}">
                <a16:creationId xmlns:a16="http://schemas.microsoft.com/office/drawing/2014/main" id="{48417F60-4B73-A169-CC72-6BB0E875D1AE}"/>
              </a:ext>
            </a:extLst>
          </xdr:cNvPr>
          <xdr:cNvCxnSpPr/>
        </xdr:nvCxnSpPr>
        <xdr:spPr>
          <a:xfrm>
            <a:off x="5834063" y="66965510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6" name="Isosceles Triangle 1655">
            <a:extLst>
              <a:ext uri="{FF2B5EF4-FFF2-40B4-BE49-F238E27FC236}">
                <a16:creationId xmlns:a16="http://schemas.microsoft.com/office/drawing/2014/main" id="{D86C9BBF-969F-A953-02E6-BE850C805C94}"/>
              </a:ext>
            </a:extLst>
          </xdr:cNvPr>
          <xdr:cNvSpPr/>
        </xdr:nvSpPr>
        <xdr:spPr>
          <a:xfrm>
            <a:off x="5762625" y="66808350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45</xdr:col>
      <xdr:colOff>0</xdr:colOff>
      <xdr:row>442</xdr:row>
      <xdr:rowOff>0</xdr:rowOff>
    </xdr:from>
    <xdr:to>
      <xdr:col>61</xdr:col>
      <xdr:colOff>72198</xdr:colOff>
      <xdr:row>444</xdr:row>
      <xdr:rowOff>9525</xdr:rowOff>
    </xdr:to>
    <xdr:grpSp>
      <xdr:nvGrpSpPr>
        <xdr:cNvPr id="1665" name="Group 1664">
          <a:extLst>
            <a:ext uri="{FF2B5EF4-FFF2-40B4-BE49-F238E27FC236}">
              <a16:creationId xmlns:a16="http://schemas.microsoft.com/office/drawing/2014/main" id="{C64F9A65-2B55-0C4F-5095-9889AAF9E4AF}"/>
            </a:ext>
          </a:extLst>
        </xdr:cNvPr>
        <xdr:cNvGrpSpPr/>
      </xdr:nvGrpSpPr>
      <xdr:grpSpPr>
        <a:xfrm>
          <a:off x="7286625" y="67513200"/>
          <a:ext cx="2662998" cy="295275"/>
          <a:chOff x="7286625" y="220675200"/>
          <a:chExt cx="2662998" cy="295275"/>
        </a:xfrm>
      </xdr:grpSpPr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C8570A66-31B9-4115-A26F-24FF3098ABFB}"/>
              </a:ext>
            </a:extLst>
          </xdr:cNvPr>
          <xdr:cNvSpPr/>
        </xdr:nvSpPr>
        <xdr:spPr>
          <a:xfrm>
            <a:off x="7286625" y="220675200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58" name="Straight Connector 1657">
            <a:extLst>
              <a:ext uri="{FF2B5EF4-FFF2-40B4-BE49-F238E27FC236}">
                <a16:creationId xmlns:a16="http://schemas.microsoft.com/office/drawing/2014/main" id="{0288E129-82B9-485E-B149-DC946E4C5C92}"/>
              </a:ext>
            </a:extLst>
          </xdr:cNvPr>
          <xdr:cNvCxnSpPr/>
        </xdr:nvCxnSpPr>
        <xdr:spPr>
          <a:xfrm>
            <a:off x="7443787" y="22067520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2" name="Straight Connector 1661">
            <a:extLst>
              <a:ext uri="{FF2B5EF4-FFF2-40B4-BE49-F238E27FC236}">
                <a16:creationId xmlns:a16="http://schemas.microsoft.com/office/drawing/2014/main" id="{A70B4E7E-9830-4981-99FE-012BB778C0C6}"/>
              </a:ext>
            </a:extLst>
          </xdr:cNvPr>
          <xdr:cNvCxnSpPr/>
        </xdr:nvCxnSpPr>
        <xdr:spPr>
          <a:xfrm>
            <a:off x="7443787" y="220818075"/>
            <a:ext cx="24288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63" name="Isosceles Triangle 1662">
            <a:extLst>
              <a:ext uri="{FF2B5EF4-FFF2-40B4-BE49-F238E27FC236}">
                <a16:creationId xmlns:a16="http://schemas.microsoft.com/office/drawing/2014/main" id="{FB47F3FE-0DD1-4E2E-BC64-6E6228F51B89}"/>
              </a:ext>
            </a:extLst>
          </xdr:cNvPr>
          <xdr:cNvSpPr/>
        </xdr:nvSpPr>
        <xdr:spPr>
          <a:xfrm>
            <a:off x="9805987" y="220827600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57150</xdr:colOff>
      <xdr:row>451</xdr:row>
      <xdr:rowOff>66675</xdr:rowOff>
    </xdr:from>
    <xdr:to>
      <xdr:col>7</xdr:col>
      <xdr:colOff>109537</xdr:colOff>
      <xdr:row>451</xdr:row>
      <xdr:rowOff>66675</xdr:rowOff>
    </xdr:to>
    <xdr:cxnSp macro="">
      <xdr:nvCxnSpPr>
        <xdr:cNvPr id="1666" name="Straight Arrow Connector 1665">
          <a:extLst>
            <a:ext uri="{FF2B5EF4-FFF2-40B4-BE49-F238E27FC236}">
              <a16:creationId xmlns:a16="http://schemas.microsoft.com/office/drawing/2014/main" id="{96C85242-FC51-4B4A-BAF2-5BA0DB7717CA}"/>
            </a:ext>
          </a:extLst>
        </xdr:cNvPr>
        <xdr:cNvCxnSpPr/>
      </xdr:nvCxnSpPr>
      <xdr:spPr>
        <a:xfrm>
          <a:off x="1190625" y="2166842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452</xdr:row>
      <xdr:rowOff>66675</xdr:rowOff>
    </xdr:from>
    <xdr:to>
      <xdr:col>7</xdr:col>
      <xdr:colOff>109537</xdr:colOff>
      <xdr:row>452</xdr:row>
      <xdr:rowOff>66675</xdr:rowOff>
    </xdr:to>
    <xdr:cxnSp macro="">
      <xdr:nvCxnSpPr>
        <xdr:cNvPr id="1668" name="Straight Arrow Connector 1667">
          <a:extLst>
            <a:ext uri="{FF2B5EF4-FFF2-40B4-BE49-F238E27FC236}">
              <a16:creationId xmlns:a16="http://schemas.microsoft.com/office/drawing/2014/main" id="{F88E161A-A1CB-4833-97BE-39844F3DDA55}"/>
            </a:ext>
          </a:extLst>
        </xdr:cNvPr>
        <xdr:cNvCxnSpPr/>
      </xdr:nvCxnSpPr>
      <xdr:spPr>
        <a:xfrm>
          <a:off x="1028700" y="2250281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453</xdr:row>
      <xdr:rowOff>66675</xdr:rowOff>
    </xdr:from>
    <xdr:to>
      <xdr:col>7</xdr:col>
      <xdr:colOff>109537</xdr:colOff>
      <xdr:row>453</xdr:row>
      <xdr:rowOff>66675</xdr:rowOff>
    </xdr:to>
    <xdr:cxnSp macro="">
      <xdr:nvCxnSpPr>
        <xdr:cNvPr id="1763" name="Straight Arrow Connector 1762">
          <a:extLst>
            <a:ext uri="{FF2B5EF4-FFF2-40B4-BE49-F238E27FC236}">
              <a16:creationId xmlns:a16="http://schemas.microsoft.com/office/drawing/2014/main" id="{AB432A45-6F82-4EF2-A2C8-6FF1B8DF9D35}"/>
            </a:ext>
          </a:extLst>
        </xdr:cNvPr>
        <xdr:cNvCxnSpPr/>
      </xdr:nvCxnSpPr>
      <xdr:spPr>
        <a:xfrm>
          <a:off x="1028700" y="2251710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57150</xdr:colOff>
      <xdr:row>453</xdr:row>
      <xdr:rowOff>66675</xdr:rowOff>
    </xdr:from>
    <xdr:to>
      <xdr:col>33</xdr:col>
      <xdr:colOff>109537</xdr:colOff>
      <xdr:row>453</xdr:row>
      <xdr:rowOff>66675</xdr:rowOff>
    </xdr:to>
    <xdr:cxnSp macro="">
      <xdr:nvCxnSpPr>
        <xdr:cNvPr id="1768" name="Straight Arrow Connector 1767">
          <a:extLst>
            <a:ext uri="{FF2B5EF4-FFF2-40B4-BE49-F238E27FC236}">
              <a16:creationId xmlns:a16="http://schemas.microsoft.com/office/drawing/2014/main" id="{51AF4892-5AA9-4A13-AA62-27B66E0FDC18}"/>
            </a:ext>
          </a:extLst>
        </xdr:cNvPr>
        <xdr:cNvCxnSpPr/>
      </xdr:nvCxnSpPr>
      <xdr:spPr>
        <a:xfrm>
          <a:off x="1028700" y="2253138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454</xdr:row>
      <xdr:rowOff>66675</xdr:rowOff>
    </xdr:from>
    <xdr:to>
      <xdr:col>7</xdr:col>
      <xdr:colOff>109537</xdr:colOff>
      <xdr:row>454</xdr:row>
      <xdr:rowOff>66675</xdr:rowOff>
    </xdr:to>
    <xdr:cxnSp macro="">
      <xdr:nvCxnSpPr>
        <xdr:cNvPr id="1769" name="Straight Arrow Connector 1768">
          <a:extLst>
            <a:ext uri="{FF2B5EF4-FFF2-40B4-BE49-F238E27FC236}">
              <a16:creationId xmlns:a16="http://schemas.microsoft.com/office/drawing/2014/main" id="{057581AC-6549-4D08-BDD7-978DECBF15AB}"/>
            </a:ext>
          </a:extLst>
        </xdr:cNvPr>
        <xdr:cNvCxnSpPr/>
      </xdr:nvCxnSpPr>
      <xdr:spPr>
        <a:xfrm>
          <a:off x="1028700" y="2253138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57150</xdr:colOff>
      <xdr:row>454</xdr:row>
      <xdr:rowOff>66675</xdr:rowOff>
    </xdr:from>
    <xdr:to>
      <xdr:col>25</xdr:col>
      <xdr:colOff>109537</xdr:colOff>
      <xdr:row>454</xdr:row>
      <xdr:rowOff>66675</xdr:rowOff>
    </xdr:to>
    <xdr:cxnSp macro="">
      <xdr:nvCxnSpPr>
        <xdr:cNvPr id="1820" name="Straight Arrow Connector 1819">
          <a:extLst>
            <a:ext uri="{FF2B5EF4-FFF2-40B4-BE49-F238E27FC236}">
              <a16:creationId xmlns:a16="http://schemas.microsoft.com/office/drawing/2014/main" id="{C372CA4C-A474-4019-9EBB-DD392ED23B7C}"/>
            </a:ext>
          </a:extLst>
        </xdr:cNvPr>
        <xdr:cNvCxnSpPr/>
      </xdr:nvCxnSpPr>
      <xdr:spPr>
        <a:xfrm>
          <a:off x="5238750" y="2253138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85725</xdr:colOff>
      <xdr:row>1633</xdr:row>
      <xdr:rowOff>142874</xdr:rowOff>
    </xdr:from>
    <xdr:to>
      <xdr:col>70</xdr:col>
      <xdr:colOff>67435</xdr:colOff>
      <xdr:row>1634</xdr:row>
      <xdr:rowOff>133348</xdr:rowOff>
    </xdr:to>
    <xdr:grpSp>
      <xdr:nvGrpSpPr>
        <xdr:cNvPr id="2148" name="Group 2147">
          <a:extLst>
            <a:ext uri="{FF2B5EF4-FFF2-40B4-BE49-F238E27FC236}">
              <a16:creationId xmlns:a16="http://schemas.microsoft.com/office/drawing/2014/main" id="{B0B6D32B-CEDF-4131-8239-EA6C55A48897}"/>
            </a:ext>
          </a:extLst>
        </xdr:cNvPr>
        <xdr:cNvGrpSpPr/>
      </xdr:nvGrpSpPr>
      <xdr:grpSpPr>
        <a:xfrm>
          <a:off x="7696200" y="246078374"/>
          <a:ext cx="3705985" cy="133349"/>
          <a:chOff x="4462462" y="223685100"/>
          <a:chExt cx="3705985" cy="133349"/>
        </a:xfrm>
      </xdr:grpSpPr>
      <xdr:cxnSp macro="">
        <xdr:nvCxnSpPr>
          <xdr:cNvPr id="2149" name="Straight Connector 2148">
            <a:extLst>
              <a:ext uri="{FF2B5EF4-FFF2-40B4-BE49-F238E27FC236}">
                <a16:creationId xmlns:a16="http://schemas.microsoft.com/office/drawing/2014/main" id="{8ABD1067-22C5-0C85-8FAA-F67C04CBB5A5}"/>
              </a:ext>
            </a:extLst>
          </xdr:cNvPr>
          <xdr:cNvCxnSpPr/>
        </xdr:nvCxnSpPr>
        <xdr:spPr>
          <a:xfrm>
            <a:off x="4533900" y="223685100"/>
            <a:ext cx="35623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52" name="Isosceles Triangle 2151">
            <a:extLst>
              <a:ext uri="{FF2B5EF4-FFF2-40B4-BE49-F238E27FC236}">
                <a16:creationId xmlns:a16="http://schemas.microsoft.com/office/drawing/2014/main" id="{E685911C-85D4-7B3A-C31F-B87F51EB23C4}"/>
              </a:ext>
            </a:extLst>
          </xdr:cNvPr>
          <xdr:cNvSpPr/>
        </xdr:nvSpPr>
        <xdr:spPr>
          <a:xfrm>
            <a:off x="4462462" y="223694625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53" name="Isosceles Triangle 2152">
            <a:extLst>
              <a:ext uri="{FF2B5EF4-FFF2-40B4-BE49-F238E27FC236}">
                <a16:creationId xmlns:a16="http://schemas.microsoft.com/office/drawing/2014/main" id="{EEC5F0F3-0FE5-9CFD-5778-9A002056CBBC}"/>
              </a:ext>
            </a:extLst>
          </xdr:cNvPr>
          <xdr:cNvSpPr/>
        </xdr:nvSpPr>
        <xdr:spPr>
          <a:xfrm>
            <a:off x="8024811" y="223689863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45</xdr:col>
      <xdr:colOff>95250</xdr:colOff>
      <xdr:row>1623</xdr:row>
      <xdr:rowOff>109538</xdr:rowOff>
    </xdr:from>
    <xdr:to>
      <xdr:col>74</xdr:col>
      <xdr:colOff>61913</xdr:colOff>
      <xdr:row>1630</xdr:row>
      <xdr:rowOff>28575</xdr:rowOff>
    </xdr:to>
    <xdr:grpSp>
      <xdr:nvGrpSpPr>
        <xdr:cNvPr id="3525" name="Group 3524">
          <a:extLst>
            <a:ext uri="{FF2B5EF4-FFF2-40B4-BE49-F238E27FC236}">
              <a16:creationId xmlns:a16="http://schemas.microsoft.com/office/drawing/2014/main" id="{15DD2348-E64B-0579-D70F-9946BB27F807}"/>
            </a:ext>
          </a:extLst>
        </xdr:cNvPr>
        <xdr:cNvGrpSpPr/>
      </xdr:nvGrpSpPr>
      <xdr:grpSpPr>
        <a:xfrm>
          <a:off x="7381875" y="244616288"/>
          <a:ext cx="4662488" cy="919162"/>
          <a:chOff x="7381875" y="244616288"/>
          <a:chExt cx="4662488" cy="919162"/>
        </a:xfrm>
      </xdr:grpSpPr>
      <xdr:sp macro="" textlink="">
        <xdr:nvSpPr>
          <xdr:cNvPr id="2181" name="Freeform: Shape 2180">
            <a:extLst>
              <a:ext uri="{FF2B5EF4-FFF2-40B4-BE49-F238E27FC236}">
                <a16:creationId xmlns:a16="http://schemas.microsoft.com/office/drawing/2014/main" id="{E263264E-0B2C-6D31-320E-C130B1910009}"/>
              </a:ext>
            </a:extLst>
          </xdr:cNvPr>
          <xdr:cNvSpPr/>
        </xdr:nvSpPr>
        <xdr:spPr>
          <a:xfrm>
            <a:off x="7772401" y="244678203"/>
            <a:ext cx="3562350" cy="795337"/>
          </a:xfrm>
          <a:custGeom>
            <a:avLst/>
            <a:gdLst>
              <a:gd name="connsiteX0" fmla="*/ 0 w 3562350"/>
              <a:gd name="connsiteY0" fmla="*/ 595312 h 795337"/>
              <a:gd name="connsiteX1" fmla="*/ 0 w 3562350"/>
              <a:gd name="connsiteY1" fmla="*/ 195262 h 795337"/>
              <a:gd name="connsiteX2" fmla="*/ 1785938 w 3562350"/>
              <a:gd name="connsiteY2" fmla="*/ 0 h 795337"/>
              <a:gd name="connsiteX3" fmla="*/ 3562350 w 3562350"/>
              <a:gd name="connsiteY3" fmla="*/ 195262 h 795337"/>
              <a:gd name="connsiteX4" fmla="*/ 3562350 w 3562350"/>
              <a:gd name="connsiteY4" fmla="*/ 595312 h 795337"/>
              <a:gd name="connsiteX5" fmla="*/ 1785938 w 3562350"/>
              <a:gd name="connsiteY5" fmla="*/ 795337 h 795337"/>
              <a:gd name="connsiteX6" fmla="*/ 0 w 3562350"/>
              <a:gd name="connsiteY6" fmla="*/ 595312 h 7953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562350" h="795337">
                <a:moveTo>
                  <a:pt x="0" y="595312"/>
                </a:moveTo>
                <a:lnTo>
                  <a:pt x="0" y="195262"/>
                </a:lnTo>
                <a:lnTo>
                  <a:pt x="1785938" y="0"/>
                </a:lnTo>
                <a:lnTo>
                  <a:pt x="3562350" y="195262"/>
                </a:lnTo>
                <a:lnTo>
                  <a:pt x="3562350" y="595312"/>
                </a:lnTo>
                <a:lnTo>
                  <a:pt x="1785938" y="795337"/>
                </a:lnTo>
                <a:lnTo>
                  <a:pt x="0" y="595312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183" name="Straight Connector 2182">
            <a:extLst>
              <a:ext uri="{FF2B5EF4-FFF2-40B4-BE49-F238E27FC236}">
                <a16:creationId xmlns:a16="http://schemas.microsoft.com/office/drawing/2014/main" id="{7DA3CD22-A668-C683-38A3-D0445AF01251}"/>
              </a:ext>
            </a:extLst>
          </xdr:cNvPr>
          <xdr:cNvCxnSpPr/>
        </xdr:nvCxnSpPr>
        <xdr:spPr>
          <a:xfrm>
            <a:off x="7381875" y="244873465"/>
            <a:ext cx="361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5" name="Straight Connector 2184">
            <a:extLst>
              <a:ext uri="{FF2B5EF4-FFF2-40B4-BE49-F238E27FC236}">
                <a16:creationId xmlns:a16="http://schemas.microsoft.com/office/drawing/2014/main" id="{FFBE51CE-5BBF-5454-7E24-D4396469C57A}"/>
              </a:ext>
            </a:extLst>
          </xdr:cNvPr>
          <xdr:cNvCxnSpPr/>
        </xdr:nvCxnSpPr>
        <xdr:spPr>
          <a:xfrm>
            <a:off x="7448550" y="244811550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7" name="Straight Connector 2186">
            <a:extLst>
              <a:ext uri="{FF2B5EF4-FFF2-40B4-BE49-F238E27FC236}">
                <a16:creationId xmlns:a16="http://schemas.microsoft.com/office/drawing/2014/main" id="{3F84600D-2113-7F0A-0D27-3BC8411B5F31}"/>
              </a:ext>
            </a:extLst>
          </xdr:cNvPr>
          <xdr:cNvCxnSpPr/>
        </xdr:nvCxnSpPr>
        <xdr:spPr>
          <a:xfrm>
            <a:off x="7386638" y="245273513"/>
            <a:ext cx="34765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9" name="Straight Connector 2188">
            <a:extLst>
              <a:ext uri="{FF2B5EF4-FFF2-40B4-BE49-F238E27FC236}">
                <a16:creationId xmlns:a16="http://schemas.microsoft.com/office/drawing/2014/main" id="{2C083842-3E6C-281C-B08D-71F11E72CB53}"/>
              </a:ext>
            </a:extLst>
          </xdr:cNvPr>
          <xdr:cNvCxnSpPr/>
        </xdr:nvCxnSpPr>
        <xdr:spPr>
          <a:xfrm flipH="1">
            <a:off x="7415212" y="24484012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0" name="Straight Connector 2189">
            <a:extLst>
              <a:ext uri="{FF2B5EF4-FFF2-40B4-BE49-F238E27FC236}">
                <a16:creationId xmlns:a16="http://schemas.microsoft.com/office/drawing/2014/main" id="{A0CBC23B-3384-4D69-8DE0-F012F33AF176}"/>
              </a:ext>
            </a:extLst>
          </xdr:cNvPr>
          <xdr:cNvCxnSpPr/>
        </xdr:nvCxnSpPr>
        <xdr:spPr>
          <a:xfrm flipH="1">
            <a:off x="7415204" y="24524018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4" name="Straight Connector 2193">
            <a:extLst>
              <a:ext uri="{FF2B5EF4-FFF2-40B4-BE49-F238E27FC236}">
                <a16:creationId xmlns:a16="http://schemas.microsoft.com/office/drawing/2014/main" id="{F4418D15-9EF3-4076-AF79-4CEEF677641B}"/>
              </a:ext>
            </a:extLst>
          </xdr:cNvPr>
          <xdr:cNvCxnSpPr/>
        </xdr:nvCxnSpPr>
        <xdr:spPr>
          <a:xfrm>
            <a:off x="9677400" y="244678198"/>
            <a:ext cx="2362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5" name="Straight Connector 2194">
            <a:extLst>
              <a:ext uri="{FF2B5EF4-FFF2-40B4-BE49-F238E27FC236}">
                <a16:creationId xmlns:a16="http://schemas.microsoft.com/office/drawing/2014/main" id="{0ED3238F-0B31-4DDC-99EB-B775BD630414}"/>
              </a:ext>
            </a:extLst>
          </xdr:cNvPr>
          <xdr:cNvCxnSpPr/>
        </xdr:nvCxnSpPr>
        <xdr:spPr>
          <a:xfrm>
            <a:off x="11982466" y="244616288"/>
            <a:ext cx="0" cy="9191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6" name="Straight Connector 2195">
            <a:extLst>
              <a:ext uri="{FF2B5EF4-FFF2-40B4-BE49-F238E27FC236}">
                <a16:creationId xmlns:a16="http://schemas.microsoft.com/office/drawing/2014/main" id="{5AF5B25F-2480-4C7E-B4BF-EE96F603C366}"/>
              </a:ext>
            </a:extLst>
          </xdr:cNvPr>
          <xdr:cNvCxnSpPr/>
        </xdr:nvCxnSpPr>
        <xdr:spPr>
          <a:xfrm>
            <a:off x="9658350" y="245473545"/>
            <a:ext cx="23860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7" name="Straight Connector 2196">
            <a:extLst>
              <a:ext uri="{FF2B5EF4-FFF2-40B4-BE49-F238E27FC236}">
                <a16:creationId xmlns:a16="http://schemas.microsoft.com/office/drawing/2014/main" id="{385454BB-2BA6-43D5-8424-466F8D3DA218}"/>
              </a:ext>
            </a:extLst>
          </xdr:cNvPr>
          <xdr:cNvCxnSpPr/>
        </xdr:nvCxnSpPr>
        <xdr:spPr>
          <a:xfrm flipH="1">
            <a:off x="11949128" y="24464485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8" name="Straight Connector 2197">
            <a:extLst>
              <a:ext uri="{FF2B5EF4-FFF2-40B4-BE49-F238E27FC236}">
                <a16:creationId xmlns:a16="http://schemas.microsoft.com/office/drawing/2014/main" id="{6EEEEF24-8A07-4F11-A1D4-94314DB5CAE4}"/>
              </a:ext>
            </a:extLst>
          </xdr:cNvPr>
          <xdr:cNvCxnSpPr/>
        </xdr:nvCxnSpPr>
        <xdr:spPr>
          <a:xfrm flipH="1">
            <a:off x="11949120" y="24544021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8" name="Straight Connector 2207">
            <a:extLst>
              <a:ext uri="{FF2B5EF4-FFF2-40B4-BE49-F238E27FC236}">
                <a16:creationId xmlns:a16="http://schemas.microsoft.com/office/drawing/2014/main" id="{9CCC36E9-CAA2-4C41-A746-8EF565383BF1}"/>
              </a:ext>
            </a:extLst>
          </xdr:cNvPr>
          <xdr:cNvCxnSpPr/>
        </xdr:nvCxnSpPr>
        <xdr:spPr>
          <a:xfrm>
            <a:off x="11368092" y="244873465"/>
            <a:ext cx="361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9" name="Straight Connector 2208">
            <a:extLst>
              <a:ext uri="{FF2B5EF4-FFF2-40B4-BE49-F238E27FC236}">
                <a16:creationId xmlns:a16="http://schemas.microsoft.com/office/drawing/2014/main" id="{D7F253B2-C620-4914-8439-3A62606771DB}"/>
              </a:ext>
            </a:extLst>
          </xdr:cNvPr>
          <xdr:cNvCxnSpPr/>
        </xdr:nvCxnSpPr>
        <xdr:spPr>
          <a:xfrm>
            <a:off x="11658600" y="244811550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0" name="Straight Connector 2209">
            <a:extLst>
              <a:ext uri="{FF2B5EF4-FFF2-40B4-BE49-F238E27FC236}">
                <a16:creationId xmlns:a16="http://schemas.microsoft.com/office/drawing/2014/main" id="{85121734-D532-4D21-8EA7-802128D3C8BD}"/>
              </a:ext>
            </a:extLst>
          </xdr:cNvPr>
          <xdr:cNvCxnSpPr/>
        </xdr:nvCxnSpPr>
        <xdr:spPr>
          <a:xfrm>
            <a:off x="11372855" y="245273513"/>
            <a:ext cx="34765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" name="Straight Connector 2210">
            <a:extLst>
              <a:ext uri="{FF2B5EF4-FFF2-40B4-BE49-F238E27FC236}">
                <a16:creationId xmlns:a16="http://schemas.microsoft.com/office/drawing/2014/main" id="{951F4C9B-21AC-4BD7-BCF4-989B75D704C9}"/>
              </a:ext>
            </a:extLst>
          </xdr:cNvPr>
          <xdr:cNvCxnSpPr/>
        </xdr:nvCxnSpPr>
        <xdr:spPr>
          <a:xfrm flipH="1">
            <a:off x="11625262" y="24484012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2" name="Straight Connector 2211">
            <a:extLst>
              <a:ext uri="{FF2B5EF4-FFF2-40B4-BE49-F238E27FC236}">
                <a16:creationId xmlns:a16="http://schemas.microsoft.com/office/drawing/2014/main" id="{348E60A3-9881-4FB2-A08B-18704BD04D96}"/>
              </a:ext>
            </a:extLst>
          </xdr:cNvPr>
          <xdr:cNvCxnSpPr/>
        </xdr:nvCxnSpPr>
        <xdr:spPr>
          <a:xfrm flipH="1">
            <a:off x="11625254" y="24524018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85725</xdr:colOff>
      <xdr:row>1612</xdr:row>
      <xdr:rowOff>0</xdr:rowOff>
    </xdr:from>
    <xdr:to>
      <xdr:col>70</xdr:col>
      <xdr:colOff>76962</xdr:colOff>
      <xdr:row>1622</xdr:row>
      <xdr:rowOff>71437</xdr:rowOff>
    </xdr:to>
    <xdr:grpSp>
      <xdr:nvGrpSpPr>
        <xdr:cNvPr id="2225" name="Group 2224">
          <a:extLst>
            <a:ext uri="{FF2B5EF4-FFF2-40B4-BE49-F238E27FC236}">
              <a16:creationId xmlns:a16="http://schemas.microsoft.com/office/drawing/2014/main" id="{600668B5-0432-E296-B2BD-A8A878BA92A5}"/>
            </a:ext>
          </a:extLst>
        </xdr:cNvPr>
        <xdr:cNvGrpSpPr/>
      </xdr:nvGrpSpPr>
      <xdr:grpSpPr>
        <a:xfrm>
          <a:off x="7696200" y="242935125"/>
          <a:ext cx="3715512" cy="1500187"/>
          <a:chOff x="7696200" y="233591100"/>
          <a:chExt cx="3715512" cy="1500187"/>
        </a:xfrm>
      </xdr:grpSpPr>
      <xdr:sp macro="" textlink="">
        <xdr:nvSpPr>
          <xdr:cNvPr id="1831" name="Isosceles Triangle 1830">
            <a:extLst>
              <a:ext uri="{FF2B5EF4-FFF2-40B4-BE49-F238E27FC236}">
                <a16:creationId xmlns:a16="http://schemas.microsoft.com/office/drawing/2014/main" id="{FAD5E392-E656-D813-7739-F8F305037F84}"/>
              </a:ext>
            </a:extLst>
          </xdr:cNvPr>
          <xdr:cNvSpPr/>
        </xdr:nvSpPr>
        <xdr:spPr>
          <a:xfrm>
            <a:off x="7705727" y="234038775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26" name="Isosceles Triangle 2025">
            <a:extLst>
              <a:ext uri="{FF2B5EF4-FFF2-40B4-BE49-F238E27FC236}">
                <a16:creationId xmlns:a16="http://schemas.microsoft.com/office/drawing/2014/main" id="{88ED4406-E9AE-B6D0-4EBA-92B9DC79A549}"/>
              </a:ext>
            </a:extLst>
          </xdr:cNvPr>
          <xdr:cNvSpPr/>
        </xdr:nvSpPr>
        <xdr:spPr>
          <a:xfrm>
            <a:off x="11268076" y="234034013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54" name="Straight Arrow Connector 2153">
            <a:extLst>
              <a:ext uri="{FF2B5EF4-FFF2-40B4-BE49-F238E27FC236}">
                <a16:creationId xmlns:a16="http://schemas.microsoft.com/office/drawing/2014/main" id="{AC6942A6-153A-469C-A85C-DFFD5DFDA727}"/>
              </a:ext>
            </a:extLst>
          </xdr:cNvPr>
          <xdr:cNvCxnSpPr/>
        </xdr:nvCxnSpPr>
        <xdr:spPr>
          <a:xfrm>
            <a:off x="9553575" y="233591100"/>
            <a:ext cx="0" cy="280988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5" name="Straight Arrow Connector 2154">
            <a:extLst>
              <a:ext uri="{FF2B5EF4-FFF2-40B4-BE49-F238E27FC236}">
                <a16:creationId xmlns:a16="http://schemas.microsoft.com/office/drawing/2014/main" id="{2136261E-390D-4985-BFDE-14E6F79272B5}"/>
              </a:ext>
            </a:extLst>
          </xdr:cNvPr>
          <xdr:cNvCxnSpPr/>
        </xdr:nvCxnSpPr>
        <xdr:spPr>
          <a:xfrm flipV="1">
            <a:off x="7772401" y="234181649"/>
            <a:ext cx="0" cy="266701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8" name="Straight Arrow Connector 2157">
            <a:extLst>
              <a:ext uri="{FF2B5EF4-FFF2-40B4-BE49-F238E27FC236}">
                <a16:creationId xmlns:a16="http://schemas.microsoft.com/office/drawing/2014/main" id="{9C4AC485-FA5B-4466-8FCF-51A31EB2DE57}"/>
              </a:ext>
            </a:extLst>
          </xdr:cNvPr>
          <xdr:cNvCxnSpPr/>
        </xdr:nvCxnSpPr>
        <xdr:spPr>
          <a:xfrm flipV="1">
            <a:off x="11334751" y="234172123"/>
            <a:ext cx="0" cy="266701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2478434F-5C0A-B8AA-7163-33FDC8A92758}"/>
              </a:ext>
            </a:extLst>
          </xdr:cNvPr>
          <xdr:cNvSpPr/>
        </xdr:nvSpPr>
        <xdr:spPr>
          <a:xfrm>
            <a:off x="7772400" y="233881614"/>
            <a:ext cx="3571875" cy="1428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163" name="Straight Connector 2162">
            <a:extLst>
              <a:ext uri="{FF2B5EF4-FFF2-40B4-BE49-F238E27FC236}">
                <a16:creationId xmlns:a16="http://schemas.microsoft.com/office/drawing/2014/main" id="{2C9E3F98-EAFA-B577-ECEA-C23FB989F604}"/>
              </a:ext>
            </a:extLst>
          </xdr:cNvPr>
          <xdr:cNvCxnSpPr/>
        </xdr:nvCxnSpPr>
        <xdr:spPr>
          <a:xfrm>
            <a:off x="7772400" y="234619799"/>
            <a:ext cx="0" cy="471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5" name="Straight Connector 2164">
            <a:extLst>
              <a:ext uri="{FF2B5EF4-FFF2-40B4-BE49-F238E27FC236}">
                <a16:creationId xmlns:a16="http://schemas.microsoft.com/office/drawing/2014/main" id="{77AB57F6-24BB-C9BA-62D5-912918CD1CC3}"/>
              </a:ext>
            </a:extLst>
          </xdr:cNvPr>
          <xdr:cNvCxnSpPr/>
        </xdr:nvCxnSpPr>
        <xdr:spPr>
          <a:xfrm>
            <a:off x="7696200" y="234734101"/>
            <a:ext cx="3705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7" name="Straight Connector 2166">
            <a:extLst>
              <a:ext uri="{FF2B5EF4-FFF2-40B4-BE49-F238E27FC236}">
                <a16:creationId xmlns:a16="http://schemas.microsoft.com/office/drawing/2014/main" id="{D7FB0890-D894-2539-1811-E55AFAC09601}"/>
              </a:ext>
            </a:extLst>
          </xdr:cNvPr>
          <xdr:cNvCxnSpPr/>
        </xdr:nvCxnSpPr>
        <xdr:spPr>
          <a:xfrm flipH="1">
            <a:off x="7734299" y="23470076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1" name="Straight Connector 2170">
            <a:extLst>
              <a:ext uri="{FF2B5EF4-FFF2-40B4-BE49-F238E27FC236}">
                <a16:creationId xmlns:a16="http://schemas.microsoft.com/office/drawing/2014/main" id="{716A6058-0276-497A-8720-CCD69D74ECF1}"/>
              </a:ext>
            </a:extLst>
          </xdr:cNvPr>
          <xdr:cNvCxnSpPr/>
        </xdr:nvCxnSpPr>
        <xdr:spPr>
          <a:xfrm>
            <a:off x="7696200" y="235019851"/>
            <a:ext cx="3705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2" name="Straight Connector 2171">
            <a:extLst>
              <a:ext uri="{FF2B5EF4-FFF2-40B4-BE49-F238E27FC236}">
                <a16:creationId xmlns:a16="http://schemas.microsoft.com/office/drawing/2014/main" id="{94872474-8938-4B8E-8401-0B5B601A267A}"/>
              </a:ext>
            </a:extLst>
          </xdr:cNvPr>
          <xdr:cNvCxnSpPr/>
        </xdr:nvCxnSpPr>
        <xdr:spPr>
          <a:xfrm flipH="1">
            <a:off x="7734299" y="23498651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3" name="Straight Connector 2172">
            <a:extLst>
              <a:ext uri="{FF2B5EF4-FFF2-40B4-BE49-F238E27FC236}">
                <a16:creationId xmlns:a16="http://schemas.microsoft.com/office/drawing/2014/main" id="{69039288-A866-49A0-ACCE-898D4C51D001}"/>
              </a:ext>
            </a:extLst>
          </xdr:cNvPr>
          <xdr:cNvCxnSpPr/>
        </xdr:nvCxnSpPr>
        <xdr:spPr>
          <a:xfrm>
            <a:off x="11334750" y="234619799"/>
            <a:ext cx="0" cy="471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4" name="Straight Connector 2173">
            <a:extLst>
              <a:ext uri="{FF2B5EF4-FFF2-40B4-BE49-F238E27FC236}">
                <a16:creationId xmlns:a16="http://schemas.microsoft.com/office/drawing/2014/main" id="{65671CA9-5897-4351-BD3B-492770D614F3}"/>
              </a:ext>
            </a:extLst>
          </xdr:cNvPr>
          <xdr:cNvCxnSpPr/>
        </xdr:nvCxnSpPr>
        <xdr:spPr>
          <a:xfrm flipH="1">
            <a:off x="11296649" y="23470076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5" name="Straight Connector 2174">
            <a:extLst>
              <a:ext uri="{FF2B5EF4-FFF2-40B4-BE49-F238E27FC236}">
                <a16:creationId xmlns:a16="http://schemas.microsoft.com/office/drawing/2014/main" id="{50A319D7-C10D-49F8-852A-A1CF6EB7F760}"/>
              </a:ext>
            </a:extLst>
          </xdr:cNvPr>
          <xdr:cNvCxnSpPr/>
        </xdr:nvCxnSpPr>
        <xdr:spPr>
          <a:xfrm flipH="1">
            <a:off x="11296649" y="23498651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6" name="Straight Connector 2175">
            <a:extLst>
              <a:ext uri="{FF2B5EF4-FFF2-40B4-BE49-F238E27FC236}">
                <a16:creationId xmlns:a16="http://schemas.microsoft.com/office/drawing/2014/main" id="{B75C2384-0C26-4DF6-BFC5-D247188E0A11}"/>
              </a:ext>
            </a:extLst>
          </xdr:cNvPr>
          <xdr:cNvCxnSpPr/>
        </xdr:nvCxnSpPr>
        <xdr:spPr>
          <a:xfrm>
            <a:off x="9553575" y="234334049"/>
            <a:ext cx="0" cy="471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7" name="Straight Connector 2176">
            <a:extLst>
              <a:ext uri="{FF2B5EF4-FFF2-40B4-BE49-F238E27FC236}">
                <a16:creationId xmlns:a16="http://schemas.microsoft.com/office/drawing/2014/main" id="{F43BC958-1595-4532-84C8-BAF9AEC03CFB}"/>
              </a:ext>
            </a:extLst>
          </xdr:cNvPr>
          <xdr:cNvCxnSpPr/>
        </xdr:nvCxnSpPr>
        <xdr:spPr>
          <a:xfrm flipH="1">
            <a:off x="9515474" y="23470076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8" name="Straight Arrow Connector 2177">
            <a:extLst>
              <a:ext uri="{FF2B5EF4-FFF2-40B4-BE49-F238E27FC236}">
                <a16:creationId xmlns:a16="http://schemas.microsoft.com/office/drawing/2014/main" id="{12701D7F-0C7A-4D97-89C8-6FB3039D930C}"/>
              </a:ext>
            </a:extLst>
          </xdr:cNvPr>
          <xdr:cNvCxnSpPr/>
        </xdr:nvCxnSpPr>
        <xdr:spPr>
          <a:xfrm>
            <a:off x="7772400" y="234372150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4" name="Straight Connector 2213">
            <a:extLst>
              <a:ext uri="{FF2B5EF4-FFF2-40B4-BE49-F238E27FC236}">
                <a16:creationId xmlns:a16="http://schemas.microsoft.com/office/drawing/2014/main" id="{63033BCC-5A1B-3773-F588-926117DEDD5E}"/>
              </a:ext>
            </a:extLst>
          </xdr:cNvPr>
          <xdr:cNvCxnSpPr/>
        </xdr:nvCxnSpPr>
        <xdr:spPr>
          <a:xfrm>
            <a:off x="8582025" y="233819701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5" name="Straight Connector 2214">
            <a:extLst>
              <a:ext uri="{FF2B5EF4-FFF2-40B4-BE49-F238E27FC236}">
                <a16:creationId xmlns:a16="http://schemas.microsoft.com/office/drawing/2014/main" id="{9E5A0911-4A99-46B9-AFDC-AB741540AEF2}"/>
              </a:ext>
            </a:extLst>
          </xdr:cNvPr>
          <xdr:cNvCxnSpPr/>
        </xdr:nvCxnSpPr>
        <xdr:spPr>
          <a:xfrm flipH="1">
            <a:off x="8548690" y="23384826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6" name="Straight Connector 2215">
            <a:extLst>
              <a:ext uri="{FF2B5EF4-FFF2-40B4-BE49-F238E27FC236}">
                <a16:creationId xmlns:a16="http://schemas.microsoft.com/office/drawing/2014/main" id="{7E432080-ACC6-4E85-AC3D-C097B239F7D4}"/>
              </a:ext>
            </a:extLst>
          </xdr:cNvPr>
          <xdr:cNvCxnSpPr/>
        </xdr:nvCxnSpPr>
        <xdr:spPr>
          <a:xfrm flipH="1">
            <a:off x="8548682" y="23399114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47625</xdr:colOff>
      <xdr:row>1630</xdr:row>
      <xdr:rowOff>66675</xdr:rowOff>
    </xdr:from>
    <xdr:to>
      <xdr:col>11</xdr:col>
      <xdr:colOff>104775</xdr:colOff>
      <xdr:row>1630</xdr:row>
      <xdr:rowOff>66675</xdr:rowOff>
    </xdr:to>
    <xdr:cxnSp macro="">
      <xdr:nvCxnSpPr>
        <xdr:cNvPr id="2217" name="Straight Arrow Connector 2216">
          <a:extLst>
            <a:ext uri="{FF2B5EF4-FFF2-40B4-BE49-F238E27FC236}">
              <a16:creationId xmlns:a16="http://schemas.microsoft.com/office/drawing/2014/main" id="{9EE8C51F-9F9E-4C10-83D1-3228FE128E79}"/>
            </a:ext>
          </a:extLst>
        </xdr:cNvPr>
        <xdr:cNvCxnSpPr/>
      </xdr:nvCxnSpPr>
      <xdr:spPr>
        <a:xfrm>
          <a:off x="1828800" y="2166842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47625</xdr:colOff>
      <xdr:row>1630</xdr:row>
      <xdr:rowOff>66675</xdr:rowOff>
    </xdr:from>
    <xdr:to>
      <xdr:col>22</xdr:col>
      <xdr:colOff>104775</xdr:colOff>
      <xdr:row>1630</xdr:row>
      <xdr:rowOff>66675</xdr:rowOff>
    </xdr:to>
    <xdr:cxnSp macro="">
      <xdr:nvCxnSpPr>
        <xdr:cNvPr id="2218" name="Straight Arrow Connector 2217">
          <a:extLst>
            <a:ext uri="{FF2B5EF4-FFF2-40B4-BE49-F238E27FC236}">
              <a16:creationId xmlns:a16="http://schemas.microsoft.com/office/drawing/2014/main" id="{48BC88AD-A894-455F-955F-1BBC0A5E7318}"/>
            </a:ext>
          </a:extLst>
        </xdr:cNvPr>
        <xdr:cNvCxnSpPr/>
      </xdr:nvCxnSpPr>
      <xdr:spPr>
        <a:xfrm>
          <a:off x="3609975" y="2166842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1638</xdr:row>
      <xdr:rowOff>66675</xdr:rowOff>
    </xdr:from>
    <xdr:to>
      <xdr:col>11</xdr:col>
      <xdr:colOff>104775</xdr:colOff>
      <xdr:row>1638</xdr:row>
      <xdr:rowOff>66675</xdr:rowOff>
    </xdr:to>
    <xdr:cxnSp macro="">
      <xdr:nvCxnSpPr>
        <xdr:cNvPr id="2219" name="Straight Arrow Connector 2218">
          <a:extLst>
            <a:ext uri="{FF2B5EF4-FFF2-40B4-BE49-F238E27FC236}">
              <a16:creationId xmlns:a16="http://schemas.microsoft.com/office/drawing/2014/main" id="{725FA538-EC07-4E29-BB40-A0558EDB28D5}"/>
            </a:ext>
          </a:extLst>
        </xdr:cNvPr>
        <xdr:cNvCxnSpPr/>
      </xdr:nvCxnSpPr>
      <xdr:spPr>
        <a:xfrm>
          <a:off x="1666875" y="239896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47625</xdr:colOff>
      <xdr:row>1638</xdr:row>
      <xdr:rowOff>66675</xdr:rowOff>
    </xdr:from>
    <xdr:to>
      <xdr:col>22</xdr:col>
      <xdr:colOff>104775</xdr:colOff>
      <xdr:row>1638</xdr:row>
      <xdr:rowOff>66675</xdr:rowOff>
    </xdr:to>
    <xdr:cxnSp macro="">
      <xdr:nvCxnSpPr>
        <xdr:cNvPr id="2220" name="Straight Arrow Connector 2219">
          <a:extLst>
            <a:ext uri="{FF2B5EF4-FFF2-40B4-BE49-F238E27FC236}">
              <a16:creationId xmlns:a16="http://schemas.microsoft.com/office/drawing/2014/main" id="{10B49B52-FF46-4540-8BE5-9E13B2673F9D}"/>
            </a:ext>
          </a:extLst>
        </xdr:cNvPr>
        <xdr:cNvCxnSpPr/>
      </xdr:nvCxnSpPr>
      <xdr:spPr>
        <a:xfrm>
          <a:off x="3448050" y="239896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1644</xdr:row>
      <xdr:rowOff>66675</xdr:rowOff>
    </xdr:from>
    <xdr:to>
      <xdr:col>8</xdr:col>
      <xdr:colOff>119062</xdr:colOff>
      <xdr:row>1644</xdr:row>
      <xdr:rowOff>66675</xdr:rowOff>
    </xdr:to>
    <xdr:cxnSp macro="">
      <xdr:nvCxnSpPr>
        <xdr:cNvPr id="2221" name="Straight Arrow Connector 2220">
          <a:extLst>
            <a:ext uri="{FF2B5EF4-FFF2-40B4-BE49-F238E27FC236}">
              <a16:creationId xmlns:a16="http://schemas.microsoft.com/office/drawing/2014/main" id="{32D6D8FB-00D7-4E6E-A62F-AC57C9B832A2}"/>
            </a:ext>
          </a:extLst>
        </xdr:cNvPr>
        <xdr:cNvCxnSpPr/>
      </xdr:nvCxnSpPr>
      <xdr:spPr>
        <a:xfrm>
          <a:off x="1200150" y="2420397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1645</xdr:row>
      <xdr:rowOff>66675</xdr:rowOff>
    </xdr:from>
    <xdr:to>
      <xdr:col>7</xdr:col>
      <xdr:colOff>109537</xdr:colOff>
      <xdr:row>1645</xdr:row>
      <xdr:rowOff>66675</xdr:rowOff>
    </xdr:to>
    <xdr:cxnSp macro="">
      <xdr:nvCxnSpPr>
        <xdr:cNvPr id="2222" name="Straight Arrow Connector 2221">
          <a:extLst>
            <a:ext uri="{FF2B5EF4-FFF2-40B4-BE49-F238E27FC236}">
              <a16:creationId xmlns:a16="http://schemas.microsoft.com/office/drawing/2014/main" id="{92F736B8-7D03-4590-8A05-9DDEB105A31C}"/>
            </a:ext>
          </a:extLst>
        </xdr:cNvPr>
        <xdr:cNvCxnSpPr/>
      </xdr:nvCxnSpPr>
      <xdr:spPr>
        <a:xfrm>
          <a:off x="1190625" y="2186844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1645</xdr:row>
      <xdr:rowOff>76200</xdr:rowOff>
    </xdr:from>
    <xdr:to>
      <xdr:col>20</xdr:col>
      <xdr:colOff>100012</xdr:colOff>
      <xdr:row>1645</xdr:row>
      <xdr:rowOff>76200</xdr:rowOff>
    </xdr:to>
    <xdr:cxnSp macro="">
      <xdr:nvCxnSpPr>
        <xdr:cNvPr id="2223" name="Straight Arrow Connector 2222">
          <a:extLst>
            <a:ext uri="{FF2B5EF4-FFF2-40B4-BE49-F238E27FC236}">
              <a16:creationId xmlns:a16="http://schemas.microsoft.com/office/drawing/2014/main" id="{5AC0E88F-8775-49F5-BC34-3462EB9EAC77}"/>
            </a:ext>
          </a:extLst>
        </xdr:cNvPr>
        <xdr:cNvCxnSpPr/>
      </xdr:nvCxnSpPr>
      <xdr:spPr>
        <a:xfrm>
          <a:off x="2800350" y="2421921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66675</xdr:colOff>
      <xdr:row>1644</xdr:row>
      <xdr:rowOff>66675</xdr:rowOff>
    </xdr:from>
    <xdr:to>
      <xdr:col>32</xdr:col>
      <xdr:colOff>119062</xdr:colOff>
      <xdr:row>1644</xdr:row>
      <xdr:rowOff>66675</xdr:rowOff>
    </xdr:to>
    <xdr:cxnSp macro="">
      <xdr:nvCxnSpPr>
        <xdr:cNvPr id="2224" name="Straight Arrow Connector 2223">
          <a:extLst>
            <a:ext uri="{FF2B5EF4-FFF2-40B4-BE49-F238E27FC236}">
              <a16:creationId xmlns:a16="http://schemas.microsoft.com/office/drawing/2014/main" id="{C4FA20AD-8B24-4386-B655-7024AE4B4EE5}"/>
            </a:ext>
          </a:extLst>
        </xdr:cNvPr>
        <xdr:cNvCxnSpPr/>
      </xdr:nvCxnSpPr>
      <xdr:spPr>
        <a:xfrm>
          <a:off x="1200150" y="2420397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1718</xdr:row>
      <xdr:rowOff>71438</xdr:rowOff>
    </xdr:from>
    <xdr:to>
      <xdr:col>56</xdr:col>
      <xdr:colOff>61913</xdr:colOff>
      <xdr:row>1724</xdr:row>
      <xdr:rowOff>71438</xdr:rowOff>
    </xdr:to>
    <xdr:grpSp>
      <xdr:nvGrpSpPr>
        <xdr:cNvPr id="1661" name="Group 1660">
          <a:extLst>
            <a:ext uri="{FF2B5EF4-FFF2-40B4-BE49-F238E27FC236}">
              <a16:creationId xmlns:a16="http://schemas.microsoft.com/office/drawing/2014/main" id="{A903525A-960E-498B-9180-48845860824F}"/>
            </a:ext>
          </a:extLst>
        </xdr:cNvPr>
        <xdr:cNvGrpSpPr/>
      </xdr:nvGrpSpPr>
      <xdr:grpSpPr>
        <a:xfrm>
          <a:off x="8353425" y="259122863"/>
          <a:ext cx="776288" cy="857250"/>
          <a:chOff x="8353425" y="243006563"/>
          <a:chExt cx="776288" cy="857250"/>
        </a:xfrm>
      </xdr:grpSpPr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6BDFB9F8-530B-07DC-2A46-A54AAF95AFE0}"/>
              </a:ext>
            </a:extLst>
          </xdr:cNvPr>
          <xdr:cNvSpPr/>
        </xdr:nvSpPr>
        <xdr:spPr>
          <a:xfrm>
            <a:off x="8420100" y="243082763"/>
            <a:ext cx="323850" cy="42386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707" name="Straight Connector 706">
            <a:extLst>
              <a:ext uri="{FF2B5EF4-FFF2-40B4-BE49-F238E27FC236}">
                <a16:creationId xmlns:a16="http://schemas.microsoft.com/office/drawing/2014/main" id="{73C4EE64-7DA7-A308-E29D-979663C0FA0B}"/>
              </a:ext>
            </a:extLst>
          </xdr:cNvPr>
          <xdr:cNvCxnSpPr/>
        </xdr:nvCxnSpPr>
        <xdr:spPr>
          <a:xfrm>
            <a:off x="8420100" y="243578063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" name="Straight Connector 707">
            <a:extLst>
              <a:ext uri="{FF2B5EF4-FFF2-40B4-BE49-F238E27FC236}">
                <a16:creationId xmlns:a16="http://schemas.microsoft.com/office/drawing/2014/main" id="{597D0E38-E9A5-C23A-4181-A52F7619A5AD}"/>
              </a:ext>
            </a:extLst>
          </xdr:cNvPr>
          <xdr:cNvCxnSpPr/>
        </xdr:nvCxnSpPr>
        <xdr:spPr>
          <a:xfrm>
            <a:off x="8353425" y="243792375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" name="Straight Connector 710">
            <a:extLst>
              <a:ext uri="{FF2B5EF4-FFF2-40B4-BE49-F238E27FC236}">
                <a16:creationId xmlns:a16="http://schemas.microsoft.com/office/drawing/2014/main" id="{F225D03E-D131-484D-2A8C-D17EABFD89F6}"/>
              </a:ext>
            </a:extLst>
          </xdr:cNvPr>
          <xdr:cNvCxnSpPr/>
        </xdr:nvCxnSpPr>
        <xdr:spPr>
          <a:xfrm flipH="1">
            <a:off x="8386763" y="2437590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4" name="Straight Connector 1663">
            <a:extLst>
              <a:ext uri="{FF2B5EF4-FFF2-40B4-BE49-F238E27FC236}">
                <a16:creationId xmlns:a16="http://schemas.microsoft.com/office/drawing/2014/main" id="{681E57AB-42F0-8416-FAB0-BE33308271F9}"/>
              </a:ext>
            </a:extLst>
          </xdr:cNvPr>
          <xdr:cNvCxnSpPr/>
        </xdr:nvCxnSpPr>
        <xdr:spPr>
          <a:xfrm>
            <a:off x="8743950" y="243578063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8" name="Straight Connector 1827">
            <a:extLst>
              <a:ext uri="{FF2B5EF4-FFF2-40B4-BE49-F238E27FC236}">
                <a16:creationId xmlns:a16="http://schemas.microsoft.com/office/drawing/2014/main" id="{40C8726F-4891-E971-C9DC-82893AB77BF8}"/>
              </a:ext>
            </a:extLst>
          </xdr:cNvPr>
          <xdr:cNvCxnSpPr/>
        </xdr:nvCxnSpPr>
        <xdr:spPr>
          <a:xfrm flipH="1">
            <a:off x="8710613" y="2437590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9" name="Straight Connector 1838">
            <a:extLst>
              <a:ext uri="{FF2B5EF4-FFF2-40B4-BE49-F238E27FC236}">
                <a16:creationId xmlns:a16="http://schemas.microsoft.com/office/drawing/2014/main" id="{210AB17B-A026-639D-EEAA-65702328122B}"/>
              </a:ext>
            </a:extLst>
          </xdr:cNvPr>
          <xdr:cNvCxnSpPr/>
        </xdr:nvCxnSpPr>
        <xdr:spPr>
          <a:xfrm>
            <a:off x="8801097" y="243078001"/>
            <a:ext cx="3286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0" name="Straight Connector 1839">
            <a:extLst>
              <a:ext uri="{FF2B5EF4-FFF2-40B4-BE49-F238E27FC236}">
                <a16:creationId xmlns:a16="http://schemas.microsoft.com/office/drawing/2014/main" id="{D4483FB6-6C0C-4C0A-DE40-0F9D250A458E}"/>
              </a:ext>
            </a:extLst>
          </xdr:cNvPr>
          <xdr:cNvCxnSpPr/>
        </xdr:nvCxnSpPr>
        <xdr:spPr>
          <a:xfrm>
            <a:off x="8796338" y="243506626"/>
            <a:ext cx="328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5" name="Straight Connector 2024">
            <a:extLst>
              <a:ext uri="{FF2B5EF4-FFF2-40B4-BE49-F238E27FC236}">
                <a16:creationId xmlns:a16="http://schemas.microsoft.com/office/drawing/2014/main" id="{8D14336D-E606-E936-FAB6-30DB8A726A15}"/>
              </a:ext>
            </a:extLst>
          </xdr:cNvPr>
          <xdr:cNvCxnSpPr/>
        </xdr:nvCxnSpPr>
        <xdr:spPr>
          <a:xfrm>
            <a:off x="9067800" y="243006563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1" name="Straight Connector 2060">
            <a:extLst>
              <a:ext uri="{FF2B5EF4-FFF2-40B4-BE49-F238E27FC236}">
                <a16:creationId xmlns:a16="http://schemas.microsoft.com/office/drawing/2014/main" id="{359A8F6F-2FC9-4DD7-55E1-2BDD5EC0CA4F}"/>
              </a:ext>
            </a:extLst>
          </xdr:cNvPr>
          <xdr:cNvCxnSpPr/>
        </xdr:nvCxnSpPr>
        <xdr:spPr>
          <a:xfrm flipH="1">
            <a:off x="9034458" y="24304466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2" name="Straight Connector 2061">
            <a:extLst>
              <a:ext uri="{FF2B5EF4-FFF2-40B4-BE49-F238E27FC236}">
                <a16:creationId xmlns:a16="http://schemas.microsoft.com/office/drawing/2014/main" id="{3D60C032-9FBB-EC04-F3F2-993B906510B7}"/>
              </a:ext>
            </a:extLst>
          </xdr:cNvPr>
          <xdr:cNvCxnSpPr/>
        </xdr:nvCxnSpPr>
        <xdr:spPr>
          <a:xfrm flipH="1">
            <a:off x="9034453" y="24347329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95250</xdr:colOff>
      <xdr:row>1718</xdr:row>
      <xdr:rowOff>85725</xdr:rowOff>
    </xdr:from>
    <xdr:to>
      <xdr:col>68</xdr:col>
      <xdr:colOff>61913</xdr:colOff>
      <xdr:row>1724</xdr:row>
      <xdr:rowOff>71434</xdr:rowOff>
    </xdr:to>
    <xdr:grpSp>
      <xdr:nvGrpSpPr>
        <xdr:cNvPr id="2064" name="Group 2063">
          <a:extLst>
            <a:ext uri="{FF2B5EF4-FFF2-40B4-BE49-F238E27FC236}">
              <a16:creationId xmlns:a16="http://schemas.microsoft.com/office/drawing/2014/main" id="{E2B4B288-F4A0-8DD9-035C-2BCCECD98628}"/>
            </a:ext>
          </a:extLst>
        </xdr:cNvPr>
        <xdr:cNvGrpSpPr/>
      </xdr:nvGrpSpPr>
      <xdr:grpSpPr>
        <a:xfrm>
          <a:off x="9648825" y="259137150"/>
          <a:ext cx="1423988" cy="842959"/>
          <a:chOff x="9648825" y="243020850"/>
          <a:chExt cx="1423988" cy="842959"/>
        </a:xfrm>
      </xdr:grpSpPr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E0365619-2D90-F78D-8FC0-E614A355509B}"/>
              </a:ext>
            </a:extLst>
          </xdr:cNvPr>
          <xdr:cNvSpPr/>
        </xdr:nvSpPr>
        <xdr:spPr>
          <a:xfrm>
            <a:off x="9715500" y="243082763"/>
            <a:ext cx="971550" cy="42386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066" name="Straight Connector 2065">
            <a:extLst>
              <a:ext uri="{FF2B5EF4-FFF2-40B4-BE49-F238E27FC236}">
                <a16:creationId xmlns:a16="http://schemas.microsoft.com/office/drawing/2014/main" id="{FF98981F-DA1C-555B-A521-C142128E5F6F}"/>
              </a:ext>
            </a:extLst>
          </xdr:cNvPr>
          <xdr:cNvCxnSpPr/>
        </xdr:nvCxnSpPr>
        <xdr:spPr>
          <a:xfrm>
            <a:off x="9715500" y="243578059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7" name="Straight Connector 2066">
            <a:extLst>
              <a:ext uri="{FF2B5EF4-FFF2-40B4-BE49-F238E27FC236}">
                <a16:creationId xmlns:a16="http://schemas.microsoft.com/office/drawing/2014/main" id="{4E8DA185-E471-52F1-7E90-A91B65C3AB4E}"/>
              </a:ext>
            </a:extLst>
          </xdr:cNvPr>
          <xdr:cNvCxnSpPr/>
        </xdr:nvCxnSpPr>
        <xdr:spPr>
          <a:xfrm>
            <a:off x="9648825" y="243792371"/>
            <a:ext cx="1095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8" name="Straight Connector 2067">
            <a:extLst>
              <a:ext uri="{FF2B5EF4-FFF2-40B4-BE49-F238E27FC236}">
                <a16:creationId xmlns:a16="http://schemas.microsoft.com/office/drawing/2014/main" id="{320DB98F-39EC-C5A3-4446-C1C95F96EFBE}"/>
              </a:ext>
            </a:extLst>
          </xdr:cNvPr>
          <xdr:cNvCxnSpPr/>
        </xdr:nvCxnSpPr>
        <xdr:spPr>
          <a:xfrm flipH="1">
            <a:off x="10653724" y="2437590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9" name="Straight Connector 2068">
            <a:extLst>
              <a:ext uri="{FF2B5EF4-FFF2-40B4-BE49-F238E27FC236}">
                <a16:creationId xmlns:a16="http://schemas.microsoft.com/office/drawing/2014/main" id="{8071E100-6B12-C7F0-142E-DC6C3E461655}"/>
              </a:ext>
            </a:extLst>
          </xdr:cNvPr>
          <xdr:cNvCxnSpPr/>
        </xdr:nvCxnSpPr>
        <xdr:spPr>
          <a:xfrm>
            <a:off x="10687061" y="243578059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0" name="Straight Connector 2069">
            <a:extLst>
              <a:ext uri="{FF2B5EF4-FFF2-40B4-BE49-F238E27FC236}">
                <a16:creationId xmlns:a16="http://schemas.microsoft.com/office/drawing/2014/main" id="{0238E7C8-8716-402E-F5F4-153F756A2D84}"/>
              </a:ext>
            </a:extLst>
          </xdr:cNvPr>
          <xdr:cNvCxnSpPr/>
        </xdr:nvCxnSpPr>
        <xdr:spPr>
          <a:xfrm flipH="1">
            <a:off x="9682162" y="2437590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1" name="Straight Connector 2070">
            <a:extLst>
              <a:ext uri="{FF2B5EF4-FFF2-40B4-BE49-F238E27FC236}">
                <a16:creationId xmlns:a16="http://schemas.microsoft.com/office/drawing/2014/main" id="{EAB9BCC6-D12D-D1E2-393C-C0E33D17BB77}"/>
              </a:ext>
            </a:extLst>
          </xdr:cNvPr>
          <xdr:cNvCxnSpPr/>
        </xdr:nvCxnSpPr>
        <xdr:spPr>
          <a:xfrm>
            <a:off x="10744197" y="243078001"/>
            <a:ext cx="3286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2" name="Straight Connector 2071">
            <a:extLst>
              <a:ext uri="{FF2B5EF4-FFF2-40B4-BE49-F238E27FC236}">
                <a16:creationId xmlns:a16="http://schemas.microsoft.com/office/drawing/2014/main" id="{20039A13-A207-EA7E-4A12-31F6F86A2731}"/>
              </a:ext>
            </a:extLst>
          </xdr:cNvPr>
          <xdr:cNvCxnSpPr/>
        </xdr:nvCxnSpPr>
        <xdr:spPr>
          <a:xfrm>
            <a:off x="10739439" y="243506635"/>
            <a:ext cx="328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3" name="Straight Connector 2072">
            <a:extLst>
              <a:ext uri="{FF2B5EF4-FFF2-40B4-BE49-F238E27FC236}">
                <a16:creationId xmlns:a16="http://schemas.microsoft.com/office/drawing/2014/main" id="{24FDB468-C864-B96D-DB73-D50EC4CF5583}"/>
              </a:ext>
            </a:extLst>
          </xdr:cNvPr>
          <xdr:cNvCxnSpPr/>
        </xdr:nvCxnSpPr>
        <xdr:spPr>
          <a:xfrm>
            <a:off x="11010901" y="243020850"/>
            <a:ext cx="0" cy="552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4" name="Straight Connector 2073">
            <a:extLst>
              <a:ext uri="{FF2B5EF4-FFF2-40B4-BE49-F238E27FC236}">
                <a16:creationId xmlns:a16="http://schemas.microsoft.com/office/drawing/2014/main" id="{DA6C52BF-35FA-91C2-AFE1-58D40A34AEC0}"/>
              </a:ext>
            </a:extLst>
          </xdr:cNvPr>
          <xdr:cNvCxnSpPr/>
        </xdr:nvCxnSpPr>
        <xdr:spPr>
          <a:xfrm flipH="1">
            <a:off x="10977558" y="24304466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5" name="Straight Connector 2074">
            <a:extLst>
              <a:ext uri="{FF2B5EF4-FFF2-40B4-BE49-F238E27FC236}">
                <a16:creationId xmlns:a16="http://schemas.microsoft.com/office/drawing/2014/main" id="{3CEB445E-7E08-0DD1-BAEF-7494099BC2E9}"/>
              </a:ext>
            </a:extLst>
          </xdr:cNvPr>
          <xdr:cNvCxnSpPr/>
        </xdr:nvCxnSpPr>
        <xdr:spPr>
          <a:xfrm flipH="1">
            <a:off x="10977554" y="24347330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152400</xdr:colOff>
      <xdr:row>1739</xdr:row>
      <xdr:rowOff>0</xdr:rowOff>
    </xdr:from>
    <xdr:to>
      <xdr:col>44</xdr:col>
      <xdr:colOff>0</xdr:colOff>
      <xdr:row>1743</xdr:row>
      <xdr:rowOff>0</xdr:rowOff>
    </xdr:to>
    <xdr:grpSp>
      <xdr:nvGrpSpPr>
        <xdr:cNvPr id="2076" name="Group 2075">
          <a:extLst>
            <a:ext uri="{FF2B5EF4-FFF2-40B4-BE49-F238E27FC236}">
              <a16:creationId xmlns:a16="http://schemas.microsoft.com/office/drawing/2014/main" id="{3430F648-F41D-42B1-AA15-771FD7E452F4}"/>
            </a:ext>
          </a:extLst>
        </xdr:cNvPr>
        <xdr:cNvGrpSpPr/>
      </xdr:nvGrpSpPr>
      <xdr:grpSpPr>
        <a:xfrm>
          <a:off x="4362450" y="262051800"/>
          <a:ext cx="2762250" cy="571500"/>
          <a:chOff x="4362450" y="213902925"/>
          <a:chExt cx="2762250" cy="571500"/>
        </a:xfrm>
      </xdr:grpSpPr>
      <xdr:cxnSp macro="">
        <xdr:nvCxnSpPr>
          <xdr:cNvPr id="2077" name="Straight Connector 2076">
            <a:extLst>
              <a:ext uri="{FF2B5EF4-FFF2-40B4-BE49-F238E27FC236}">
                <a16:creationId xmlns:a16="http://schemas.microsoft.com/office/drawing/2014/main" id="{B7B7AFA5-6EE6-33CC-58A6-5EA8EC8C9CFA}"/>
              </a:ext>
            </a:extLst>
          </xdr:cNvPr>
          <xdr:cNvCxnSpPr/>
        </xdr:nvCxnSpPr>
        <xdr:spPr>
          <a:xfrm>
            <a:off x="4371975" y="214331548"/>
            <a:ext cx="25860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D8F0AAA3-2C2F-2CB1-E5B4-34A63C88AB47}"/>
              </a:ext>
            </a:extLst>
          </xdr:cNvPr>
          <xdr:cNvSpPr/>
        </xdr:nvSpPr>
        <xdr:spPr>
          <a:xfrm>
            <a:off x="6972300" y="214188675"/>
            <a:ext cx="152400" cy="285750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79" name="Straight Connector 2078">
            <a:extLst>
              <a:ext uri="{FF2B5EF4-FFF2-40B4-BE49-F238E27FC236}">
                <a16:creationId xmlns:a16="http://schemas.microsoft.com/office/drawing/2014/main" id="{F9926A21-F7F4-ED59-E09C-0E39683260E6}"/>
              </a:ext>
            </a:extLst>
          </xdr:cNvPr>
          <xdr:cNvCxnSpPr/>
        </xdr:nvCxnSpPr>
        <xdr:spPr>
          <a:xfrm>
            <a:off x="6962775" y="21417915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80" name="Freeform: Shape 2079">
            <a:extLst>
              <a:ext uri="{FF2B5EF4-FFF2-40B4-BE49-F238E27FC236}">
                <a16:creationId xmlns:a16="http://schemas.microsoft.com/office/drawing/2014/main" id="{DF1CE15C-3646-B005-7101-9BDFDC5E3BB7}"/>
              </a:ext>
            </a:extLst>
          </xdr:cNvPr>
          <xdr:cNvSpPr/>
        </xdr:nvSpPr>
        <xdr:spPr>
          <a:xfrm>
            <a:off x="4362450" y="213902925"/>
            <a:ext cx="2600325" cy="438150"/>
          </a:xfrm>
          <a:custGeom>
            <a:avLst/>
            <a:gdLst>
              <a:gd name="connsiteX0" fmla="*/ 2600325 w 2600325"/>
              <a:gd name="connsiteY0" fmla="*/ 438150 h 438150"/>
              <a:gd name="connsiteX1" fmla="*/ 2600325 w 2600325"/>
              <a:gd name="connsiteY1" fmla="*/ 0 h 438150"/>
              <a:gd name="connsiteX2" fmla="*/ 0 w 2600325"/>
              <a:gd name="connsiteY2" fmla="*/ 0 h 438150"/>
              <a:gd name="connsiteX3" fmla="*/ 0 w 2600325"/>
              <a:gd name="connsiteY3" fmla="*/ 438150 h 438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600325" h="438150">
                <a:moveTo>
                  <a:pt x="2600325" y="438150"/>
                </a:moveTo>
                <a:lnTo>
                  <a:pt x="2600325" y="0"/>
                </a:lnTo>
                <a:lnTo>
                  <a:pt x="0" y="0"/>
                </a:lnTo>
                <a:lnTo>
                  <a:pt x="0" y="438150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27</xdr:col>
      <xdr:colOff>0</xdr:colOff>
      <xdr:row>1732</xdr:row>
      <xdr:rowOff>9525</xdr:rowOff>
    </xdr:from>
    <xdr:to>
      <xdr:col>44</xdr:col>
      <xdr:colOff>0</xdr:colOff>
      <xdr:row>1736</xdr:row>
      <xdr:rowOff>9525</xdr:rowOff>
    </xdr:to>
    <xdr:grpSp>
      <xdr:nvGrpSpPr>
        <xdr:cNvPr id="2081" name="Group 2080">
          <a:extLst>
            <a:ext uri="{FF2B5EF4-FFF2-40B4-BE49-F238E27FC236}">
              <a16:creationId xmlns:a16="http://schemas.microsoft.com/office/drawing/2014/main" id="{27559290-D014-4B08-A025-A78F772ED029}"/>
            </a:ext>
          </a:extLst>
        </xdr:cNvPr>
        <xdr:cNvGrpSpPr/>
      </xdr:nvGrpSpPr>
      <xdr:grpSpPr>
        <a:xfrm>
          <a:off x="4371975" y="261061200"/>
          <a:ext cx="2752725" cy="571500"/>
          <a:chOff x="4371975" y="212912325"/>
          <a:chExt cx="2752725" cy="571500"/>
        </a:xfrm>
      </xdr:grpSpPr>
      <xdr:cxnSp macro="">
        <xdr:nvCxnSpPr>
          <xdr:cNvPr id="2082" name="Straight Connector 2081">
            <a:extLst>
              <a:ext uri="{FF2B5EF4-FFF2-40B4-BE49-F238E27FC236}">
                <a16:creationId xmlns:a16="http://schemas.microsoft.com/office/drawing/2014/main" id="{69DD4A5B-0325-8CA8-D433-D6C605B4714B}"/>
              </a:ext>
            </a:extLst>
          </xdr:cNvPr>
          <xdr:cNvCxnSpPr/>
        </xdr:nvCxnSpPr>
        <xdr:spPr>
          <a:xfrm>
            <a:off x="4371975" y="213331423"/>
            <a:ext cx="25860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D00F273A-A189-E109-3715-499951C18318}"/>
              </a:ext>
            </a:extLst>
          </xdr:cNvPr>
          <xdr:cNvSpPr/>
        </xdr:nvSpPr>
        <xdr:spPr>
          <a:xfrm>
            <a:off x="6972300" y="213188550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84" name="Straight Connector 2083">
            <a:extLst>
              <a:ext uri="{FF2B5EF4-FFF2-40B4-BE49-F238E27FC236}">
                <a16:creationId xmlns:a16="http://schemas.microsoft.com/office/drawing/2014/main" id="{7FE7B2B5-79B6-2358-4520-DA7F1D5EC30B}"/>
              </a:ext>
            </a:extLst>
          </xdr:cNvPr>
          <xdr:cNvCxnSpPr/>
        </xdr:nvCxnSpPr>
        <xdr:spPr>
          <a:xfrm>
            <a:off x="6972300" y="21318855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85" name="Freeform: Shape 2084">
            <a:extLst>
              <a:ext uri="{FF2B5EF4-FFF2-40B4-BE49-F238E27FC236}">
                <a16:creationId xmlns:a16="http://schemas.microsoft.com/office/drawing/2014/main" id="{79EC7AC4-D108-B56A-634D-645602390E4F}"/>
              </a:ext>
            </a:extLst>
          </xdr:cNvPr>
          <xdr:cNvSpPr/>
        </xdr:nvSpPr>
        <xdr:spPr>
          <a:xfrm>
            <a:off x="4371975" y="212912325"/>
            <a:ext cx="2590800" cy="419100"/>
          </a:xfrm>
          <a:custGeom>
            <a:avLst/>
            <a:gdLst>
              <a:gd name="connsiteX0" fmla="*/ 2590800 w 2590800"/>
              <a:gd name="connsiteY0" fmla="*/ 409575 h 419100"/>
              <a:gd name="connsiteX1" fmla="*/ 2590800 w 2590800"/>
              <a:gd name="connsiteY1" fmla="*/ 0 h 419100"/>
              <a:gd name="connsiteX2" fmla="*/ 0 w 2590800"/>
              <a:gd name="connsiteY2" fmla="*/ 419100 h 419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90800" h="419100">
                <a:moveTo>
                  <a:pt x="2590800" y="409575"/>
                </a:moveTo>
                <a:lnTo>
                  <a:pt x="2590800" y="0"/>
                </a:lnTo>
                <a:lnTo>
                  <a:pt x="0" y="419100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26</xdr:col>
      <xdr:colOff>80963</xdr:colOff>
      <xdr:row>1717</xdr:row>
      <xdr:rowOff>0</xdr:rowOff>
    </xdr:from>
    <xdr:to>
      <xdr:col>44</xdr:col>
      <xdr:colOff>130299</xdr:colOff>
      <xdr:row>1728</xdr:row>
      <xdr:rowOff>80963</xdr:rowOff>
    </xdr:to>
    <xdr:grpSp>
      <xdr:nvGrpSpPr>
        <xdr:cNvPr id="667" name="Group 666">
          <a:extLst>
            <a:ext uri="{FF2B5EF4-FFF2-40B4-BE49-F238E27FC236}">
              <a16:creationId xmlns:a16="http://schemas.microsoft.com/office/drawing/2014/main" id="{F5830BD4-5299-D264-156C-E8A10CBD47A8}"/>
            </a:ext>
          </a:extLst>
        </xdr:cNvPr>
        <xdr:cNvGrpSpPr/>
      </xdr:nvGrpSpPr>
      <xdr:grpSpPr>
        <a:xfrm>
          <a:off x="4291013" y="258908550"/>
          <a:ext cx="2963986" cy="1652588"/>
          <a:chOff x="4291013" y="242792250"/>
          <a:chExt cx="2963986" cy="1652588"/>
        </a:xfrm>
      </xdr:grpSpPr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BBC679D2-BA06-5C4C-7636-5A5C5D8C99AF}"/>
              </a:ext>
            </a:extLst>
          </xdr:cNvPr>
          <xdr:cNvSpPr/>
        </xdr:nvSpPr>
        <xdr:spPr>
          <a:xfrm>
            <a:off x="4376738" y="243225640"/>
            <a:ext cx="2566987" cy="280986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D475BC72-504E-155E-3111-C4876BDD28B6}"/>
              </a:ext>
            </a:extLst>
          </xdr:cNvPr>
          <xdr:cNvSpPr/>
        </xdr:nvSpPr>
        <xdr:spPr>
          <a:xfrm>
            <a:off x="6972300" y="242935125"/>
            <a:ext cx="152400" cy="8524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12" name="Straight Arrow Connector 2111">
            <a:extLst>
              <a:ext uri="{FF2B5EF4-FFF2-40B4-BE49-F238E27FC236}">
                <a16:creationId xmlns:a16="http://schemas.microsoft.com/office/drawing/2014/main" id="{CF4B8493-510C-DFAF-45FA-F8CF4B9B8932}"/>
              </a:ext>
            </a:extLst>
          </xdr:cNvPr>
          <xdr:cNvCxnSpPr/>
        </xdr:nvCxnSpPr>
        <xdr:spPr>
          <a:xfrm>
            <a:off x="4376737" y="242792250"/>
            <a:ext cx="0" cy="4381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3" name="Straight Connector 2112">
            <a:extLst>
              <a:ext uri="{FF2B5EF4-FFF2-40B4-BE49-F238E27FC236}">
                <a16:creationId xmlns:a16="http://schemas.microsoft.com/office/drawing/2014/main" id="{6776D2F1-1368-E390-C687-34B8AA913FCD}"/>
              </a:ext>
            </a:extLst>
          </xdr:cNvPr>
          <xdr:cNvCxnSpPr/>
        </xdr:nvCxnSpPr>
        <xdr:spPr>
          <a:xfrm>
            <a:off x="4371975" y="243544725"/>
            <a:ext cx="0" cy="900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4" name="Straight Connector 2113">
            <a:extLst>
              <a:ext uri="{FF2B5EF4-FFF2-40B4-BE49-F238E27FC236}">
                <a16:creationId xmlns:a16="http://schemas.microsoft.com/office/drawing/2014/main" id="{83C52974-9AD5-1888-5236-43BA95AB7449}"/>
              </a:ext>
            </a:extLst>
          </xdr:cNvPr>
          <xdr:cNvCxnSpPr/>
        </xdr:nvCxnSpPr>
        <xdr:spPr>
          <a:xfrm>
            <a:off x="4291013" y="244363884"/>
            <a:ext cx="2743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5" name="Straight Arrow Connector 2114">
            <a:extLst>
              <a:ext uri="{FF2B5EF4-FFF2-40B4-BE49-F238E27FC236}">
                <a16:creationId xmlns:a16="http://schemas.microsoft.com/office/drawing/2014/main" id="{99DACDC3-0F80-0B6C-FD2C-8C5489BFA6D2}"/>
              </a:ext>
            </a:extLst>
          </xdr:cNvPr>
          <xdr:cNvCxnSpPr/>
        </xdr:nvCxnSpPr>
        <xdr:spPr>
          <a:xfrm flipV="1">
            <a:off x="6962775" y="243840000"/>
            <a:ext cx="0" cy="242888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6" name="Straight Connector 2115">
            <a:extLst>
              <a:ext uri="{FF2B5EF4-FFF2-40B4-BE49-F238E27FC236}">
                <a16:creationId xmlns:a16="http://schemas.microsoft.com/office/drawing/2014/main" id="{E30D1810-E1BE-C596-1054-6128E4078367}"/>
              </a:ext>
            </a:extLst>
          </xdr:cNvPr>
          <xdr:cNvCxnSpPr/>
        </xdr:nvCxnSpPr>
        <xdr:spPr>
          <a:xfrm flipH="1">
            <a:off x="4333874" y="2443305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7" name="Straight Connector 2116">
            <a:extLst>
              <a:ext uri="{FF2B5EF4-FFF2-40B4-BE49-F238E27FC236}">
                <a16:creationId xmlns:a16="http://schemas.microsoft.com/office/drawing/2014/main" id="{AEFA79CD-358A-ABB3-0CE8-9D00FA7BCC0F}"/>
              </a:ext>
            </a:extLst>
          </xdr:cNvPr>
          <xdr:cNvCxnSpPr/>
        </xdr:nvCxnSpPr>
        <xdr:spPr>
          <a:xfrm>
            <a:off x="6962774" y="244240050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8" name="Straight Connector 2117">
            <a:extLst>
              <a:ext uri="{FF2B5EF4-FFF2-40B4-BE49-F238E27FC236}">
                <a16:creationId xmlns:a16="http://schemas.microsoft.com/office/drawing/2014/main" id="{73AC5662-C8D1-6BBE-39D4-E0631A248E86}"/>
              </a:ext>
            </a:extLst>
          </xdr:cNvPr>
          <xdr:cNvCxnSpPr/>
        </xdr:nvCxnSpPr>
        <xdr:spPr>
          <a:xfrm flipH="1">
            <a:off x="6924673" y="2443305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9" name="Straight Arrow Connector 2118">
            <a:extLst>
              <a:ext uri="{FF2B5EF4-FFF2-40B4-BE49-F238E27FC236}">
                <a16:creationId xmlns:a16="http://schemas.microsoft.com/office/drawing/2014/main" id="{EDD9E817-33E2-D0CF-3DAB-9A6562467F84}"/>
              </a:ext>
            </a:extLst>
          </xdr:cNvPr>
          <xdr:cNvCxnSpPr/>
        </xdr:nvCxnSpPr>
        <xdr:spPr>
          <a:xfrm>
            <a:off x="4381500" y="243868582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0" name="Straight Connector 2119">
            <a:extLst>
              <a:ext uri="{FF2B5EF4-FFF2-40B4-BE49-F238E27FC236}">
                <a16:creationId xmlns:a16="http://schemas.microsoft.com/office/drawing/2014/main" id="{750022EF-2DFD-F008-2EA8-C02B30EF0B38}"/>
              </a:ext>
            </a:extLst>
          </xdr:cNvPr>
          <xdr:cNvCxnSpPr/>
        </xdr:nvCxnSpPr>
        <xdr:spPr>
          <a:xfrm>
            <a:off x="6958012" y="242930363"/>
            <a:ext cx="0" cy="8715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21" name="Arc 2120">
            <a:extLst>
              <a:ext uri="{FF2B5EF4-FFF2-40B4-BE49-F238E27FC236}">
                <a16:creationId xmlns:a16="http://schemas.microsoft.com/office/drawing/2014/main" id="{ED5F5A9E-E18D-7BB8-E069-6C08998D792A}"/>
              </a:ext>
            </a:extLst>
          </xdr:cNvPr>
          <xdr:cNvSpPr/>
        </xdr:nvSpPr>
        <xdr:spPr>
          <a:xfrm rot="2590035">
            <a:off x="6696075" y="243020851"/>
            <a:ext cx="558924" cy="558924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47</xdr:col>
      <xdr:colOff>95244</xdr:colOff>
      <xdr:row>1732</xdr:row>
      <xdr:rowOff>33335</xdr:rowOff>
    </xdr:from>
    <xdr:to>
      <xdr:col>70</xdr:col>
      <xdr:colOff>71444</xdr:colOff>
      <xdr:row>1745</xdr:row>
      <xdr:rowOff>114300</xdr:rowOff>
    </xdr:to>
    <xdr:grpSp>
      <xdr:nvGrpSpPr>
        <xdr:cNvPr id="2086" name="Group 2085">
          <a:extLst>
            <a:ext uri="{FF2B5EF4-FFF2-40B4-BE49-F238E27FC236}">
              <a16:creationId xmlns:a16="http://schemas.microsoft.com/office/drawing/2014/main" id="{74A2ABF4-6089-1070-A4CB-A23D388238CB}"/>
            </a:ext>
          </a:extLst>
        </xdr:cNvPr>
        <xdr:cNvGrpSpPr/>
      </xdr:nvGrpSpPr>
      <xdr:grpSpPr>
        <a:xfrm>
          <a:off x="7705719" y="261085010"/>
          <a:ext cx="3700475" cy="1938340"/>
          <a:chOff x="7705719" y="244968710"/>
          <a:chExt cx="3700475" cy="1938340"/>
        </a:xfrm>
      </xdr:grpSpPr>
      <xdr:sp macro="" textlink="">
        <xdr:nvSpPr>
          <xdr:cNvPr id="2161" name="Freeform: Shape 2160">
            <a:extLst>
              <a:ext uri="{FF2B5EF4-FFF2-40B4-BE49-F238E27FC236}">
                <a16:creationId xmlns:a16="http://schemas.microsoft.com/office/drawing/2014/main" id="{ED98EA8D-6C6C-9C54-034C-1945D0483DA0}"/>
              </a:ext>
            </a:extLst>
          </xdr:cNvPr>
          <xdr:cNvSpPr/>
        </xdr:nvSpPr>
        <xdr:spPr>
          <a:xfrm>
            <a:off x="8091488" y="245011575"/>
            <a:ext cx="2700337" cy="1000125"/>
          </a:xfrm>
          <a:custGeom>
            <a:avLst/>
            <a:gdLst>
              <a:gd name="connsiteX0" fmla="*/ 1947862 w 2700337"/>
              <a:gd name="connsiteY0" fmla="*/ 0 h 1000125"/>
              <a:gd name="connsiteX1" fmla="*/ 0 w 2700337"/>
              <a:gd name="connsiteY1" fmla="*/ 709613 h 1000125"/>
              <a:gd name="connsiteX2" fmla="*/ 338137 w 2700337"/>
              <a:gd name="connsiteY2" fmla="*/ 1000125 h 1000125"/>
              <a:gd name="connsiteX3" fmla="*/ 2700337 w 2700337"/>
              <a:gd name="connsiteY3" fmla="*/ 638175 h 1000125"/>
              <a:gd name="connsiteX4" fmla="*/ 1947862 w 2700337"/>
              <a:gd name="connsiteY4" fmla="*/ 0 h 10001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700337" h="1000125">
                <a:moveTo>
                  <a:pt x="1947862" y="0"/>
                </a:moveTo>
                <a:lnTo>
                  <a:pt x="0" y="709613"/>
                </a:lnTo>
                <a:lnTo>
                  <a:pt x="338137" y="1000125"/>
                </a:lnTo>
                <a:lnTo>
                  <a:pt x="2700337" y="638175"/>
                </a:lnTo>
                <a:lnTo>
                  <a:pt x="1947862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62" name="Freeform: Shape 2161">
            <a:extLst>
              <a:ext uri="{FF2B5EF4-FFF2-40B4-BE49-F238E27FC236}">
                <a16:creationId xmlns:a16="http://schemas.microsoft.com/office/drawing/2014/main" id="{71A46738-0846-C726-35DE-D5676E5158BA}"/>
              </a:ext>
            </a:extLst>
          </xdr:cNvPr>
          <xdr:cNvSpPr/>
        </xdr:nvSpPr>
        <xdr:spPr>
          <a:xfrm>
            <a:off x="8101013" y="245654513"/>
            <a:ext cx="2695575" cy="647700"/>
          </a:xfrm>
          <a:custGeom>
            <a:avLst/>
            <a:gdLst>
              <a:gd name="connsiteX0" fmla="*/ 0 w 2695575"/>
              <a:gd name="connsiteY0" fmla="*/ 66675 h 647700"/>
              <a:gd name="connsiteX1" fmla="*/ 0 w 2695575"/>
              <a:gd name="connsiteY1" fmla="*/ 371475 h 647700"/>
              <a:gd name="connsiteX2" fmla="*/ 328612 w 2695575"/>
              <a:gd name="connsiteY2" fmla="*/ 647700 h 647700"/>
              <a:gd name="connsiteX3" fmla="*/ 2695575 w 2695575"/>
              <a:gd name="connsiteY3" fmla="*/ 290512 h 647700"/>
              <a:gd name="connsiteX4" fmla="*/ 2695575 w 2695575"/>
              <a:gd name="connsiteY4" fmla="*/ 0 h 647700"/>
              <a:gd name="connsiteX5" fmla="*/ 328612 w 2695575"/>
              <a:gd name="connsiteY5" fmla="*/ 357187 h 647700"/>
              <a:gd name="connsiteX6" fmla="*/ 0 w 2695575"/>
              <a:gd name="connsiteY6" fmla="*/ 66675 h 647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695575" h="647700">
                <a:moveTo>
                  <a:pt x="0" y="66675"/>
                </a:moveTo>
                <a:lnTo>
                  <a:pt x="0" y="371475"/>
                </a:lnTo>
                <a:lnTo>
                  <a:pt x="328612" y="647700"/>
                </a:lnTo>
                <a:lnTo>
                  <a:pt x="2695575" y="290512"/>
                </a:lnTo>
                <a:lnTo>
                  <a:pt x="2695575" y="0"/>
                </a:lnTo>
                <a:lnTo>
                  <a:pt x="328612" y="357187"/>
                </a:lnTo>
                <a:lnTo>
                  <a:pt x="0" y="66675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091" name="Straight Connector 2090">
            <a:extLst>
              <a:ext uri="{FF2B5EF4-FFF2-40B4-BE49-F238E27FC236}">
                <a16:creationId xmlns:a16="http://schemas.microsoft.com/office/drawing/2014/main" id="{C480B89A-CFC6-CE26-65BC-C2794441C951}"/>
              </a:ext>
            </a:extLst>
          </xdr:cNvPr>
          <xdr:cNvCxnSpPr>
            <a:cxnSpLocks/>
          </xdr:cNvCxnSpPr>
        </xdr:nvCxnSpPr>
        <xdr:spPr>
          <a:xfrm flipV="1">
            <a:off x="8096250" y="245316375"/>
            <a:ext cx="1947863" cy="70485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2" name="Straight Connector 2091">
            <a:extLst>
              <a:ext uri="{FF2B5EF4-FFF2-40B4-BE49-F238E27FC236}">
                <a16:creationId xmlns:a16="http://schemas.microsoft.com/office/drawing/2014/main" id="{823C4DA1-347B-379C-8383-46634A2722F8}"/>
              </a:ext>
            </a:extLst>
          </xdr:cNvPr>
          <xdr:cNvCxnSpPr/>
        </xdr:nvCxnSpPr>
        <xdr:spPr>
          <a:xfrm>
            <a:off x="10563225" y="244982993"/>
            <a:ext cx="807728" cy="68580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3" name="Straight Connector 2092">
            <a:extLst>
              <a:ext uri="{FF2B5EF4-FFF2-40B4-BE49-F238E27FC236}">
                <a16:creationId xmlns:a16="http://schemas.microsoft.com/office/drawing/2014/main" id="{4C188D79-F67A-B10E-87A8-F85F7832C68C}"/>
              </a:ext>
            </a:extLst>
          </xdr:cNvPr>
          <xdr:cNvCxnSpPr/>
        </xdr:nvCxnSpPr>
        <xdr:spPr>
          <a:xfrm>
            <a:off x="10091738" y="245011574"/>
            <a:ext cx="5762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4" name="Straight Connector 2093">
            <a:extLst>
              <a:ext uri="{FF2B5EF4-FFF2-40B4-BE49-F238E27FC236}">
                <a16:creationId xmlns:a16="http://schemas.microsoft.com/office/drawing/2014/main" id="{2FD42060-4328-B6C5-C501-6EA1293666B6}"/>
              </a:ext>
            </a:extLst>
          </xdr:cNvPr>
          <xdr:cNvCxnSpPr/>
        </xdr:nvCxnSpPr>
        <xdr:spPr>
          <a:xfrm flipH="1">
            <a:off x="10572745" y="244968710"/>
            <a:ext cx="428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5" name="Straight Connector 2094">
            <a:extLst>
              <a:ext uri="{FF2B5EF4-FFF2-40B4-BE49-F238E27FC236}">
                <a16:creationId xmlns:a16="http://schemas.microsoft.com/office/drawing/2014/main" id="{E09782E1-3619-4B81-E507-3D441F62DC74}"/>
              </a:ext>
            </a:extLst>
          </xdr:cNvPr>
          <xdr:cNvCxnSpPr/>
        </xdr:nvCxnSpPr>
        <xdr:spPr>
          <a:xfrm>
            <a:off x="10834688" y="245649752"/>
            <a:ext cx="57150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6" name="Straight Connector 2095">
            <a:extLst>
              <a:ext uri="{FF2B5EF4-FFF2-40B4-BE49-F238E27FC236}">
                <a16:creationId xmlns:a16="http://schemas.microsoft.com/office/drawing/2014/main" id="{77F2C7F2-D2C8-5798-9B5C-8D852025707D}"/>
              </a:ext>
            </a:extLst>
          </xdr:cNvPr>
          <xdr:cNvCxnSpPr/>
        </xdr:nvCxnSpPr>
        <xdr:spPr>
          <a:xfrm flipH="1">
            <a:off x="11315702" y="245606888"/>
            <a:ext cx="428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7" name="Straight Connector 2096">
            <a:extLst>
              <a:ext uri="{FF2B5EF4-FFF2-40B4-BE49-F238E27FC236}">
                <a16:creationId xmlns:a16="http://schemas.microsoft.com/office/drawing/2014/main" id="{F1523FF2-DF21-54A1-0236-E02C24A6863E}"/>
              </a:ext>
            </a:extLst>
          </xdr:cNvPr>
          <xdr:cNvCxnSpPr/>
        </xdr:nvCxnSpPr>
        <xdr:spPr>
          <a:xfrm>
            <a:off x="11334749" y="245583075"/>
            <a:ext cx="0" cy="419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8" name="Straight Connector 2097">
            <a:extLst>
              <a:ext uri="{FF2B5EF4-FFF2-40B4-BE49-F238E27FC236}">
                <a16:creationId xmlns:a16="http://schemas.microsoft.com/office/drawing/2014/main" id="{DBF62EC0-D989-FEEC-CD81-277F0A0701E8}"/>
              </a:ext>
            </a:extLst>
          </xdr:cNvPr>
          <xdr:cNvCxnSpPr/>
        </xdr:nvCxnSpPr>
        <xdr:spPr>
          <a:xfrm>
            <a:off x="10839450" y="245945020"/>
            <a:ext cx="5524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9" name="Straight Connector 2098">
            <a:extLst>
              <a:ext uri="{FF2B5EF4-FFF2-40B4-BE49-F238E27FC236}">
                <a16:creationId xmlns:a16="http://schemas.microsoft.com/office/drawing/2014/main" id="{A82C2E9F-DC9B-65FD-B5BA-DE902E2A14E3}"/>
              </a:ext>
            </a:extLst>
          </xdr:cNvPr>
          <xdr:cNvCxnSpPr/>
        </xdr:nvCxnSpPr>
        <xdr:spPr>
          <a:xfrm flipH="1">
            <a:off x="11291888" y="245906917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0" name="Straight Connector 2099">
            <a:extLst>
              <a:ext uri="{FF2B5EF4-FFF2-40B4-BE49-F238E27FC236}">
                <a16:creationId xmlns:a16="http://schemas.microsoft.com/office/drawing/2014/main" id="{C872AF1F-3F9E-E339-77EE-1A87FB861672}"/>
              </a:ext>
            </a:extLst>
          </xdr:cNvPr>
          <xdr:cNvCxnSpPr/>
        </xdr:nvCxnSpPr>
        <xdr:spPr>
          <a:xfrm>
            <a:off x="8429625" y="246002175"/>
            <a:ext cx="0" cy="30956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1" name="Straight Connector 2100">
            <a:extLst>
              <a:ext uri="{FF2B5EF4-FFF2-40B4-BE49-F238E27FC236}">
                <a16:creationId xmlns:a16="http://schemas.microsoft.com/office/drawing/2014/main" id="{EEE04868-9D77-A718-144D-FD2C1571B04A}"/>
              </a:ext>
            </a:extLst>
          </xdr:cNvPr>
          <xdr:cNvCxnSpPr/>
        </xdr:nvCxnSpPr>
        <xdr:spPr>
          <a:xfrm>
            <a:off x="7705721" y="246025984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3" name="Straight Connector 2102">
            <a:extLst>
              <a:ext uri="{FF2B5EF4-FFF2-40B4-BE49-F238E27FC236}">
                <a16:creationId xmlns:a16="http://schemas.microsoft.com/office/drawing/2014/main" id="{4D44E666-B09E-B341-081A-BF17AFC8B9A9}"/>
              </a:ext>
            </a:extLst>
          </xdr:cNvPr>
          <xdr:cNvCxnSpPr/>
        </xdr:nvCxnSpPr>
        <xdr:spPr>
          <a:xfrm flipH="1">
            <a:off x="7739056" y="245987886"/>
            <a:ext cx="61913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4" name="Straight Connector 2103">
            <a:extLst>
              <a:ext uri="{FF2B5EF4-FFF2-40B4-BE49-F238E27FC236}">
                <a16:creationId xmlns:a16="http://schemas.microsoft.com/office/drawing/2014/main" id="{DBBB8A6E-953B-4BD3-5612-B62B73D6FD3E}"/>
              </a:ext>
            </a:extLst>
          </xdr:cNvPr>
          <xdr:cNvCxnSpPr/>
        </xdr:nvCxnSpPr>
        <xdr:spPr>
          <a:xfrm>
            <a:off x="8024813" y="246316496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5" name="Straight Connector 2104">
            <a:extLst>
              <a:ext uri="{FF2B5EF4-FFF2-40B4-BE49-F238E27FC236}">
                <a16:creationId xmlns:a16="http://schemas.microsoft.com/office/drawing/2014/main" id="{57C19C59-4126-FDD3-CBC0-2695872EC949}"/>
              </a:ext>
            </a:extLst>
          </xdr:cNvPr>
          <xdr:cNvCxnSpPr/>
        </xdr:nvCxnSpPr>
        <xdr:spPr>
          <a:xfrm flipH="1">
            <a:off x="8081963" y="246278398"/>
            <a:ext cx="61913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6" name="Straight Connector 2105">
            <a:extLst>
              <a:ext uri="{FF2B5EF4-FFF2-40B4-BE49-F238E27FC236}">
                <a16:creationId xmlns:a16="http://schemas.microsoft.com/office/drawing/2014/main" id="{787AA6C6-E8E3-8219-5E82-C5EB357B0038}"/>
              </a:ext>
            </a:extLst>
          </xdr:cNvPr>
          <xdr:cNvCxnSpPr/>
        </xdr:nvCxnSpPr>
        <xdr:spPr>
          <a:xfrm>
            <a:off x="7772395" y="245664038"/>
            <a:ext cx="0" cy="4667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7" name="Straight Connector 2106">
            <a:extLst>
              <a:ext uri="{FF2B5EF4-FFF2-40B4-BE49-F238E27FC236}">
                <a16:creationId xmlns:a16="http://schemas.microsoft.com/office/drawing/2014/main" id="{3AEEFCD2-7C33-5889-AE05-805F7CBA57FF}"/>
              </a:ext>
            </a:extLst>
          </xdr:cNvPr>
          <xdr:cNvCxnSpPr/>
        </xdr:nvCxnSpPr>
        <xdr:spPr>
          <a:xfrm>
            <a:off x="7705719" y="245721181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8" name="Straight Connector 2107">
            <a:extLst>
              <a:ext uri="{FF2B5EF4-FFF2-40B4-BE49-F238E27FC236}">
                <a16:creationId xmlns:a16="http://schemas.microsoft.com/office/drawing/2014/main" id="{4C8DAEBE-70F4-DBD7-7F14-84AA81560C19}"/>
              </a:ext>
            </a:extLst>
          </xdr:cNvPr>
          <xdr:cNvCxnSpPr/>
        </xdr:nvCxnSpPr>
        <xdr:spPr>
          <a:xfrm flipH="1">
            <a:off x="7743817" y="245683083"/>
            <a:ext cx="61913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9" name="Straight Connector 2138">
            <a:extLst>
              <a:ext uri="{FF2B5EF4-FFF2-40B4-BE49-F238E27FC236}">
                <a16:creationId xmlns:a16="http://schemas.microsoft.com/office/drawing/2014/main" id="{63CB31DE-5150-4EC6-97A2-0509F87D9746}"/>
              </a:ext>
            </a:extLst>
          </xdr:cNvPr>
          <xdr:cNvCxnSpPr/>
        </xdr:nvCxnSpPr>
        <xdr:spPr>
          <a:xfrm>
            <a:off x="10044113" y="245316715"/>
            <a:ext cx="742950" cy="62620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5" name="Straight Connector 2144">
            <a:extLst>
              <a:ext uri="{FF2B5EF4-FFF2-40B4-BE49-F238E27FC236}">
                <a16:creationId xmlns:a16="http://schemas.microsoft.com/office/drawing/2014/main" id="{65998E54-683A-4C6C-98C3-454832DC145D}"/>
              </a:ext>
            </a:extLst>
          </xdr:cNvPr>
          <xdr:cNvCxnSpPr/>
        </xdr:nvCxnSpPr>
        <xdr:spPr>
          <a:xfrm>
            <a:off x="10044114" y="245016338"/>
            <a:ext cx="0" cy="300036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1" name="Straight Connector 2200">
            <a:extLst>
              <a:ext uri="{FF2B5EF4-FFF2-40B4-BE49-F238E27FC236}">
                <a16:creationId xmlns:a16="http://schemas.microsoft.com/office/drawing/2014/main" id="{AD95439E-7458-4184-8515-0B43A6312B9B}"/>
              </a:ext>
            </a:extLst>
          </xdr:cNvPr>
          <xdr:cNvCxnSpPr/>
        </xdr:nvCxnSpPr>
        <xdr:spPr>
          <a:xfrm>
            <a:off x="7720013" y="245987887"/>
            <a:ext cx="433387" cy="3679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6" name="Straight Connector 2205">
            <a:extLst>
              <a:ext uri="{FF2B5EF4-FFF2-40B4-BE49-F238E27FC236}">
                <a16:creationId xmlns:a16="http://schemas.microsoft.com/office/drawing/2014/main" id="{F8964F6A-2125-9803-7DDD-95906281BBD6}"/>
              </a:ext>
            </a:extLst>
          </xdr:cNvPr>
          <xdr:cNvCxnSpPr/>
        </xdr:nvCxnSpPr>
        <xdr:spPr>
          <a:xfrm flipV="1">
            <a:off x="8986841" y="246159541"/>
            <a:ext cx="2138359" cy="71893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7" name="Straight Connector 2206">
            <a:extLst>
              <a:ext uri="{FF2B5EF4-FFF2-40B4-BE49-F238E27FC236}">
                <a16:creationId xmlns:a16="http://schemas.microsoft.com/office/drawing/2014/main" id="{125A9A64-0E8C-431A-9740-0095348691B8}"/>
              </a:ext>
            </a:extLst>
          </xdr:cNvPr>
          <xdr:cNvCxnSpPr/>
        </xdr:nvCxnSpPr>
        <xdr:spPr>
          <a:xfrm>
            <a:off x="10820400" y="245983118"/>
            <a:ext cx="297295" cy="2524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3" name="Straight Connector 2212">
            <a:extLst>
              <a:ext uri="{FF2B5EF4-FFF2-40B4-BE49-F238E27FC236}">
                <a16:creationId xmlns:a16="http://schemas.microsoft.com/office/drawing/2014/main" id="{7B62A5F8-5807-453E-86A4-DC91FB6228C6}"/>
              </a:ext>
            </a:extLst>
          </xdr:cNvPr>
          <xdr:cNvCxnSpPr/>
        </xdr:nvCxnSpPr>
        <xdr:spPr>
          <a:xfrm>
            <a:off x="8474828" y="246340313"/>
            <a:ext cx="661882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9" name="Straight Connector 2228">
            <a:extLst>
              <a:ext uri="{FF2B5EF4-FFF2-40B4-BE49-F238E27FC236}">
                <a16:creationId xmlns:a16="http://schemas.microsoft.com/office/drawing/2014/main" id="{70BEA630-0DEA-7D7F-BC65-FFC24C6D694C}"/>
              </a:ext>
            </a:extLst>
          </xdr:cNvPr>
          <xdr:cNvCxnSpPr/>
        </xdr:nvCxnSpPr>
        <xdr:spPr>
          <a:xfrm flipH="1">
            <a:off x="9058275" y="246787988"/>
            <a:ext cx="28575" cy="119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1" name="Straight Connector 2230">
            <a:extLst>
              <a:ext uri="{FF2B5EF4-FFF2-40B4-BE49-F238E27FC236}">
                <a16:creationId xmlns:a16="http://schemas.microsoft.com/office/drawing/2014/main" id="{C2267D04-052B-4E9A-80A9-AB62FCA52C0B}"/>
              </a:ext>
            </a:extLst>
          </xdr:cNvPr>
          <xdr:cNvCxnSpPr/>
        </xdr:nvCxnSpPr>
        <xdr:spPr>
          <a:xfrm flipH="1">
            <a:off x="11044238" y="246126002"/>
            <a:ext cx="28575" cy="119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95244</xdr:colOff>
      <xdr:row>1520</xdr:row>
      <xdr:rowOff>100012</xdr:rowOff>
    </xdr:from>
    <xdr:to>
      <xdr:col>68</xdr:col>
      <xdr:colOff>123827</xdr:colOff>
      <xdr:row>1531</xdr:row>
      <xdr:rowOff>95250</xdr:rowOff>
    </xdr:to>
    <xdr:grpSp>
      <xdr:nvGrpSpPr>
        <xdr:cNvPr id="2244" name="Group 2243">
          <a:extLst>
            <a:ext uri="{FF2B5EF4-FFF2-40B4-BE49-F238E27FC236}">
              <a16:creationId xmlns:a16="http://schemas.microsoft.com/office/drawing/2014/main" id="{01A95636-BE9E-DF5B-B559-F1EAA97E8BA5}"/>
            </a:ext>
          </a:extLst>
        </xdr:cNvPr>
        <xdr:cNvGrpSpPr/>
      </xdr:nvGrpSpPr>
      <xdr:grpSpPr>
        <a:xfrm>
          <a:off x="7705719" y="228919087"/>
          <a:ext cx="3429008" cy="1566863"/>
          <a:chOff x="7705719" y="214860187"/>
          <a:chExt cx="3429008" cy="1566863"/>
        </a:xfrm>
      </xdr:grpSpPr>
      <xdr:sp macro="" textlink="">
        <xdr:nvSpPr>
          <xdr:cNvPr id="2150" name="Freeform: Shape 2149">
            <a:extLst>
              <a:ext uri="{FF2B5EF4-FFF2-40B4-BE49-F238E27FC236}">
                <a16:creationId xmlns:a16="http://schemas.microsoft.com/office/drawing/2014/main" id="{23105FCB-2CC8-2F76-9128-C73294609143}"/>
              </a:ext>
            </a:extLst>
          </xdr:cNvPr>
          <xdr:cNvSpPr/>
        </xdr:nvSpPr>
        <xdr:spPr>
          <a:xfrm>
            <a:off x="8096250" y="214907813"/>
            <a:ext cx="2614613" cy="847725"/>
          </a:xfrm>
          <a:custGeom>
            <a:avLst/>
            <a:gdLst>
              <a:gd name="connsiteX0" fmla="*/ 2271713 w 2614613"/>
              <a:gd name="connsiteY0" fmla="*/ 0 h 847725"/>
              <a:gd name="connsiteX1" fmla="*/ 0 w 2614613"/>
              <a:gd name="connsiteY1" fmla="*/ 552450 h 847725"/>
              <a:gd name="connsiteX2" fmla="*/ 333375 w 2614613"/>
              <a:gd name="connsiteY2" fmla="*/ 847725 h 847725"/>
              <a:gd name="connsiteX3" fmla="*/ 2614613 w 2614613"/>
              <a:gd name="connsiteY3" fmla="*/ 295275 h 847725"/>
              <a:gd name="connsiteX4" fmla="*/ 2271713 w 2614613"/>
              <a:gd name="connsiteY4" fmla="*/ 0 h 847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614613" h="847725">
                <a:moveTo>
                  <a:pt x="2271713" y="0"/>
                </a:moveTo>
                <a:lnTo>
                  <a:pt x="0" y="552450"/>
                </a:lnTo>
                <a:lnTo>
                  <a:pt x="333375" y="847725"/>
                </a:lnTo>
                <a:lnTo>
                  <a:pt x="2614613" y="295275"/>
                </a:lnTo>
                <a:lnTo>
                  <a:pt x="2271713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51" name="Freeform: Shape 2150">
            <a:extLst>
              <a:ext uri="{FF2B5EF4-FFF2-40B4-BE49-F238E27FC236}">
                <a16:creationId xmlns:a16="http://schemas.microsoft.com/office/drawing/2014/main" id="{14F90DD6-C1C4-9956-0548-6AFB138094F2}"/>
              </a:ext>
            </a:extLst>
          </xdr:cNvPr>
          <xdr:cNvSpPr/>
        </xdr:nvSpPr>
        <xdr:spPr>
          <a:xfrm>
            <a:off x="8094418" y="215198325"/>
            <a:ext cx="2611682" cy="942975"/>
          </a:xfrm>
          <a:custGeom>
            <a:avLst/>
            <a:gdLst>
              <a:gd name="connsiteX0" fmla="*/ 1832 w 2611682"/>
              <a:gd name="connsiteY0" fmla="*/ 257175 h 942975"/>
              <a:gd name="connsiteX1" fmla="*/ 335207 w 2611682"/>
              <a:gd name="connsiteY1" fmla="*/ 561975 h 942975"/>
              <a:gd name="connsiteX2" fmla="*/ 2611682 w 2611682"/>
              <a:gd name="connsiteY2" fmla="*/ 0 h 942975"/>
              <a:gd name="connsiteX3" fmla="*/ 2611682 w 2611682"/>
              <a:gd name="connsiteY3" fmla="*/ 714375 h 942975"/>
              <a:gd name="connsiteX4" fmla="*/ 335207 w 2611682"/>
              <a:gd name="connsiteY4" fmla="*/ 942975 h 942975"/>
              <a:gd name="connsiteX5" fmla="*/ 1832 w 2611682"/>
              <a:gd name="connsiteY5" fmla="*/ 647700 h 942975"/>
              <a:gd name="connsiteX6" fmla="*/ 1832 w 2611682"/>
              <a:gd name="connsiteY6" fmla="*/ 257175 h 942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611682" h="942975">
                <a:moveTo>
                  <a:pt x="1832" y="257175"/>
                </a:moveTo>
                <a:lnTo>
                  <a:pt x="335207" y="561975"/>
                </a:lnTo>
                <a:lnTo>
                  <a:pt x="2611682" y="0"/>
                </a:lnTo>
                <a:lnTo>
                  <a:pt x="2611682" y="714375"/>
                </a:lnTo>
                <a:lnTo>
                  <a:pt x="335207" y="942975"/>
                </a:lnTo>
                <a:lnTo>
                  <a:pt x="1832" y="647700"/>
                </a:lnTo>
                <a:cubicBezTo>
                  <a:pt x="245" y="517525"/>
                  <a:pt x="-1343" y="387350"/>
                  <a:pt x="1832" y="257175"/>
                </a:cubicBez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52" name="Straight Connector 1951">
            <a:extLst>
              <a:ext uri="{FF2B5EF4-FFF2-40B4-BE49-F238E27FC236}">
                <a16:creationId xmlns:a16="http://schemas.microsoft.com/office/drawing/2014/main" id="{4856E270-F436-47A6-98B5-F0ABD403368B}"/>
              </a:ext>
            </a:extLst>
          </xdr:cNvPr>
          <xdr:cNvCxnSpPr/>
        </xdr:nvCxnSpPr>
        <xdr:spPr>
          <a:xfrm>
            <a:off x="10372725" y="215611830"/>
            <a:ext cx="335432" cy="28658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3" name="Straight Connector 1952">
            <a:extLst>
              <a:ext uri="{FF2B5EF4-FFF2-40B4-BE49-F238E27FC236}">
                <a16:creationId xmlns:a16="http://schemas.microsoft.com/office/drawing/2014/main" id="{10027791-1184-4A69-BA49-D287683FE791}"/>
              </a:ext>
            </a:extLst>
          </xdr:cNvPr>
          <xdr:cNvCxnSpPr/>
        </xdr:nvCxnSpPr>
        <xdr:spPr>
          <a:xfrm>
            <a:off x="10367963" y="214907813"/>
            <a:ext cx="0" cy="70485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6" name="Straight Connector 1955">
            <a:extLst>
              <a:ext uri="{FF2B5EF4-FFF2-40B4-BE49-F238E27FC236}">
                <a16:creationId xmlns:a16="http://schemas.microsoft.com/office/drawing/2014/main" id="{AC1358C5-B29C-422C-B329-85B089B08422}"/>
              </a:ext>
            </a:extLst>
          </xdr:cNvPr>
          <xdr:cNvCxnSpPr>
            <a:cxnSpLocks/>
            <a:stCxn id="2151" idx="5"/>
          </xdr:cNvCxnSpPr>
        </xdr:nvCxnSpPr>
        <xdr:spPr>
          <a:xfrm flipV="1">
            <a:off x="8096250" y="215607900"/>
            <a:ext cx="2271713" cy="2381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7" name="Straight Connector 1966">
            <a:extLst>
              <a:ext uri="{FF2B5EF4-FFF2-40B4-BE49-F238E27FC236}">
                <a16:creationId xmlns:a16="http://schemas.microsoft.com/office/drawing/2014/main" id="{F3C7D18B-1CE9-7487-6647-14F04A629ED9}"/>
              </a:ext>
            </a:extLst>
          </xdr:cNvPr>
          <xdr:cNvCxnSpPr/>
        </xdr:nvCxnSpPr>
        <xdr:spPr>
          <a:xfrm>
            <a:off x="10682288" y="214870325"/>
            <a:ext cx="434356" cy="36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5" name="Straight Connector 1974">
            <a:extLst>
              <a:ext uri="{FF2B5EF4-FFF2-40B4-BE49-F238E27FC236}">
                <a16:creationId xmlns:a16="http://schemas.microsoft.com/office/drawing/2014/main" id="{EED40EBA-1B7D-3440-CA20-9F630C82AAB7}"/>
              </a:ext>
            </a:extLst>
          </xdr:cNvPr>
          <xdr:cNvCxnSpPr/>
        </xdr:nvCxnSpPr>
        <xdr:spPr>
          <a:xfrm>
            <a:off x="10401300" y="214903051"/>
            <a:ext cx="3952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7" name="Straight Connector 1976">
            <a:extLst>
              <a:ext uri="{FF2B5EF4-FFF2-40B4-BE49-F238E27FC236}">
                <a16:creationId xmlns:a16="http://schemas.microsoft.com/office/drawing/2014/main" id="{5AB082CF-D65C-F3E0-7551-54674B9066FD}"/>
              </a:ext>
            </a:extLst>
          </xdr:cNvPr>
          <xdr:cNvCxnSpPr/>
        </xdr:nvCxnSpPr>
        <xdr:spPr>
          <a:xfrm flipH="1">
            <a:off x="10701338" y="214860187"/>
            <a:ext cx="428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0" name="Straight Connector 1979">
            <a:extLst>
              <a:ext uri="{FF2B5EF4-FFF2-40B4-BE49-F238E27FC236}">
                <a16:creationId xmlns:a16="http://schemas.microsoft.com/office/drawing/2014/main" id="{B7A0169B-5DEA-4FFA-88C9-E3BD2B687DD8}"/>
              </a:ext>
            </a:extLst>
          </xdr:cNvPr>
          <xdr:cNvCxnSpPr/>
        </xdr:nvCxnSpPr>
        <xdr:spPr>
          <a:xfrm>
            <a:off x="10739439" y="215188800"/>
            <a:ext cx="3952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1" name="Straight Connector 1980">
            <a:extLst>
              <a:ext uri="{FF2B5EF4-FFF2-40B4-BE49-F238E27FC236}">
                <a16:creationId xmlns:a16="http://schemas.microsoft.com/office/drawing/2014/main" id="{72540D34-5DD9-4FA7-A644-96EAEC8B6E91}"/>
              </a:ext>
            </a:extLst>
          </xdr:cNvPr>
          <xdr:cNvCxnSpPr/>
        </xdr:nvCxnSpPr>
        <xdr:spPr>
          <a:xfrm flipH="1">
            <a:off x="11039477" y="215145936"/>
            <a:ext cx="428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4" name="Straight Connector 913">
            <a:extLst>
              <a:ext uri="{FF2B5EF4-FFF2-40B4-BE49-F238E27FC236}">
                <a16:creationId xmlns:a16="http://schemas.microsoft.com/office/drawing/2014/main" id="{87B5D362-77CB-4093-731A-A473E141B373}"/>
              </a:ext>
            </a:extLst>
          </xdr:cNvPr>
          <xdr:cNvCxnSpPr/>
        </xdr:nvCxnSpPr>
        <xdr:spPr>
          <a:xfrm>
            <a:off x="11058524" y="215126888"/>
            <a:ext cx="0" cy="84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9" name="Straight Connector 1508">
            <a:extLst>
              <a:ext uri="{FF2B5EF4-FFF2-40B4-BE49-F238E27FC236}">
                <a16:creationId xmlns:a16="http://schemas.microsoft.com/office/drawing/2014/main" id="{3DF54C9E-89FB-49B5-8A8E-CCE9A9EB0BC1}"/>
              </a:ext>
            </a:extLst>
          </xdr:cNvPr>
          <xdr:cNvCxnSpPr/>
        </xdr:nvCxnSpPr>
        <xdr:spPr>
          <a:xfrm>
            <a:off x="10734671" y="215903176"/>
            <a:ext cx="3952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2" name="Straight Connector 1611">
            <a:extLst>
              <a:ext uri="{FF2B5EF4-FFF2-40B4-BE49-F238E27FC236}">
                <a16:creationId xmlns:a16="http://schemas.microsoft.com/office/drawing/2014/main" id="{43E11C14-CADD-13A2-F489-CC1C826FC0DA}"/>
              </a:ext>
            </a:extLst>
          </xdr:cNvPr>
          <xdr:cNvCxnSpPr/>
        </xdr:nvCxnSpPr>
        <xdr:spPr>
          <a:xfrm flipH="1">
            <a:off x="11015663" y="2158650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1" name="Straight Connector 1640">
            <a:extLst>
              <a:ext uri="{FF2B5EF4-FFF2-40B4-BE49-F238E27FC236}">
                <a16:creationId xmlns:a16="http://schemas.microsoft.com/office/drawing/2014/main" id="{327FAE1A-8B45-65CB-CFBE-B068295FE94F}"/>
              </a:ext>
            </a:extLst>
          </xdr:cNvPr>
          <xdr:cNvCxnSpPr/>
        </xdr:nvCxnSpPr>
        <xdr:spPr>
          <a:xfrm>
            <a:off x="8429625" y="215750775"/>
            <a:ext cx="0" cy="38576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7" name="Straight Connector 1666">
            <a:extLst>
              <a:ext uri="{FF2B5EF4-FFF2-40B4-BE49-F238E27FC236}">
                <a16:creationId xmlns:a16="http://schemas.microsoft.com/office/drawing/2014/main" id="{685BAA33-C2AE-49A9-321E-45807EDB0526}"/>
              </a:ext>
            </a:extLst>
          </xdr:cNvPr>
          <xdr:cNvCxnSpPr/>
        </xdr:nvCxnSpPr>
        <xdr:spPr>
          <a:xfrm>
            <a:off x="7705721" y="215850784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9" name="Straight Connector 1668">
            <a:extLst>
              <a:ext uri="{FF2B5EF4-FFF2-40B4-BE49-F238E27FC236}">
                <a16:creationId xmlns:a16="http://schemas.microsoft.com/office/drawing/2014/main" id="{BCCDCC8F-34AE-AA14-8BAD-55163A36ED62}"/>
              </a:ext>
            </a:extLst>
          </xdr:cNvPr>
          <xdr:cNvCxnSpPr/>
        </xdr:nvCxnSpPr>
        <xdr:spPr>
          <a:xfrm>
            <a:off x="7724770" y="215817442"/>
            <a:ext cx="446393" cy="3762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0" name="Straight Connector 1779">
            <a:extLst>
              <a:ext uri="{FF2B5EF4-FFF2-40B4-BE49-F238E27FC236}">
                <a16:creationId xmlns:a16="http://schemas.microsoft.com/office/drawing/2014/main" id="{979C9B30-AB9E-3C85-3BE2-31A00E503C78}"/>
              </a:ext>
            </a:extLst>
          </xdr:cNvPr>
          <xdr:cNvCxnSpPr/>
        </xdr:nvCxnSpPr>
        <xdr:spPr>
          <a:xfrm flipH="1">
            <a:off x="7739056" y="215812686"/>
            <a:ext cx="61913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3" name="Straight Connector 1802">
            <a:extLst>
              <a:ext uri="{FF2B5EF4-FFF2-40B4-BE49-F238E27FC236}">
                <a16:creationId xmlns:a16="http://schemas.microsoft.com/office/drawing/2014/main" id="{60669431-F6F9-48AA-85B6-7237D04893F0}"/>
              </a:ext>
            </a:extLst>
          </xdr:cNvPr>
          <xdr:cNvCxnSpPr/>
        </xdr:nvCxnSpPr>
        <xdr:spPr>
          <a:xfrm>
            <a:off x="8024813" y="216141296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8" name="Straight Connector 1817">
            <a:extLst>
              <a:ext uri="{FF2B5EF4-FFF2-40B4-BE49-F238E27FC236}">
                <a16:creationId xmlns:a16="http://schemas.microsoft.com/office/drawing/2014/main" id="{F0677301-56B4-42D1-847D-AF02FC9940DA}"/>
              </a:ext>
            </a:extLst>
          </xdr:cNvPr>
          <xdr:cNvCxnSpPr/>
        </xdr:nvCxnSpPr>
        <xdr:spPr>
          <a:xfrm flipH="1">
            <a:off x="8081963" y="216103198"/>
            <a:ext cx="61913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3" name="Straight Connector 1822">
            <a:extLst>
              <a:ext uri="{FF2B5EF4-FFF2-40B4-BE49-F238E27FC236}">
                <a16:creationId xmlns:a16="http://schemas.microsoft.com/office/drawing/2014/main" id="{C1FF98CB-D16C-A4DA-080E-C647532197EB}"/>
              </a:ext>
            </a:extLst>
          </xdr:cNvPr>
          <xdr:cNvCxnSpPr/>
        </xdr:nvCxnSpPr>
        <xdr:spPr>
          <a:xfrm>
            <a:off x="7772395" y="215388825"/>
            <a:ext cx="0" cy="56672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6" name="Straight Connector 1825">
            <a:extLst>
              <a:ext uri="{FF2B5EF4-FFF2-40B4-BE49-F238E27FC236}">
                <a16:creationId xmlns:a16="http://schemas.microsoft.com/office/drawing/2014/main" id="{4F65640B-6B40-417D-AA5D-8F95AB6851FC}"/>
              </a:ext>
            </a:extLst>
          </xdr:cNvPr>
          <xdr:cNvCxnSpPr/>
        </xdr:nvCxnSpPr>
        <xdr:spPr>
          <a:xfrm>
            <a:off x="7705719" y="215460251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7" name="Straight Connector 1826">
            <a:extLst>
              <a:ext uri="{FF2B5EF4-FFF2-40B4-BE49-F238E27FC236}">
                <a16:creationId xmlns:a16="http://schemas.microsoft.com/office/drawing/2014/main" id="{7A9F0B60-D1DA-4C26-BBAC-E11300EA364C}"/>
              </a:ext>
            </a:extLst>
          </xdr:cNvPr>
          <xdr:cNvCxnSpPr/>
        </xdr:nvCxnSpPr>
        <xdr:spPr>
          <a:xfrm flipH="1">
            <a:off x="7743817" y="215422153"/>
            <a:ext cx="61913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5" name="Straight Connector 2234">
            <a:extLst>
              <a:ext uri="{FF2B5EF4-FFF2-40B4-BE49-F238E27FC236}">
                <a16:creationId xmlns:a16="http://schemas.microsoft.com/office/drawing/2014/main" id="{C51A47B6-004C-A16E-88AD-D21C4C58DC4E}"/>
              </a:ext>
            </a:extLst>
          </xdr:cNvPr>
          <xdr:cNvCxnSpPr/>
        </xdr:nvCxnSpPr>
        <xdr:spPr>
          <a:xfrm flipV="1">
            <a:off x="8620125" y="216142654"/>
            <a:ext cx="2452688" cy="24629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6" name="Straight Connector 2235">
            <a:extLst>
              <a:ext uri="{FF2B5EF4-FFF2-40B4-BE49-F238E27FC236}">
                <a16:creationId xmlns:a16="http://schemas.microsoft.com/office/drawing/2014/main" id="{728D2191-DE76-490F-9FD5-591AF81CE230}"/>
              </a:ext>
            </a:extLst>
          </xdr:cNvPr>
          <xdr:cNvCxnSpPr/>
        </xdr:nvCxnSpPr>
        <xdr:spPr>
          <a:xfrm>
            <a:off x="8439145" y="216160342"/>
            <a:ext cx="310783" cy="2619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7" name="Straight Connector 2236">
            <a:extLst>
              <a:ext uri="{FF2B5EF4-FFF2-40B4-BE49-F238E27FC236}">
                <a16:creationId xmlns:a16="http://schemas.microsoft.com/office/drawing/2014/main" id="{13B96D58-DFC9-4B16-9FD2-B23246BD49BF}"/>
              </a:ext>
            </a:extLst>
          </xdr:cNvPr>
          <xdr:cNvCxnSpPr/>
        </xdr:nvCxnSpPr>
        <xdr:spPr>
          <a:xfrm flipH="1">
            <a:off x="8677272" y="216336561"/>
            <a:ext cx="38101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0" name="Straight Connector 2239">
            <a:extLst>
              <a:ext uri="{FF2B5EF4-FFF2-40B4-BE49-F238E27FC236}">
                <a16:creationId xmlns:a16="http://schemas.microsoft.com/office/drawing/2014/main" id="{2EF42394-CEA0-481A-A9E1-BA058E0EC27E}"/>
              </a:ext>
            </a:extLst>
          </xdr:cNvPr>
          <xdr:cNvCxnSpPr/>
        </xdr:nvCxnSpPr>
        <xdr:spPr>
          <a:xfrm>
            <a:off x="10720383" y="215917455"/>
            <a:ext cx="344684" cy="2905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1" name="Straight Connector 2240">
            <a:extLst>
              <a:ext uri="{FF2B5EF4-FFF2-40B4-BE49-F238E27FC236}">
                <a16:creationId xmlns:a16="http://schemas.microsoft.com/office/drawing/2014/main" id="{2D364A0E-F5EC-46DD-892A-4CB77FCCD5B9}"/>
              </a:ext>
            </a:extLst>
          </xdr:cNvPr>
          <xdr:cNvCxnSpPr/>
        </xdr:nvCxnSpPr>
        <xdr:spPr>
          <a:xfrm flipH="1">
            <a:off x="10977559" y="216103199"/>
            <a:ext cx="38101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47625</xdr:colOff>
      <xdr:row>1745</xdr:row>
      <xdr:rowOff>66675</xdr:rowOff>
    </xdr:from>
    <xdr:to>
      <xdr:col>11</xdr:col>
      <xdr:colOff>104775</xdr:colOff>
      <xdr:row>1745</xdr:row>
      <xdr:rowOff>66675</xdr:rowOff>
    </xdr:to>
    <xdr:cxnSp macro="">
      <xdr:nvCxnSpPr>
        <xdr:cNvPr id="2249" name="Straight Arrow Connector 2248">
          <a:extLst>
            <a:ext uri="{FF2B5EF4-FFF2-40B4-BE49-F238E27FC236}">
              <a16:creationId xmlns:a16="http://schemas.microsoft.com/office/drawing/2014/main" id="{EAEF0A36-3C6F-47A0-8D00-8689D106FE37}"/>
            </a:ext>
          </a:extLst>
        </xdr:cNvPr>
        <xdr:cNvCxnSpPr/>
      </xdr:nvCxnSpPr>
      <xdr:spPr>
        <a:xfrm>
          <a:off x="1666875" y="236229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47625</xdr:colOff>
      <xdr:row>1745</xdr:row>
      <xdr:rowOff>66675</xdr:rowOff>
    </xdr:from>
    <xdr:to>
      <xdr:col>22</xdr:col>
      <xdr:colOff>104775</xdr:colOff>
      <xdr:row>1745</xdr:row>
      <xdr:rowOff>66675</xdr:rowOff>
    </xdr:to>
    <xdr:cxnSp macro="">
      <xdr:nvCxnSpPr>
        <xdr:cNvPr id="2250" name="Straight Arrow Connector 2249">
          <a:extLst>
            <a:ext uri="{FF2B5EF4-FFF2-40B4-BE49-F238E27FC236}">
              <a16:creationId xmlns:a16="http://schemas.microsoft.com/office/drawing/2014/main" id="{0B1ABD00-E4D4-4068-8CA6-E7AC1E20A807}"/>
            </a:ext>
          </a:extLst>
        </xdr:cNvPr>
        <xdr:cNvCxnSpPr/>
      </xdr:nvCxnSpPr>
      <xdr:spPr>
        <a:xfrm>
          <a:off x="3448050" y="236229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1753</xdr:row>
      <xdr:rowOff>66675</xdr:rowOff>
    </xdr:from>
    <xdr:to>
      <xdr:col>11</xdr:col>
      <xdr:colOff>104775</xdr:colOff>
      <xdr:row>1753</xdr:row>
      <xdr:rowOff>66675</xdr:rowOff>
    </xdr:to>
    <xdr:cxnSp macro="">
      <xdr:nvCxnSpPr>
        <xdr:cNvPr id="2251" name="Straight Arrow Connector 2250">
          <a:extLst>
            <a:ext uri="{FF2B5EF4-FFF2-40B4-BE49-F238E27FC236}">
              <a16:creationId xmlns:a16="http://schemas.microsoft.com/office/drawing/2014/main" id="{3087E37E-4F7F-42CD-81F1-B62B90FC87AD}"/>
            </a:ext>
          </a:extLst>
        </xdr:cNvPr>
        <xdr:cNvCxnSpPr/>
      </xdr:nvCxnSpPr>
      <xdr:spPr>
        <a:xfrm>
          <a:off x="1666875" y="237372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47625</xdr:colOff>
      <xdr:row>1753</xdr:row>
      <xdr:rowOff>66675</xdr:rowOff>
    </xdr:from>
    <xdr:to>
      <xdr:col>22</xdr:col>
      <xdr:colOff>104775</xdr:colOff>
      <xdr:row>1753</xdr:row>
      <xdr:rowOff>66675</xdr:rowOff>
    </xdr:to>
    <xdr:cxnSp macro="">
      <xdr:nvCxnSpPr>
        <xdr:cNvPr id="2252" name="Straight Arrow Connector 2251">
          <a:extLst>
            <a:ext uri="{FF2B5EF4-FFF2-40B4-BE49-F238E27FC236}">
              <a16:creationId xmlns:a16="http://schemas.microsoft.com/office/drawing/2014/main" id="{F21786CA-EE0A-4A8F-87E4-7E614C83DA8D}"/>
            </a:ext>
          </a:extLst>
        </xdr:cNvPr>
        <xdr:cNvCxnSpPr/>
      </xdr:nvCxnSpPr>
      <xdr:spPr>
        <a:xfrm>
          <a:off x="3448050" y="237372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1759</xdr:row>
      <xdr:rowOff>66675</xdr:rowOff>
    </xdr:from>
    <xdr:to>
      <xdr:col>7</xdr:col>
      <xdr:colOff>119062</xdr:colOff>
      <xdr:row>1759</xdr:row>
      <xdr:rowOff>66675</xdr:rowOff>
    </xdr:to>
    <xdr:cxnSp macro="">
      <xdr:nvCxnSpPr>
        <xdr:cNvPr id="2253" name="Straight Arrow Connector 2252">
          <a:extLst>
            <a:ext uri="{FF2B5EF4-FFF2-40B4-BE49-F238E27FC236}">
              <a16:creationId xmlns:a16="http://schemas.microsoft.com/office/drawing/2014/main" id="{21AA589F-791C-4CF1-961F-44D288B4C4A8}"/>
            </a:ext>
          </a:extLst>
        </xdr:cNvPr>
        <xdr:cNvCxnSpPr/>
      </xdr:nvCxnSpPr>
      <xdr:spPr>
        <a:xfrm>
          <a:off x="1200150" y="2382297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1760</xdr:row>
      <xdr:rowOff>66675</xdr:rowOff>
    </xdr:from>
    <xdr:to>
      <xdr:col>7</xdr:col>
      <xdr:colOff>109537</xdr:colOff>
      <xdr:row>1760</xdr:row>
      <xdr:rowOff>66675</xdr:rowOff>
    </xdr:to>
    <xdr:cxnSp macro="">
      <xdr:nvCxnSpPr>
        <xdr:cNvPr id="2254" name="Straight Arrow Connector 2253">
          <a:extLst>
            <a:ext uri="{FF2B5EF4-FFF2-40B4-BE49-F238E27FC236}">
              <a16:creationId xmlns:a16="http://schemas.microsoft.com/office/drawing/2014/main" id="{2218243E-C9B9-4911-A146-B913FFAF4BBB}"/>
            </a:ext>
          </a:extLst>
        </xdr:cNvPr>
        <xdr:cNvCxnSpPr/>
      </xdr:nvCxnSpPr>
      <xdr:spPr>
        <a:xfrm>
          <a:off x="1028700" y="2383726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47625</xdr:colOff>
      <xdr:row>1760</xdr:row>
      <xdr:rowOff>76200</xdr:rowOff>
    </xdr:from>
    <xdr:to>
      <xdr:col>68</xdr:col>
      <xdr:colOff>100012</xdr:colOff>
      <xdr:row>1760</xdr:row>
      <xdr:rowOff>76200</xdr:rowOff>
    </xdr:to>
    <xdr:cxnSp macro="">
      <xdr:nvCxnSpPr>
        <xdr:cNvPr id="2255" name="Straight Arrow Connector 2254">
          <a:extLst>
            <a:ext uri="{FF2B5EF4-FFF2-40B4-BE49-F238E27FC236}">
              <a16:creationId xmlns:a16="http://schemas.microsoft.com/office/drawing/2014/main" id="{F7A2CEE9-C9E2-4B78-9E33-BACD57B11188}"/>
            </a:ext>
          </a:extLst>
        </xdr:cNvPr>
        <xdr:cNvCxnSpPr/>
      </xdr:nvCxnSpPr>
      <xdr:spPr>
        <a:xfrm>
          <a:off x="3124200" y="2383821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66675</xdr:colOff>
      <xdr:row>1759</xdr:row>
      <xdr:rowOff>66675</xdr:rowOff>
    </xdr:from>
    <xdr:to>
      <xdr:col>31</xdr:col>
      <xdr:colOff>119062</xdr:colOff>
      <xdr:row>1759</xdr:row>
      <xdr:rowOff>66675</xdr:rowOff>
    </xdr:to>
    <xdr:cxnSp macro="">
      <xdr:nvCxnSpPr>
        <xdr:cNvPr id="2256" name="Straight Arrow Connector 2255">
          <a:extLst>
            <a:ext uri="{FF2B5EF4-FFF2-40B4-BE49-F238E27FC236}">
              <a16:creationId xmlns:a16="http://schemas.microsoft.com/office/drawing/2014/main" id="{C939915A-E01C-4F52-ABCA-C910F2C76030}"/>
            </a:ext>
          </a:extLst>
        </xdr:cNvPr>
        <xdr:cNvCxnSpPr/>
      </xdr:nvCxnSpPr>
      <xdr:spPr>
        <a:xfrm>
          <a:off x="5086350" y="2382297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1940</xdr:row>
      <xdr:rowOff>71438</xdr:rowOff>
    </xdr:from>
    <xdr:to>
      <xdr:col>56</xdr:col>
      <xdr:colOff>61913</xdr:colOff>
      <xdr:row>1946</xdr:row>
      <xdr:rowOff>71438</xdr:rowOff>
    </xdr:to>
    <xdr:grpSp>
      <xdr:nvGrpSpPr>
        <xdr:cNvPr id="2087" name="Group 2086">
          <a:extLst>
            <a:ext uri="{FF2B5EF4-FFF2-40B4-BE49-F238E27FC236}">
              <a16:creationId xmlns:a16="http://schemas.microsoft.com/office/drawing/2014/main" id="{067023D4-7269-4939-B6D9-91C790740BD0}"/>
            </a:ext>
          </a:extLst>
        </xdr:cNvPr>
        <xdr:cNvGrpSpPr/>
      </xdr:nvGrpSpPr>
      <xdr:grpSpPr>
        <a:xfrm>
          <a:off x="8353425" y="292736588"/>
          <a:ext cx="776288" cy="857250"/>
          <a:chOff x="8029575" y="182227538"/>
          <a:chExt cx="776288" cy="857250"/>
        </a:xfrm>
      </xdr:grpSpPr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F6773B5F-B195-B4A6-897C-730EEE5AA839}"/>
              </a:ext>
            </a:extLst>
          </xdr:cNvPr>
          <xdr:cNvSpPr/>
        </xdr:nvSpPr>
        <xdr:spPr>
          <a:xfrm>
            <a:off x="8096250" y="182303738"/>
            <a:ext cx="323850" cy="42386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089" name="Straight Connector 2088">
            <a:extLst>
              <a:ext uri="{FF2B5EF4-FFF2-40B4-BE49-F238E27FC236}">
                <a16:creationId xmlns:a16="http://schemas.microsoft.com/office/drawing/2014/main" id="{DB87B9E7-9470-C1AF-A25F-CA424CB0DB77}"/>
              </a:ext>
            </a:extLst>
          </xdr:cNvPr>
          <xdr:cNvCxnSpPr/>
        </xdr:nvCxnSpPr>
        <xdr:spPr>
          <a:xfrm>
            <a:off x="8096250" y="18279903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0" name="Straight Connector 2089">
            <a:extLst>
              <a:ext uri="{FF2B5EF4-FFF2-40B4-BE49-F238E27FC236}">
                <a16:creationId xmlns:a16="http://schemas.microsoft.com/office/drawing/2014/main" id="{85AA09E7-63A4-FB53-FFCD-D27A44743D56}"/>
              </a:ext>
            </a:extLst>
          </xdr:cNvPr>
          <xdr:cNvCxnSpPr/>
        </xdr:nvCxnSpPr>
        <xdr:spPr>
          <a:xfrm>
            <a:off x="8029575" y="183013350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2" name="Straight Connector 2101">
            <a:extLst>
              <a:ext uri="{FF2B5EF4-FFF2-40B4-BE49-F238E27FC236}">
                <a16:creationId xmlns:a16="http://schemas.microsoft.com/office/drawing/2014/main" id="{ECAD3FF0-D048-72BF-3078-19DBC0A3E975}"/>
              </a:ext>
            </a:extLst>
          </xdr:cNvPr>
          <xdr:cNvCxnSpPr/>
        </xdr:nvCxnSpPr>
        <xdr:spPr>
          <a:xfrm flipH="1">
            <a:off x="8062913" y="1829800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9" name="Straight Connector 2108">
            <a:extLst>
              <a:ext uri="{FF2B5EF4-FFF2-40B4-BE49-F238E27FC236}">
                <a16:creationId xmlns:a16="http://schemas.microsoft.com/office/drawing/2014/main" id="{9624D73D-1C4E-D54D-BCBC-9E807800A2C9}"/>
              </a:ext>
            </a:extLst>
          </xdr:cNvPr>
          <xdr:cNvCxnSpPr/>
        </xdr:nvCxnSpPr>
        <xdr:spPr>
          <a:xfrm>
            <a:off x="8420100" y="18279903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0" name="Straight Connector 2109">
            <a:extLst>
              <a:ext uri="{FF2B5EF4-FFF2-40B4-BE49-F238E27FC236}">
                <a16:creationId xmlns:a16="http://schemas.microsoft.com/office/drawing/2014/main" id="{545CE346-BB37-223D-FDFD-9ACBD12FC31E}"/>
              </a:ext>
            </a:extLst>
          </xdr:cNvPr>
          <xdr:cNvCxnSpPr/>
        </xdr:nvCxnSpPr>
        <xdr:spPr>
          <a:xfrm flipH="1">
            <a:off x="8386763" y="1829800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3" name="Straight Connector 2122">
            <a:extLst>
              <a:ext uri="{FF2B5EF4-FFF2-40B4-BE49-F238E27FC236}">
                <a16:creationId xmlns:a16="http://schemas.microsoft.com/office/drawing/2014/main" id="{A5D63AE7-6604-FE7D-1FFF-A0D8089FA858}"/>
              </a:ext>
            </a:extLst>
          </xdr:cNvPr>
          <xdr:cNvCxnSpPr/>
        </xdr:nvCxnSpPr>
        <xdr:spPr>
          <a:xfrm>
            <a:off x="8477247" y="182298976"/>
            <a:ext cx="3286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4" name="Straight Connector 2123">
            <a:extLst>
              <a:ext uri="{FF2B5EF4-FFF2-40B4-BE49-F238E27FC236}">
                <a16:creationId xmlns:a16="http://schemas.microsoft.com/office/drawing/2014/main" id="{B8C182FC-1195-A654-AB43-5E190F540B04}"/>
              </a:ext>
            </a:extLst>
          </xdr:cNvPr>
          <xdr:cNvCxnSpPr/>
        </xdr:nvCxnSpPr>
        <xdr:spPr>
          <a:xfrm>
            <a:off x="8472488" y="182727601"/>
            <a:ext cx="328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5" name="Straight Connector 2124">
            <a:extLst>
              <a:ext uri="{FF2B5EF4-FFF2-40B4-BE49-F238E27FC236}">
                <a16:creationId xmlns:a16="http://schemas.microsoft.com/office/drawing/2014/main" id="{8B4E3B1B-3C43-F27A-9498-B5385CB72A63}"/>
              </a:ext>
            </a:extLst>
          </xdr:cNvPr>
          <xdr:cNvCxnSpPr/>
        </xdr:nvCxnSpPr>
        <xdr:spPr>
          <a:xfrm>
            <a:off x="8743950" y="182227538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6" name="Straight Connector 2125">
            <a:extLst>
              <a:ext uri="{FF2B5EF4-FFF2-40B4-BE49-F238E27FC236}">
                <a16:creationId xmlns:a16="http://schemas.microsoft.com/office/drawing/2014/main" id="{9478D8F4-E0AC-063E-95D7-18960305BB65}"/>
              </a:ext>
            </a:extLst>
          </xdr:cNvPr>
          <xdr:cNvCxnSpPr/>
        </xdr:nvCxnSpPr>
        <xdr:spPr>
          <a:xfrm flipH="1">
            <a:off x="8710608" y="18226564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7" name="Straight Connector 2126">
            <a:extLst>
              <a:ext uri="{FF2B5EF4-FFF2-40B4-BE49-F238E27FC236}">
                <a16:creationId xmlns:a16="http://schemas.microsoft.com/office/drawing/2014/main" id="{F0F374D1-E5CB-15AC-71BD-00C972CD7414}"/>
              </a:ext>
            </a:extLst>
          </xdr:cNvPr>
          <xdr:cNvCxnSpPr/>
        </xdr:nvCxnSpPr>
        <xdr:spPr>
          <a:xfrm flipH="1">
            <a:off x="8710603" y="18269427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95250</xdr:colOff>
      <xdr:row>1940</xdr:row>
      <xdr:rowOff>71438</xdr:rowOff>
    </xdr:from>
    <xdr:to>
      <xdr:col>64</xdr:col>
      <xdr:colOff>61913</xdr:colOff>
      <xdr:row>1948</xdr:row>
      <xdr:rowOff>71438</xdr:rowOff>
    </xdr:to>
    <xdr:grpSp>
      <xdr:nvGrpSpPr>
        <xdr:cNvPr id="2318" name="Group 2317">
          <a:extLst>
            <a:ext uri="{FF2B5EF4-FFF2-40B4-BE49-F238E27FC236}">
              <a16:creationId xmlns:a16="http://schemas.microsoft.com/office/drawing/2014/main" id="{6B6785B2-3502-C874-23BE-0C008005F461}"/>
            </a:ext>
          </a:extLst>
        </xdr:cNvPr>
        <xdr:cNvGrpSpPr/>
      </xdr:nvGrpSpPr>
      <xdr:grpSpPr>
        <a:xfrm>
          <a:off x="9648825" y="292736588"/>
          <a:ext cx="776288" cy="1143000"/>
          <a:chOff x="9648825" y="251493338"/>
          <a:chExt cx="776288" cy="1143000"/>
        </a:xfrm>
      </xdr:grpSpPr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118B57DB-C52E-8B64-0D1D-64E6040C76EC}"/>
              </a:ext>
            </a:extLst>
          </xdr:cNvPr>
          <xdr:cNvSpPr/>
        </xdr:nvSpPr>
        <xdr:spPr>
          <a:xfrm>
            <a:off x="9715500" y="251569538"/>
            <a:ext cx="323850" cy="70961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130" name="Straight Connector 2129">
            <a:extLst>
              <a:ext uri="{FF2B5EF4-FFF2-40B4-BE49-F238E27FC236}">
                <a16:creationId xmlns:a16="http://schemas.microsoft.com/office/drawing/2014/main" id="{0520DB74-A12B-659D-FAB5-8290544E0101}"/>
              </a:ext>
            </a:extLst>
          </xdr:cNvPr>
          <xdr:cNvCxnSpPr/>
        </xdr:nvCxnSpPr>
        <xdr:spPr>
          <a:xfrm>
            <a:off x="9715500" y="25235058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1" name="Straight Connector 2130">
            <a:extLst>
              <a:ext uri="{FF2B5EF4-FFF2-40B4-BE49-F238E27FC236}">
                <a16:creationId xmlns:a16="http://schemas.microsoft.com/office/drawing/2014/main" id="{8F04DC1E-DFA7-E9EE-66F7-43810036E27C}"/>
              </a:ext>
            </a:extLst>
          </xdr:cNvPr>
          <xdr:cNvCxnSpPr/>
        </xdr:nvCxnSpPr>
        <xdr:spPr>
          <a:xfrm>
            <a:off x="9648825" y="252564900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2" name="Straight Connector 2131">
            <a:extLst>
              <a:ext uri="{FF2B5EF4-FFF2-40B4-BE49-F238E27FC236}">
                <a16:creationId xmlns:a16="http://schemas.microsoft.com/office/drawing/2014/main" id="{1DDCF395-590B-315E-F556-B187E6F86986}"/>
              </a:ext>
            </a:extLst>
          </xdr:cNvPr>
          <xdr:cNvCxnSpPr/>
        </xdr:nvCxnSpPr>
        <xdr:spPr>
          <a:xfrm flipH="1">
            <a:off x="9682163" y="2525315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3" name="Straight Connector 2132">
            <a:extLst>
              <a:ext uri="{FF2B5EF4-FFF2-40B4-BE49-F238E27FC236}">
                <a16:creationId xmlns:a16="http://schemas.microsoft.com/office/drawing/2014/main" id="{A5631564-27A7-9A2A-DCC7-D577C101D462}"/>
              </a:ext>
            </a:extLst>
          </xdr:cNvPr>
          <xdr:cNvCxnSpPr/>
        </xdr:nvCxnSpPr>
        <xdr:spPr>
          <a:xfrm>
            <a:off x="10039350" y="25235058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4" name="Straight Connector 2133">
            <a:extLst>
              <a:ext uri="{FF2B5EF4-FFF2-40B4-BE49-F238E27FC236}">
                <a16:creationId xmlns:a16="http://schemas.microsoft.com/office/drawing/2014/main" id="{F6600F04-C6EF-01E3-850C-13ADB16399BA}"/>
              </a:ext>
            </a:extLst>
          </xdr:cNvPr>
          <xdr:cNvCxnSpPr/>
        </xdr:nvCxnSpPr>
        <xdr:spPr>
          <a:xfrm flipH="1">
            <a:off x="10006013" y="2525315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5" name="Straight Connector 2134">
            <a:extLst>
              <a:ext uri="{FF2B5EF4-FFF2-40B4-BE49-F238E27FC236}">
                <a16:creationId xmlns:a16="http://schemas.microsoft.com/office/drawing/2014/main" id="{E068910B-2DBE-1BF4-B195-71809111073D}"/>
              </a:ext>
            </a:extLst>
          </xdr:cNvPr>
          <xdr:cNvCxnSpPr/>
        </xdr:nvCxnSpPr>
        <xdr:spPr>
          <a:xfrm>
            <a:off x="10096497" y="251569534"/>
            <a:ext cx="3286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6" name="Straight Connector 2135">
            <a:extLst>
              <a:ext uri="{FF2B5EF4-FFF2-40B4-BE49-F238E27FC236}">
                <a16:creationId xmlns:a16="http://schemas.microsoft.com/office/drawing/2014/main" id="{4911BE7A-E917-0960-8736-4FA027481C5F}"/>
              </a:ext>
            </a:extLst>
          </xdr:cNvPr>
          <xdr:cNvCxnSpPr/>
        </xdr:nvCxnSpPr>
        <xdr:spPr>
          <a:xfrm>
            <a:off x="10091738" y="252279160"/>
            <a:ext cx="328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7" name="Straight Connector 2136">
            <a:extLst>
              <a:ext uri="{FF2B5EF4-FFF2-40B4-BE49-F238E27FC236}">
                <a16:creationId xmlns:a16="http://schemas.microsoft.com/office/drawing/2014/main" id="{6BA4CCC3-81A3-A879-6D78-CEFEBC54012D}"/>
              </a:ext>
            </a:extLst>
          </xdr:cNvPr>
          <xdr:cNvCxnSpPr/>
        </xdr:nvCxnSpPr>
        <xdr:spPr>
          <a:xfrm>
            <a:off x="10363200" y="251493338"/>
            <a:ext cx="0" cy="852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8" name="Straight Connector 2137">
            <a:extLst>
              <a:ext uri="{FF2B5EF4-FFF2-40B4-BE49-F238E27FC236}">
                <a16:creationId xmlns:a16="http://schemas.microsoft.com/office/drawing/2014/main" id="{58C51C68-954F-379E-8481-884D5F88C676}"/>
              </a:ext>
            </a:extLst>
          </xdr:cNvPr>
          <xdr:cNvCxnSpPr/>
        </xdr:nvCxnSpPr>
        <xdr:spPr>
          <a:xfrm flipH="1">
            <a:off x="10329858" y="25153619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0" name="Straight Connector 2139">
            <a:extLst>
              <a:ext uri="{FF2B5EF4-FFF2-40B4-BE49-F238E27FC236}">
                <a16:creationId xmlns:a16="http://schemas.microsoft.com/office/drawing/2014/main" id="{ACD6A2BA-6EDB-B3D3-EA93-6FCFCC748A10}"/>
              </a:ext>
            </a:extLst>
          </xdr:cNvPr>
          <xdr:cNvCxnSpPr/>
        </xdr:nvCxnSpPr>
        <xdr:spPr>
          <a:xfrm flipH="1">
            <a:off x="10329853" y="25224583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152400</xdr:colOff>
      <xdr:row>1947</xdr:row>
      <xdr:rowOff>0</xdr:rowOff>
    </xdr:from>
    <xdr:to>
      <xdr:col>20</xdr:col>
      <xdr:colOff>0</xdr:colOff>
      <xdr:row>1951</xdr:row>
      <xdr:rowOff>0</xdr:rowOff>
    </xdr:to>
    <xdr:grpSp>
      <xdr:nvGrpSpPr>
        <xdr:cNvPr id="2141" name="Group 2140">
          <a:extLst>
            <a:ext uri="{FF2B5EF4-FFF2-40B4-BE49-F238E27FC236}">
              <a16:creationId xmlns:a16="http://schemas.microsoft.com/office/drawing/2014/main" id="{11EA986E-7FA0-45F1-98D0-8C8AE60FB9C5}"/>
            </a:ext>
          </a:extLst>
        </xdr:cNvPr>
        <xdr:cNvGrpSpPr/>
      </xdr:nvGrpSpPr>
      <xdr:grpSpPr>
        <a:xfrm>
          <a:off x="476250" y="293665275"/>
          <a:ext cx="2762250" cy="571500"/>
          <a:chOff x="4362450" y="213902925"/>
          <a:chExt cx="2762250" cy="571500"/>
        </a:xfrm>
      </xdr:grpSpPr>
      <xdr:cxnSp macro="">
        <xdr:nvCxnSpPr>
          <xdr:cNvPr id="2142" name="Straight Connector 2141">
            <a:extLst>
              <a:ext uri="{FF2B5EF4-FFF2-40B4-BE49-F238E27FC236}">
                <a16:creationId xmlns:a16="http://schemas.microsoft.com/office/drawing/2014/main" id="{BA26EA99-729B-09E1-5DC3-F64A1CEE9568}"/>
              </a:ext>
            </a:extLst>
          </xdr:cNvPr>
          <xdr:cNvCxnSpPr/>
        </xdr:nvCxnSpPr>
        <xdr:spPr>
          <a:xfrm>
            <a:off x="4371975" y="214331548"/>
            <a:ext cx="25860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A295C075-3293-5D88-11CF-C57A5E083169}"/>
              </a:ext>
            </a:extLst>
          </xdr:cNvPr>
          <xdr:cNvSpPr/>
        </xdr:nvSpPr>
        <xdr:spPr>
          <a:xfrm>
            <a:off x="6972300" y="214188675"/>
            <a:ext cx="152400" cy="285750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44" name="Straight Connector 2143">
            <a:extLst>
              <a:ext uri="{FF2B5EF4-FFF2-40B4-BE49-F238E27FC236}">
                <a16:creationId xmlns:a16="http://schemas.microsoft.com/office/drawing/2014/main" id="{19BB5A81-5B20-99F7-D616-C8BB4F633497}"/>
              </a:ext>
            </a:extLst>
          </xdr:cNvPr>
          <xdr:cNvCxnSpPr/>
        </xdr:nvCxnSpPr>
        <xdr:spPr>
          <a:xfrm>
            <a:off x="6962775" y="21417915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46" name="Freeform: Shape 2145">
            <a:extLst>
              <a:ext uri="{FF2B5EF4-FFF2-40B4-BE49-F238E27FC236}">
                <a16:creationId xmlns:a16="http://schemas.microsoft.com/office/drawing/2014/main" id="{C1B4FC1C-DB24-8043-D079-565C7D0A8EC3}"/>
              </a:ext>
            </a:extLst>
          </xdr:cNvPr>
          <xdr:cNvSpPr/>
        </xdr:nvSpPr>
        <xdr:spPr>
          <a:xfrm>
            <a:off x="4362450" y="213902925"/>
            <a:ext cx="2600325" cy="438150"/>
          </a:xfrm>
          <a:custGeom>
            <a:avLst/>
            <a:gdLst>
              <a:gd name="connsiteX0" fmla="*/ 2600325 w 2600325"/>
              <a:gd name="connsiteY0" fmla="*/ 438150 h 438150"/>
              <a:gd name="connsiteX1" fmla="*/ 2600325 w 2600325"/>
              <a:gd name="connsiteY1" fmla="*/ 0 h 438150"/>
              <a:gd name="connsiteX2" fmla="*/ 0 w 2600325"/>
              <a:gd name="connsiteY2" fmla="*/ 0 h 438150"/>
              <a:gd name="connsiteX3" fmla="*/ 0 w 2600325"/>
              <a:gd name="connsiteY3" fmla="*/ 438150 h 438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600325" h="438150">
                <a:moveTo>
                  <a:pt x="2600325" y="438150"/>
                </a:moveTo>
                <a:lnTo>
                  <a:pt x="2600325" y="0"/>
                </a:lnTo>
                <a:lnTo>
                  <a:pt x="0" y="0"/>
                </a:lnTo>
                <a:lnTo>
                  <a:pt x="0" y="438150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</xdr:col>
      <xdr:colOff>0</xdr:colOff>
      <xdr:row>1940</xdr:row>
      <xdr:rowOff>9525</xdr:rowOff>
    </xdr:from>
    <xdr:to>
      <xdr:col>20</xdr:col>
      <xdr:colOff>0</xdr:colOff>
      <xdr:row>1944</xdr:row>
      <xdr:rowOff>9525</xdr:rowOff>
    </xdr:to>
    <xdr:grpSp>
      <xdr:nvGrpSpPr>
        <xdr:cNvPr id="2147" name="Group 2146">
          <a:extLst>
            <a:ext uri="{FF2B5EF4-FFF2-40B4-BE49-F238E27FC236}">
              <a16:creationId xmlns:a16="http://schemas.microsoft.com/office/drawing/2014/main" id="{8888C651-0CF4-4DF1-9CD0-C60756FAF8FB}"/>
            </a:ext>
          </a:extLst>
        </xdr:cNvPr>
        <xdr:cNvGrpSpPr/>
      </xdr:nvGrpSpPr>
      <xdr:grpSpPr>
        <a:xfrm>
          <a:off x="485775" y="292674675"/>
          <a:ext cx="2752725" cy="571500"/>
          <a:chOff x="4371975" y="212912325"/>
          <a:chExt cx="2752725" cy="571500"/>
        </a:xfrm>
      </xdr:grpSpPr>
      <xdr:cxnSp macro="">
        <xdr:nvCxnSpPr>
          <xdr:cNvPr id="2156" name="Straight Connector 2155">
            <a:extLst>
              <a:ext uri="{FF2B5EF4-FFF2-40B4-BE49-F238E27FC236}">
                <a16:creationId xmlns:a16="http://schemas.microsoft.com/office/drawing/2014/main" id="{930B3A37-9A44-DAB5-D1D8-FDB8BE865774}"/>
              </a:ext>
            </a:extLst>
          </xdr:cNvPr>
          <xdr:cNvCxnSpPr/>
        </xdr:nvCxnSpPr>
        <xdr:spPr>
          <a:xfrm>
            <a:off x="4371975" y="213331423"/>
            <a:ext cx="25860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9D55E754-D835-9B65-7109-4C5E9925D9B5}"/>
              </a:ext>
            </a:extLst>
          </xdr:cNvPr>
          <xdr:cNvSpPr/>
        </xdr:nvSpPr>
        <xdr:spPr>
          <a:xfrm>
            <a:off x="6972300" y="213188550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59" name="Straight Connector 2158">
            <a:extLst>
              <a:ext uri="{FF2B5EF4-FFF2-40B4-BE49-F238E27FC236}">
                <a16:creationId xmlns:a16="http://schemas.microsoft.com/office/drawing/2014/main" id="{96F1B2AE-96FE-B0B7-005F-3A23E6F11CE0}"/>
              </a:ext>
            </a:extLst>
          </xdr:cNvPr>
          <xdr:cNvCxnSpPr/>
        </xdr:nvCxnSpPr>
        <xdr:spPr>
          <a:xfrm>
            <a:off x="6972300" y="21318855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64" name="Freeform: Shape 2163">
            <a:extLst>
              <a:ext uri="{FF2B5EF4-FFF2-40B4-BE49-F238E27FC236}">
                <a16:creationId xmlns:a16="http://schemas.microsoft.com/office/drawing/2014/main" id="{D46EA563-F177-BD64-DCDB-CEB1B62D3D0A}"/>
              </a:ext>
            </a:extLst>
          </xdr:cNvPr>
          <xdr:cNvSpPr/>
        </xdr:nvSpPr>
        <xdr:spPr>
          <a:xfrm>
            <a:off x="4371975" y="212912325"/>
            <a:ext cx="2590800" cy="419100"/>
          </a:xfrm>
          <a:custGeom>
            <a:avLst/>
            <a:gdLst>
              <a:gd name="connsiteX0" fmla="*/ 2590800 w 2590800"/>
              <a:gd name="connsiteY0" fmla="*/ 409575 h 419100"/>
              <a:gd name="connsiteX1" fmla="*/ 2590800 w 2590800"/>
              <a:gd name="connsiteY1" fmla="*/ 0 h 419100"/>
              <a:gd name="connsiteX2" fmla="*/ 0 w 2590800"/>
              <a:gd name="connsiteY2" fmla="*/ 419100 h 419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90800" h="419100">
                <a:moveTo>
                  <a:pt x="2590800" y="409575"/>
                </a:moveTo>
                <a:lnTo>
                  <a:pt x="2590800" y="0"/>
                </a:lnTo>
                <a:lnTo>
                  <a:pt x="0" y="419100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49</xdr:col>
      <xdr:colOff>95244</xdr:colOff>
      <xdr:row>1953</xdr:row>
      <xdr:rowOff>100012</xdr:rowOff>
    </xdr:from>
    <xdr:to>
      <xdr:col>70</xdr:col>
      <xdr:colOff>123827</xdr:colOff>
      <xdr:row>1965</xdr:row>
      <xdr:rowOff>100013</xdr:rowOff>
    </xdr:to>
    <xdr:grpSp>
      <xdr:nvGrpSpPr>
        <xdr:cNvPr id="2317" name="Group 2316">
          <a:extLst>
            <a:ext uri="{FF2B5EF4-FFF2-40B4-BE49-F238E27FC236}">
              <a16:creationId xmlns:a16="http://schemas.microsoft.com/office/drawing/2014/main" id="{02116ACC-959A-BC11-249E-693E27DC0408}"/>
            </a:ext>
          </a:extLst>
        </xdr:cNvPr>
        <xdr:cNvGrpSpPr/>
      </xdr:nvGrpSpPr>
      <xdr:grpSpPr>
        <a:xfrm>
          <a:off x="8029569" y="294622537"/>
          <a:ext cx="3429008" cy="1714501"/>
          <a:chOff x="7705719" y="253807912"/>
          <a:chExt cx="3429008" cy="1714501"/>
        </a:xfrm>
      </xdr:grpSpPr>
      <xdr:sp macro="" textlink="">
        <xdr:nvSpPr>
          <xdr:cNvPr id="2316" name="Freeform: Shape 2315">
            <a:extLst>
              <a:ext uri="{FF2B5EF4-FFF2-40B4-BE49-F238E27FC236}">
                <a16:creationId xmlns:a16="http://schemas.microsoft.com/office/drawing/2014/main" id="{BC66B8C6-E9C1-1AD0-89C2-B7270FDB463D}"/>
              </a:ext>
            </a:extLst>
          </xdr:cNvPr>
          <xdr:cNvSpPr/>
        </xdr:nvSpPr>
        <xdr:spPr>
          <a:xfrm>
            <a:off x="9301163" y="254727075"/>
            <a:ext cx="257175" cy="280988"/>
          </a:xfrm>
          <a:custGeom>
            <a:avLst/>
            <a:gdLst>
              <a:gd name="connsiteX0" fmla="*/ 0 w 257175"/>
              <a:gd name="connsiteY0" fmla="*/ 52388 h 280988"/>
              <a:gd name="connsiteX1" fmla="*/ 257175 w 257175"/>
              <a:gd name="connsiteY1" fmla="*/ 0 h 280988"/>
              <a:gd name="connsiteX2" fmla="*/ 257175 w 257175"/>
              <a:gd name="connsiteY2" fmla="*/ 280988 h 280988"/>
              <a:gd name="connsiteX3" fmla="*/ 0 w 257175"/>
              <a:gd name="connsiteY3" fmla="*/ 52388 h 2809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57175" h="280988">
                <a:moveTo>
                  <a:pt x="0" y="52388"/>
                </a:moveTo>
                <a:lnTo>
                  <a:pt x="257175" y="0"/>
                </a:lnTo>
                <a:lnTo>
                  <a:pt x="257175" y="280988"/>
                </a:lnTo>
                <a:lnTo>
                  <a:pt x="0" y="52388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314" name="Freeform: Shape 2313">
            <a:extLst>
              <a:ext uri="{FF2B5EF4-FFF2-40B4-BE49-F238E27FC236}">
                <a16:creationId xmlns:a16="http://schemas.microsoft.com/office/drawing/2014/main" id="{D8949254-D63D-E00D-2A2B-B5F9C9FC23D4}"/>
              </a:ext>
            </a:extLst>
          </xdr:cNvPr>
          <xdr:cNvSpPr/>
        </xdr:nvSpPr>
        <xdr:spPr>
          <a:xfrm>
            <a:off x="8096250" y="254146050"/>
            <a:ext cx="2619375" cy="866775"/>
          </a:xfrm>
          <a:custGeom>
            <a:avLst/>
            <a:gdLst>
              <a:gd name="connsiteX0" fmla="*/ 0 w 2619375"/>
              <a:gd name="connsiteY0" fmla="*/ 257175 h 866775"/>
              <a:gd name="connsiteX1" fmla="*/ 338138 w 2619375"/>
              <a:gd name="connsiteY1" fmla="*/ 561975 h 866775"/>
              <a:gd name="connsiteX2" fmla="*/ 2619375 w 2619375"/>
              <a:gd name="connsiteY2" fmla="*/ 0 h 866775"/>
              <a:gd name="connsiteX3" fmla="*/ 2619375 w 2619375"/>
              <a:gd name="connsiteY3" fmla="*/ 590550 h 866775"/>
              <a:gd name="connsiteX4" fmla="*/ 1462088 w 2619375"/>
              <a:gd name="connsiteY4" fmla="*/ 866775 h 866775"/>
              <a:gd name="connsiteX5" fmla="*/ 1462088 w 2619375"/>
              <a:gd name="connsiteY5" fmla="*/ 576263 h 866775"/>
              <a:gd name="connsiteX6" fmla="*/ 338138 w 2619375"/>
              <a:gd name="connsiteY6" fmla="*/ 842963 h 866775"/>
              <a:gd name="connsiteX7" fmla="*/ 4763 w 2619375"/>
              <a:gd name="connsiteY7" fmla="*/ 552450 h 866775"/>
              <a:gd name="connsiteX8" fmla="*/ 0 w 2619375"/>
              <a:gd name="connsiteY8" fmla="*/ 2571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619375" h="866775">
                <a:moveTo>
                  <a:pt x="0" y="257175"/>
                </a:moveTo>
                <a:lnTo>
                  <a:pt x="338138" y="561975"/>
                </a:lnTo>
                <a:lnTo>
                  <a:pt x="2619375" y="0"/>
                </a:lnTo>
                <a:lnTo>
                  <a:pt x="2619375" y="590550"/>
                </a:lnTo>
                <a:lnTo>
                  <a:pt x="1462088" y="866775"/>
                </a:lnTo>
                <a:lnTo>
                  <a:pt x="1462088" y="576263"/>
                </a:lnTo>
                <a:lnTo>
                  <a:pt x="338138" y="842963"/>
                </a:lnTo>
                <a:lnTo>
                  <a:pt x="4763" y="552450"/>
                </a:lnTo>
                <a:cubicBezTo>
                  <a:pt x="3175" y="454025"/>
                  <a:pt x="1588" y="355600"/>
                  <a:pt x="0" y="257175"/>
                </a:cubicBez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00" name="Freeform: Shape 2199">
            <a:extLst>
              <a:ext uri="{FF2B5EF4-FFF2-40B4-BE49-F238E27FC236}">
                <a16:creationId xmlns:a16="http://schemas.microsoft.com/office/drawing/2014/main" id="{40EEF7FB-26AB-C050-CAB7-EED877922B39}"/>
              </a:ext>
            </a:extLst>
          </xdr:cNvPr>
          <xdr:cNvSpPr/>
        </xdr:nvSpPr>
        <xdr:spPr>
          <a:xfrm>
            <a:off x="8096250" y="253855538"/>
            <a:ext cx="2614613" cy="847725"/>
          </a:xfrm>
          <a:custGeom>
            <a:avLst/>
            <a:gdLst>
              <a:gd name="connsiteX0" fmla="*/ 2271713 w 2614613"/>
              <a:gd name="connsiteY0" fmla="*/ 0 h 847725"/>
              <a:gd name="connsiteX1" fmla="*/ 0 w 2614613"/>
              <a:gd name="connsiteY1" fmla="*/ 552450 h 847725"/>
              <a:gd name="connsiteX2" fmla="*/ 333375 w 2614613"/>
              <a:gd name="connsiteY2" fmla="*/ 847725 h 847725"/>
              <a:gd name="connsiteX3" fmla="*/ 2614613 w 2614613"/>
              <a:gd name="connsiteY3" fmla="*/ 295275 h 847725"/>
              <a:gd name="connsiteX4" fmla="*/ 2271713 w 2614613"/>
              <a:gd name="connsiteY4" fmla="*/ 0 h 847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614613" h="847725">
                <a:moveTo>
                  <a:pt x="2271713" y="0"/>
                </a:moveTo>
                <a:lnTo>
                  <a:pt x="0" y="552450"/>
                </a:lnTo>
                <a:lnTo>
                  <a:pt x="333375" y="847725"/>
                </a:lnTo>
                <a:lnTo>
                  <a:pt x="2614613" y="295275"/>
                </a:lnTo>
                <a:lnTo>
                  <a:pt x="2271713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226" name="Straight Connector 2225">
            <a:extLst>
              <a:ext uri="{FF2B5EF4-FFF2-40B4-BE49-F238E27FC236}">
                <a16:creationId xmlns:a16="http://schemas.microsoft.com/office/drawing/2014/main" id="{B55B8644-B30B-E50A-88BC-2B6FCE11E02D}"/>
              </a:ext>
            </a:extLst>
          </xdr:cNvPr>
          <xdr:cNvCxnSpPr/>
        </xdr:nvCxnSpPr>
        <xdr:spPr>
          <a:xfrm>
            <a:off x="10682288" y="253818050"/>
            <a:ext cx="434356" cy="36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7" name="Straight Connector 2226">
            <a:extLst>
              <a:ext uri="{FF2B5EF4-FFF2-40B4-BE49-F238E27FC236}">
                <a16:creationId xmlns:a16="http://schemas.microsoft.com/office/drawing/2014/main" id="{0787E8BE-C752-3A7D-462B-08685DFBDDA8}"/>
              </a:ext>
            </a:extLst>
          </xdr:cNvPr>
          <xdr:cNvCxnSpPr/>
        </xdr:nvCxnSpPr>
        <xdr:spPr>
          <a:xfrm>
            <a:off x="10401300" y="253850776"/>
            <a:ext cx="3952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8" name="Straight Connector 2227">
            <a:extLst>
              <a:ext uri="{FF2B5EF4-FFF2-40B4-BE49-F238E27FC236}">
                <a16:creationId xmlns:a16="http://schemas.microsoft.com/office/drawing/2014/main" id="{CBDFF2EB-6975-2407-A149-05C11A2A8CBA}"/>
              </a:ext>
            </a:extLst>
          </xdr:cNvPr>
          <xdr:cNvCxnSpPr/>
        </xdr:nvCxnSpPr>
        <xdr:spPr>
          <a:xfrm flipH="1">
            <a:off x="10701338" y="253807912"/>
            <a:ext cx="428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2" name="Straight Connector 2231">
            <a:extLst>
              <a:ext uri="{FF2B5EF4-FFF2-40B4-BE49-F238E27FC236}">
                <a16:creationId xmlns:a16="http://schemas.microsoft.com/office/drawing/2014/main" id="{A96325BE-2048-40D9-CC59-A9DE24A427CC}"/>
              </a:ext>
            </a:extLst>
          </xdr:cNvPr>
          <xdr:cNvCxnSpPr/>
        </xdr:nvCxnSpPr>
        <xdr:spPr>
          <a:xfrm>
            <a:off x="10739439" y="254136525"/>
            <a:ext cx="3952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3" name="Straight Connector 2232">
            <a:extLst>
              <a:ext uri="{FF2B5EF4-FFF2-40B4-BE49-F238E27FC236}">
                <a16:creationId xmlns:a16="http://schemas.microsoft.com/office/drawing/2014/main" id="{C5D38E11-B373-C5E4-D4E7-7CF5993B907F}"/>
              </a:ext>
            </a:extLst>
          </xdr:cNvPr>
          <xdr:cNvCxnSpPr/>
        </xdr:nvCxnSpPr>
        <xdr:spPr>
          <a:xfrm flipH="1">
            <a:off x="11039477" y="254093661"/>
            <a:ext cx="428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4" name="Straight Connector 2233">
            <a:extLst>
              <a:ext uri="{FF2B5EF4-FFF2-40B4-BE49-F238E27FC236}">
                <a16:creationId xmlns:a16="http://schemas.microsoft.com/office/drawing/2014/main" id="{14985789-E12F-DEED-37A0-3728295D2999}"/>
              </a:ext>
            </a:extLst>
          </xdr:cNvPr>
          <xdr:cNvCxnSpPr/>
        </xdr:nvCxnSpPr>
        <xdr:spPr>
          <a:xfrm>
            <a:off x="11058524" y="254074613"/>
            <a:ext cx="0" cy="7096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8" name="Straight Connector 2237">
            <a:extLst>
              <a:ext uri="{FF2B5EF4-FFF2-40B4-BE49-F238E27FC236}">
                <a16:creationId xmlns:a16="http://schemas.microsoft.com/office/drawing/2014/main" id="{7CFA8B68-3B4E-610D-DDC9-8164B9E6A94C}"/>
              </a:ext>
            </a:extLst>
          </xdr:cNvPr>
          <xdr:cNvCxnSpPr/>
        </xdr:nvCxnSpPr>
        <xdr:spPr>
          <a:xfrm>
            <a:off x="10734671" y="254731836"/>
            <a:ext cx="3952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9" name="Straight Connector 2238">
            <a:extLst>
              <a:ext uri="{FF2B5EF4-FFF2-40B4-BE49-F238E27FC236}">
                <a16:creationId xmlns:a16="http://schemas.microsoft.com/office/drawing/2014/main" id="{9D6A07A7-28E5-A9CE-9AD9-A600BFDCB642}"/>
              </a:ext>
            </a:extLst>
          </xdr:cNvPr>
          <xdr:cNvCxnSpPr/>
        </xdr:nvCxnSpPr>
        <xdr:spPr>
          <a:xfrm flipH="1">
            <a:off x="11015663" y="25469373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2" name="Straight Connector 2241">
            <a:extLst>
              <a:ext uri="{FF2B5EF4-FFF2-40B4-BE49-F238E27FC236}">
                <a16:creationId xmlns:a16="http://schemas.microsoft.com/office/drawing/2014/main" id="{80B63782-37AE-44F6-08AA-961F02F08AEA}"/>
              </a:ext>
            </a:extLst>
          </xdr:cNvPr>
          <xdr:cNvCxnSpPr/>
        </xdr:nvCxnSpPr>
        <xdr:spPr>
          <a:xfrm>
            <a:off x="8429625" y="254698500"/>
            <a:ext cx="0" cy="30480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3" name="Straight Connector 2242">
            <a:extLst>
              <a:ext uri="{FF2B5EF4-FFF2-40B4-BE49-F238E27FC236}">
                <a16:creationId xmlns:a16="http://schemas.microsoft.com/office/drawing/2014/main" id="{982BF6D0-7148-8E69-0378-F907A180908C}"/>
              </a:ext>
            </a:extLst>
          </xdr:cNvPr>
          <xdr:cNvCxnSpPr/>
        </xdr:nvCxnSpPr>
        <xdr:spPr>
          <a:xfrm>
            <a:off x="7705721" y="254708023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6" name="Straight Connector 2245">
            <a:extLst>
              <a:ext uri="{FF2B5EF4-FFF2-40B4-BE49-F238E27FC236}">
                <a16:creationId xmlns:a16="http://schemas.microsoft.com/office/drawing/2014/main" id="{95D9CB0D-8D6A-BF0D-9CCE-0FD4929B0CD9}"/>
              </a:ext>
            </a:extLst>
          </xdr:cNvPr>
          <xdr:cNvCxnSpPr/>
        </xdr:nvCxnSpPr>
        <xdr:spPr>
          <a:xfrm flipH="1">
            <a:off x="7739056" y="254369883"/>
            <a:ext cx="61913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7" name="Straight Connector 2246">
            <a:extLst>
              <a:ext uri="{FF2B5EF4-FFF2-40B4-BE49-F238E27FC236}">
                <a16:creationId xmlns:a16="http://schemas.microsoft.com/office/drawing/2014/main" id="{E0C59861-5B18-52B1-CCC8-B3454788FEEB}"/>
              </a:ext>
            </a:extLst>
          </xdr:cNvPr>
          <xdr:cNvCxnSpPr/>
        </xdr:nvCxnSpPr>
        <xdr:spPr>
          <a:xfrm>
            <a:off x="8001000" y="254998533"/>
            <a:ext cx="4048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8" name="Straight Connector 2247">
            <a:extLst>
              <a:ext uri="{FF2B5EF4-FFF2-40B4-BE49-F238E27FC236}">
                <a16:creationId xmlns:a16="http://schemas.microsoft.com/office/drawing/2014/main" id="{CF8F778F-E588-C7DA-D9A3-EA5904830DD0}"/>
              </a:ext>
            </a:extLst>
          </xdr:cNvPr>
          <xdr:cNvCxnSpPr/>
        </xdr:nvCxnSpPr>
        <xdr:spPr>
          <a:xfrm flipH="1">
            <a:off x="8067676" y="254965199"/>
            <a:ext cx="61913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7" name="Straight Connector 2256">
            <a:extLst>
              <a:ext uri="{FF2B5EF4-FFF2-40B4-BE49-F238E27FC236}">
                <a16:creationId xmlns:a16="http://schemas.microsoft.com/office/drawing/2014/main" id="{E0B4685A-9B88-B225-FE84-DA662DF2F810}"/>
              </a:ext>
            </a:extLst>
          </xdr:cNvPr>
          <xdr:cNvCxnSpPr/>
        </xdr:nvCxnSpPr>
        <xdr:spPr>
          <a:xfrm>
            <a:off x="7772395" y="254336550"/>
            <a:ext cx="0" cy="4238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8" name="Straight Connector 2257">
            <a:extLst>
              <a:ext uri="{FF2B5EF4-FFF2-40B4-BE49-F238E27FC236}">
                <a16:creationId xmlns:a16="http://schemas.microsoft.com/office/drawing/2014/main" id="{BBA43CC6-FB9B-4BD4-87C0-71E73371DC62}"/>
              </a:ext>
            </a:extLst>
          </xdr:cNvPr>
          <xdr:cNvCxnSpPr/>
        </xdr:nvCxnSpPr>
        <xdr:spPr>
          <a:xfrm>
            <a:off x="7705719" y="254407976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9" name="Straight Connector 2258">
            <a:extLst>
              <a:ext uri="{FF2B5EF4-FFF2-40B4-BE49-F238E27FC236}">
                <a16:creationId xmlns:a16="http://schemas.microsoft.com/office/drawing/2014/main" id="{7D6BCC48-2517-4094-BD49-5315820B5DA3}"/>
              </a:ext>
            </a:extLst>
          </xdr:cNvPr>
          <xdr:cNvCxnSpPr/>
        </xdr:nvCxnSpPr>
        <xdr:spPr>
          <a:xfrm flipH="1">
            <a:off x="7739054" y="254674686"/>
            <a:ext cx="61913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0" name="Straight Connector 2259">
            <a:extLst>
              <a:ext uri="{FF2B5EF4-FFF2-40B4-BE49-F238E27FC236}">
                <a16:creationId xmlns:a16="http://schemas.microsoft.com/office/drawing/2014/main" id="{CC02523E-6FDB-8170-EF54-4D9A0D42110A}"/>
              </a:ext>
            </a:extLst>
          </xdr:cNvPr>
          <xdr:cNvCxnSpPr/>
        </xdr:nvCxnSpPr>
        <xdr:spPr>
          <a:xfrm flipV="1">
            <a:off x="8886828" y="254964324"/>
            <a:ext cx="2166935" cy="5247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2" name="Straight Connector 2261">
            <a:extLst>
              <a:ext uri="{FF2B5EF4-FFF2-40B4-BE49-F238E27FC236}">
                <a16:creationId xmlns:a16="http://schemas.microsoft.com/office/drawing/2014/main" id="{362AF48A-2CA1-E9F1-4DE6-B2171696FAEF}"/>
              </a:ext>
            </a:extLst>
          </xdr:cNvPr>
          <xdr:cNvCxnSpPr/>
        </xdr:nvCxnSpPr>
        <xdr:spPr>
          <a:xfrm flipH="1">
            <a:off x="8948731" y="255427161"/>
            <a:ext cx="38101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4" name="Straight Connector 2263">
            <a:extLst>
              <a:ext uri="{FF2B5EF4-FFF2-40B4-BE49-F238E27FC236}">
                <a16:creationId xmlns:a16="http://schemas.microsoft.com/office/drawing/2014/main" id="{1FD98D76-F9BA-DED7-6538-1BDE285EBDAB}"/>
              </a:ext>
            </a:extLst>
          </xdr:cNvPr>
          <xdr:cNvCxnSpPr/>
        </xdr:nvCxnSpPr>
        <xdr:spPr>
          <a:xfrm flipH="1">
            <a:off x="10963271" y="254941387"/>
            <a:ext cx="38101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3" name="Straight Connector 2282">
            <a:extLst>
              <a:ext uri="{FF2B5EF4-FFF2-40B4-BE49-F238E27FC236}">
                <a16:creationId xmlns:a16="http://schemas.microsoft.com/office/drawing/2014/main" id="{5B41E8DF-2D9B-2162-94D6-506983786607}"/>
              </a:ext>
            </a:extLst>
          </xdr:cNvPr>
          <xdr:cNvCxnSpPr/>
        </xdr:nvCxnSpPr>
        <xdr:spPr>
          <a:xfrm>
            <a:off x="10710863" y="254150813"/>
            <a:ext cx="0" cy="585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1" name="Straight Connector 2290">
            <a:extLst>
              <a:ext uri="{FF2B5EF4-FFF2-40B4-BE49-F238E27FC236}">
                <a16:creationId xmlns:a16="http://schemas.microsoft.com/office/drawing/2014/main" id="{109E480F-8B89-4DF2-B18C-8ACF6F72055F}"/>
              </a:ext>
            </a:extLst>
          </xdr:cNvPr>
          <xdr:cNvCxnSpPr/>
        </xdr:nvCxnSpPr>
        <xdr:spPr>
          <a:xfrm flipV="1">
            <a:off x="8101013" y="254420397"/>
            <a:ext cx="1128712" cy="27334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3" name="Straight Connector 2292">
            <a:extLst>
              <a:ext uri="{FF2B5EF4-FFF2-40B4-BE49-F238E27FC236}">
                <a16:creationId xmlns:a16="http://schemas.microsoft.com/office/drawing/2014/main" id="{8A14986C-E1EB-48BA-B9EF-62B8D3EA6F3A}"/>
              </a:ext>
            </a:extLst>
          </xdr:cNvPr>
          <xdr:cNvCxnSpPr/>
        </xdr:nvCxnSpPr>
        <xdr:spPr>
          <a:xfrm flipV="1">
            <a:off x="9215438" y="254435221"/>
            <a:ext cx="1152525" cy="27910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4" name="Straight Connector 2293">
            <a:extLst>
              <a:ext uri="{FF2B5EF4-FFF2-40B4-BE49-F238E27FC236}">
                <a16:creationId xmlns:a16="http://schemas.microsoft.com/office/drawing/2014/main" id="{C28F7AC4-EF99-4AF2-BFEA-F7AD4626D6CC}"/>
              </a:ext>
            </a:extLst>
          </xdr:cNvPr>
          <xdr:cNvCxnSpPr/>
        </xdr:nvCxnSpPr>
        <xdr:spPr>
          <a:xfrm>
            <a:off x="9220200" y="254422275"/>
            <a:ext cx="0" cy="29052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9" name="Straight Connector 2298">
            <a:extLst>
              <a:ext uri="{FF2B5EF4-FFF2-40B4-BE49-F238E27FC236}">
                <a16:creationId xmlns:a16="http://schemas.microsoft.com/office/drawing/2014/main" id="{3BD7CEB1-69F2-4228-98A6-2177E44AB6E4}"/>
              </a:ext>
            </a:extLst>
          </xdr:cNvPr>
          <xdr:cNvCxnSpPr/>
        </xdr:nvCxnSpPr>
        <xdr:spPr>
          <a:xfrm>
            <a:off x="10367962" y="253855537"/>
            <a:ext cx="0" cy="58578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0" name="Straight Connector 2299">
            <a:extLst>
              <a:ext uri="{FF2B5EF4-FFF2-40B4-BE49-F238E27FC236}">
                <a16:creationId xmlns:a16="http://schemas.microsoft.com/office/drawing/2014/main" id="{A97E5A6D-281B-4288-8860-99DFC6F273B5}"/>
              </a:ext>
            </a:extLst>
          </xdr:cNvPr>
          <xdr:cNvCxnSpPr/>
        </xdr:nvCxnSpPr>
        <xdr:spPr>
          <a:xfrm>
            <a:off x="10372725" y="254441324"/>
            <a:ext cx="333375" cy="2952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4" name="Straight Connector 2303">
            <a:extLst>
              <a:ext uri="{FF2B5EF4-FFF2-40B4-BE49-F238E27FC236}">
                <a16:creationId xmlns:a16="http://schemas.microsoft.com/office/drawing/2014/main" id="{8587042F-0694-45CA-B862-D818B9673098}"/>
              </a:ext>
            </a:extLst>
          </xdr:cNvPr>
          <xdr:cNvCxnSpPr/>
        </xdr:nvCxnSpPr>
        <xdr:spPr>
          <a:xfrm>
            <a:off x="8453438" y="255012832"/>
            <a:ext cx="575333" cy="50958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6" name="Straight Connector 2305">
            <a:extLst>
              <a:ext uri="{FF2B5EF4-FFF2-40B4-BE49-F238E27FC236}">
                <a16:creationId xmlns:a16="http://schemas.microsoft.com/office/drawing/2014/main" id="{33C942DB-9FA7-4494-813C-A65218878EFA}"/>
              </a:ext>
            </a:extLst>
          </xdr:cNvPr>
          <xdr:cNvCxnSpPr/>
        </xdr:nvCxnSpPr>
        <xdr:spPr>
          <a:xfrm>
            <a:off x="10720387" y="254750887"/>
            <a:ext cx="311868" cy="2762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1" name="Straight Connector 2310">
            <a:extLst>
              <a:ext uri="{FF2B5EF4-FFF2-40B4-BE49-F238E27FC236}">
                <a16:creationId xmlns:a16="http://schemas.microsoft.com/office/drawing/2014/main" id="{6844B9B2-531A-43A5-9B4D-81B44ACACC39}"/>
              </a:ext>
            </a:extLst>
          </xdr:cNvPr>
          <xdr:cNvCxnSpPr/>
        </xdr:nvCxnSpPr>
        <xdr:spPr>
          <a:xfrm>
            <a:off x="7739062" y="254679450"/>
            <a:ext cx="414031" cy="3667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66675</xdr:colOff>
      <xdr:row>1965</xdr:row>
      <xdr:rowOff>66675</xdr:rowOff>
    </xdr:from>
    <xdr:to>
      <xdr:col>7</xdr:col>
      <xdr:colOff>119062</xdr:colOff>
      <xdr:row>1965</xdr:row>
      <xdr:rowOff>66675</xdr:rowOff>
    </xdr:to>
    <xdr:cxnSp macro="">
      <xdr:nvCxnSpPr>
        <xdr:cNvPr id="2320" name="Straight Arrow Connector 2319">
          <a:extLst>
            <a:ext uri="{FF2B5EF4-FFF2-40B4-BE49-F238E27FC236}">
              <a16:creationId xmlns:a16="http://schemas.microsoft.com/office/drawing/2014/main" id="{2F22E40F-0CFA-449F-941B-40F0CA9929C9}"/>
            </a:ext>
          </a:extLst>
        </xdr:cNvPr>
        <xdr:cNvCxnSpPr/>
      </xdr:nvCxnSpPr>
      <xdr:spPr>
        <a:xfrm>
          <a:off x="1038225" y="2488596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1966</xdr:row>
      <xdr:rowOff>66675</xdr:rowOff>
    </xdr:from>
    <xdr:to>
      <xdr:col>7</xdr:col>
      <xdr:colOff>109537</xdr:colOff>
      <xdr:row>1966</xdr:row>
      <xdr:rowOff>66675</xdr:rowOff>
    </xdr:to>
    <xdr:cxnSp macro="">
      <xdr:nvCxnSpPr>
        <xdr:cNvPr id="2321" name="Straight Arrow Connector 2320">
          <a:extLst>
            <a:ext uri="{FF2B5EF4-FFF2-40B4-BE49-F238E27FC236}">
              <a16:creationId xmlns:a16="http://schemas.microsoft.com/office/drawing/2014/main" id="{349AC4E4-F0B3-49D6-ABCE-82B952534BB4}"/>
            </a:ext>
          </a:extLst>
        </xdr:cNvPr>
        <xdr:cNvCxnSpPr/>
      </xdr:nvCxnSpPr>
      <xdr:spPr>
        <a:xfrm>
          <a:off x="1028700" y="2490025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1972</xdr:row>
      <xdr:rowOff>66675</xdr:rowOff>
    </xdr:from>
    <xdr:to>
      <xdr:col>11</xdr:col>
      <xdr:colOff>109537</xdr:colOff>
      <xdr:row>1972</xdr:row>
      <xdr:rowOff>66675</xdr:rowOff>
    </xdr:to>
    <xdr:cxnSp macro="">
      <xdr:nvCxnSpPr>
        <xdr:cNvPr id="2128" name="Straight Arrow Connector 2127">
          <a:extLst>
            <a:ext uri="{FF2B5EF4-FFF2-40B4-BE49-F238E27FC236}">
              <a16:creationId xmlns:a16="http://schemas.microsoft.com/office/drawing/2014/main" id="{723A53D3-D539-4DE0-B28D-51FD98B24220}"/>
            </a:ext>
          </a:extLst>
        </xdr:cNvPr>
        <xdr:cNvCxnSpPr/>
      </xdr:nvCxnSpPr>
      <xdr:spPr>
        <a:xfrm>
          <a:off x="1028700" y="2572035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1969</xdr:row>
      <xdr:rowOff>66675</xdr:rowOff>
    </xdr:from>
    <xdr:to>
      <xdr:col>11</xdr:col>
      <xdr:colOff>109537</xdr:colOff>
      <xdr:row>1969</xdr:row>
      <xdr:rowOff>66675</xdr:rowOff>
    </xdr:to>
    <xdr:cxnSp macro="">
      <xdr:nvCxnSpPr>
        <xdr:cNvPr id="2168" name="Straight Arrow Connector 2167">
          <a:extLst>
            <a:ext uri="{FF2B5EF4-FFF2-40B4-BE49-F238E27FC236}">
              <a16:creationId xmlns:a16="http://schemas.microsoft.com/office/drawing/2014/main" id="{E909E29F-B52D-48B5-B5FF-497174CDBE95}"/>
            </a:ext>
          </a:extLst>
        </xdr:cNvPr>
        <xdr:cNvCxnSpPr/>
      </xdr:nvCxnSpPr>
      <xdr:spPr>
        <a:xfrm>
          <a:off x="1676400" y="2577750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80963</xdr:colOff>
      <xdr:row>1939</xdr:row>
      <xdr:rowOff>0</xdr:rowOff>
    </xdr:from>
    <xdr:to>
      <xdr:col>44</xdr:col>
      <xdr:colOff>130299</xdr:colOff>
      <xdr:row>1952</xdr:row>
      <xdr:rowOff>80963</xdr:rowOff>
    </xdr:to>
    <xdr:grpSp>
      <xdr:nvGrpSpPr>
        <xdr:cNvPr id="2263" name="Group 2262">
          <a:extLst>
            <a:ext uri="{FF2B5EF4-FFF2-40B4-BE49-F238E27FC236}">
              <a16:creationId xmlns:a16="http://schemas.microsoft.com/office/drawing/2014/main" id="{687B8081-7D21-9C89-5E69-562451F79B3D}"/>
            </a:ext>
          </a:extLst>
        </xdr:cNvPr>
        <xdr:cNvGrpSpPr/>
      </xdr:nvGrpSpPr>
      <xdr:grpSpPr>
        <a:xfrm>
          <a:off x="4291013" y="292522275"/>
          <a:ext cx="2963986" cy="1938338"/>
          <a:chOff x="4291013" y="251279025"/>
          <a:chExt cx="2963986" cy="1938338"/>
        </a:xfrm>
      </xdr:grpSpPr>
      <xdr:sp macro="" textlink="">
        <xdr:nvSpPr>
          <xdr:cNvPr id="2267" name="Freeform: Shape 2266">
            <a:extLst>
              <a:ext uri="{FF2B5EF4-FFF2-40B4-BE49-F238E27FC236}">
                <a16:creationId xmlns:a16="http://schemas.microsoft.com/office/drawing/2014/main" id="{C772A72B-3B1F-2FD3-7DBC-C1731811F21F}"/>
              </a:ext>
            </a:extLst>
          </xdr:cNvPr>
          <xdr:cNvSpPr/>
        </xdr:nvSpPr>
        <xdr:spPr>
          <a:xfrm>
            <a:off x="4367212" y="251707651"/>
            <a:ext cx="2586038" cy="428625"/>
          </a:xfrm>
          <a:custGeom>
            <a:avLst/>
            <a:gdLst>
              <a:gd name="connsiteX0" fmla="*/ 4763 w 2586038"/>
              <a:gd name="connsiteY0" fmla="*/ 0 h 428625"/>
              <a:gd name="connsiteX1" fmla="*/ 2586038 w 2586038"/>
              <a:gd name="connsiteY1" fmla="*/ 0 h 428625"/>
              <a:gd name="connsiteX2" fmla="*/ 2586038 w 2586038"/>
              <a:gd name="connsiteY2" fmla="*/ 428625 h 428625"/>
              <a:gd name="connsiteX3" fmla="*/ 1300163 w 2586038"/>
              <a:gd name="connsiteY3" fmla="*/ 428625 h 428625"/>
              <a:gd name="connsiteX4" fmla="*/ 1300163 w 2586038"/>
              <a:gd name="connsiteY4" fmla="*/ 190500 h 428625"/>
              <a:gd name="connsiteX5" fmla="*/ 0 w 2586038"/>
              <a:gd name="connsiteY5" fmla="*/ 190500 h 428625"/>
              <a:gd name="connsiteX6" fmla="*/ 4763 w 2586038"/>
              <a:gd name="connsiteY6" fmla="*/ 0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586038" h="428625">
                <a:moveTo>
                  <a:pt x="4763" y="0"/>
                </a:moveTo>
                <a:lnTo>
                  <a:pt x="2586038" y="0"/>
                </a:lnTo>
                <a:lnTo>
                  <a:pt x="2586038" y="428625"/>
                </a:lnTo>
                <a:lnTo>
                  <a:pt x="1300163" y="428625"/>
                </a:lnTo>
                <a:lnTo>
                  <a:pt x="1300163" y="190500"/>
                </a:lnTo>
                <a:lnTo>
                  <a:pt x="0" y="190500"/>
                </a:lnTo>
                <a:lnTo>
                  <a:pt x="4763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2C28FF19-3EAC-AC2E-2E6C-8B67D7890DBC}"/>
              </a:ext>
            </a:extLst>
          </xdr:cNvPr>
          <xdr:cNvSpPr/>
        </xdr:nvSpPr>
        <xdr:spPr>
          <a:xfrm>
            <a:off x="6972300" y="251421900"/>
            <a:ext cx="152400" cy="8524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70" name="Straight Arrow Connector 2169">
            <a:extLst>
              <a:ext uri="{FF2B5EF4-FFF2-40B4-BE49-F238E27FC236}">
                <a16:creationId xmlns:a16="http://schemas.microsoft.com/office/drawing/2014/main" id="{9AAFF49F-FE17-C739-E2A5-37547406FE63}"/>
              </a:ext>
            </a:extLst>
          </xdr:cNvPr>
          <xdr:cNvCxnSpPr/>
        </xdr:nvCxnSpPr>
        <xdr:spPr>
          <a:xfrm>
            <a:off x="4376737" y="251279025"/>
            <a:ext cx="0" cy="4381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9" name="Straight Connector 2178">
            <a:extLst>
              <a:ext uri="{FF2B5EF4-FFF2-40B4-BE49-F238E27FC236}">
                <a16:creationId xmlns:a16="http://schemas.microsoft.com/office/drawing/2014/main" id="{DC7F7663-A3DD-3B3C-D340-AD8E25E66E47}"/>
              </a:ext>
            </a:extLst>
          </xdr:cNvPr>
          <xdr:cNvCxnSpPr/>
        </xdr:nvCxnSpPr>
        <xdr:spPr>
          <a:xfrm>
            <a:off x="4371975" y="252031500"/>
            <a:ext cx="0" cy="11858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0" name="Straight Connector 2179">
            <a:extLst>
              <a:ext uri="{FF2B5EF4-FFF2-40B4-BE49-F238E27FC236}">
                <a16:creationId xmlns:a16="http://schemas.microsoft.com/office/drawing/2014/main" id="{EB162CFA-04C6-53A0-10BD-0CCF6C161CF3}"/>
              </a:ext>
            </a:extLst>
          </xdr:cNvPr>
          <xdr:cNvCxnSpPr/>
        </xdr:nvCxnSpPr>
        <xdr:spPr>
          <a:xfrm>
            <a:off x="4291013" y="253136409"/>
            <a:ext cx="2743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2" name="Straight Arrow Connector 2181">
            <a:extLst>
              <a:ext uri="{FF2B5EF4-FFF2-40B4-BE49-F238E27FC236}">
                <a16:creationId xmlns:a16="http://schemas.microsoft.com/office/drawing/2014/main" id="{6B265F38-F38A-18B0-B2EB-50F6AC2503C5}"/>
              </a:ext>
            </a:extLst>
          </xdr:cNvPr>
          <xdr:cNvCxnSpPr/>
        </xdr:nvCxnSpPr>
        <xdr:spPr>
          <a:xfrm flipV="1">
            <a:off x="6962775" y="252326775"/>
            <a:ext cx="0" cy="242888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4" name="Straight Connector 2183">
            <a:extLst>
              <a:ext uri="{FF2B5EF4-FFF2-40B4-BE49-F238E27FC236}">
                <a16:creationId xmlns:a16="http://schemas.microsoft.com/office/drawing/2014/main" id="{A15FE767-1534-F5E6-5264-96BDD4D1036C}"/>
              </a:ext>
            </a:extLst>
          </xdr:cNvPr>
          <xdr:cNvCxnSpPr/>
        </xdr:nvCxnSpPr>
        <xdr:spPr>
          <a:xfrm flipH="1">
            <a:off x="4333874" y="2531030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6" name="Straight Connector 2185">
            <a:extLst>
              <a:ext uri="{FF2B5EF4-FFF2-40B4-BE49-F238E27FC236}">
                <a16:creationId xmlns:a16="http://schemas.microsoft.com/office/drawing/2014/main" id="{15CA3040-DD0A-3D93-0334-641CFAEC9389}"/>
              </a:ext>
            </a:extLst>
          </xdr:cNvPr>
          <xdr:cNvCxnSpPr/>
        </xdr:nvCxnSpPr>
        <xdr:spPr>
          <a:xfrm>
            <a:off x="6962774" y="252726825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8" name="Straight Connector 2187">
            <a:extLst>
              <a:ext uri="{FF2B5EF4-FFF2-40B4-BE49-F238E27FC236}">
                <a16:creationId xmlns:a16="http://schemas.microsoft.com/office/drawing/2014/main" id="{AD296460-F536-3446-A85D-FFD4CDB2D7E3}"/>
              </a:ext>
            </a:extLst>
          </xdr:cNvPr>
          <xdr:cNvCxnSpPr/>
        </xdr:nvCxnSpPr>
        <xdr:spPr>
          <a:xfrm flipH="1">
            <a:off x="6924673" y="2531030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1" name="Straight Arrow Connector 2190">
            <a:extLst>
              <a:ext uri="{FF2B5EF4-FFF2-40B4-BE49-F238E27FC236}">
                <a16:creationId xmlns:a16="http://schemas.microsoft.com/office/drawing/2014/main" id="{478B0B0B-12D9-7348-A852-67D1B23ADF9F}"/>
              </a:ext>
            </a:extLst>
          </xdr:cNvPr>
          <xdr:cNvCxnSpPr/>
        </xdr:nvCxnSpPr>
        <xdr:spPr>
          <a:xfrm flipH="1">
            <a:off x="6448425" y="252498232"/>
            <a:ext cx="504825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2" name="Straight Connector 2191">
            <a:extLst>
              <a:ext uri="{FF2B5EF4-FFF2-40B4-BE49-F238E27FC236}">
                <a16:creationId xmlns:a16="http://schemas.microsoft.com/office/drawing/2014/main" id="{A4B478A2-B051-37F8-4388-1CCF398E05A9}"/>
              </a:ext>
            </a:extLst>
          </xdr:cNvPr>
          <xdr:cNvCxnSpPr/>
        </xdr:nvCxnSpPr>
        <xdr:spPr>
          <a:xfrm>
            <a:off x="6958012" y="251417138"/>
            <a:ext cx="0" cy="8715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93" name="Arc 2192">
            <a:extLst>
              <a:ext uri="{FF2B5EF4-FFF2-40B4-BE49-F238E27FC236}">
                <a16:creationId xmlns:a16="http://schemas.microsoft.com/office/drawing/2014/main" id="{3EDF3B67-ADF7-5F87-A7ED-AA2403A4C7D8}"/>
              </a:ext>
            </a:extLst>
          </xdr:cNvPr>
          <xdr:cNvSpPr/>
        </xdr:nvSpPr>
        <xdr:spPr>
          <a:xfrm rot="2590035">
            <a:off x="6696075" y="251507626"/>
            <a:ext cx="558924" cy="558924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69" name="Straight Connector 2268">
            <a:extLst>
              <a:ext uri="{FF2B5EF4-FFF2-40B4-BE49-F238E27FC236}">
                <a16:creationId xmlns:a16="http://schemas.microsoft.com/office/drawing/2014/main" id="{59EC0729-4570-4EBF-92BA-0C0AA90286F4}"/>
              </a:ext>
            </a:extLst>
          </xdr:cNvPr>
          <xdr:cNvCxnSpPr/>
        </xdr:nvCxnSpPr>
        <xdr:spPr>
          <a:xfrm>
            <a:off x="4291013" y="252850658"/>
            <a:ext cx="2743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0" name="Straight Connector 2269">
            <a:extLst>
              <a:ext uri="{FF2B5EF4-FFF2-40B4-BE49-F238E27FC236}">
                <a16:creationId xmlns:a16="http://schemas.microsoft.com/office/drawing/2014/main" id="{4E708F82-A02C-4EDD-8F24-8E1F5C9F2CE1}"/>
              </a:ext>
            </a:extLst>
          </xdr:cNvPr>
          <xdr:cNvCxnSpPr/>
        </xdr:nvCxnSpPr>
        <xdr:spPr>
          <a:xfrm flipH="1">
            <a:off x="4333874" y="25281731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1" name="Straight Connector 2270">
            <a:extLst>
              <a:ext uri="{FF2B5EF4-FFF2-40B4-BE49-F238E27FC236}">
                <a16:creationId xmlns:a16="http://schemas.microsoft.com/office/drawing/2014/main" id="{91913CFC-807C-4C1D-9C61-4CF2E665706F}"/>
              </a:ext>
            </a:extLst>
          </xdr:cNvPr>
          <xdr:cNvCxnSpPr/>
        </xdr:nvCxnSpPr>
        <xdr:spPr>
          <a:xfrm flipH="1">
            <a:off x="6924673" y="25281731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2" name="Straight Connector 2271">
            <a:extLst>
              <a:ext uri="{FF2B5EF4-FFF2-40B4-BE49-F238E27FC236}">
                <a16:creationId xmlns:a16="http://schemas.microsoft.com/office/drawing/2014/main" id="{AB290100-7AF0-43D0-8602-327A14C39D49}"/>
              </a:ext>
            </a:extLst>
          </xdr:cNvPr>
          <xdr:cNvCxnSpPr/>
        </xdr:nvCxnSpPr>
        <xdr:spPr>
          <a:xfrm>
            <a:off x="5667376" y="252307725"/>
            <a:ext cx="0" cy="619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3" name="Straight Connector 2272">
            <a:extLst>
              <a:ext uri="{FF2B5EF4-FFF2-40B4-BE49-F238E27FC236}">
                <a16:creationId xmlns:a16="http://schemas.microsoft.com/office/drawing/2014/main" id="{D726A11A-A285-41F0-8FE6-9FEBF182DD98}"/>
              </a:ext>
            </a:extLst>
          </xdr:cNvPr>
          <xdr:cNvCxnSpPr/>
        </xdr:nvCxnSpPr>
        <xdr:spPr>
          <a:xfrm flipH="1">
            <a:off x="5629275" y="25281255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5" name="Straight Arrow Connector 2204">
            <a:extLst>
              <a:ext uri="{FF2B5EF4-FFF2-40B4-BE49-F238E27FC236}">
                <a16:creationId xmlns:a16="http://schemas.microsoft.com/office/drawing/2014/main" id="{150C3D77-7C7E-4416-9BF9-877482EB43C8}"/>
              </a:ext>
            </a:extLst>
          </xdr:cNvPr>
          <xdr:cNvCxnSpPr/>
        </xdr:nvCxnSpPr>
        <xdr:spPr>
          <a:xfrm flipH="1">
            <a:off x="5162550" y="252517275"/>
            <a:ext cx="504825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85725</xdr:colOff>
      <xdr:row>1696</xdr:row>
      <xdr:rowOff>142874</xdr:rowOff>
    </xdr:from>
    <xdr:to>
      <xdr:col>61</xdr:col>
      <xdr:colOff>67435</xdr:colOff>
      <xdr:row>1697</xdr:row>
      <xdr:rowOff>133348</xdr:rowOff>
    </xdr:to>
    <xdr:grpSp>
      <xdr:nvGrpSpPr>
        <xdr:cNvPr id="2166" name="Group 2165">
          <a:extLst>
            <a:ext uri="{FF2B5EF4-FFF2-40B4-BE49-F238E27FC236}">
              <a16:creationId xmlns:a16="http://schemas.microsoft.com/office/drawing/2014/main" id="{262443B0-683C-4EAE-8309-DB7C390E66B1}"/>
            </a:ext>
          </a:extLst>
        </xdr:cNvPr>
        <xdr:cNvGrpSpPr/>
      </xdr:nvGrpSpPr>
      <xdr:grpSpPr>
        <a:xfrm>
          <a:off x="6238875" y="255565274"/>
          <a:ext cx="3705985" cy="133349"/>
          <a:chOff x="4462462" y="223685100"/>
          <a:chExt cx="3705985" cy="133349"/>
        </a:xfrm>
      </xdr:grpSpPr>
      <xdr:cxnSp macro="">
        <xdr:nvCxnSpPr>
          <xdr:cNvPr id="2204" name="Straight Connector 2203">
            <a:extLst>
              <a:ext uri="{FF2B5EF4-FFF2-40B4-BE49-F238E27FC236}">
                <a16:creationId xmlns:a16="http://schemas.microsoft.com/office/drawing/2014/main" id="{8C1C6AD3-CF1A-FB50-AD34-3BC9A83FAB05}"/>
              </a:ext>
            </a:extLst>
          </xdr:cNvPr>
          <xdr:cNvCxnSpPr/>
        </xdr:nvCxnSpPr>
        <xdr:spPr>
          <a:xfrm>
            <a:off x="4533900" y="223685100"/>
            <a:ext cx="35623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45" name="Isosceles Triangle 2244">
            <a:extLst>
              <a:ext uri="{FF2B5EF4-FFF2-40B4-BE49-F238E27FC236}">
                <a16:creationId xmlns:a16="http://schemas.microsoft.com/office/drawing/2014/main" id="{FF02EA3F-BE35-FF6F-3A7E-7E95329171AC}"/>
              </a:ext>
            </a:extLst>
          </xdr:cNvPr>
          <xdr:cNvSpPr/>
        </xdr:nvSpPr>
        <xdr:spPr>
          <a:xfrm>
            <a:off x="4462462" y="223694625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61" name="Isosceles Triangle 2260">
            <a:extLst>
              <a:ext uri="{FF2B5EF4-FFF2-40B4-BE49-F238E27FC236}">
                <a16:creationId xmlns:a16="http://schemas.microsoft.com/office/drawing/2014/main" id="{16B4F0EC-238D-C42F-D069-8364786E62D1}"/>
              </a:ext>
            </a:extLst>
          </xdr:cNvPr>
          <xdr:cNvSpPr/>
        </xdr:nvSpPr>
        <xdr:spPr>
          <a:xfrm>
            <a:off x="8024811" y="223689863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39</xdr:col>
      <xdr:colOff>0</xdr:colOff>
      <xdr:row>1686</xdr:row>
      <xdr:rowOff>109538</xdr:rowOff>
    </xdr:from>
    <xdr:to>
      <xdr:col>65</xdr:col>
      <xdr:colOff>61913</xdr:colOff>
      <xdr:row>1693</xdr:row>
      <xdr:rowOff>28575</xdr:rowOff>
    </xdr:to>
    <xdr:grpSp>
      <xdr:nvGrpSpPr>
        <xdr:cNvPr id="2429" name="Group 2428">
          <a:extLst>
            <a:ext uri="{FF2B5EF4-FFF2-40B4-BE49-F238E27FC236}">
              <a16:creationId xmlns:a16="http://schemas.microsoft.com/office/drawing/2014/main" id="{F97D6EC5-F444-48E7-471F-F7C9528EF5B5}"/>
            </a:ext>
          </a:extLst>
        </xdr:cNvPr>
        <xdr:cNvGrpSpPr/>
      </xdr:nvGrpSpPr>
      <xdr:grpSpPr>
        <a:xfrm>
          <a:off x="6315075" y="254103188"/>
          <a:ext cx="4271963" cy="919162"/>
          <a:chOff x="2752725" y="277887113"/>
          <a:chExt cx="4271963" cy="919162"/>
        </a:xfrm>
      </xdr:grpSpPr>
      <xdr:cxnSp macro="">
        <xdr:nvCxnSpPr>
          <xdr:cNvPr id="2322" name="Straight Connector 2321">
            <a:extLst>
              <a:ext uri="{FF2B5EF4-FFF2-40B4-BE49-F238E27FC236}">
                <a16:creationId xmlns:a16="http://schemas.microsoft.com/office/drawing/2014/main" id="{11693BF2-90A3-517B-4096-3FA95A26A574}"/>
              </a:ext>
            </a:extLst>
          </xdr:cNvPr>
          <xdr:cNvCxnSpPr/>
        </xdr:nvCxnSpPr>
        <xdr:spPr>
          <a:xfrm>
            <a:off x="4657725" y="277949023"/>
            <a:ext cx="2362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4" name="Straight Connector 2323">
            <a:extLst>
              <a:ext uri="{FF2B5EF4-FFF2-40B4-BE49-F238E27FC236}">
                <a16:creationId xmlns:a16="http://schemas.microsoft.com/office/drawing/2014/main" id="{73B3D219-670F-0DD9-4215-98F72203FB6D}"/>
              </a:ext>
            </a:extLst>
          </xdr:cNvPr>
          <xdr:cNvCxnSpPr/>
        </xdr:nvCxnSpPr>
        <xdr:spPr>
          <a:xfrm>
            <a:off x="6962791" y="277887113"/>
            <a:ext cx="0" cy="9191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6" name="Straight Connector 2325">
            <a:extLst>
              <a:ext uri="{FF2B5EF4-FFF2-40B4-BE49-F238E27FC236}">
                <a16:creationId xmlns:a16="http://schemas.microsoft.com/office/drawing/2014/main" id="{804408F1-0A8C-3C71-F12F-1710C909ADA4}"/>
              </a:ext>
            </a:extLst>
          </xdr:cNvPr>
          <xdr:cNvCxnSpPr/>
        </xdr:nvCxnSpPr>
        <xdr:spPr>
          <a:xfrm>
            <a:off x="4638675" y="278744370"/>
            <a:ext cx="23860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8" name="Straight Connector 2327">
            <a:extLst>
              <a:ext uri="{FF2B5EF4-FFF2-40B4-BE49-F238E27FC236}">
                <a16:creationId xmlns:a16="http://schemas.microsoft.com/office/drawing/2014/main" id="{FBD28121-F406-D2E1-3CB2-3BEE1C6A20C4}"/>
              </a:ext>
            </a:extLst>
          </xdr:cNvPr>
          <xdr:cNvCxnSpPr/>
        </xdr:nvCxnSpPr>
        <xdr:spPr>
          <a:xfrm flipH="1">
            <a:off x="6929453" y="27791568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0" name="Straight Connector 2329">
            <a:extLst>
              <a:ext uri="{FF2B5EF4-FFF2-40B4-BE49-F238E27FC236}">
                <a16:creationId xmlns:a16="http://schemas.microsoft.com/office/drawing/2014/main" id="{8E89D2A5-D479-4360-DA10-4BCDA4BB98A1}"/>
              </a:ext>
            </a:extLst>
          </xdr:cNvPr>
          <xdr:cNvCxnSpPr/>
        </xdr:nvCxnSpPr>
        <xdr:spPr>
          <a:xfrm flipH="1">
            <a:off x="6929445" y="27871103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91" name="Freeform: Shape 2390">
            <a:extLst>
              <a:ext uri="{FF2B5EF4-FFF2-40B4-BE49-F238E27FC236}">
                <a16:creationId xmlns:a16="http://schemas.microsoft.com/office/drawing/2014/main" id="{90C581E1-F6E1-7972-B829-5AA773D8E579}"/>
              </a:ext>
            </a:extLst>
          </xdr:cNvPr>
          <xdr:cNvSpPr/>
        </xdr:nvSpPr>
        <xdr:spPr>
          <a:xfrm>
            <a:off x="2752725" y="277944263"/>
            <a:ext cx="3567113" cy="800100"/>
          </a:xfrm>
          <a:custGeom>
            <a:avLst/>
            <a:gdLst>
              <a:gd name="connsiteX0" fmla="*/ 0 w 3567113"/>
              <a:gd name="connsiteY0" fmla="*/ 404812 h 800100"/>
              <a:gd name="connsiteX1" fmla="*/ 1790700 w 3567113"/>
              <a:gd name="connsiteY1" fmla="*/ 0 h 800100"/>
              <a:gd name="connsiteX2" fmla="*/ 3567113 w 3567113"/>
              <a:gd name="connsiteY2" fmla="*/ 400050 h 800100"/>
              <a:gd name="connsiteX3" fmla="*/ 1785938 w 3567113"/>
              <a:gd name="connsiteY3" fmla="*/ 800100 h 800100"/>
              <a:gd name="connsiteX4" fmla="*/ 0 w 3567113"/>
              <a:gd name="connsiteY4" fmla="*/ 404812 h 800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800100">
                <a:moveTo>
                  <a:pt x="0" y="404812"/>
                </a:moveTo>
                <a:lnTo>
                  <a:pt x="1790700" y="0"/>
                </a:lnTo>
                <a:lnTo>
                  <a:pt x="3567113" y="400050"/>
                </a:lnTo>
                <a:lnTo>
                  <a:pt x="1785938" y="800100"/>
                </a:lnTo>
                <a:lnTo>
                  <a:pt x="0" y="404812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38</xdr:col>
      <xdr:colOff>95252</xdr:colOff>
      <xdr:row>1678</xdr:row>
      <xdr:rowOff>19050</xdr:rowOff>
    </xdr:from>
    <xdr:to>
      <xdr:col>39</xdr:col>
      <xdr:colOff>76963</xdr:colOff>
      <xdr:row>1678</xdr:row>
      <xdr:rowOff>142874</xdr:rowOff>
    </xdr:to>
    <xdr:sp macro="" textlink="">
      <xdr:nvSpPr>
        <xdr:cNvPr id="2352" name="Isosceles Triangle 2351">
          <a:extLst>
            <a:ext uri="{FF2B5EF4-FFF2-40B4-BE49-F238E27FC236}">
              <a16:creationId xmlns:a16="http://schemas.microsoft.com/office/drawing/2014/main" id="{B9022AC3-9D82-DE33-358C-592A9C64B167}"/>
            </a:ext>
          </a:extLst>
        </xdr:cNvPr>
        <xdr:cNvSpPr/>
      </xdr:nvSpPr>
      <xdr:spPr>
        <a:xfrm>
          <a:off x="6248402" y="243097050"/>
          <a:ext cx="143636" cy="123824"/>
        </a:xfrm>
        <a:prstGeom prst="triangle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60</xdr:col>
      <xdr:colOff>95251</xdr:colOff>
      <xdr:row>1678</xdr:row>
      <xdr:rowOff>14288</xdr:rowOff>
    </xdr:from>
    <xdr:to>
      <xdr:col>61</xdr:col>
      <xdr:colOff>76962</xdr:colOff>
      <xdr:row>1678</xdr:row>
      <xdr:rowOff>138112</xdr:rowOff>
    </xdr:to>
    <xdr:sp macro="" textlink="">
      <xdr:nvSpPr>
        <xdr:cNvPr id="2353" name="Isosceles Triangle 2352">
          <a:extLst>
            <a:ext uri="{FF2B5EF4-FFF2-40B4-BE49-F238E27FC236}">
              <a16:creationId xmlns:a16="http://schemas.microsoft.com/office/drawing/2014/main" id="{B9069BD2-CCFD-112B-68BF-8DAFF0FEB4A6}"/>
            </a:ext>
          </a:extLst>
        </xdr:cNvPr>
        <xdr:cNvSpPr/>
      </xdr:nvSpPr>
      <xdr:spPr>
        <a:xfrm>
          <a:off x="9810751" y="243092288"/>
          <a:ext cx="143636" cy="123824"/>
        </a:xfrm>
        <a:prstGeom prst="triangle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50</xdr:col>
      <xdr:colOff>0</xdr:colOff>
      <xdr:row>1673</xdr:row>
      <xdr:rowOff>4763</xdr:rowOff>
    </xdr:from>
    <xdr:to>
      <xdr:col>50</xdr:col>
      <xdr:colOff>0</xdr:colOff>
      <xdr:row>1676</xdr:row>
      <xdr:rowOff>71438</xdr:rowOff>
    </xdr:to>
    <xdr:cxnSp macro="">
      <xdr:nvCxnSpPr>
        <xdr:cNvPr id="2369" name="Straight Arrow Connector 2368">
          <a:extLst>
            <a:ext uri="{FF2B5EF4-FFF2-40B4-BE49-F238E27FC236}">
              <a16:creationId xmlns:a16="http://schemas.microsoft.com/office/drawing/2014/main" id="{E6033C7B-7986-7DB3-28E7-B1604186A162}"/>
            </a:ext>
          </a:extLst>
        </xdr:cNvPr>
        <xdr:cNvCxnSpPr/>
      </xdr:nvCxnSpPr>
      <xdr:spPr>
        <a:xfrm>
          <a:off x="8096250" y="242368388"/>
          <a:ext cx="0" cy="495300"/>
        </a:xfrm>
        <a:prstGeom prst="straightConnector1">
          <a:avLst/>
        </a:prstGeom>
        <a:ln w="1587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1679</xdr:row>
      <xdr:rowOff>19049</xdr:rowOff>
    </xdr:from>
    <xdr:to>
      <xdr:col>39</xdr:col>
      <xdr:colOff>1</xdr:colOff>
      <xdr:row>1681</xdr:row>
      <xdr:rowOff>0</xdr:rowOff>
    </xdr:to>
    <xdr:cxnSp macro="">
      <xdr:nvCxnSpPr>
        <xdr:cNvPr id="2370" name="Straight Arrow Connector 2369">
          <a:extLst>
            <a:ext uri="{FF2B5EF4-FFF2-40B4-BE49-F238E27FC236}">
              <a16:creationId xmlns:a16="http://schemas.microsoft.com/office/drawing/2014/main" id="{7D70EA03-AB6A-69CC-DC73-7DE7B2E1AD68}"/>
            </a:ext>
          </a:extLst>
        </xdr:cNvPr>
        <xdr:cNvCxnSpPr/>
      </xdr:nvCxnSpPr>
      <xdr:spPr>
        <a:xfrm flipV="1">
          <a:off x="6315076" y="243239924"/>
          <a:ext cx="0" cy="266701"/>
        </a:xfrm>
        <a:prstGeom prst="straightConnector1">
          <a:avLst/>
        </a:prstGeom>
        <a:ln w="1587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</xdr:colOff>
      <xdr:row>1679</xdr:row>
      <xdr:rowOff>9523</xdr:rowOff>
    </xdr:from>
    <xdr:to>
      <xdr:col>61</xdr:col>
      <xdr:colOff>1</xdr:colOff>
      <xdr:row>1680</xdr:row>
      <xdr:rowOff>133349</xdr:rowOff>
    </xdr:to>
    <xdr:cxnSp macro="">
      <xdr:nvCxnSpPr>
        <xdr:cNvPr id="2371" name="Straight Arrow Connector 2370">
          <a:extLst>
            <a:ext uri="{FF2B5EF4-FFF2-40B4-BE49-F238E27FC236}">
              <a16:creationId xmlns:a16="http://schemas.microsoft.com/office/drawing/2014/main" id="{E9A0A2FE-49E4-E48D-B12F-F9E5E0C4CA45}"/>
            </a:ext>
          </a:extLst>
        </xdr:cNvPr>
        <xdr:cNvCxnSpPr/>
      </xdr:nvCxnSpPr>
      <xdr:spPr>
        <a:xfrm flipV="1">
          <a:off x="9877426" y="243230398"/>
          <a:ext cx="0" cy="266701"/>
        </a:xfrm>
        <a:prstGeom prst="straightConnector1">
          <a:avLst/>
        </a:prstGeom>
        <a:ln w="1587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1677</xdr:row>
      <xdr:rowOff>4764</xdr:rowOff>
    </xdr:from>
    <xdr:to>
      <xdr:col>61</xdr:col>
      <xdr:colOff>9525</xdr:colOff>
      <xdr:row>1678</xdr:row>
      <xdr:rowOff>4764</xdr:rowOff>
    </xdr:to>
    <xdr:sp macro="" textlink="">
      <xdr:nvSpPr>
        <xdr:cNvPr id="2372" name="Rectangle 2371">
          <a:extLst>
            <a:ext uri="{FF2B5EF4-FFF2-40B4-BE49-F238E27FC236}">
              <a16:creationId xmlns:a16="http://schemas.microsoft.com/office/drawing/2014/main" id="{D2057876-CA5E-49D8-BF62-E83B7E6EACF7}"/>
            </a:ext>
          </a:extLst>
        </xdr:cNvPr>
        <xdr:cNvSpPr/>
      </xdr:nvSpPr>
      <xdr:spPr>
        <a:xfrm>
          <a:off x="6315075" y="242939889"/>
          <a:ext cx="3571875" cy="142875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tr-T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1682</xdr:row>
      <xdr:rowOff>28574</xdr:rowOff>
    </xdr:from>
    <xdr:to>
      <xdr:col>39</xdr:col>
      <xdr:colOff>0</xdr:colOff>
      <xdr:row>1685</xdr:row>
      <xdr:rowOff>71437</xdr:rowOff>
    </xdr:to>
    <xdr:cxnSp macro="">
      <xdr:nvCxnSpPr>
        <xdr:cNvPr id="2373" name="Straight Connector 2372">
          <a:extLst>
            <a:ext uri="{FF2B5EF4-FFF2-40B4-BE49-F238E27FC236}">
              <a16:creationId xmlns:a16="http://schemas.microsoft.com/office/drawing/2014/main" id="{BAC84600-516E-6624-11C8-29D21C50A18F}"/>
            </a:ext>
          </a:extLst>
        </xdr:cNvPr>
        <xdr:cNvCxnSpPr/>
      </xdr:nvCxnSpPr>
      <xdr:spPr>
        <a:xfrm>
          <a:off x="6315075" y="243678074"/>
          <a:ext cx="0" cy="4714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85725</xdr:colOff>
      <xdr:row>1683</xdr:row>
      <xdr:rowOff>1</xdr:rowOff>
    </xdr:from>
    <xdr:to>
      <xdr:col>61</xdr:col>
      <xdr:colOff>66675</xdr:colOff>
      <xdr:row>1683</xdr:row>
      <xdr:rowOff>1</xdr:rowOff>
    </xdr:to>
    <xdr:cxnSp macro="">
      <xdr:nvCxnSpPr>
        <xdr:cNvPr id="2374" name="Straight Connector 2373">
          <a:extLst>
            <a:ext uri="{FF2B5EF4-FFF2-40B4-BE49-F238E27FC236}">
              <a16:creationId xmlns:a16="http://schemas.microsoft.com/office/drawing/2014/main" id="{CF51C232-5B1D-89EC-1810-18CF7212998E}"/>
            </a:ext>
          </a:extLst>
        </xdr:cNvPr>
        <xdr:cNvCxnSpPr/>
      </xdr:nvCxnSpPr>
      <xdr:spPr>
        <a:xfrm>
          <a:off x="6238875" y="243792376"/>
          <a:ext cx="3705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123824</xdr:colOff>
      <xdr:row>1682</xdr:row>
      <xdr:rowOff>109538</xdr:rowOff>
    </xdr:from>
    <xdr:to>
      <xdr:col>39</xdr:col>
      <xdr:colOff>33337</xdr:colOff>
      <xdr:row>1683</xdr:row>
      <xdr:rowOff>38101</xdr:rowOff>
    </xdr:to>
    <xdr:cxnSp macro="">
      <xdr:nvCxnSpPr>
        <xdr:cNvPr id="2375" name="Straight Connector 2374">
          <a:extLst>
            <a:ext uri="{FF2B5EF4-FFF2-40B4-BE49-F238E27FC236}">
              <a16:creationId xmlns:a16="http://schemas.microsoft.com/office/drawing/2014/main" id="{3EC88D15-E12F-A3BD-8FCD-41A1DF3F60A0}"/>
            </a:ext>
          </a:extLst>
        </xdr:cNvPr>
        <xdr:cNvCxnSpPr/>
      </xdr:nvCxnSpPr>
      <xdr:spPr>
        <a:xfrm flipH="1">
          <a:off x="6276974" y="243759038"/>
          <a:ext cx="71438" cy="714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85725</xdr:colOff>
      <xdr:row>1685</xdr:row>
      <xdr:rowOff>1</xdr:rowOff>
    </xdr:from>
    <xdr:to>
      <xdr:col>61</xdr:col>
      <xdr:colOff>66675</xdr:colOff>
      <xdr:row>1685</xdr:row>
      <xdr:rowOff>1</xdr:rowOff>
    </xdr:to>
    <xdr:cxnSp macro="">
      <xdr:nvCxnSpPr>
        <xdr:cNvPr id="2376" name="Straight Connector 2375">
          <a:extLst>
            <a:ext uri="{FF2B5EF4-FFF2-40B4-BE49-F238E27FC236}">
              <a16:creationId xmlns:a16="http://schemas.microsoft.com/office/drawing/2014/main" id="{7C4A505C-0C8F-A17C-00A2-12698403269F}"/>
            </a:ext>
          </a:extLst>
        </xdr:cNvPr>
        <xdr:cNvCxnSpPr/>
      </xdr:nvCxnSpPr>
      <xdr:spPr>
        <a:xfrm>
          <a:off x="6238875" y="244078126"/>
          <a:ext cx="3705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123824</xdr:colOff>
      <xdr:row>1684</xdr:row>
      <xdr:rowOff>109538</xdr:rowOff>
    </xdr:from>
    <xdr:to>
      <xdr:col>39</xdr:col>
      <xdr:colOff>33337</xdr:colOff>
      <xdr:row>1685</xdr:row>
      <xdr:rowOff>38101</xdr:rowOff>
    </xdr:to>
    <xdr:cxnSp macro="">
      <xdr:nvCxnSpPr>
        <xdr:cNvPr id="2377" name="Straight Connector 2376">
          <a:extLst>
            <a:ext uri="{FF2B5EF4-FFF2-40B4-BE49-F238E27FC236}">
              <a16:creationId xmlns:a16="http://schemas.microsoft.com/office/drawing/2014/main" id="{B0C4C0D0-4D09-1974-63E9-FC8EE2131D66}"/>
            </a:ext>
          </a:extLst>
        </xdr:cNvPr>
        <xdr:cNvCxnSpPr/>
      </xdr:nvCxnSpPr>
      <xdr:spPr>
        <a:xfrm flipH="1">
          <a:off x="6276974" y="244044788"/>
          <a:ext cx="71438" cy="714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1682</xdr:row>
      <xdr:rowOff>28574</xdr:rowOff>
    </xdr:from>
    <xdr:to>
      <xdr:col>61</xdr:col>
      <xdr:colOff>0</xdr:colOff>
      <xdr:row>1685</xdr:row>
      <xdr:rowOff>71437</xdr:rowOff>
    </xdr:to>
    <xdr:cxnSp macro="">
      <xdr:nvCxnSpPr>
        <xdr:cNvPr id="2378" name="Straight Connector 2377">
          <a:extLst>
            <a:ext uri="{FF2B5EF4-FFF2-40B4-BE49-F238E27FC236}">
              <a16:creationId xmlns:a16="http://schemas.microsoft.com/office/drawing/2014/main" id="{208E0967-B3C9-2EE9-A82D-57E2483A0830}"/>
            </a:ext>
          </a:extLst>
        </xdr:cNvPr>
        <xdr:cNvCxnSpPr/>
      </xdr:nvCxnSpPr>
      <xdr:spPr>
        <a:xfrm>
          <a:off x="9877425" y="243678074"/>
          <a:ext cx="0" cy="4714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123824</xdr:colOff>
      <xdr:row>1682</xdr:row>
      <xdr:rowOff>109538</xdr:rowOff>
    </xdr:from>
    <xdr:to>
      <xdr:col>61</xdr:col>
      <xdr:colOff>33337</xdr:colOff>
      <xdr:row>1683</xdr:row>
      <xdr:rowOff>38101</xdr:rowOff>
    </xdr:to>
    <xdr:cxnSp macro="">
      <xdr:nvCxnSpPr>
        <xdr:cNvPr id="2379" name="Straight Connector 2378">
          <a:extLst>
            <a:ext uri="{FF2B5EF4-FFF2-40B4-BE49-F238E27FC236}">
              <a16:creationId xmlns:a16="http://schemas.microsoft.com/office/drawing/2014/main" id="{2535AE66-DC8E-A55E-0AC3-987C29C04060}"/>
            </a:ext>
          </a:extLst>
        </xdr:cNvPr>
        <xdr:cNvCxnSpPr/>
      </xdr:nvCxnSpPr>
      <xdr:spPr>
        <a:xfrm flipH="1">
          <a:off x="9839324" y="243759038"/>
          <a:ext cx="71438" cy="714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123824</xdr:colOff>
      <xdr:row>1684</xdr:row>
      <xdr:rowOff>109538</xdr:rowOff>
    </xdr:from>
    <xdr:to>
      <xdr:col>61</xdr:col>
      <xdr:colOff>33337</xdr:colOff>
      <xdr:row>1685</xdr:row>
      <xdr:rowOff>38101</xdr:rowOff>
    </xdr:to>
    <xdr:cxnSp macro="">
      <xdr:nvCxnSpPr>
        <xdr:cNvPr id="2380" name="Straight Connector 2379">
          <a:extLst>
            <a:ext uri="{FF2B5EF4-FFF2-40B4-BE49-F238E27FC236}">
              <a16:creationId xmlns:a16="http://schemas.microsoft.com/office/drawing/2014/main" id="{159411A4-23ED-E84B-9956-C96148376A48}"/>
            </a:ext>
          </a:extLst>
        </xdr:cNvPr>
        <xdr:cNvCxnSpPr/>
      </xdr:nvCxnSpPr>
      <xdr:spPr>
        <a:xfrm flipH="1">
          <a:off x="9839324" y="244044788"/>
          <a:ext cx="71438" cy="714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1680</xdr:row>
      <xdr:rowOff>28574</xdr:rowOff>
    </xdr:from>
    <xdr:to>
      <xdr:col>50</xdr:col>
      <xdr:colOff>0</xdr:colOff>
      <xdr:row>1683</xdr:row>
      <xdr:rowOff>71437</xdr:rowOff>
    </xdr:to>
    <xdr:cxnSp macro="">
      <xdr:nvCxnSpPr>
        <xdr:cNvPr id="2381" name="Straight Connector 2380">
          <a:extLst>
            <a:ext uri="{FF2B5EF4-FFF2-40B4-BE49-F238E27FC236}">
              <a16:creationId xmlns:a16="http://schemas.microsoft.com/office/drawing/2014/main" id="{4B531BA7-4AD3-E5CD-0366-D95C43F04BC0}"/>
            </a:ext>
          </a:extLst>
        </xdr:cNvPr>
        <xdr:cNvCxnSpPr/>
      </xdr:nvCxnSpPr>
      <xdr:spPr>
        <a:xfrm>
          <a:off x="8096250" y="243392324"/>
          <a:ext cx="0" cy="4714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123824</xdr:colOff>
      <xdr:row>1682</xdr:row>
      <xdr:rowOff>109538</xdr:rowOff>
    </xdr:from>
    <xdr:to>
      <xdr:col>50</xdr:col>
      <xdr:colOff>33337</xdr:colOff>
      <xdr:row>1683</xdr:row>
      <xdr:rowOff>38101</xdr:rowOff>
    </xdr:to>
    <xdr:cxnSp macro="">
      <xdr:nvCxnSpPr>
        <xdr:cNvPr id="2382" name="Straight Connector 2381">
          <a:extLst>
            <a:ext uri="{FF2B5EF4-FFF2-40B4-BE49-F238E27FC236}">
              <a16:creationId xmlns:a16="http://schemas.microsoft.com/office/drawing/2014/main" id="{98FBDA4D-2C9D-0382-A09A-8AD7FD48E40D}"/>
            </a:ext>
          </a:extLst>
        </xdr:cNvPr>
        <xdr:cNvCxnSpPr/>
      </xdr:nvCxnSpPr>
      <xdr:spPr>
        <a:xfrm flipH="1">
          <a:off x="8058149" y="243759038"/>
          <a:ext cx="71438" cy="714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1680</xdr:row>
      <xdr:rowOff>66675</xdr:rowOff>
    </xdr:from>
    <xdr:to>
      <xdr:col>41</xdr:col>
      <xdr:colOff>95249</xdr:colOff>
      <xdr:row>1680</xdr:row>
      <xdr:rowOff>66675</xdr:rowOff>
    </xdr:to>
    <xdr:cxnSp macro="">
      <xdr:nvCxnSpPr>
        <xdr:cNvPr id="2383" name="Straight Arrow Connector 2382">
          <a:extLst>
            <a:ext uri="{FF2B5EF4-FFF2-40B4-BE49-F238E27FC236}">
              <a16:creationId xmlns:a16="http://schemas.microsoft.com/office/drawing/2014/main" id="{894B97DF-D816-6F06-F9D5-E0DBBC0C64A4}"/>
            </a:ext>
          </a:extLst>
        </xdr:cNvPr>
        <xdr:cNvCxnSpPr/>
      </xdr:nvCxnSpPr>
      <xdr:spPr>
        <a:xfrm>
          <a:off x="6315075" y="243430425"/>
          <a:ext cx="419099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1676</xdr:row>
      <xdr:rowOff>85726</xdr:rowOff>
    </xdr:from>
    <xdr:to>
      <xdr:col>44</xdr:col>
      <xdr:colOff>0</xdr:colOff>
      <xdr:row>1678</xdr:row>
      <xdr:rowOff>76201</xdr:rowOff>
    </xdr:to>
    <xdr:cxnSp macro="">
      <xdr:nvCxnSpPr>
        <xdr:cNvPr id="2384" name="Straight Connector 2383">
          <a:extLst>
            <a:ext uri="{FF2B5EF4-FFF2-40B4-BE49-F238E27FC236}">
              <a16:creationId xmlns:a16="http://schemas.microsoft.com/office/drawing/2014/main" id="{B5DC0B50-2BBB-FEA0-186A-5EE9FFE00689}"/>
            </a:ext>
          </a:extLst>
        </xdr:cNvPr>
        <xdr:cNvCxnSpPr/>
      </xdr:nvCxnSpPr>
      <xdr:spPr>
        <a:xfrm>
          <a:off x="7124700" y="242877976"/>
          <a:ext cx="0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128590</xdr:colOff>
      <xdr:row>1676</xdr:row>
      <xdr:rowOff>114293</xdr:rowOff>
    </xdr:from>
    <xdr:to>
      <xdr:col>44</xdr:col>
      <xdr:colOff>33340</xdr:colOff>
      <xdr:row>1677</xdr:row>
      <xdr:rowOff>38093</xdr:rowOff>
    </xdr:to>
    <xdr:cxnSp macro="">
      <xdr:nvCxnSpPr>
        <xdr:cNvPr id="2385" name="Straight Connector 2384">
          <a:extLst>
            <a:ext uri="{FF2B5EF4-FFF2-40B4-BE49-F238E27FC236}">
              <a16:creationId xmlns:a16="http://schemas.microsoft.com/office/drawing/2014/main" id="{D1F45FDC-B2AE-28B8-8502-DCE3FF53654E}"/>
            </a:ext>
          </a:extLst>
        </xdr:cNvPr>
        <xdr:cNvCxnSpPr/>
      </xdr:nvCxnSpPr>
      <xdr:spPr>
        <a:xfrm flipH="1">
          <a:off x="7091365" y="242906543"/>
          <a:ext cx="66675" cy="66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128582</xdr:colOff>
      <xdr:row>1677</xdr:row>
      <xdr:rowOff>114295</xdr:rowOff>
    </xdr:from>
    <xdr:to>
      <xdr:col>44</xdr:col>
      <xdr:colOff>33332</xdr:colOff>
      <xdr:row>1678</xdr:row>
      <xdr:rowOff>38095</xdr:rowOff>
    </xdr:to>
    <xdr:cxnSp macro="">
      <xdr:nvCxnSpPr>
        <xdr:cNvPr id="2386" name="Straight Connector 2385">
          <a:extLst>
            <a:ext uri="{FF2B5EF4-FFF2-40B4-BE49-F238E27FC236}">
              <a16:creationId xmlns:a16="http://schemas.microsoft.com/office/drawing/2014/main" id="{96798DDD-DD77-7F0D-430B-1D485AFF6E58}"/>
            </a:ext>
          </a:extLst>
        </xdr:cNvPr>
        <xdr:cNvCxnSpPr/>
      </xdr:nvCxnSpPr>
      <xdr:spPr>
        <a:xfrm flipH="1">
          <a:off x="7091357" y="243049420"/>
          <a:ext cx="66675" cy="66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161917</xdr:colOff>
      <xdr:row>1675</xdr:row>
      <xdr:rowOff>10</xdr:rowOff>
    </xdr:from>
    <xdr:to>
      <xdr:col>38</xdr:col>
      <xdr:colOff>161917</xdr:colOff>
      <xdr:row>1676</xdr:row>
      <xdr:rowOff>66687</xdr:rowOff>
    </xdr:to>
    <xdr:cxnSp macro="">
      <xdr:nvCxnSpPr>
        <xdr:cNvPr id="2393" name="Straight Arrow Connector 2392">
          <a:extLst>
            <a:ext uri="{FF2B5EF4-FFF2-40B4-BE49-F238E27FC236}">
              <a16:creationId xmlns:a16="http://schemas.microsoft.com/office/drawing/2014/main" id="{360597E5-8C23-42A4-96C1-36A4812A352E}"/>
            </a:ext>
          </a:extLst>
        </xdr:cNvPr>
        <xdr:cNvCxnSpPr/>
      </xdr:nvCxnSpPr>
      <xdr:spPr>
        <a:xfrm>
          <a:off x="6315067" y="242649385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161917</xdr:colOff>
      <xdr:row>1675</xdr:row>
      <xdr:rowOff>12</xdr:rowOff>
    </xdr:from>
    <xdr:to>
      <xdr:col>39</xdr:col>
      <xdr:colOff>161917</xdr:colOff>
      <xdr:row>1676</xdr:row>
      <xdr:rowOff>66689</xdr:rowOff>
    </xdr:to>
    <xdr:cxnSp macro="">
      <xdr:nvCxnSpPr>
        <xdr:cNvPr id="2394" name="Straight Arrow Connector 2393">
          <a:extLst>
            <a:ext uri="{FF2B5EF4-FFF2-40B4-BE49-F238E27FC236}">
              <a16:creationId xmlns:a16="http://schemas.microsoft.com/office/drawing/2014/main" id="{74808E1E-B538-4589-B3CB-44E9F26ED22C}"/>
            </a:ext>
          </a:extLst>
        </xdr:cNvPr>
        <xdr:cNvCxnSpPr/>
      </xdr:nvCxnSpPr>
      <xdr:spPr>
        <a:xfrm>
          <a:off x="6476992" y="242649387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161918</xdr:colOff>
      <xdr:row>1675</xdr:row>
      <xdr:rowOff>11</xdr:rowOff>
    </xdr:from>
    <xdr:to>
      <xdr:col>40</xdr:col>
      <xdr:colOff>161918</xdr:colOff>
      <xdr:row>1676</xdr:row>
      <xdr:rowOff>66688</xdr:rowOff>
    </xdr:to>
    <xdr:cxnSp macro="">
      <xdr:nvCxnSpPr>
        <xdr:cNvPr id="2395" name="Straight Arrow Connector 2394">
          <a:extLst>
            <a:ext uri="{FF2B5EF4-FFF2-40B4-BE49-F238E27FC236}">
              <a16:creationId xmlns:a16="http://schemas.microsoft.com/office/drawing/2014/main" id="{266C0F1F-8772-4224-9CA2-037C57D076F3}"/>
            </a:ext>
          </a:extLst>
        </xdr:cNvPr>
        <xdr:cNvCxnSpPr/>
      </xdr:nvCxnSpPr>
      <xdr:spPr>
        <a:xfrm>
          <a:off x="6638918" y="242649386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161918</xdr:colOff>
      <xdr:row>1675</xdr:row>
      <xdr:rowOff>13</xdr:rowOff>
    </xdr:from>
    <xdr:to>
      <xdr:col>41</xdr:col>
      <xdr:colOff>161918</xdr:colOff>
      <xdr:row>1676</xdr:row>
      <xdr:rowOff>66690</xdr:rowOff>
    </xdr:to>
    <xdr:cxnSp macro="">
      <xdr:nvCxnSpPr>
        <xdr:cNvPr id="2396" name="Straight Arrow Connector 2395">
          <a:extLst>
            <a:ext uri="{FF2B5EF4-FFF2-40B4-BE49-F238E27FC236}">
              <a16:creationId xmlns:a16="http://schemas.microsoft.com/office/drawing/2014/main" id="{F5DB5112-6C4F-429F-A612-07F103AE6FAA}"/>
            </a:ext>
          </a:extLst>
        </xdr:cNvPr>
        <xdr:cNvCxnSpPr/>
      </xdr:nvCxnSpPr>
      <xdr:spPr>
        <a:xfrm>
          <a:off x="6800843" y="242649388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161916</xdr:colOff>
      <xdr:row>1675</xdr:row>
      <xdr:rowOff>10</xdr:rowOff>
    </xdr:from>
    <xdr:to>
      <xdr:col>42</xdr:col>
      <xdr:colOff>161916</xdr:colOff>
      <xdr:row>1676</xdr:row>
      <xdr:rowOff>66687</xdr:rowOff>
    </xdr:to>
    <xdr:cxnSp macro="">
      <xdr:nvCxnSpPr>
        <xdr:cNvPr id="2397" name="Straight Arrow Connector 2396">
          <a:extLst>
            <a:ext uri="{FF2B5EF4-FFF2-40B4-BE49-F238E27FC236}">
              <a16:creationId xmlns:a16="http://schemas.microsoft.com/office/drawing/2014/main" id="{DFA3AD76-3E70-4BC5-8D2C-C27E2E7D8CFF}"/>
            </a:ext>
          </a:extLst>
        </xdr:cNvPr>
        <xdr:cNvCxnSpPr/>
      </xdr:nvCxnSpPr>
      <xdr:spPr>
        <a:xfrm>
          <a:off x="6962766" y="242649385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161916</xdr:colOff>
      <xdr:row>1675</xdr:row>
      <xdr:rowOff>12</xdr:rowOff>
    </xdr:from>
    <xdr:to>
      <xdr:col>43</xdr:col>
      <xdr:colOff>161916</xdr:colOff>
      <xdr:row>1676</xdr:row>
      <xdr:rowOff>66689</xdr:rowOff>
    </xdr:to>
    <xdr:cxnSp macro="">
      <xdr:nvCxnSpPr>
        <xdr:cNvPr id="2398" name="Straight Arrow Connector 2397">
          <a:extLst>
            <a:ext uri="{FF2B5EF4-FFF2-40B4-BE49-F238E27FC236}">
              <a16:creationId xmlns:a16="http://schemas.microsoft.com/office/drawing/2014/main" id="{5AB81274-ECC1-4380-9CBA-4369CD2752BD}"/>
            </a:ext>
          </a:extLst>
        </xdr:cNvPr>
        <xdr:cNvCxnSpPr/>
      </xdr:nvCxnSpPr>
      <xdr:spPr>
        <a:xfrm>
          <a:off x="7124691" y="242649387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161917</xdr:colOff>
      <xdr:row>1675</xdr:row>
      <xdr:rowOff>11</xdr:rowOff>
    </xdr:from>
    <xdr:to>
      <xdr:col>44</xdr:col>
      <xdr:colOff>161917</xdr:colOff>
      <xdr:row>1676</xdr:row>
      <xdr:rowOff>66688</xdr:rowOff>
    </xdr:to>
    <xdr:cxnSp macro="">
      <xdr:nvCxnSpPr>
        <xdr:cNvPr id="2399" name="Straight Arrow Connector 2398">
          <a:extLst>
            <a:ext uri="{FF2B5EF4-FFF2-40B4-BE49-F238E27FC236}">
              <a16:creationId xmlns:a16="http://schemas.microsoft.com/office/drawing/2014/main" id="{0CE3ECB6-6762-4942-ABAD-EAEF5815B89C}"/>
            </a:ext>
          </a:extLst>
        </xdr:cNvPr>
        <xdr:cNvCxnSpPr/>
      </xdr:nvCxnSpPr>
      <xdr:spPr>
        <a:xfrm>
          <a:off x="7286617" y="242649386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161917</xdr:colOff>
      <xdr:row>1675</xdr:row>
      <xdr:rowOff>13</xdr:rowOff>
    </xdr:from>
    <xdr:to>
      <xdr:col>45</xdr:col>
      <xdr:colOff>161917</xdr:colOff>
      <xdr:row>1676</xdr:row>
      <xdr:rowOff>66690</xdr:rowOff>
    </xdr:to>
    <xdr:cxnSp macro="">
      <xdr:nvCxnSpPr>
        <xdr:cNvPr id="2400" name="Straight Arrow Connector 2399">
          <a:extLst>
            <a:ext uri="{FF2B5EF4-FFF2-40B4-BE49-F238E27FC236}">
              <a16:creationId xmlns:a16="http://schemas.microsoft.com/office/drawing/2014/main" id="{6A47CF71-359B-4A3D-B44F-BCD46AE56F7A}"/>
            </a:ext>
          </a:extLst>
        </xdr:cNvPr>
        <xdr:cNvCxnSpPr/>
      </xdr:nvCxnSpPr>
      <xdr:spPr>
        <a:xfrm>
          <a:off x="7448542" y="242649388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161916</xdr:colOff>
      <xdr:row>1675</xdr:row>
      <xdr:rowOff>4773</xdr:rowOff>
    </xdr:from>
    <xdr:to>
      <xdr:col>46</xdr:col>
      <xdr:colOff>161916</xdr:colOff>
      <xdr:row>1676</xdr:row>
      <xdr:rowOff>71450</xdr:rowOff>
    </xdr:to>
    <xdr:cxnSp macro="">
      <xdr:nvCxnSpPr>
        <xdr:cNvPr id="2402" name="Straight Arrow Connector 2401">
          <a:extLst>
            <a:ext uri="{FF2B5EF4-FFF2-40B4-BE49-F238E27FC236}">
              <a16:creationId xmlns:a16="http://schemas.microsoft.com/office/drawing/2014/main" id="{5CDDBD04-D930-4931-83E0-56B0780EB6AC}"/>
            </a:ext>
          </a:extLst>
        </xdr:cNvPr>
        <xdr:cNvCxnSpPr/>
      </xdr:nvCxnSpPr>
      <xdr:spPr>
        <a:xfrm>
          <a:off x="7610466" y="242654148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161916</xdr:colOff>
      <xdr:row>1675</xdr:row>
      <xdr:rowOff>4775</xdr:rowOff>
    </xdr:from>
    <xdr:to>
      <xdr:col>47</xdr:col>
      <xdr:colOff>161916</xdr:colOff>
      <xdr:row>1676</xdr:row>
      <xdr:rowOff>71452</xdr:rowOff>
    </xdr:to>
    <xdr:cxnSp macro="">
      <xdr:nvCxnSpPr>
        <xdr:cNvPr id="2403" name="Straight Arrow Connector 2402">
          <a:extLst>
            <a:ext uri="{FF2B5EF4-FFF2-40B4-BE49-F238E27FC236}">
              <a16:creationId xmlns:a16="http://schemas.microsoft.com/office/drawing/2014/main" id="{70CEF406-23CF-44D5-B479-5B2E7282F50C}"/>
            </a:ext>
          </a:extLst>
        </xdr:cNvPr>
        <xdr:cNvCxnSpPr/>
      </xdr:nvCxnSpPr>
      <xdr:spPr>
        <a:xfrm>
          <a:off x="7772391" y="242654150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161917</xdr:colOff>
      <xdr:row>1675</xdr:row>
      <xdr:rowOff>4774</xdr:rowOff>
    </xdr:from>
    <xdr:to>
      <xdr:col>48</xdr:col>
      <xdr:colOff>161917</xdr:colOff>
      <xdr:row>1676</xdr:row>
      <xdr:rowOff>71451</xdr:rowOff>
    </xdr:to>
    <xdr:cxnSp macro="">
      <xdr:nvCxnSpPr>
        <xdr:cNvPr id="2404" name="Straight Arrow Connector 2403">
          <a:extLst>
            <a:ext uri="{FF2B5EF4-FFF2-40B4-BE49-F238E27FC236}">
              <a16:creationId xmlns:a16="http://schemas.microsoft.com/office/drawing/2014/main" id="{7FAFBDE2-D0F2-422B-8747-08ECCBA24504}"/>
            </a:ext>
          </a:extLst>
        </xdr:cNvPr>
        <xdr:cNvCxnSpPr/>
      </xdr:nvCxnSpPr>
      <xdr:spPr>
        <a:xfrm>
          <a:off x="7934317" y="242654149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161915</xdr:colOff>
      <xdr:row>1675</xdr:row>
      <xdr:rowOff>4773</xdr:rowOff>
    </xdr:from>
    <xdr:to>
      <xdr:col>50</xdr:col>
      <xdr:colOff>161915</xdr:colOff>
      <xdr:row>1676</xdr:row>
      <xdr:rowOff>71450</xdr:rowOff>
    </xdr:to>
    <xdr:cxnSp macro="">
      <xdr:nvCxnSpPr>
        <xdr:cNvPr id="2406" name="Straight Arrow Connector 2405">
          <a:extLst>
            <a:ext uri="{FF2B5EF4-FFF2-40B4-BE49-F238E27FC236}">
              <a16:creationId xmlns:a16="http://schemas.microsoft.com/office/drawing/2014/main" id="{B4E40EEA-CA4D-4B04-8479-21A5FA54F9E4}"/>
            </a:ext>
          </a:extLst>
        </xdr:cNvPr>
        <xdr:cNvCxnSpPr/>
      </xdr:nvCxnSpPr>
      <xdr:spPr>
        <a:xfrm>
          <a:off x="8258165" y="242654148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161915</xdr:colOff>
      <xdr:row>1675</xdr:row>
      <xdr:rowOff>4775</xdr:rowOff>
    </xdr:from>
    <xdr:to>
      <xdr:col>51</xdr:col>
      <xdr:colOff>161915</xdr:colOff>
      <xdr:row>1676</xdr:row>
      <xdr:rowOff>71452</xdr:rowOff>
    </xdr:to>
    <xdr:cxnSp macro="">
      <xdr:nvCxnSpPr>
        <xdr:cNvPr id="2407" name="Straight Arrow Connector 2406">
          <a:extLst>
            <a:ext uri="{FF2B5EF4-FFF2-40B4-BE49-F238E27FC236}">
              <a16:creationId xmlns:a16="http://schemas.microsoft.com/office/drawing/2014/main" id="{739A937F-E0BC-4F62-AE58-F2F7887138F6}"/>
            </a:ext>
          </a:extLst>
        </xdr:cNvPr>
        <xdr:cNvCxnSpPr/>
      </xdr:nvCxnSpPr>
      <xdr:spPr>
        <a:xfrm>
          <a:off x="8420090" y="242654150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161916</xdr:colOff>
      <xdr:row>1675</xdr:row>
      <xdr:rowOff>4774</xdr:rowOff>
    </xdr:from>
    <xdr:to>
      <xdr:col>52</xdr:col>
      <xdr:colOff>161916</xdr:colOff>
      <xdr:row>1676</xdr:row>
      <xdr:rowOff>71451</xdr:rowOff>
    </xdr:to>
    <xdr:cxnSp macro="">
      <xdr:nvCxnSpPr>
        <xdr:cNvPr id="2408" name="Straight Arrow Connector 2407">
          <a:extLst>
            <a:ext uri="{FF2B5EF4-FFF2-40B4-BE49-F238E27FC236}">
              <a16:creationId xmlns:a16="http://schemas.microsoft.com/office/drawing/2014/main" id="{E49DC3B5-E3DB-4AA6-8645-339F42D5F670}"/>
            </a:ext>
          </a:extLst>
        </xdr:cNvPr>
        <xdr:cNvCxnSpPr/>
      </xdr:nvCxnSpPr>
      <xdr:spPr>
        <a:xfrm>
          <a:off x="8582016" y="242654149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161916</xdr:colOff>
      <xdr:row>1675</xdr:row>
      <xdr:rowOff>4776</xdr:rowOff>
    </xdr:from>
    <xdr:to>
      <xdr:col>53</xdr:col>
      <xdr:colOff>161916</xdr:colOff>
      <xdr:row>1676</xdr:row>
      <xdr:rowOff>71453</xdr:rowOff>
    </xdr:to>
    <xdr:cxnSp macro="">
      <xdr:nvCxnSpPr>
        <xdr:cNvPr id="2409" name="Straight Arrow Connector 2408">
          <a:extLst>
            <a:ext uri="{FF2B5EF4-FFF2-40B4-BE49-F238E27FC236}">
              <a16:creationId xmlns:a16="http://schemas.microsoft.com/office/drawing/2014/main" id="{B55F79DB-2804-4EC2-BB41-3A002F2028BE}"/>
            </a:ext>
          </a:extLst>
        </xdr:cNvPr>
        <xdr:cNvCxnSpPr/>
      </xdr:nvCxnSpPr>
      <xdr:spPr>
        <a:xfrm>
          <a:off x="8743941" y="242654151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161916</xdr:colOff>
      <xdr:row>1675</xdr:row>
      <xdr:rowOff>4774</xdr:rowOff>
    </xdr:from>
    <xdr:to>
      <xdr:col>54</xdr:col>
      <xdr:colOff>161916</xdr:colOff>
      <xdr:row>1676</xdr:row>
      <xdr:rowOff>71451</xdr:rowOff>
    </xdr:to>
    <xdr:cxnSp macro="">
      <xdr:nvCxnSpPr>
        <xdr:cNvPr id="2410" name="Straight Arrow Connector 2409">
          <a:extLst>
            <a:ext uri="{FF2B5EF4-FFF2-40B4-BE49-F238E27FC236}">
              <a16:creationId xmlns:a16="http://schemas.microsoft.com/office/drawing/2014/main" id="{228EB7A4-65BE-4682-A5FE-346332AB023D}"/>
            </a:ext>
          </a:extLst>
        </xdr:cNvPr>
        <xdr:cNvCxnSpPr/>
      </xdr:nvCxnSpPr>
      <xdr:spPr>
        <a:xfrm>
          <a:off x="8905866" y="242654149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161916</xdr:colOff>
      <xdr:row>1675</xdr:row>
      <xdr:rowOff>4776</xdr:rowOff>
    </xdr:from>
    <xdr:to>
      <xdr:col>55</xdr:col>
      <xdr:colOff>161916</xdr:colOff>
      <xdr:row>1676</xdr:row>
      <xdr:rowOff>71453</xdr:rowOff>
    </xdr:to>
    <xdr:cxnSp macro="">
      <xdr:nvCxnSpPr>
        <xdr:cNvPr id="2411" name="Straight Arrow Connector 2410">
          <a:extLst>
            <a:ext uri="{FF2B5EF4-FFF2-40B4-BE49-F238E27FC236}">
              <a16:creationId xmlns:a16="http://schemas.microsoft.com/office/drawing/2014/main" id="{0AC8D45E-94B8-4098-A74D-C0E3A4E4B576}"/>
            </a:ext>
          </a:extLst>
        </xdr:cNvPr>
        <xdr:cNvCxnSpPr/>
      </xdr:nvCxnSpPr>
      <xdr:spPr>
        <a:xfrm>
          <a:off x="9067791" y="242654151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161917</xdr:colOff>
      <xdr:row>1675</xdr:row>
      <xdr:rowOff>4775</xdr:rowOff>
    </xdr:from>
    <xdr:to>
      <xdr:col>56</xdr:col>
      <xdr:colOff>161917</xdr:colOff>
      <xdr:row>1676</xdr:row>
      <xdr:rowOff>71452</xdr:rowOff>
    </xdr:to>
    <xdr:cxnSp macro="">
      <xdr:nvCxnSpPr>
        <xdr:cNvPr id="2412" name="Straight Arrow Connector 2411">
          <a:extLst>
            <a:ext uri="{FF2B5EF4-FFF2-40B4-BE49-F238E27FC236}">
              <a16:creationId xmlns:a16="http://schemas.microsoft.com/office/drawing/2014/main" id="{61A96669-7B02-4325-BD6A-1AF6B07680CB}"/>
            </a:ext>
          </a:extLst>
        </xdr:cNvPr>
        <xdr:cNvCxnSpPr/>
      </xdr:nvCxnSpPr>
      <xdr:spPr>
        <a:xfrm>
          <a:off x="9229717" y="242654150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161917</xdr:colOff>
      <xdr:row>1675</xdr:row>
      <xdr:rowOff>4777</xdr:rowOff>
    </xdr:from>
    <xdr:to>
      <xdr:col>57</xdr:col>
      <xdr:colOff>161917</xdr:colOff>
      <xdr:row>1676</xdr:row>
      <xdr:rowOff>71454</xdr:rowOff>
    </xdr:to>
    <xdr:cxnSp macro="">
      <xdr:nvCxnSpPr>
        <xdr:cNvPr id="2413" name="Straight Arrow Connector 2412">
          <a:extLst>
            <a:ext uri="{FF2B5EF4-FFF2-40B4-BE49-F238E27FC236}">
              <a16:creationId xmlns:a16="http://schemas.microsoft.com/office/drawing/2014/main" id="{F5C7E698-4294-4D6F-B4E6-CEBC0A5B14BD}"/>
            </a:ext>
          </a:extLst>
        </xdr:cNvPr>
        <xdr:cNvCxnSpPr/>
      </xdr:nvCxnSpPr>
      <xdr:spPr>
        <a:xfrm>
          <a:off x="9391642" y="242654152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161915</xdr:colOff>
      <xdr:row>1675</xdr:row>
      <xdr:rowOff>4774</xdr:rowOff>
    </xdr:from>
    <xdr:to>
      <xdr:col>58</xdr:col>
      <xdr:colOff>161915</xdr:colOff>
      <xdr:row>1676</xdr:row>
      <xdr:rowOff>71451</xdr:rowOff>
    </xdr:to>
    <xdr:cxnSp macro="">
      <xdr:nvCxnSpPr>
        <xdr:cNvPr id="2414" name="Straight Arrow Connector 2413">
          <a:extLst>
            <a:ext uri="{FF2B5EF4-FFF2-40B4-BE49-F238E27FC236}">
              <a16:creationId xmlns:a16="http://schemas.microsoft.com/office/drawing/2014/main" id="{F1F13BC4-236B-4EC7-B1B1-F03BF93F0C1F}"/>
            </a:ext>
          </a:extLst>
        </xdr:cNvPr>
        <xdr:cNvCxnSpPr/>
      </xdr:nvCxnSpPr>
      <xdr:spPr>
        <a:xfrm>
          <a:off x="9553565" y="242654149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161915</xdr:colOff>
      <xdr:row>1675</xdr:row>
      <xdr:rowOff>4776</xdr:rowOff>
    </xdr:from>
    <xdr:to>
      <xdr:col>59</xdr:col>
      <xdr:colOff>161915</xdr:colOff>
      <xdr:row>1676</xdr:row>
      <xdr:rowOff>71453</xdr:rowOff>
    </xdr:to>
    <xdr:cxnSp macro="">
      <xdr:nvCxnSpPr>
        <xdr:cNvPr id="2415" name="Straight Arrow Connector 2414">
          <a:extLst>
            <a:ext uri="{FF2B5EF4-FFF2-40B4-BE49-F238E27FC236}">
              <a16:creationId xmlns:a16="http://schemas.microsoft.com/office/drawing/2014/main" id="{2F8D0342-DB24-463C-8F4C-2C28ED8FC459}"/>
            </a:ext>
          </a:extLst>
        </xdr:cNvPr>
        <xdr:cNvCxnSpPr/>
      </xdr:nvCxnSpPr>
      <xdr:spPr>
        <a:xfrm>
          <a:off x="9715490" y="242654151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161916</xdr:colOff>
      <xdr:row>1675</xdr:row>
      <xdr:rowOff>4775</xdr:rowOff>
    </xdr:from>
    <xdr:to>
      <xdr:col>60</xdr:col>
      <xdr:colOff>161916</xdr:colOff>
      <xdr:row>1676</xdr:row>
      <xdr:rowOff>71452</xdr:rowOff>
    </xdr:to>
    <xdr:cxnSp macro="">
      <xdr:nvCxnSpPr>
        <xdr:cNvPr id="2416" name="Straight Arrow Connector 2415">
          <a:extLst>
            <a:ext uri="{FF2B5EF4-FFF2-40B4-BE49-F238E27FC236}">
              <a16:creationId xmlns:a16="http://schemas.microsoft.com/office/drawing/2014/main" id="{1BFC00D5-FB6B-418E-838D-570CF63C11AE}"/>
            </a:ext>
          </a:extLst>
        </xdr:cNvPr>
        <xdr:cNvCxnSpPr/>
      </xdr:nvCxnSpPr>
      <xdr:spPr>
        <a:xfrm>
          <a:off x="9877416" y="242654150"/>
          <a:ext cx="0" cy="209552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1676</xdr:row>
      <xdr:rowOff>71437</xdr:rowOff>
    </xdr:from>
    <xdr:to>
      <xdr:col>60</xdr:col>
      <xdr:colOff>157163</xdr:colOff>
      <xdr:row>1676</xdr:row>
      <xdr:rowOff>71437</xdr:rowOff>
    </xdr:to>
    <xdr:cxnSp macro="">
      <xdr:nvCxnSpPr>
        <xdr:cNvPr id="2419" name="Straight Connector 2418">
          <a:extLst>
            <a:ext uri="{FF2B5EF4-FFF2-40B4-BE49-F238E27FC236}">
              <a16:creationId xmlns:a16="http://schemas.microsoft.com/office/drawing/2014/main" id="{DC87E078-956E-ACA4-FBF1-63BD53449B1C}"/>
            </a:ext>
          </a:extLst>
        </xdr:cNvPr>
        <xdr:cNvCxnSpPr/>
      </xdr:nvCxnSpPr>
      <xdr:spPr>
        <a:xfrm>
          <a:off x="6315075" y="242863687"/>
          <a:ext cx="3557588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161924</xdr:colOff>
      <xdr:row>1675</xdr:row>
      <xdr:rowOff>0</xdr:rowOff>
    </xdr:from>
    <xdr:to>
      <xdr:col>60</xdr:col>
      <xdr:colOff>157162</xdr:colOff>
      <xdr:row>1675</xdr:row>
      <xdr:rowOff>0</xdr:rowOff>
    </xdr:to>
    <xdr:cxnSp macro="">
      <xdr:nvCxnSpPr>
        <xdr:cNvPr id="2421" name="Straight Connector 2420">
          <a:extLst>
            <a:ext uri="{FF2B5EF4-FFF2-40B4-BE49-F238E27FC236}">
              <a16:creationId xmlns:a16="http://schemas.microsoft.com/office/drawing/2014/main" id="{B302B340-4BB7-486C-BD8C-D5DEF63A5BA7}"/>
            </a:ext>
          </a:extLst>
        </xdr:cNvPr>
        <xdr:cNvCxnSpPr/>
      </xdr:nvCxnSpPr>
      <xdr:spPr>
        <a:xfrm>
          <a:off x="6315074" y="242649375"/>
          <a:ext cx="3557588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33338</xdr:colOff>
      <xdr:row>1673</xdr:row>
      <xdr:rowOff>133350</xdr:rowOff>
    </xdr:from>
    <xdr:to>
      <xdr:col>45</xdr:col>
      <xdr:colOff>1</xdr:colOff>
      <xdr:row>1675</xdr:row>
      <xdr:rowOff>66673</xdr:rowOff>
    </xdr:to>
    <xdr:cxnSp macro="">
      <xdr:nvCxnSpPr>
        <xdr:cNvPr id="2424" name="Straight Connector 2423">
          <a:extLst>
            <a:ext uri="{FF2B5EF4-FFF2-40B4-BE49-F238E27FC236}">
              <a16:creationId xmlns:a16="http://schemas.microsoft.com/office/drawing/2014/main" id="{2681E303-41BC-435F-9A76-330D5F309D34}"/>
            </a:ext>
          </a:extLst>
        </xdr:cNvPr>
        <xdr:cNvCxnSpPr/>
      </xdr:nvCxnSpPr>
      <xdr:spPr>
        <a:xfrm flipH="1" flipV="1">
          <a:off x="7158038" y="242496975"/>
          <a:ext cx="128588" cy="219073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95250</xdr:colOff>
      <xdr:row>1689</xdr:row>
      <xdr:rowOff>85725</xdr:rowOff>
    </xdr:from>
    <xdr:to>
      <xdr:col>75</xdr:col>
      <xdr:colOff>61913</xdr:colOff>
      <xdr:row>1695</xdr:row>
      <xdr:rowOff>71434</xdr:rowOff>
    </xdr:to>
    <xdr:grpSp>
      <xdr:nvGrpSpPr>
        <xdr:cNvPr id="2430" name="Group 2429">
          <a:extLst>
            <a:ext uri="{FF2B5EF4-FFF2-40B4-BE49-F238E27FC236}">
              <a16:creationId xmlns:a16="http://schemas.microsoft.com/office/drawing/2014/main" id="{97FC728E-EA51-4FC4-B62D-2E6017EBD88D}"/>
            </a:ext>
          </a:extLst>
        </xdr:cNvPr>
        <xdr:cNvGrpSpPr/>
      </xdr:nvGrpSpPr>
      <xdr:grpSpPr>
        <a:xfrm>
          <a:off x="10782300" y="254508000"/>
          <a:ext cx="1423988" cy="842959"/>
          <a:chOff x="9648825" y="243020850"/>
          <a:chExt cx="1423988" cy="842959"/>
        </a:xfrm>
      </xdr:grpSpPr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5339266F-720F-1B32-30A5-F4C91124FA4E}"/>
              </a:ext>
            </a:extLst>
          </xdr:cNvPr>
          <xdr:cNvSpPr/>
        </xdr:nvSpPr>
        <xdr:spPr>
          <a:xfrm>
            <a:off x="9715500" y="243082763"/>
            <a:ext cx="971550" cy="42386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432" name="Straight Connector 2431">
            <a:extLst>
              <a:ext uri="{FF2B5EF4-FFF2-40B4-BE49-F238E27FC236}">
                <a16:creationId xmlns:a16="http://schemas.microsoft.com/office/drawing/2014/main" id="{0E6BD5CC-BF75-B64E-5F80-9B27009DC569}"/>
              </a:ext>
            </a:extLst>
          </xdr:cNvPr>
          <xdr:cNvCxnSpPr/>
        </xdr:nvCxnSpPr>
        <xdr:spPr>
          <a:xfrm>
            <a:off x="9715500" y="243578059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3" name="Straight Connector 2432">
            <a:extLst>
              <a:ext uri="{FF2B5EF4-FFF2-40B4-BE49-F238E27FC236}">
                <a16:creationId xmlns:a16="http://schemas.microsoft.com/office/drawing/2014/main" id="{6251CF34-4582-C8A8-7126-175B94F76C01}"/>
              </a:ext>
            </a:extLst>
          </xdr:cNvPr>
          <xdr:cNvCxnSpPr/>
        </xdr:nvCxnSpPr>
        <xdr:spPr>
          <a:xfrm>
            <a:off x="9648825" y="243792371"/>
            <a:ext cx="1095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4" name="Straight Connector 2433">
            <a:extLst>
              <a:ext uri="{FF2B5EF4-FFF2-40B4-BE49-F238E27FC236}">
                <a16:creationId xmlns:a16="http://schemas.microsoft.com/office/drawing/2014/main" id="{74BD981B-198A-92FA-C927-72423B859520}"/>
              </a:ext>
            </a:extLst>
          </xdr:cNvPr>
          <xdr:cNvCxnSpPr/>
        </xdr:nvCxnSpPr>
        <xdr:spPr>
          <a:xfrm flipH="1">
            <a:off x="10653724" y="2437590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5" name="Straight Connector 2434">
            <a:extLst>
              <a:ext uri="{FF2B5EF4-FFF2-40B4-BE49-F238E27FC236}">
                <a16:creationId xmlns:a16="http://schemas.microsoft.com/office/drawing/2014/main" id="{D4399ACC-6C16-72BB-9AB8-97F751971D39}"/>
              </a:ext>
            </a:extLst>
          </xdr:cNvPr>
          <xdr:cNvCxnSpPr/>
        </xdr:nvCxnSpPr>
        <xdr:spPr>
          <a:xfrm>
            <a:off x="10687061" y="243578059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6" name="Straight Connector 2435">
            <a:extLst>
              <a:ext uri="{FF2B5EF4-FFF2-40B4-BE49-F238E27FC236}">
                <a16:creationId xmlns:a16="http://schemas.microsoft.com/office/drawing/2014/main" id="{CE6C7791-3538-4F84-CFA1-EF6230C2540C}"/>
              </a:ext>
            </a:extLst>
          </xdr:cNvPr>
          <xdr:cNvCxnSpPr/>
        </xdr:nvCxnSpPr>
        <xdr:spPr>
          <a:xfrm flipH="1">
            <a:off x="9682162" y="2437590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7" name="Straight Connector 2436">
            <a:extLst>
              <a:ext uri="{FF2B5EF4-FFF2-40B4-BE49-F238E27FC236}">
                <a16:creationId xmlns:a16="http://schemas.microsoft.com/office/drawing/2014/main" id="{EEA39BA2-D001-D099-D339-BAFCD67CD0D9}"/>
              </a:ext>
            </a:extLst>
          </xdr:cNvPr>
          <xdr:cNvCxnSpPr/>
        </xdr:nvCxnSpPr>
        <xdr:spPr>
          <a:xfrm>
            <a:off x="10744197" y="243078001"/>
            <a:ext cx="3286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8" name="Straight Connector 2437">
            <a:extLst>
              <a:ext uri="{FF2B5EF4-FFF2-40B4-BE49-F238E27FC236}">
                <a16:creationId xmlns:a16="http://schemas.microsoft.com/office/drawing/2014/main" id="{41444BFB-DCAB-1750-91AC-FA3334E969B6}"/>
              </a:ext>
            </a:extLst>
          </xdr:cNvPr>
          <xdr:cNvCxnSpPr/>
        </xdr:nvCxnSpPr>
        <xdr:spPr>
          <a:xfrm>
            <a:off x="10739439" y="243506635"/>
            <a:ext cx="328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9" name="Straight Connector 2438">
            <a:extLst>
              <a:ext uri="{FF2B5EF4-FFF2-40B4-BE49-F238E27FC236}">
                <a16:creationId xmlns:a16="http://schemas.microsoft.com/office/drawing/2014/main" id="{6F093FB2-3B88-D840-1308-0D6E6D765F5E}"/>
              </a:ext>
            </a:extLst>
          </xdr:cNvPr>
          <xdr:cNvCxnSpPr/>
        </xdr:nvCxnSpPr>
        <xdr:spPr>
          <a:xfrm>
            <a:off x="11010901" y="243020850"/>
            <a:ext cx="0" cy="552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0" name="Straight Connector 2439">
            <a:extLst>
              <a:ext uri="{FF2B5EF4-FFF2-40B4-BE49-F238E27FC236}">
                <a16:creationId xmlns:a16="http://schemas.microsoft.com/office/drawing/2014/main" id="{10B3319A-75F9-C644-26CD-D4A36AEA361A}"/>
              </a:ext>
            </a:extLst>
          </xdr:cNvPr>
          <xdr:cNvCxnSpPr/>
        </xdr:nvCxnSpPr>
        <xdr:spPr>
          <a:xfrm flipH="1">
            <a:off x="10977558" y="24304466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1" name="Straight Connector 2440">
            <a:extLst>
              <a:ext uri="{FF2B5EF4-FFF2-40B4-BE49-F238E27FC236}">
                <a16:creationId xmlns:a16="http://schemas.microsoft.com/office/drawing/2014/main" id="{6649C132-6892-0913-5C9C-D41FCAD3AEFA}"/>
              </a:ext>
            </a:extLst>
          </xdr:cNvPr>
          <xdr:cNvCxnSpPr/>
        </xdr:nvCxnSpPr>
        <xdr:spPr>
          <a:xfrm flipH="1">
            <a:off x="10977554" y="24347330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66675</xdr:colOff>
      <xdr:row>1689</xdr:row>
      <xdr:rowOff>66675</xdr:rowOff>
    </xdr:from>
    <xdr:to>
      <xdr:col>7</xdr:col>
      <xdr:colOff>119062</xdr:colOff>
      <xdr:row>1689</xdr:row>
      <xdr:rowOff>66675</xdr:rowOff>
    </xdr:to>
    <xdr:cxnSp macro="">
      <xdr:nvCxnSpPr>
        <xdr:cNvPr id="2266" name="Straight Arrow Connector 2265">
          <a:extLst>
            <a:ext uri="{FF2B5EF4-FFF2-40B4-BE49-F238E27FC236}">
              <a16:creationId xmlns:a16="http://schemas.microsoft.com/office/drawing/2014/main" id="{62166726-F477-402F-93BE-16DD4FD2271C}"/>
            </a:ext>
          </a:extLst>
        </xdr:cNvPr>
        <xdr:cNvCxnSpPr/>
      </xdr:nvCxnSpPr>
      <xdr:spPr>
        <a:xfrm>
          <a:off x="1200150" y="2382297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1688</xdr:row>
      <xdr:rowOff>66675</xdr:rowOff>
    </xdr:from>
    <xdr:to>
      <xdr:col>7</xdr:col>
      <xdr:colOff>109537</xdr:colOff>
      <xdr:row>1688</xdr:row>
      <xdr:rowOff>66675</xdr:rowOff>
    </xdr:to>
    <xdr:cxnSp macro="">
      <xdr:nvCxnSpPr>
        <xdr:cNvPr id="2268" name="Straight Arrow Connector 2267">
          <a:extLst>
            <a:ext uri="{FF2B5EF4-FFF2-40B4-BE49-F238E27FC236}">
              <a16:creationId xmlns:a16="http://schemas.microsoft.com/office/drawing/2014/main" id="{04BF4204-CC73-47E8-897F-571F48B786B7}"/>
            </a:ext>
          </a:extLst>
        </xdr:cNvPr>
        <xdr:cNvCxnSpPr/>
      </xdr:nvCxnSpPr>
      <xdr:spPr>
        <a:xfrm>
          <a:off x="1028700" y="2383726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66675</xdr:colOff>
      <xdr:row>1689</xdr:row>
      <xdr:rowOff>66675</xdr:rowOff>
    </xdr:from>
    <xdr:to>
      <xdr:col>26</xdr:col>
      <xdr:colOff>119062</xdr:colOff>
      <xdr:row>1689</xdr:row>
      <xdr:rowOff>66675</xdr:rowOff>
    </xdr:to>
    <xdr:cxnSp macro="">
      <xdr:nvCxnSpPr>
        <xdr:cNvPr id="2275" name="Straight Arrow Connector 2274">
          <a:extLst>
            <a:ext uri="{FF2B5EF4-FFF2-40B4-BE49-F238E27FC236}">
              <a16:creationId xmlns:a16="http://schemas.microsoft.com/office/drawing/2014/main" id="{CC32DBC4-C5CD-4C37-8F6C-C73DE638E259}"/>
            </a:ext>
          </a:extLst>
        </xdr:cNvPr>
        <xdr:cNvCxnSpPr/>
      </xdr:nvCxnSpPr>
      <xdr:spPr>
        <a:xfrm>
          <a:off x="1038225" y="2822733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95250</xdr:colOff>
      <xdr:row>1636</xdr:row>
      <xdr:rowOff>76200</xdr:rowOff>
    </xdr:from>
    <xdr:to>
      <xdr:col>68</xdr:col>
      <xdr:colOff>52386</xdr:colOff>
      <xdr:row>1641</xdr:row>
      <xdr:rowOff>61913</xdr:rowOff>
    </xdr:to>
    <xdr:grpSp>
      <xdr:nvGrpSpPr>
        <xdr:cNvPr id="2599" name="Group 2598">
          <a:extLst>
            <a:ext uri="{FF2B5EF4-FFF2-40B4-BE49-F238E27FC236}">
              <a16:creationId xmlns:a16="http://schemas.microsoft.com/office/drawing/2014/main" id="{2AF313BB-A1F4-03B1-762C-E1AED1ED42B9}"/>
            </a:ext>
          </a:extLst>
        </xdr:cNvPr>
        <xdr:cNvGrpSpPr/>
      </xdr:nvGrpSpPr>
      <xdr:grpSpPr>
        <a:xfrm>
          <a:off x="10134600" y="246440325"/>
          <a:ext cx="928686" cy="700088"/>
          <a:chOff x="10134600" y="237096300"/>
          <a:chExt cx="928686" cy="700088"/>
        </a:xfrm>
      </xdr:grpSpPr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ABFD28EF-5E97-1108-C4B5-B746B03F62B6}"/>
              </a:ext>
            </a:extLst>
          </xdr:cNvPr>
          <xdr:cNvSpPr/>
        </xdr:nvSpPr>
        <xdr:spPr>
          <a:xfrm>
            <a:off x="10520364" y="237162976"/>
            <a:ext cx="490536" cy="285750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567" name="Straight Connector 2566">
            <a:extLst>
              <a:ext uri="{FF2B5EF4-FFF2-40B4-BE49-F238E27FC236}">
                <a16:creationId xmlns:a16="http://schemas.microsoft.com/office/drawing/2014/main" id="{1238452A-9354-1C20-26C2-498CB298D1E6}"/>
              </a:ext>
            </a:extLst>
          </xdr:cNvPr>
          <xdr:cNvCxnSpPr/>
        </xdr:nvCxnSpPr>
        <xdr:spPr>
          <a:xfrm>
            <a:off x="10525125" y="237515400"/>
            <a:ext cx="0" cy="280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1" name="Straight Connector 2570">
            <a:extLst>
              <a:ext uri="{FF2B5EF4-FFF2-40B4-BE49-F238E27FC236}">
                <a16:creationId xmlns:a16="http://schemas.microsoft.com/office/drawing/2014/main" id="{7EE9AC0D-1D63-9652-9B0D-0AA13319B9CF}"/>
              </a:ext>
            </a:extLst>
          </xdr:cNvPr>
          <xdr:cNvCxnSpPr/>
        </xdr:nvCxnSpPr>
        <xdr:spPr>
          <a:xfrm>
            <a:off x="10453686" y="237734475"/>
            <a:ext cx="609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3" name="Straight Connector 2572">
            <a:extLst>
              <a:ext uri="{FF2B5EF4-FFF2-40B4-BE49-F238E27FC236}">
                <a16:creationId xmlns:a16="http://schemas.microsoft.com/office/drawing/2014/main" id="{70EDC05E-30DD-590E-EBF2-14C641994FFC}"/>
              </a:ext>
            </a:extLst>
          </xdr:cNvPr>
          <xdr:cNvCxnSpPr/>
        </xdr:nvCxnSpPr>
        <xdr:spPr>
          <a:xfrm flipH="1">
            <a:off x="10482263" y="237701137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4" name="Straight Connector 2573">
            <a:extLst>
              <a:ext uri="{FF2B5EF4-FFF2-40B4-BE49-F238E27FC236}">
                <a16:creationId xmlns:a16="http://schemas.microsoft.com/office/drawing/2014/main" id="{41CF033B-36AC-4F7D-A381-D1AB14E9994F}"/>
              </a:ext>
            </a:extLst>
          </xdr:cNvPr>
          <xdr:cNvCxnSpPr/>
        </xdr:nvCxnSpPr>
        <xdr:spPr>
          <a:xfrm>
            <a:off x="11010900" y="237515400"/>
            <a:ext cx="0" cy="280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5" name="Straight Connector 2574">
            <a:extLst>
              <a:ext uri="{FF2B5EF4-FFF2-40B4-BE49-F238E27FC236}">
                <a16:creationId xmlns:a16="http://schemas.microsoft.com/office/drawing/2014/main" id="{AEC89494-A56C-4849-B24A-F265D668219B}"/>
              </a:ext>
            </a:extLst>
          </xdr:cNvPr>
          <xdr:cNvCxnSpPr/>
        </xdr:nvCxnSpPr>
        <xdr:spPr>
          <a:xfrm flipH="1">
            <a:off x="10968038" y="237701137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7" name="Straight Connector 2576">
            <a:extLst>
              <a:ext uri="{FF2B5EF4-FFF2-40B4-BE49-F238E27FC236}">
                <a16:creationId xmlns:a16="http://schemas.microsoft.com/office/drawing/2014/main" id="{3ACCD110-BA92-9457-6F7C-6A6295FDB448}"/>
              </a:ext>
            </a:extLst>
          </xdr:cNvPr>
          <xdr:cNvCxnSpPr/>
        </xdr:nvCxnSpPr>
        <xdr:spPr>
          <a:xfrm flipH="1">
            <a:off x="10134600" y="237162976"/>
            <a:ext cx="3381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0" name="Straight Connector 2579">
            <a:extLst>
              <a:ext uri="{FF2B5EF4-FFF2-40B4-BE49-F238E27FC236}">
                <a16:creationId xmlns:a16="http://schemas.microsoft.com/office/drawing/2014/main" id="{A6F9FC82-9C95-D2EC-BA70-50DF547E2645}"/>
              </a:ext>
            </a:extLst>
          </xdr:cNvPr>
          <xdr:cNvCxnSpPr/>
        </xdr:nvCxnSpPr>
        <xdr:spPr>
          <a:xfrm>
            <a:off x="10201274" y="237096300"/>
            <a:ext cx="0" cy="419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2" name="Straight Connector 2581">
            <a:extLst>
              <a:ext uri="{FF2B5EF4-FFF2-40B4-BE49-F238E27FC236}">
                <a16:creationId xmlns:a16="http://schemas.microsoft.com/office/drawing/2014/main" id="{EEAABCEA-5B66-6A64-12D1-4EDAF8E903B2}"/>
              </a:ext>
            </a:extLst>
          </xdr:cNvPr>
          <xdr:cNvCxnSpPr/>
        </xdr:nvCxnSpPr>
        <xdr:spPr>
          <a:xfrm flipH="1">
            <a:off x="10158412" y="237129639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4" name="Straight Connector 2583">
            <a:extLst>
              <a:ext uri="{FF2B5EF4-FFF2-40B4-BE49-F238E27FC236}">
                <a16:creationId xmlns:a16="http://schemas.microsoft.com/office/drawing/2014/main" id="{CD9875B0-AEDD-4BC0-B2AE-EC1A27DE3653}"/>
              </a:ext>
            </a:extLst>
          </xdr:cNvPr>
          <xdr:cNvCxnSpPr/>
        </xdr:nvCxnSpPr>
        <xdr:spPr>
          <a:xfrm flipH="1">
            <a:off x="10134600" y="237448726"/>
            <a:ext cx="3381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5" name="Straight Connector 2584">
            <a:extLst>
              <a:ext uri="{FF2B5EF4-FFF2-40B4-BE49-F238E27FC236}">
                <a16:creationId xmlns:a16="http://schemas.microsoft.com/office/drawing/2014/main" id="{5B0B1414-2DC5-493C-B784-C4F0E4602E55}"/>
              </a:ext>
            </a:extLst>
          </xdr:cNvPr>
          <xdr:cNvCxnSpPr/>
        </xdr:nvCxnSpPr>
        <xdr:spPr>
          <a:xfrm flipH="1">
            <a:off x="10158412" y="237415389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71</xdr:col>
      <xdr:colOff>95250</xdr:colOff>
      <xdr:row>1636</xdr:row>
      <xdr:rowOff>76200</xdr:rowOff>
    </xdr:from>
    <xdr:to>
      <xdr:col>78</xdr:col>
      <xdr:colOff>61913</xdr:colOff>
      <xdr:row>1641</xdr:row>
      <xdr:rowOff>61913</xdr:rowOff>
    </xdr:to>
    <xdr:grpSp>
      <xdr:nvGrpSpPr>
        <xdr:cNvPr id="2600" name="Group 2599">
          <a:extLst>
            <a:ext uri="{FF2B5EF4-FFF2-40B4-BE49-F238E27FC236}">
              <a16:creationId xmlns:a16="http://schemas.microsoft.com/office/drawing/2014/main" id="{27DD3DDB-C0F9-A846-00B4-D2E4E5B14D5E}"/>
            </a:ext>
          </a:extLst>
        </xdr:cNvPr>
        <xdr:cNvGrpSpPr/>
      </xdr:nvGrpSpPr>
      <xdr:grpSpPr>
        <a:xfrm>
          <a:off x="11591925" y="246440325"/>
          <a:ext cx="1100138" cy="700088"/>
          <a:chOff x="11591925" y="237096300"/>
          <a:chExt cx="1100138" cy="700088"/>
        </a:xfrm>
      </xdr:grpSpPr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F13E55B4-BE8C-43E9-BF82-8C52C1BEE352}"/>
              </a:ext>
            </a:extLst>
          </xdr:cNvPr>
          <xdr:cNvSpPr/>
        </xdr:nvSpPr>
        <xdr:spPr>
          <a:xfrm>
            <a:off x="11977688" y="237162976"/>
            <a:ext cx="652461" cy="285750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588" name="Straight Connector 2587">
            <a:extLst>
              <a:ext uri="{FF2B5EF4-FFF2-40B4-BE49-F238E27FC236}">
                <a16:creationId xmlns:a16="http://schemas.microsoft.com/office/drawing/2014/main" id="{17C4B3AF-9A77-4FB1-9C7D-9F5FFBC68F37}"/>
              </a:ext>
            </a:extLst>
          </xdr:cNvPr>
          <xdr:cNvCxnSpPr/>
        </xdr:nvCxnSpPr>
        <xdr:spPr>
          <a:xfrm>
            <a:off x="11982450" y="237515400"/>
            <a:ext cx="0" cy="280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9" name="Straight Connector 2588">
            <a:extLst>
              <a:ext uri="{FF2B5EF4-FFF2-40B4-BE49-F238E27FC236}">
                <a16:creationId xmlns:a16="http://schemas.microsoft.com/office/drawing/2014/main" id="{D471E6C4-2FC1-412A-A996-25738F4133EC}"/>
              </a:ext>
            </a:extLst>
          </xdr:cNvPr>
          <xdr:cNvCxnSpPr/>
        </xdr:nvCxnSpPr>
        <xdr:spPr>
          <a:xfrm>
            <a:off x="11911011" y="237734475"/>
            <a:ext cx="781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0" name="Straight Connector 2589">
            <a:extLst>
              <a:ext uri="{FF2B5EF4-FFF2-40B4-BE49-F238E27FC236}">
                <a16:creationId xmlns:a16="http://schemas.microsoft.com/office/drawing/2014/main" id="{AFC1649C-ECFA-44BB-8985-0B3AD7F2908A}"/>
              </a:ext>
            </a:extLst>
          </xdr:cNvPr>
          <xdr:cNvCxnSpPr/>
        </xdr:nvCxnSpPr>
        <xdr:spPr>
          <a:xfrm flipH="1">
            <a:off x="11939588" y="237701137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1" name="Straight Connector 2590">
            <a:extLst>
              <a:ext uri="{FF2B5EF4-FFF2-40B4-BE49-F238E27FC236}">
                <a16:creationId xmlns:a16="http://schemas.microsoft.com/office/drawing/2014/main" id="{75045968-5CDE-4647-8300-F4892F832072}"/>
              </a:ext>
            </a:extLst>
          </xdr:cNvPr>
          <xdr:cNvCxnSpPr/>
        </xdr:nvCxnSpPr>
        <xdr:spPr>
          <a:xfrm>
            <a:off x="12630150" y="237515400"/>
            <a:ext cx="0" cy="280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2" name="Straight Connector 2591">
            <a:extLst>
              <a:ext uri="{FF2B5EF4-FFF2-40B4-BE49-F238E27FC236}">
                <a16:creationId xmlns:a16="http://schemas.microsoft.com/office/drawing/2014/main" id="{3F2D732A-0193-4904-A923-AB66D77FA27E}"/>
              </a:ext>
            </a:extLst>
          </xdr:cNvPr>
          <xdr:cNvCxnSpPr/>
        </xdr:nvCxnSpPr>
        <xdr:spPr>
          <a:xfrm flipH="1">
            <a:off x="12587288" y="237701137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3" name="Straight Connector 2592">
            <a:extLst>
              <a:ext uri="{FF2B5EF4-FFF2-40B4-BE49-F238E27FC236}">
                <a16:creationId xmlns:a16="http://schemas.microsoft.com/office/drawing/2014/main" id="{379D5800-CA9E-47C4-9A42-309627589A1C}"/>
              </a:ext>
            </a:extLst>
          </xdr:cNvPr>
          <xdr:cNvCxnSpPr/>
        </xdr:nvCxnSpPr>
        <xdr:spPr>
          <a:xfrm flipH="1">
            <a:off x="11591925" y="237162976"/>
            <a:ext cx="3381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4" name="Straight Connector 2593">
            <a:extLst>
              <a:ext uri="{FF2B5EF4-FFF2-40B4-BE49-F238E27FC236}">
                <a16:creationId xmlns:a16="http://schemas.microsoft.com/office/drawing/2014/main" id="{1DC60EA7-B22B-4C1D-AD37-316710C392C4}"/>
              </a:ext>
            </a:extLst>
          </xdr:cNvPr>
          <xdr:cNvCxnSpPr/>
        </xdr:nvCxnSpPr>
        <xdr:spPr>
          <a:xfrm>
            <a:off x="11658599" y="237096300"/>
            <a:ext cx="0" cy="419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5" name="Straight Connector 2594">
            <a:extLst>
              <a:ext uri="{FF2B5EF4-FFF2-40B4-BE49-F238E27FC236}">
                <a16:creationId xmlns:a16="http://schemas.microsoft.com/office/drawing/2014/main" id="{3E223FA9-2450-4974-BB14-C5436BCEB6AC}"/>
              </a:ext>
            </a:extLst>
          </xdr:cNvPr>
          <xdr:cNvCxnSpPr/>
        </xdr:nvCxnSpPr>
        <xdr:spPr>
          <a:xfrm flipH="1">
            <a:off x="11615737" y="237129639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6" name="Straight Connector 2595">
            <a:extLst>
              <a:ext uri="{FF2B5EF4-FFF2-40B4-BE49-F238E27FC236}">
                <a16:creationId xmlns:a16="http://schemas.microsoft.com/office/drawing/2014/main" id="{A93C4F38-478C-4EC4-A6D1-329A966BE065}"/>
              </a:ext>
            </a:extLst>
          </xdr:cNvPr>
          <xdr:cNvCxnSpPr/>
        </xdr:nvCxnSpPr>
        <xdr:spPr>
          <a:xfrm flipH="1">
            <a:off x="11591925" y="237448726"/>
            <a:ext cx="3381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7" name="Straight Connector 2596">
            <a:extLst>
              <a:ext uri="{FF2B5EF4-FFF2-40B4-BE49-F238E27FC236}">
                <a16:creationId xmlns:a16="http://schemas.microsoft.com/office/drawing/2014/main" id="{B1B03E26-9FF3-4DE1-866E-67A6FCB89697}"/>
              </a:ext>
            </a:extLst>
          </xdr:cNvPr>
          <xdr:cNvCxnSpPr/>
        </xdr:nvCxnSpPr>
        <xdr:spPr>
          <a:xfrm flipH="1">
            <a:off x="11615737" y="237415389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52389</xdr:colOff>
      <xdr:row>1993</xdr:row>
      <xdr:rowOff>142871</xdr:rowOff>
    </xdr:from>
    <xdr:to>
      <xdr:col>35</xdr:col>
      <xdr:colOff>61913</xdr:colOff>
      <xdr:row>2006</xdr:row>
      <xdr:rowOff>80960</xdr:rowOff>
    </xdr:to>
    <xdr:grpSp>
      <xdr:nvGrpSpPr>
        <xdr:cNvPr id="2767" name="Group 2766">
          <a:extLst>
            <a:ext uri="{FF2B5EF4-FFF2-40B4-BE49-F238E27FC236}">
              <a16:creationId xmlns:a16="http://schemas.microsoft.com/office/drawing/2014/main" id="{488D951F-46BD-5AD4-C5AF-6F0EFAC8CA10}"/>
            </a:ext>
          </a:extLst>
        </xdr:cNvPr>
        <xdr:cNvGrpSpPr/>
      </xdr:nvGrpSpPr>
      <xdr:grpSpPr>
        <a:xfrm>
          <a:off x="1347789" y="300866171"/>
          <a:ext cx="4381499" cy="1795464"/>
          <a:chOff x="1347789" y="295227371"/>
          <a:chExt cx="4381499" cy="1795464"/>
        </a:xfrm>
      </xdr:grpSpPr>
      <xdr:sp macro="" textlink="">
        <xdr:nvSpPr>
          <xdr:cNvPr id="660" name="Arc 659">
            <a:extLst>
              <a:ext uri="{FF2B5EF4-FFF2-40B4-BE49-F238E27FC236}">
                <a16:creationId xmlns:a16="http://schemas.microsoft.com/office/drawing/2014/main" id="{200AE4E1-3D6D-6C08-C92E-01F21B30FE37}"/>
              </a:ext>
            </a:extLst>
          </xdr:cNvPr>
          <xdr:cNvSpPr/>
        </xdr:nvSpPr>
        <xdr:spPr>
          <a:xfrm rot="13519201">
            <a:off x="1347789" y="295451213"/>
            <a:ext cx="558924" cy="558924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D0BCDDD5-7BAD-EAF6-7EA7-2F04F837D795}"/>
              </a:ext>
            </a:extLst>
          </xdr:cNvPr>
          <xdr:cNvSpPr/>
        </xdr:nvSpPr>
        <xdr:spPr>
          <a:xfrm>
            <a:off x="1624012" y="295232133"/>
            <a:ext cx="152400" cy="8524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51" name="Straight Arrow Connector 650">
            <a:extLst>
              <a:ext uri="{FF2B5EF4-FFF2-40B4-BE49-F238E27FC236}">
                <a16:creationId xmlns:a16="http://schemas.microsoft.com/office/drawing/2014/main" id="{B53B562B-91BE-E4E2-9C2F-6F924E7441DB}"/>
              </a:ext>
            </a:extLst>
          </xdr:cNvPr>
          <xdr:cNvCxnSpPr/>
        </xdr:nvCxnSpPr>
        <xdr:spPr>
          <a:xfrm>
            <a:off x="5667374" y="295236900"/>
            <a:ext cx="0" cy="347663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Straight Connector 651">
            <a:extLst>
              <a:ext uri="{FF2B5EF4-FFF2-40B4-BE49-F238E27FC236}">
                <a16:creationId xmlns:a16="http://schemas.microsoft.com/office/drawing/2014/main" id="{5455B2CA-3CED-A93A-2731-D7D6899F50DE}"/>
              </a:ext>
            </a:extLst>
          </xdr:cNvPr>
          <xdr:cNvCxnSpPr/>
        </xdr:nvCxnSpPr>
        <xdr:spPr>
          <a:xfrm>
            <a:off x="5667384" y="295836971"/>
            <a:ext cx="0" cy="11858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" name="Straight Connector 652">
            <a:extLst>
              <a:ext uri="{FF2B5EF4-FFF2-40B4-BE49-F238E27FC236}">
                <a16:creationId xmlns:a16="http://schemas.microsoft.com/office/drawing/2014/main" id="{39BE8898-26E7-AAA1-441B-9248A85BEFD2}"/>
              </a:ext>
            </a:extLst>
          </xdr:cNvPr>
          <xdr:cNvCxnSpPr/>
        </xdr:nvCxnSpPr>
        <xdr:spPr>
          <a:xfrm>
            <a:off x="1714500" y="296941884"/>
            <a:ext cx="4000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" name="Straight Arrow Connector 653">
            <a:extLst>
              <a:ext uri="{FF2B5EF4-FFF2-40B4-BE49-F238E27FC236}">
                <a16:creationId xmlns:a16="http://schemas.microsoft.com/office/drawing/2014/main" id="{2D4E1351-4AF2-7320-AB39-A60E00109C11}"/>
              </a:ext>
            </a:extLst>
          </xdr:cNvPr>
          <xdr:cNvCxnSpPr/>
        </xdr:nvCxnSpPr>
        <xdr:spPr>
          <a:xfrm flipV="1">
            <a:off x="1781174" y="296098913"/>
            <a:ext cx="0" cy="271462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Straight Connector 654">
            <a:extLst>
              <a:ext uri="{FF2B5EF4-FFF2-40B4-BE49-F238E27FC236}">
                <a16:creationId xmlns:a16="http://schemas.microsoft.com/office/drawing/2014/main" id="{085CB2FB-B1ED-F264-F99C-735CAFB1981D}"/>
              </a:ext>
            </a:extLst>
          </xdr:cNvPr>
          <xdr:cNvCxnSpPr/>
        </xdr:nvCxnSpPr>
        <xdr:spPr>
          <a:xfrm flipH="1">
            <a:off x="5629283" y="2969085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" name="Straight Connector 655">
            <a:extLst>
              <a:ext uri="{FF2B5EF4-FFF2-40B4-BE49-F238E27FC236}">
                <a16:creationId xmlns:a16="http://schemas.microsoft.com/office/drawing/2014/main" id="{45C043BF-9B31-2D2D-8849-AE19CECBF0F2}"/>
              </a:ext>
            </a:extLst>
          </xdr:cNvPr>
          <xdr:cNvCxnSpPr/>
        </xdr:nvCxnSpPr>
        <xdr:spPr>
          <a:xfrm>
            <a:off x="1781174" y="296532297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" name="Straight Connector 656">
            <a:extLst>
              <a:ext uri="{FF2B5EF4-FFF2-40B4-BE49-F238E27FC236}">
                <a16:creationId xmlns:a16="http://schemas.microsoft.com/office/drawing/2014/main" id="{CB2BFCD2-8232-5133-E131-7040EFA1BB91}"/>
              </a:ext>
            </a:extLst>
          </xdr:cNvPr>
          <xdr:cNvCxnSpPr/>
        </xdr:nvCxnSpPr>
        <xdr:spPr>
          <a:xfrm flipH="1">
            <a:off x="1743073" y="29690853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" name="Straight Arrow Connector 657">
            <a:extLst>
              <a:ext uri="{FF2B5EF4-FFF2-40B4-BE49-F238E27FC236}">
                <a16:creationId xmlns:a16="http://schemas.microsoft.com/office/drawing/2014/main" id="{AA5538EA-3A81-FDEA-1F09-71F83CB5EBE3}"/>
              </a:ext>
            </a:extLst>
          </xdr:cNvPr>
          <xdr:cNvCxnSpPr/>
        </xdr:nvCxnSpPr>
        <xdr:spPr>
          <a:xfrm>
            <a:off x="3081338" y="296284657"/>
            <a:ext cx="447674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" name="Straight Connector 660">
            <a:extLst>
              <a:ext uri="{FF2B5EF4-FFF2-40B4-BE49-F238E27FC236}">
                <a16:creationId xmlns:a16="http://schemas.microsoft.com/office/drawing/2014/main" id="{DCAE22D2-FA65-4298-8D63-7526E4427ADC}"/>
              </a:ext>
            </a:extLst>
          </xdr:cNvPr>
          <xdr:cNvCxnSpPr/>
        </xdr:nvCxnSpPr>
        <xdr:spPr>
          <a:xfrm>
            <a:off x="1709736" y="296656133"/>
            <a:ext cx="40195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" name="Straight Connector 661">
            <a:extLst>
              <a:ext uri="{FF2B5EF4-FFF2-40B4-BE49-F238E27FC236}">
                <a16:creationId xmlns:a16="http://schemas.microsoft.com/office/drawing/2014/main" id="{656476F4-3D53-52A2-3476-5C79061FDF98}"/>
              </a:ext>
            </a:extLst>
          </xdr:cNvPr>
          <xdr:cNvCxnSpPr/>
        </xdr:nvCxnSpPr>
        <xdr:spPr>
          <a:xfrm flipH="1">
            <a:off x="5629283" y="29662278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" name="Straight Connector 662">
            <a:extLst>
              <a:ext uri="{FF2B5EF4-FFF2-40B4-BE49-F238E27FC236}">
                <a16:creationId xmlns:a16="http://schemas.microsoft.com/office/drawing/2014/main" id="{87AA3AB3-7EA4-E4DE-FC6D-DFD1756F2934}"/>
              </a:ext>
            </a:extLst>
          </xdr:cNvPr>
          <xdr:cNvCxnSpPr/>
        </xdr:nvCxnSpPr>
        <xdr:spPr>
          <a:xfrm flipH="1">
            <a:off x="1743073" y="29662278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" name="Straight Connector 663">
            <a:extLst>
              <a:ext uri="{FF2B5EF4-FFF2-40B4-BE49-F238E27FC236}">
                <a16:creationId xmlns:a16="http://schemas.microsoft.com/office/drawing/2014/main" id="{C9CA8BF9-D4F8-A68B-FD61-2DE07CDD1A3E}"/>
              </a:ext>
            </a:extLst>
          </xdr:cNvPr>
          <xdr:cNvCxnSpPr/>
        </xdr:nvCxnSpPr>
        <xdr:spPr>
          <a:xfrm>
            <a:off x="3076576" y="296117964"/>
            <a:ext cx="0" cy="619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" name="Straight Connector 664">
            <a:extLst>
              <a:ext uri="{FF2B5EF4-FFF2-40B4-BE49-F238E27FC236}">
                <a16:creationId xmlns:a16="http://schemas.microsoft.com/office/drawing/2014/main" id="{9EF817E3-55EF-6460-4DB3-9FA5C281282C}"/>
              </a:ext>
            </a:extLst>
          </xdr:cNvPr>
          <xdr:cNvCxnSpPr/>
        </xdr:nvCxnSpPr>
        <xdr:spPr>
          <a:xfrm flipH="1">
            <a:off x="3038475" y="296622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" name="Straight Arrow Connector 665">
            <a:extLst>
              <a:ext uri="{FF2B5EF4-FFF2-40B4-BE49-F238E27FC236}">
                <a16:creationId xmlns:a16="http://schemas.microsoft.com/office/drawing/2014/main" id="{88FFE932-A12C-1B0A-58BE-9956D46DD531}"/>
              </a:ext>
            </a:extLst>
          </xdr:cNvPr>
          <xdr:cNvCxnSpPr/>
        </xdr:nvCxnSpPr>
        <xdr:spPr>
          <a:xfrm>
            <a:off x="1785938" y="296289413"/>
            <a:ext cx="442912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7C4D6672-90FF-CCF7-A1B1-9192A13D9676}"/>
              </a:ext>
            </a:extLst>
          </xdr:cNvPr>
          <xdr:cNvSpPr/>
        </xdr:nvSpPr>
        <xdr:spPr>
          <a:xfrm>
            <a:off x="1781175" y="295370250"/>
            <a:ext cx="1290638" cy="571499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08931E75-CA20-4B6D-84E2-8A36BDC97536}"/>
              </a:ext>
            </a:extLst>
          </xdr:cNvPr>
          <xdr:cNvSpPr/>
        </xdr:nvSpPr>
        <xdr:spPr>
          <a:xfrm>
            <a:off x="3071813" y="295513125"/>
            <a:ext cx="1300162" cy="280988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954DAD28-2BE3-418C-8646-393AEDCC8344}"/>
              </a:ext>
            </a:extLst>
          </xdr:cNvPr>
          <xdr:cNvSpPr/>
        </xdr:nvSpPr>
        <xdr:spPr>
          <a:xfrm>
            <a:off x="4371975" y="295589329"/>
            <a:ext cx="1300162" cy="138113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679" name="Straight Arrow Connector 678">
            <a:extLst>
              <a:ext uri="{FF2B5EF4-FFF2-40B4-BE49-F238E27FC236}">
                <a16:creationId xmlns:a16="http://schemas.microsoft.com/office/drawing/2014/main" id="{D67197DB-927F-4AA1-BE3C-9E5AC3DE8B18}"/>
              </a:ext>
            </a:extLst>
          </xdr:cNvPr>
          <xdr:cNvCxnSpPr/>
        </xdr:nvCxnSpPr>
        <xdr:spPr>
          <a:xfrm>
            <a:off x="4376738" y="296284657"/>
            <a:ext cx="447674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" name="Straight Connector 679">
            <a:extLst>
              <a:ext uri="{FF2B5EF4-FFF2-40B4-BE49-F238E27FC236}">
                <a16:creationId xmlns:a16="http://schemas.microsoft.com/office/drawing/2014/main" id="{34913C6B-864A-4B80-9DCD-D76D56A05E24}"/>
              </a:ext>
            </a:extLst>
          </xdr:cNvPr>
          <xdr:cNvCxnSpPr/>
        </xdr:nvCxnSpPr>
        <xdr:spPr>
          <a:xfrm>
            <a:off x="4371976" y="296117964"/>
            <a:ext cx="0" cy="619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Straight Connector 681">
            <a:extLst>
              <a:ext uri="{FF2B5EF4-FFF2-40B4-BE49-F238E27FC236}">
                <a16:creationId xmlns:a16="http://schemas.microsoft.com/office/drawing/2014/main" id="{53B78E5C-41B7-4433-A557-C9A14A8D7DAF}"/>
              </a:ext>
            </a:extLst>
          </xdr:cNvPr>
          <xdr:cNvCxnSpPr/>
        </xdr:nvCxnSpPr>
        <xdr:spPr>
          <a:xfrm flipH="1">
            <a:off x="4333875" y="296622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" name="Straight Connector 658">
            <a:extLst>
              <a:ext uri="{FF2B5EF4-FFF2-40B4-BE49-F238E27FC236}">
                <a16:creationId xmlns:a16="http://schemas.microsoft.com/office/drawing/2014/main" id="{1F17E98F-6ED9-8427-65E8-C7ACDC39858C}"/>
              </a:ext>
            </a:extLst>
          </xdr:cNvPr>
          <xdr:cNvCxnSpPr/>
        </xdr:nvCxnSpPr>
        <xdr:spPr>
          <a:xfrm>
            <a:off x="1781174" y="295227371"/>
            <a:ext cx="0" cy="8715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66675</xdr:colOff>
      <xdr:row>2023</xdr:row>
      <xdr:rowOff>66675</xdr:rowOff>
    </xdr:from>
    <xdr:to>
      <xdr:col>7</xdr:col>
      <xdr:colOff>119062</xdr:colOff>
      <xdr:row>2023</xdr:row>
      <xdr:rowOff>66675</xdr:rowOff>
    </xdr:to>
    <xdr:cxnSp macro="">
      <xdr:nvCxnSpPr>
        <xdr:cNvPr id="683" name="Straight Arrow Connector 682">
          <a:extLst>
            <a:ext uri="{FF2B5EF4-FFF2-40B4-BE49-F238E27FC236}">
              <a16:creationId xmlns:a16="http://schemas.microsoft.com/office/drawing/2014/main" id="{BD34E7C5-A9E3-412E-8355-D9E3AEF0916B}"/>
            </a:ext>
          </a:extLst>
        </xdr:cNvPr>
        <xdr:cNvCxnSpPr/>
      </xdr:nvCxnSpPr>
      <xdr:spPr>
        <a:xfrm>
          <a:off x="1038225" y="2614041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2024</xdr:row>
      <xdr:rowOff>66675</xdr:rowOff>
    </xdr:from>
    <xdr:to>
      <xdr:col>7</xdr:col>
      <xdr:colOff>109537</xdr:colOff>
      <xdr:row>2024</xdr:row>
      <xdr:rowOff>66675</xdr:rowOff>
    </xdr:to>
    <xdr:cxnSp macro="">
      <xdr:nvCxnSpPr>
        <xdr:cNvPr id="685" name="Straight Arrow Connector 684">
          <a:extLst>
            <a:ext uri="{FF2B5EF4-FFF2-40B4-BE49-F238E27FC236}">
              <a16:creationId xmlns:a16="http://schemas.microsoft.com/office/drawing/2014/main" id="{F653D4CF-453E-474E-8C00-2C3695CEB106}"/>
            </a:ext>
          </a:extLst>
        </xdr:cNvPr>
        <xdr:cNvCxnSpPr/>
      </xdr:nvCxnSpPr>
      <xdr:spPr>
        <a:xfrm>
          <a:off x="1028700" y="2615469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2030</xdr:row>
      <xdr:rowOff>66675</xdr:rowOff>
    </xdr:from>
    <xdr:to>
      <xdr:col>11</xdr:col>
      <xdr:colOff>109537</xdr:colOff>
      <xdr:row>2030</xdr:row>
      <xdr:rowOff>66675</xdr:rowOff>
    </xdr:to>
    <xdr:cxnSp macro="">
      <xdr:nvCxnSpPr>
        <xdr:cNvPr id="686" name="Straight Arrow Connector 685">
          <a:extLst>
            <a:ext uri="{FF2B5EF4-FFF2-40B4-BE49-F238E27FC236}">
              <a16:creationId xmlns:a16="http://schemas.microsoft.com/office/drawing/2014/main" id="{BE946A76-7D37-4C43-912A-51429689EF6F}"/>
            </a:ext>
          </a:extLst>
        </xdr:cNvPr>
        <xdr:cNvCxnSpPr/>
      </xdr:nvCxnSpPr>
      <xdr:spPr>
        <a:xfrm>
          <a:off x="1676400" y="2624042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2027</xdr:row>
      <xdr:rowOff>66675</xdr:rowOff>
    </xdr:from>
    <xdr:to>
      <xdr:col>11</xdr:col>
      <xdr:colOff>109537</xdr:colOff>
      <xdr:row>2027</xdr:row>
      <xdr:rowOff>66675</xdr:rowOff>
    </xdr:to>
    <xdr:cxnSp macro="">
      <xdr:nvCxnSpPr>
        <xdr:cNvPr id="687" name="Straight Arrow Connector 686">
          <a:extLst>
            <a:ext uri="{FF2B5EF4-FFF2-40B4-BE49-F238E27FC236}">
              <a16:creationId xmlns:a16="http://schemas.microsoft.com/office/drawing/2014/main" id="{35B4F814-F7D2-4CA8-9D2E-1DF235736FCB}"/>
            </a:ext>
          </a:extLst>
        </xdr:cNvPr>
        <xdr:cNvCxnSpPr/>
      </xdr:nvCxnSpPr>
      <xdr:spPr>
        <a:xfrm>
          <a:off x="1676400" y="2619756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2036</xdr:row>
      <xdr:rowOff>66675</xdr:rowOff>
    </xdr:from>
    <xdr:to>
      <xdr:col>11</xdr:col>
      <xdr:colOff>109537</xdr:colOff>
      <xdr:row>2036</xdr:row>
      <xdr:rowOff>66675</xdr:rowOff>
    </xdr:to>
    <xdr:cxnSp macro="">
      <xdr:nvCxnSpPr>
        <xdr:cNvPr id="688" name="Straight Arrow Connector 687">
          <a:extLst>
            <a:ext uri="{FF2B5EF4-FFF2-40B4-BE49-F238E27FC236}">
              <a16:creationId xmlns:a16="http://schemas.microsoft.com/office/drawing/2014/main" id="{ECC2AA92-7CE2-41D7-A2AB-1BA4DE012E98}"/>
            </a:ext>
          </a:extLst>
        </xdr:cNvPr>
        <xdr:cNvCxnSpPr/>
      </xdr:nvCxnSpPr>
      <xdr:spPr>
        <a:xfrm>
          <a:off x="1676400" y="3001041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2033</xdr:row>
      <xdr:rowOff>66675</xdr:rowOff>
    </xdr:from>
    <xdr:to>
      <xdr:col>11</xdr:col>
      <xdr:colOff>109537</xdr:colOff>
      <xdr:row>2033</xdr:row>
      <xdr:rowOff>66675</xdr:rowOff>
    </xdr:to>
    <xdr:cxnSp macro="">
      <xdr:nvCxnSpPr>
        <xdr:cNvPr id="689" name="Straight Arrow Connector 688">
          <a:extLst>
            <a:ext uri="{FF2B5EF4-FFF2-40B4-BE49-F238E27FC236}">
              <a16:creationId xmlns:a16="http://schemas.microsoft.com/office/drawing/2014/main" id="{E08604BF-A6A0-4061-BC72-1AD585EF9C87}"/>
            </a:ext>
          </a:extLst>
        </xdr:cNvPr>
        <xdr:cNvCxnSpPr/>
      </xdr:nvCxnSpPr>
      <xdr:spPr>
        <a:xfrm>
          <a:off x="1676400" y="2996755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2937</xdr:row>
      <xdr:rowOff>9525</xdr:rowOff>
    </xdr:from>
    <xdr:to>
      <xdr:col>20</xdr:col>
      <xdr:colOff>71438</xdr:colOff>
      <xdr:row>2946</xdr:row>
      <xdr:rowOff>90488</xdr:rowOff>
    </xdr:to>
    <xdr:grpSp>
      <xdr:nvGrpSpPr>
        <xdr:cNvPr id="2763" name="Group 2762">
          <a:extLst>
            <a:ext uri="{FF2B5EF4-FFF2-40B4-BE49-F238E27FC236}">
              <a16:creationId xmlns:a16="http://schemas.microsoft.com/office/drawing/2014/main" id="{3D31F976-43C9-1DFE-E0C4-2DE9A108E6A0}"/>
            </a:ext>
          </a:extLst>
        </xdr:cNvPr>
        <xdr:cNvGrpSpPr/>
      </xdr:nvGrpSpPr>
      <xdr:grpSpPr>
        <a:xfrm>
          <a:off x="1143000" y="440274075"/>
          <a:ext cx="2166938" cy="1366838"/>
          <a:chOff x="1143000" y="306866925"/>
          <a:chExt cx="2166938" cy="1366838"/>
        </a:xfrm>
      </xdr:grpSpPr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DCD040FA-7FAA-43E0-BF3F-2B6055FF117F}"/>
              </a:ext>
            </a:extLst>
          </xdr:cNvPr>
          <xdr:cNvSpPr/>
        </xdr:nvSpPr>
        <xdr:spPr>
          <a:xfrm>
            <a:off x="1143000" y="306995512"/>
            <a:ext cx="152400" cy="8524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FBC3A5DE-FCDB-44A9-AE70-046ED35CBFFF}"/>
              </a:ext>
            </a:extLst>
          </xdr:cNvPr>
          <xdr:cNvSpPr/>
        </xdr:nvSpPr>
        <xdr:spPr>
          <a:xfrm>
            <a:off x="1290638" y="307281264"/>
            <a:ext cx="1947862" cy="13811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553" name="Straight Arrow Connector 2552">
            <a:extLst>
              <a:ext uri="{FF2B5EF4-FFF2-40B4-BE49-F238E27FC236}">
                <a16:creationId xmlns:a16="http://schemas.microsoft.com/office/drawing/2014/main" id="{059C87C6-500C-4098-9096-6203B6F5D5E1}"/>
              </a:ext>
            </a:extLst>
          </xdr:cNvPr>
          <xdr:cNvCxnSpPr/>
        </xdr:nvCxnSpPr>
        <xdr:spPr>
          <a:xfrm>
            <a:off x="3238499" y="306866925"/>
            <a:ext cx="0" cy="41910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4" name="Straight Connector 2563">
            <a:extLst>
              <a:ext uri="{FF2B5EF4-FFF2-40B4-BE49-F238E27FC236}">
                <a16:creationId xmlns:a16="http://schemas.microsoft.com/office/drawing/2014/main" id="{8BA2386E-B72A-45F5-9606-4EE3D75C99A6}"/>
              </a:ext>
            </a:extLst>
          </xdr:cNvPr>
          <xdr:cNvCxnSpPr/>
        </xdr:nvCxnSpPr>
        <xdr:spPr>
          <a:xfrm>
            <a:off x="1295401" y="307943250"/>
            <a:ext cx="0" cy="290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5" name="Straight Connector 2564">
            <a:extLst>
              <a:ext uri="{FF2B5EF4-FFF2-40B4-BE49-F238E27FC236}">
                <a16:creationId xmlns:a16="http://schemas.microsoft.com/office/drawing/2014/main" id="{6B0CA6D9-BCD9-40E8-BE0B-8C116E618E08}"/>
              </a:ext>
            </a:extLst>
          </xdr:cNvPr>
          <xdr:cNvCxnSpPr/>
        </xdr:nvCxnSpPr>
        <xdr:spPr>
          <a:xfrm>
            <a:off x="1219200" y="308143275"/>
            <a:ext cx="2090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2" name="Straight Connector 2571">
            <a:extLst>
              <a:ext uri="{FF2B5EF4-FFF2-40B4-BE49-F238E27FC236}">
                <a16:creationId xmlns:a16="http://schemas.microsoft.com/office/drawing/2014/main" id="{57823AC4-0E8B-42DD-BB2B-ECC819568423}"/>
              </a:ext>
            </a:extLst>
          </xdr:cNvPr>
          <xdr:cNvCxnSpPr/>
        </xdr:nvCxnSpPr>
        <xdr:spPr>
          <a:xfrm flipH="1">
            <a:off x="1257300" y="3081051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8" name="Straight Connector 2577">
            <a:extLst>
              <a:ext uri="{FF2B5EF4-FFF2-40B4-BE49-F238E27FC236}">
                <a16:creationId xmlns:a16="http://schemas.microsoft.com/office/drawing/2014/main" id="{2A78CA18-B4B8-464F-8AD9-0032D3041AEE}"/>
              </a:ext>
            </a:extLst>
          </xdr:cNvPr>
          <xdr:cNvCxnSpPr/>
        </xdr:nvCxnSpPr>
        <xdr:spPr>
          <a:xfrm>
            <a:off x="3238501" y="307486050"/>
            <a:ext cx="0" cy="7477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9" name="Straight Connector 2578">
            <a:extLst>
              <a:ext uri="{FF2B5EF4-FFF2-40B4-BE49-F238E27FC236}">
                <a16:creationId xmlns:a16="http://schemas.microsoft.com/office/drawing/2014/main" id="{2C8D089D-4DE6-4139-9CDE-396D2B8A1645}"/>
              </a:ext>
            </a:extLst>
          </xdr:cNvPr>
          <xdr:cNvCxnSpPr/>
        </xdr:nvCxnSpPr>
        <xdr:spPr>
          <a:xfrm flipH="1">
            <a:off x="3200400" y="3081051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3" name="Straight Connector 2582">
            <a:extLst>
              <a:ext uri="{FF2B5EF4-FFF2-40B4-BE49-F238E27FC236}">
                <a16:creationId xmlns:a16="http://schemas.microsoft.com/office/drawing/2014/main" id="{AC0E66E8-98B4-44A1-B353-38362F0C956D}"/>
              </a:ext>
            </a:extLst>
          </xdr:cNvPr>
          <xdr:cNvCxnSpPr/>
        </xdr:nvCxnSpPr>
        <xdr:spPr>
          <a:xfrm>
            <a:off x="1300162" y="306990750"/>
            <a:ext cx="0" cy="8715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4" name="Straight Arrow Connector 2693">
            <a:extLst>
              <a:ext uri="{FF2B5EF4-FFF2-40B4-BE49-F238E27FC236}">
                <a16:creationId xmlns:a16="http://schemas.microsoft.com/office/drawing/2014/main" id="{4C1EDE16-C990-64BC-DBEF-B19B37273AD5}"/>
              </a:ext>
            </a:extLst>
          </xdr:cNvPr>
          <xdr:cNvCxnSpPr/>
        </xdr:nvCxnSpPr>
        <xdr:spPr>
          <a:xfrm>
            <a:off x="1457326" y="307066950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6" name="Straight Arrow Connector 2695">
            <a:extLst>
              <a:ext uri="{FF2B5EF4-FFF2-40B4-BE49-F238E27FC236}">
                <a16:creationId xmlns:a16="http://schemas.microsoft.com/office/drawing/2014/main" id="{0D50C52A-DAE7-4F3C-A4AD-BD7A2F085BB2}"/>
              </a:ext>
            </a:extLst>
          </xdr:cNvPr>
          <xdr:cNvCxnSpPr/>
        </xdr:nvCxnSpPr>
        <xdr:spPr>
          <a:xfrm>
            <a:off x="1619250" y="307066951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7" name="Straight Arrow Connector 2696">
            <a:extLst>
              <a:ext uri="{FF2B5EF4-FFF2-40B4-BE49-F238E27FC236}">
                <a16:creationId xmlns:a16="http://schemas.microsoft.com/office/drawing/2014/main" id="{146130A9-7CA7-48F1-A287-E2BF6826501E}"/>
              </a:ext>
            </a:extLst>
          </xdr:cNvPr>
          <xdr:cNvCxnSpPr/>
        </xdr:nvCxnSpPr>
        <xdr:spPr>
          <a:xfrm>
            <a:off x="1781176" y="307066950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8" name="Straight Arrow Connector 2697">
            <a:extLst>
              <a:ext uri="{FF2B5EF4-FFF2-40B4-BE49-F238E27FC236}">
                <a16:creationId xmlns:a16="http://schemas.microsoft.com/office/drawing/2014/main" id="{E029A1E9-1FA9-4FD9-A02D-EF2309F6660B}"/>
              </a:ext>
            </a:extLst>
          </xdr:cNvPr>
          <xdr:cNvCxnSpPr/>
        </xdr:nvCxnSpPr>
        <xdr:spPr>
          <a:xfrm>
            <a:off x="1943100" y="307066951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9" name="Straight Arrow Connector 2698">
            <a:extLst>
              <a:ext uri="{FF2B5EF4-FFF2-40B4-BE49-F238E27FC236}">
                <a16:creationId xmlns:a16="http://schemas.microsoft.com/office/drawing/2014/main" id="{24B58E83-2842-4273-B670-83B6947C93D9}"/>
              </a:ext>
            </a:extLst>
          </xdr:cNvPr>
          <xdr:cNvCxnSpPr/>
        </xdr:nvCxnSpPr>
        <xdr:spPr>
          <a:xfrm>
            <a:off x="2105025" y="307066949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0" name="Straight Arrow Connector 2699">
            <a:extLst>
              <a:ext uri="{FF2B5EF4-FFF2-40B4-BE49-F238E27FC236}">
                <a16:creationId xmlns:a16="http://schemas.microsoft.com/office/drawing/2014/main" id="{AADA45BA-0F9C-4912-8CCA-C36C989DBFD6}"/>
              </a:ext>
            </a:extLst>
          </xdr:cNvPr>
          <xdr:cNvCxnSpPr/>
        </xdr:nvCxnSpPr>
        <xdr:spPr>
          <a:xfrm>
            <a:off x="2266949" y="307066950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1" name="Straight Arrow Connector 2700">
            <a:extLst>
              <a:ext uri="{FF2B5EF4-FFF2-40B4-BE49-F238E27FC236}">
                <a16:creationId xmlns:a16="http://schemas.microsoft.com/office/drawing/2014/main" id="{7CAB42BD-E50F-427E-8F58-E4B0AC997750}"/>
              </a:ext>
            </a:extLst>
          </xdr:cNvPr>
          <xdr:cNvCxnSpPr/>
        </xdr:nvCxnSpPr>
        <xdr:spPr>
          <a:xfrm>
            <a:off x="2428875" y="307066949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2" name="Straight Arrow Connector 2701">
            <a:extLst>
              <a:ext uri="{FF2B5EF4-FFF2-40B4-BE49-F238E27FC236}">
                <a16:creationId xmlns:a16="http://schemas.microsoft.com/office/drawing/2014/main" id="{06DF4C10-8D08-47DF-A9D5-DE4151D9AAB7}"/>
              </a:ext>
            </a:extLst>
          </xdr:cNvPr>
          <xdr:cNvCxnSpPr/>
        </xdr:nvCxnSpPr>
        <xdr:spPr>
          <a:xfrm>
            <a:off x="2590799" y="307066950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3" name="Straight Arrow Connector 2702">
            <a:extLst>
              <a:ext uri="{FF2B5EF4-FFF2-40B4-BE49-F238E27FC236}">
                <a16:creationId xmlns:a16="http://schemas.microsoft.com/office/drawing/2014/main" id="{2360AF4B-5499-4144-8A0C-93830202192A}"/>
              </a:ext>
            </a:extLst>
          </xdr:cNvPr>
          <xdr:cNvCxnSpPr/>
        </xdr:nvCxnSpPr>
        <xdr:spPr>
          <a:xfrm>
            <a:off x="2752725" y="307066949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4" name="Straight Arrow Connector 2703">
            <a:extLst>
              <a:ext uri="{FF2B5EF4-FFF2-40B4-BE49-F238E27FC236}">
                <a16:creationId xmlns:a16="http://schemas.microsoft.com/office/drawing/2014/main" id="{A7AEE3F3-AC85-4262-BEA2-689E8B37E8B1}"/>
              </a:ext>
            </a:extLst>
          </xdr:cNvPr>
          <xdr:cNvCxnSpPr/>
        </xdr:nvCxnSpPr>
        <xdr:spPr>
          <a:xfrm>
            <a:off x="2914649" y="307066950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5" name="Straight Arrow Connector 2704">
            <a:extLst>
              <a:ext uri="{FF2B5EF4-FFF2-40B4-BE49-F238E27FC236}">
                <a16:creationId xmlns:a16="http://schemas.microsoft.com/office/drawing/2014/main" id="{B8190ABF-B52F-4CCB-9B88-786A8ECDE3C7}"/>
              </a:ext>
            </a:extLst>
          </xdr:cNvPr>
          <xdr:cNvCxnSpPr/>
        </xdr:nvCxnSpPr>
        <xdr:spPr>
          <a:xfrm>
            <a:off x="3076575" y="307066949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8" name="Straight Connector 2707">
            <a:extLst>
              <a:ext uri="{FF2B5EF4-FFF2-40B4-BE49-F238E27FC236}">
                <a16:creationId xmlns:a16="http://schemas.microsoft.com/office/drawing/2014/main" id="{5F47C060-B709-ACC7-3E46-C08633B9CD48}"/>
              </a:ext>
            </a:extLst>
          </xdr:cNvPr>
          <xdr:cNvCxnSpPr/>
        </xdr:nvCxnSpPr>
        <xdr:spPr>
          <a:xfrm>
            <a:off x="1290638" y="307062188"/>
            <a:ext cx="19526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9" name="Straight Arrow Connector 2708">
            <a:extLst>
              <a:ext uri="{FF2B5EF4-FFF2-40B4-BE49-F238E27FC236}">
                <a16:creationId xmlns:a16="http://schemas.microsoft.com/office/drawing/2014/main" id="{F49B7650-0BEA-4C3E-A9F0-276CD6D4FC08}"/>
              </a:ext>
            </a:extLst>
          </xdr:cNvPr>
          <xdr:cNvCxnSpPr/>
        </xdr:nvCxnSpPr>
        <xdr:spPr>
          <a:xfrm>
            <a:off x="1295400" y="307066952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3" name="Straight Connector 2712">
            <a:extLst>
              <a:ext uri="{FF2B5EF4-FFF2-40B4-BE49-F238E27FC236}">
                <a16:creationId xmlns:a16="http://schemas.microsoft.com/office/drawing/2014/main" id="{CA83C07D-F2F2-C36E-7041-EE43D4B8D383}"/>
              </a:ext>
            </a:extLst>
          </xdr:cNvPr>
          <xdr:cNvCxnSpPr/>
        </xdr:nvCxnSpPr>
        <xdr:spPr>
          <a:xfrm flipH="1" flipV="1">
            <a:off x="2314575" y="306985988"/>
            <a:ext cx="114300" cy="17145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9525</xdr:colOff>
      <xdr:row>2937</xdr:row>
      <xdr:rowOff>9525</xdr:rowOff>
    </xdr:from>
    <xdr:to>
      <xdr:col>58</xdr:col>
      <xdr:colOff>71438</xdr:colOff>
      <xdr:row>2946</xdr:row>
      <xdr:rowOff>90488</xdr:rowOff>
    </xdr:to>
    <xdr:grpSp>
      <xdr:nvGrpSpPr>
        <xdr:cNvPr id="2764" name="Group 2763">
          <a:extLst>
            <a:ext uri="{FF2B5EF4-FFF2-40B4-BE49-F238E27FC236}">
              <a16:creationId xmlns:a16="http://schemas.microsoft.com/office/drawing/2014/main" id="{E246FBBA-289D-EA7F-A06B-43873BA8DBB9}"/>
            </a:ext>
          </a:extLst>
        </xdr:cNvPr>
        <xdr:cNvGrpSpPr/>
      </xdr:nvGrpSpPr>
      <xdr:grpSpPr>
        <a:xfrm>
          <a:off x="7296150" y="440274075"/>
          <a:ext cx="2166938" cy="1366838"/>
          <a:chOff x="7296150" y="306866925"/>
          <a:chExt cx="2166938" cy="1366838"/>
        </a:xfrm>
      </xdr:grpSpPr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51DF5B83-345E-431E-91DF-B0A11712CE7D}"/>
              </a:ext>
            </a:extLst>
          </xdr:cNvPr>
          <xdr:cNvSpPr/>
        </xdr:nvSpPr>
        <xdr:spPr>
          <a:xfrm>
            <a:off x="7296150" y="306995512"/>
            <a:ext cx="152400" cy="8524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165CBA5B-3F89-37B3-1EEF-991074677AA8}"/>
              </a:ext>
            </a:extLst>
          </xdr:cNvPr>
          <xdr:cNvSpPr/>
        </xdr:nvSpPr>
        <xdr:spPr>
          <a:xfrm>
            <a:off x="7443788" y="307281264"/>
            <a:ext cx="1947862" cy="13811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3EC1827E-5FD6-4D68-AB56-365E4868BED0}"/>
              </a:ext>
            </a:extLst>
          </xdr:cNvPr>
          <xdr:cNvSpPr/>
        </xdr:nvSpPr>
        <xdr:spPr>
          <a:xfrm>
            <a:off x="7443788" y="307419376"/>
            <a:ext cx="1947862" cy="13811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668" name="Straight Arrow Connector 667">
            <a:extLst>
              <a:ext uri="{FF2B5EF4-FFF2-40B4-BE49-F238E27FC236}">
                <a16:creationId xmlns:a16="http://schemas.microsoft.com/office/drawing/2014/main" id="{967D63B1-9FD3-46F2-8FDD-F36EDEF2D03F}"/>
              </a:ext>
            </a:extLst>
          </xdr:cNvPr>
          <xdr:cNvCxnSpPr/>
        </xdr:nvCxnSpPr>
        <xdr:spPr>
          <a:xfrm>
            <a:off x="9391649" y="306866925"/>
            <a:ext cx="0" cy="41910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" name="Straight Connector 673">
            <a:extLst>
              <a:ext uri="{FF2B5EF4-FFF2-40B4-BE49-F238E27FC236}">
                <a16:creationId xmlns:a16="http://schemas.microsoft.com/office/drawing/2014/main" id="{DD56DC2B-0176-5697-357D-A1091A89BB35}"/>
              </a:ext>
            </a:extLst>
          </xdr:cNvPr>
          <xdr:cNvCxnSpPr/>
        </xdr:nvCxnSpPr>
        <xdr:spPr>
          <a:xfrm>
            <a:off x="7448551" y="307943250"/>
            <a:ext cx="0" cy="290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" name="Straight Connector 675">
            <a:extLst>
              <a:ext uri="{FF2B5EF4-FFF2-40B4-BE49-F238E27FC236}">
                <a16:creationId xmlns:a16="http://schemas.microsoft.com/office/drawing/2014/main" id="{6750A414-09F9-4BD6-451B-B359446A314B}"/>
              </a:ext>
            </a:extLst>
          </xdr:cNvPr>
          <xdr:cNvCxnSpPr/>
        </xdr:nvCxnSpPr>
        <xdr:spPr>
          <a:xfrm>
            <a:off x="7372350" y="308143275"/>
            <a:ext cx="2090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Connector 689">
            <a:extLst>
              <a:ext uri="{FF2B5EF4-FFF2-40B4-BE49-F238E27FC236}">
                <a16:creationId xmlns:a16="http://schemas.microsoft.com/office/drawing/2014/main" id="{A1D1F1A9-9CDE-39ED-5EDB-C05ED3816374}"/>
              </a:ext>
            </a:extLst>
          </xdr:cNvPr>
          <xdr:cNvCxnSpPr/>
        </xdr:nvCxnSpPr>
        <xdr:spPr>
          <a:xfrm flipH="1">
            <a:off x="7410450" y="3081051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" name="Straight Connector 692">
            <a:extLst>
              <a:ext uri="{FF2B5EF4-FFF2-40B4-BE49-F238E27FC236}">
                <a16:creationId xmlns:a16="http://schemas.microsoft.com/office/drawing/2014/main" id="{FE90670D-558C-46DB-8329-D6C2F02675CA}"/>
              </a:ext>
            </a:extLst>
          </xdr:cNvPr>
          <xdr:cNvCxnSpPr/>
        </xdr:nvCxnSpPr>
        <xdr:spPr>
          <a:xfrm>
            <a:off x="9391651" y="307638450"/>
            <a:ext cx="0" cy="595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" name="Straight Connector 694">
            <a:extLst>
              <a:ext uri="{FF2B5EF4-FFF2-40B4-BE49-F238E27FC236}">
                <a16:creationId xmlns:a16="http://schemas.microsoft.com/office/drawing/2014/main" id="{433216FF-971C-4F2E-AC16-44E9D5767207}"/>
              </a:ext>
            </a:extLst>
          </xdr:cNvPr>
          <xdr:cNvCxnSpPr/>
        </xdr:nvCxnSpPr>
        <xdr:spPr>
          <a:xfrm flipH="1">
            <a:off x="9353550" y="3081051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Straight Connector 582">
            <a:extLst>
              <a:ext uri="{FF2B5EF4-FFF2-40B4-BE49-F238E27FC236}">
                <a16:creationId xmlns:a16="http://schemas.microsoft.com/office/drawing/2014/main" id="{AA9D3499-C037-4DE6-B534-1EE3DC92B71C}"/>
              </a:ext>
            </a:extLst>
          </xdr:cNvPr>
          <xdr:cNvCxnSpPr/>
        </xdr:nvCxnSpPr>
        <xdr:spPr>
          <a:xfrm>
            <a:off x="7453312" y="306990750"/>
            <a:ext cx="0" cy="8715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5" name="Straight Arrow Connector 2714">
            <a:extLst>
              <a:ext uri="{FF2B5EF4-FFF2-40B4-BE49-F238E27FC236}">
                <a16:creationId xmlns:a16="http://schemas.microsoft.com/office/drawing/2014/main" id="{B555574A-537D-47C6-900C-4812DBF54BB8}"/>
              </a:ext>
            </a:extLst>
          </xdr:cNvPr>
          <xdr:cNvCxnSpPr/>
        </xdr:nvCxnSpPr>
        <xdr:spPr>
          <a:xfrm>
            <a:off x="7615238" y="307081237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6" name="Straight Arrow Connector 2715">
            <a:extLst>
              <a:ext uri="{FF2B5EF4-FFF2-40B4-BE49-F238E27FC236}">
                <a16:creationId xmlns:a16="http://schemas.microsoft.com/office/drawing/2014/main" id="{94A8408A-81CE-4246-AAB3-167AA99B2268}"/>
              </a:ext>
            </a:extLst>
          </xdr:cNvPr>
          <xdr:cNvCxnSpPr/>
        </xdr:nvCxnSpPr>
        <xdr:spPr>
          <a:xfrm>
            <a:off x="7777162" y="307081238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7" name="Straight Arrow Connector 2716">
            <a:extLst>
              <a:ext uri="{FF2B5EF4-FFF2-40B4-BE49-F238E27FC236}">
                <a16:creationId xmlns:a16="http://schemas.microsoft.com/office/drawing/2014/main" id="{7F893C13-ACB5-4C3E-81F7-5617764BC2AC}"/>
              </a:ext>
            </a:extLst>
          </xdr:cNvPr>
          <xdr:cNvCxnSpPr/>
        </xdr:nvCxnSpPr>
        <xdr:spPr>
          <a:xfrm>
            <a:off x="7939088" y="307081237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8" name="Straight Arrow Connector 2717">
            <a:extLst>
              <a:ext uri="{FF2B5EF4-FFF2-40B4-BE49-F238E27FC236}">
                <a16:creationId xmlns:a16="http://schemas.microsoft.com/office/drawing/2014/main" id="{1B565683-C23E-4BD3-9AD7-E63BE301E480}"/>
              </a:ext>
            </a:extLst>
          </xdr:cNvPr>
          <xdr:cNvCxnSpPr/>
        </xdr:nvCxnSpPr>
        <xdr:spPr>
          <a:xfrm>
            <a:off x="8101012" y="307081238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9" name="Straight Arrow Connector 2718">
            <a:extLst>
              <a:ext uri="{FF2B5EF4-FFF2-40B4-BE49-F238E27FC236}">
                <a16:creationId xmlns:a16="http://schemas.microsoft.com/office/drawing/2014/main" id="{E6D4D783-8BD0-499C-A80D-CE265DF7774F}"/>
              </a:ext>
            </a:extLst>
          </xdr:cNvPr>
          <xdr:cNvCxnSpPr/>
        </xdr:nvCxnSpPr>
        <xdr:spPr>
          <a:xfrm>
            <a:off x="8262937" y="307081236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0" name="Straight Arrow Connector 2719">
            <a:extLst>
              <a:ext uri="{FF2B5EF4-FFF2-40B4-BE49-F238E27FC236}">
                <a16:creationId xmlns:a16="http://schemas.microsoft.com/office/drawing/2014/main" id="{C23B8738-4FB3-4C46-AEA1-B596DC9A238E}"/>
              </a:ext>
            </a:extLst>
          </xdr:cNvPr>
          <xdr:cNvCxnSpPr/>
        </xdr:nvCxnSpPr>
        <xdr:spPr>
          <a:xfrm>
            <a:off x="8424861" y="307081237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1" name="Straight Arrow Connector 2720">
            <a:extLst>
              <a:ext uri="{FF2B5EF4-FFF2-40B4-BE49-F238E27FC236}">
                <a16:creationId xmlns:a16="http://schemas.microsoft.com/office/drawing/2014/main" id="{AE835DF4-3A04-4D13-8FE8-1047F4B3654E}"/>
              </a:ext>
            </a:extLst>
          </xdr:cNvPr>
          <xdr:cNvCxnSpPr/>
        </xdr:nvCxnSpPr>
        <xdr:spPr>
          <a:xfrm>
            <a:off x="8586787" y="307081236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2" name="Straight Arrow Connector 2721">
            <a:extLst>
              <a:ext uri="{FF2B5EF4-FFF2-40B4-BE49-F238E27FC236}">
                <a16:creationId xmlns:a16="http://schemas.microsoft.com/office/drawing/2014/main" id="{7919D7D0-4BA4-40ED-A48F-CFA4467A5FFB}"/>
              </a:ext>
            </a:extLst>
          </xdr:cNvPr>
          <xdr:cNvCxnSpPr/>
        </xdr:nvCxnSpPr>
        <xdr:spPr>
          <a:xfrm>
            <a:off x="8748711" y="307081237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3" name="Straight Arrow Connector 2722">
            <a:extLst>
              <a:ext uri="{FF2B5EF4-FFF2-40B4-BE49-F238E27FC236}">
                <a16:creationId xmlns:a16="http://schemas.microsoft.com/office/drawing/2014/main" id="{73DEAB72-340A-46FE-BE6F-6A229A342655}"/>
              </a:ext>
            </a:extLst>
          </xdr:cNvPr>
          <xdr:cNvCxnSpPr/>
        </xdr:nvCxnSpPr>
        <xdr:spPr>
          <a:xfrm>
            <a:off x="8910637" y="307081236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4" name="Straight Arrow Connector 2723">
            <a:extLst>
              <a:ext uri="{FF2B5EF4-FFF2-40B4-BE49-F238E27FC236}">
                <a16:creationId xmlns:a16="http://schemas.microsoft.com/office/drawing/2014/main" id="{9AC3495E-DBAA-48F4-BDEC-1B83F1E8155E}"/>
              </a:ext>
            </a:extLst>
          </xdr:cNvPr>
          <xdr:cNvCxnSpPr/>
        </xdr:nvCxnSpPr>
        <xdr:spPr>
          <a:xfrm>
            <a:off x="9072561" y="307081237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5" name="Straight Arrow Connector 2724">
            <a:extLst>
              <a:ext uri="{FF2B5EF4-FFF2-40B4-BE49-F238E27FC236}">
                <a16:creationId xmlns:a16="http://schemas.microsoft.com/office/drawing/2014/main" id="{40B0FAA0-94F8-4784-8CBF-B7A8FC2B5010}"/>
              </a:ext>
            </a:extLst>
          </xdr:cNvPr>
          <xdr:cNvCxnSpPr/>
        </xdr:nvCxnSpPr>
        <xdr:spPr>
          <a:xfrm>
            <a:off x="9234487" y="307081236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6" name="Straight Connector 2725">
            <a:extLst>
              <a:ext uri="{FF2B5EF4-FFF2-40B4-BE49-F238E27FC236}">
                <a16:creationId xmlns:a16="http://schemas.microsoft.com/office/drawing/2014/main" id="{54AF6555-E653-4ACA-B73C-1B35D66D0FFA}"/>
              </a:ext>
            </a:extLst>
          </xdr:cNvPr>
          <xdr:cNvCxnSpPr/>
        </xdr:nvCxnSpPr>
        <xdr:spPr>
          <a:xfrm>
            <a:off x="7448550" y="307076475"/>
            <a:ext cx="19526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7" name="Straight Arrow Connector 2726">
            <a:extLst>
              <a:ext uri="{FF2B5EF4-FFF2-40B4-BE49-F238E27FC236}">
                <a16:creationId xmlns:a16="http://schemas.microsoft.com/office/drawing/2014/main" id="{ADE82B54-FF8E-4A0D-BB70-7A3E9EF0794D}"/>
              </a:ext>
            </a:extLst>
          </xdr:cNvPr>
          <xdr:cNvCxnSpPr/>
        </xdr:nvCxnSpPr>
        <xdr:spPr>
          <a:xfrm>
            <a:off x="7453312" y="307081239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8" name="Straight Connector 2727">
            <a:extLst>
              <a:ext uri="{FF2B5EF4-FFF2-40B4-BE49-F238E27FC236}">
                <a16:creationId xmlns:a16="http://schemas.microsoft.com/office/drawing/2014/main" id="{235D001B-6DFB-42B6-B60A-E9D5EEC0DD3F}"/>
              </a:ext>
            </a:extLst>
          </xdr:cNvPr>
          <xdr:cNvCxnSpPr/>
        </xdr:nvCxnSpPr>
        <xdr:spPr>
          <a:xfrm flipH="1" flipV="1">
            <a:off x="8472487" y="307000275"/>
            <a:ext cx="114300" cy="17145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0</xdr:colOff>
      <xdr:row>2960</xdr:row>
      <xdr:rowOff>9525</xdr:rowOff>
    </xdr:from>
    <xdr:to>
      <xdr:col>20</xdr:col>
      <xdr:colOff>71438</xdr:colOff>
      <xdr:row>2969</xdr:row>
      <xdr:rowOff>90488</xdr:rowOff>
    </xdr:to>
    <xdr:grpSp>
      <xdr:nvGrpSpPr>
        <xdr:cNvPr id="2765" name="Group 2764">
          <a:extLst>
            <a:ext uri="{FF2B5EF4-FFF2-40B4-BE49-F238E27FC236}">
              <a16:creationId xmlns:a16="http://schemas.microsoft.com/office/drawing/2014/main" id="{DD96F510-749F-3B5C-74AF-9D4A85B401B5}"/>
            </a:ext>
          </a:extLst>
        </xdr:cNvPr>
        <xdr:cNvGrpSpPr/>
      </xdr:nvGrpSpPr>
      <xdr:grpSpPr>
        <a:xfrm>
          <a:off x="1133475" y="443560200"/>
          <a:ext cx="2176463" cy="1366838"/>
          <a:chOff x="1133475" y="310153050"/>
          <a:chExt cx="2176463" cy="1366838"/>
        </a:xfrm>
      </xdr:grpSpPr>
      <xdr:cxnSp macro="">
        <xdr:nvCxnSpPr>
          <xdr:cNvPr id="2586" name="Straight Arrow Connector 2585">
            <a:extLst>
              <a:ext uri="{FF2B5EF4-FFF2-40B4-BE49-F238E27FC236}">
                <a16:creationId xmlns:a16="http://schemas.microsoft.com/office/drawing/2014/main" id="{E00D7D10-20FE-44CE-A06F-F5DA73285099}"/>
              </a:ext>
            </a:extLst>
          </xdr:cNvPr>
          <xdr:cNvCxnSpPr/>
        </xdr:nvCxnSpPr>
        <xdr:spPr>
          <a:xfrm>
            <a:off x="3238499" y="310153050"/>
            <a:ext cx="0" cy="41910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1" name="Straight Connector 2630">
            <a:extLst>
              <a:ext uri="{FF2B5EF4-FFF2-40B4-BE49-F238E27FC236}">
                <a16:creationId xmlns:a16="http://schemas.microsoft.com/office/drawing/2014/main" id="{527662BD-982C-4620-8E7E-D652AE250AB6}"/>
              </a:ext>
            </a:extLst>
          </xdr:cNvPr>
          <xdr:cNvCxnSpPr/>
        </xdr:nvCxnSpPr>
        <xdr:spPr>
          <a:xfrm>
            <a:off x="1295401" y="311229375"/>
            <a:ext cx="0" cy="290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2" name="Straight Connector 2681">
            <a:extLst>
              <a:ext uri="{FF2B5EF4-FFF2-40B4-BE49-F238E27FC236}">
                <a16:creationId xmlns:a16="http://schemas.microsoft.com/office/drawing/2014/main" id="{83AA8B18-593F-4E8C-8229-38F8C2180584}"/>
              </a:ext>
            </a:extLst>
          </xdr:cNvPr>
          <xdr:cNvCxnSpPr/>
        </xdr:nvCxnSpPr>
        <xdr:spPr>
          <a:xfrm>
            <a:off x="1219200" y="311429400"/>
            <a:ext cx="2090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3" name="Straight Connector 2682">
            <a:extLst>
              <a:ext uri="{FF2B5EF4-FFF2-40B4-BE49-F238E27FC236}">
                <a16:creationId xmlns:a16="http://schemas.microsoft.com/office/drawing/2014/main" id="{2424624D-878D-4820-8C6F-E4420E95CCA0}"/>
              </a:ext>
            </a:extLst>
          </xdr:cNvPr>
          <xdr:cNvCxnSpPr/>
        </xdr:nvCxnSpPr>
        <xdr:spPr>
          <a:xfrm flipH="1">
            <a:off x="1257300" y="3113913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4" name="Straight Connector 2683">
            <a:extLst>
              <a:ext uri="{FF2B5EF4-FFF2-40B4-BE49-F238E27FC236}">
                <a16:creationId xmlns:a16="http://schemas.microsoft.com/office/drawing/2014/main" id="{25ABA6AC-4AFE-481D-BEAA-54B7BDF5F0CC}"/>
              </a:ext>
            </a:extLst>
          </xdr:cNvPr>
          <xdr:cNvCxnSpPr/>
        </xdr:nvCxnSpPr>
        <xdr:spPr>
          <a:xfrm>
            <a:off x="3238501" y="311076975"/>
            <a:ext cx="0" cy="442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5" name="Straight Connector 2684">
            <a:extLst>
              <a:ext uri="{FF2B5EF4-FFF2-40B4-BE49-F238E27FC236}">
                <a16:creationId xmlns:a16="http://schemas.microsoft.com/office/drawing/2014/main" id="{041AF237-B552-4BB7-93EE-88476D2C8A86}"/>
              </a:ext>
            </a:extLst>
          </xdr:cNvPr>
          <xdr:cNvCxnSpPr/>
        </xdr:nvCxnSpPr>
        <xdr:spPr>
          <a:xfrm flipH="1">
            <a:off x="3200400" y="3113913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BCFF8410-D309-4578-AC23-308452AB86BF}"/>
              </a:ext>
            </a:extLst>
          </xdr:cNvPr>
          <xdr:cNvSpPr/>
        </xdr:nvSpPr>
        <xdr:spPr>
          <a:xfrm>
            <a:off x="1285875" y="310572150"/>
            <a:ext cx="1957388" cy="1428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44E08FA2-097B-4707-9F0E-96AF4925EBAA}"/>
              </a:ext>
            </a:extLst>
          </xdr:cNvPr>
          <xdr:cNvSpPr/>
        </xdr:nvSpPr>
        <xdr:spPr>
          <a:xfrm>
            <a:off x="1281113" y="310715026"/>
            <a:ext cx="1962150" cy="1428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7C9B9F9C-8961-4D8A-AF91-444D9D2AE01C}"/>
              </a:ext>
            </a:extLst>
          </xdr:cNvPr>
          <xdr:cNvSpPr/>
        </xdr:nvSpPr>
        <xdr:spPr>
          <a:xfrm>
            <a:off x="1271587" y="310857900"/>
            <a:ext cx="1981194" cy="1428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8BEED02A-5A2F-4F6B-B8EC-86F2620EDA4F}"/>
              </a:ext>
            </a:extLst>
          </xdr:cNvPr>
          <xdr:cNvSpPr/>
        </xdr:nvSpPr>
        <xdr:spPr>
          <a:xfrm>
            <a:off x="1133475" y="310291162"/>
            <a:ext cx="152400" cy="8524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90" name="Straight Connector 2689">
            <a:extLst>
              <a:ext uri="{FF2B5EF4-FFF2-40B4-BE49-F238E27FC236}">
                <a16:creationId xmlns:a16="http://schemas.microsoft.com/office/drawing/2014/main" id="{9E583700-1818-4E90-92DA-94002C5F0A60}"/>
              </a:ext>
            </a:extLst>
          </xdr:cNvPr>
          <xdr:cNvCxnSpPr/>
        </xdr:nvCxnSpPr>
        <xdr:spPr>
          <a:xfrm>
            <a:off x="1300162" y="310276875"/>
            <a:ext cx="0" cy="8715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9" name="Straight Arrow Connector 2728">
            <a:extLst>
              <a:ext uri="{FF2B5EF4-FFF2-40B4-BE49-F238E27FC236}">
                <a16:creationId xmlns:a16="http://schemas.microsoft.com/office/drawing/2014/main" id="{4BDB0268-2899-4413-A50E-8BAE7CC18DB2}"/>
              </a:ext>
            </a:extLst>
          </xdr:cNvPr>
          <xdr:cNvCxnSpPr/>
        </xdr:nvCxnSpPr>
        <xdr:spPr>
          <a:xfrm>
            <a:off x="1295400" y="310357838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0" name="Straight Arrow Connector 2729">
            <a:extLst>
              <a:ext uri="{FF2B5EF4-FFF2-40B4-BE49-F238E27FC236}">
                <a16:creationId xmlns:a16="http://schemas.microsoft.com/office/drawing/2014/main" id="{787E7B0D-18F5-4C16-B882-4A2CEC5C365B}"/>
              </a:ext>
            </a:extLst>
          </xdr:cNvPr>
          <xdr:cNvCxnSpPr/>
        </xdr:nvCxnSpPr>
        <xdr:spPr>
          <a:xfrm>
            <a:off x="1457324" y="310357839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1" name="Straight Arrow Connector 2730">
            <a:extLst>
              <a:ext uri="{FF2B5EF4-FFF2-40B4-BE49-F238E27FC236}">
                <a16:creationId xmlns:a16="http://schemas.microsoft.com/office/drawing/2014/main" id="{BC766514-22C0-4D91-B636-5C621DA0CC54}"/>
              </a:ext>
            </a:extLst>
          </xdr:cNvPr>
          <xdr:cNvCxnSpPr/>
        </xdr:nvCxnSpPr>
        <xdr:spPr>
          <a:xfrm>
            <a:off x="1619250" y="310357838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2" name="Straight Arrow Connector 2731">
            <a:extLst>
              <a:ext uri="{FF2B5EF4-FFF2-40B4-BE49-F238E27FC236}">
                <a16:creationId xmlns:a16="http://schemas.microsoft.com/office/drawing/2014/main" id="{E97CD0BD-47CE-44D8-BD94-11FA5AC216CE}"/>
              </a:ext>
            </a:extLst>
          </xdr:cNvPr>
          <xdr:cNvCxnSpPr/>
        </xdr:nvCxnSpPr>
        <xdr:spPr>
          <a:xfrm>
            <a:off x="1781174" y="310357839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3" name="Straight Arrow Connector 2732">
            <a:extLst>
              <a:ext uri="{FF2B5EF4-FFF2-40B4-BE49-F238E27FC236}">
                <a16:creationId xmlns:a16="http://schemas.microsoft.com/office/drawing/2014/main" id="{7F05C82D-D032-4F8D-A431-DCDCF7DE9BFB}"/>
              </a:ext>
            </a:extLst>
          </xdr:cNvPr>
          <xdr:cNvCxnSpPr/>
        </xdr:nvCxnSpPr>
        <xdr:spPr>
          <a:xfrm>
            <a:off x="1943099" y="310357837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4" name="Straight Arrow Connector 2733">
            <a:extLst>
              <a:ext uri="{FF2B5EF4-FFF2-40B4-BE49-F238E27FC236}">
                <a16:creationId xmlns:a16="http://schemas.microsoft.com/office/drawing/2014/main" id="{6C343ED9-2FED-4E11-B70F-A503890991F9}"/>
              </a:ext>
            </a:extLst>
          </xdr:cNvPr>
          <xdr:cNvCxnSpPr/>
        </xdr:nvCxnSpPr>
        <xdr:spPr>
          <a:xfrm>
            <a:off x="2105023" y="310357838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5" name="Straight Arrow Connector 2734">
            <a:extLst>
              <a:ext uri="{FF2B5EF4-FFF2-40B4-BE49-F238E27FC236}">
                <a16:creationId xmlns:a16="http://schemas.microsoft.com/office/drawing/2014/main" id="{A6ABE7A4-F1C9-454E-9F8A-03D4173F50DF}"/>
              </a:ext>
            </a:extLst>
          </xdr:cNvPr>
          <xdr:cNvCxnSpPr/>
        </xdr:nvCxnSpPr>
        <xdr:spPr>
          <a:xfrm>
            <a:off x="2266949" y="310357837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6" name="Straight Arrow Connector 2735">
            <a:extLst>
              <a:ext uri="{FF2B5EF4-FFF2-40B4-BE49-F238E27FC236}">
                <a16:creationId xmlns:a16="http://schemas.microsoft.com/office/drawing/2014/main" id="{9D5347F2-2B5E-417E-B092-2C4F9557ED81}"/>
              </a:ext>
            </a:extLst>
          </xdr:cNvPr>
          <xdr:cNvCxnSpPr/>
        </xdr:nvCxnSpPr>
        <xdr:spPr>
          <a:xfrm>
            <a:off x="2428873" y="310357838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7" name="Straight Arrow Connector 2736">
            <a:extLst>
              <a:ext uri="{FF2B5EF4-FFF2-40B4-BE49-F238E27FC236}">
                <a16:creationId xmlns:a16="http://schemas.microsoft.com/office/drawing/2014/main" id="{82476A9B-D91A-4FF6-8DD9-441F36F31F17}"/>
              </a:ext>
            </a:extLst>
          </xdr:cNvPr>
          <xdr:cNvCxnSpPr/>
        </xdr:nvCxnSpPr>
        <xdr:spPr>
          <a:xfrm>
            <a:off x="2590799" y="310357837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8" name="Straight Arrow Connector 2737">
            <a:extLst>
              <a:ext uri="{FF2B5EF4-FFF2-40B4-BE49-F238E27FC236}">
                <a16:creationId xmlns:a16="http://schemas.microsoft.com/office/drawing/2014/main" id="{9E54F2D3-8CC1-4F1D-BF7A-A98B5119BC40}"/>
              </a:ext>
            </a:extLst>
          </xdr:cNvPr>
          <xdr:cNvCxnSpPr/>
        </xdr:nvCxnSpPr>
        <xdr:spPr>
          <a:xfrm>
            <a:off x="2752723" y="310357838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9" name="Straight Arrow Connector 2738">
            <a:extLst>
              <a:ext uri="{FF2B5EF4-FFF2-40B4-BE49-F238E27FC236}">
                <a16:creationId xmlns:a16="http://schemas.microsoft.com/office/drawing/2014/main" id="{0AE068AC-5CEA-462D-BE9C-9413053EBF64}"/>
              </a:ext>
            </a:extLst>
          </xdr:cNvPr>
          <xdr:cNvCxnSpPr/>
        </xdr:nvCxnSpPr>
        <xdr:spPr>
          <a:xfrm>
            <a:off x="2914649" y="310357837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0" name="Straight Connector 2739">
            <a:extLst>
              <a:ext uri="{FF2B5EF4-FFF2-40B4-BE49-F238E27FC236}">
                <a16:creationId xmlns:a16="http://schemas.microsoft.com/office/drawing/2014/main" id="{28C01E6D-D5E8-4FD9-B0C0-E1ABF6A83659}"/>
              </a:ext>
            </a:extLst>
          </xdr:cNvPr>
          <xdr:cNvCxnSpPr/>
        </xdr:nvCxnSpPr>
        <xdr:spPr>
          <a:xfrm>
            <a:off x="1285875" y="310357837"/>
            <a:ext cx="19526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1" name="Straight Arrow Connector 2740">
            <a:extLst>
              <a:ext uri="{FF2B5EF4-FFF2-40B4-BE49-F238E27FC236}">
                <a16:creationId xmlns:a16="http://schemas.microsoft.com/office/drawing/2014/main" id="{68B18E3F-F006-4A7B-8E78-E80CB034D351}"/>
              </a:ext>
            </a:extLst>
          </xdr:cNvPr>
          <xdr:cNvCxnSpPr/>
        </xdr:nvCxnSpPr>
        <xdr:spPr>
          <a:xfrm>
            <a:off x="3076575" y="310357836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2" name="Straight Connector 2741">
            <a:extLst>
              <a:ext uri="{FF2B5EF4-FFF2-40B4-BE49-F238E27FC236}">
                <a16:creationId xmlns:a16="http://schemas.microsoft.com/office/drawing/2014/main" id="{7418BBD8-E635-4D6E-8C92-5C8580B423FB}"/>
              </a:ext>
            </a:extLst>
          </xdr:cNvPr>
          <xdr:cNvCxnSpPr/>
        </xdr:nvCxnSpPr>
        <xdr:spPr>
          <a:xfrm flipH="1" flipV="1">
            <a:off x="2314575" y="310267350"/>
            <a:ext cx="114300" cy="17145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0</xdr:colOff>
      <xdr:row>2959</xdr:row>
      <xdr:rowOff>9525</xdr:rowOff>
    </xdr:from>
    <xdr:to>
      <xdr:col>58</xdr:col>
      <xdr:colOff>71438</xdr:colOff>
      <xdr:row>2969</xdr:row>
      <xdr:rowOff>90488</xdr:rowOff>
    </xdr:to>
    <xdr:grpSp>
      <xdr:nvGrpSpPr>
        <xdr:cNvPr id="2766" name="Group 2765">
          <a:extLst>
            <a:ext uri="{FF2B5EF4-FFF2-40B4-BE49-F238E27FC236}">
              <a16:creationId xmlns:a16="http://schemas.microsoft.com/office/drawing/2014/main" id="{39D0D96C-A56D-F733-C854-34A81587C73D}"/>
            </a:ext>
          </a:extLst>
        </xdr:cNvPr>
        <xdr:cNvGrpSpPr/>
      </xdr:nvGrpSpPr>
      <xdr:grpSpPr>
        <a:xfrm>
          <a:off x="7286625" y="443417325"/>
          <a:ext cx="2176463" cy="1509713"/>
          <a:chOff x="7286625" y="310010175"/>
          <a:chExt cx="2176463" cy="1509713"/>
        </a:xfrm>
      </xdr:grpSpPr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BDFF237A-034A-447A-AEE5-1261CD595870}"/>
              </a:ext>
            </a:extLst>
          </xdr:cNvPr>
          <xdr:cNvSpPr/>
        </xdr:nvSpPr>
        <xdr:spPr>
          <a:xfrm>
            <a:off x="7424738" y="310857891"/>
            <a:ext cx="1981194" cy="1428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700" name="Straight Arrow Connector 699">
            <a:extLst>
              <a:ext uri="{FF2B5EF4-FFF2-40B4-BE49-F238E27FC236}">
                <a16:creationId xmlns:a16="http://schemas.microsoft.com/office/drawing/2014/main" id="{7F186F99-B2FF-403A-ACC0-2612464F6D86}"/>
              </a:ext>
            </a:extLst>
          </xdr:cNvPr>
          <xdr:cNvCxnSpPr/>
        </xdr:nvCxnSpPr>
        <xdr:spPr>
          <a:xfrm>
            <a:off x="9391649" y="310010175"/>
            <a:ext cx="0" cy="423863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" name="Straight Connector 700">
            <a:extLst>
              <a:ext uri="{FF2B5EF4-FFF2-40B4-BE49-F238E27FC236}">
                <a16:creationId xmlns:a16="http://schemas.microsoft.com/office/drawing/2014/main" id="{0EB37944-7331-4786-BB81-C463A57CEBA6}"/>
              </a:ext>
            </a:extLst>
          </xdr:cNvPr>
          <xdr:cNvCxnSpPr/>
        </xdr:nvCxnSpPr>
        <xdr:spPr>
          <a:xfrm>
            <a:off x="7448551" y="311229375"/>
            <a:ext cx="0" cy="290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" name="Straight Connector 702">
            <a:extLst>
              <a:ext uri="{FF2B5EF4-FFF2-40B4-BE49-F238E27FC236}">
                <a16:creationId xmlns:a16="http://schemas.microsoft.com/office/drawing/2014/main" id="{4D0A25EB-BC82-4897-9B5D-4409069882C7}"/>
              </a:ext>
            </a:extLst>
          </xdr:cNvPr>
          <xdr:cNvCxnSpPr/>
        </xdr:nvCxnSpPr>
        <xdr:spPr>
          <a:xfrm>
            <a:off x="7372350" y="311429400"/>
            <a:ext cx="2090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" name="Straight Connector 703">
            <a:extLst>
              <a:ext uri="{FF2B5EF4-FFF2-40B4-BE49-F238E27FC236}">
                <a16:creationId xmlns:a16="http://schemas.microsoft.com/office/drawing/2014/main" id="{CB18F429-AAE2-4953-B0F9-2B12F068A7B6}"/>
              </a:ext>
            </a:extLst>
          </xdr:cNvPr>
          <xdr:cNvCxnSpPr/>
        </xdr:nvCxnSpPr>
        <xdr:spPr>
          <a:xfrm flipH="1">
            <a:off x="7410450" y="3113913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" name="Straight Connector 704">
            <a:extLst>
              <a:ext uri="{FF2B5EF4-FFF2-40B4-BE49-F238E27FC236}">
                <a16:creationId xmlns:a16="http://schemas.microsoft.com/office/drawing/2014/main" id="{EC97C322-9FF6-48E4-B7AA-CA596CA2FEC1}"/>
              </a:ext>
            </a:extLst>
          </xdr:cNvPr>
          <xdr:cNvCxnSpPr/>
        </xdr:nvCxnSpPr>
        <xdr:spPr>
          <a:xfrm>
            <a:off x="9391651" y="311076975"/>
            <a:ext cx="0" cy="442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Straight Connector 705">
            <a:extLst>
              <a:ext uri="{FF2B5EF4-FFF2-40B4-BE49-F238E27FC236}">
                <a16:creationId xmlns:a16="http://schemas.microsoft.com/office/drawing/2014/main" id="{8CB0B6F8-AA00-47DE-990C-780D7231D0D8}"/>
              </a:ext>
            </a:extLst>
          </xdr:cNvPr>
          <xdr:cNvCxnSpPr/>
        </xdr:nvCxnSpPr>
        <xdr:spPr>
          <a:xfrm flipH="1">
            <a:off x="9353550" y="3113913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C88031D0-E8B0-4CD7-B373-2B40D5BCB351}"/>
              </a:ext>
            </a:extLst>
          </xdr:cNvPr>
          <xdr:cNvSpPr/>
        </xdr:nvSpPr>
        <xdr:spPr>
          <a:xfrm>
            <a:off x="7439025" y="310434029"/>
            <a:ext cx="1957388" cy="1428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75332579-BE1B-4E31-BF52-72236751CDCA}"/>
              </a:ext>
            </a:extLst>
          </xdr:cNvPr>
          <xdr:cNvSpPr/>
        </xdr:nvSpPr>
        <xdr:spPr>
          <a:xfrm>
            <a:off x="7434263" y="310576905"/>
            <a:ext cx="1962150" cy="1428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87E13964-8C6D-4C0D-B94C-D7144784323A}"/>
              </a:ext>
            </a:extLst>
          </xdr:cNvPr>
          <xdr:cNvSpPr/>
        </xdr:nvSpPr>
        <xdr:spPr>
          <a:xfrm>
            <a:off x="7424737" y="310719779"/>
            <a:ext cx="1981194" cy="1428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8FB99185-E720-4751-AC8E-274D662020E5}"/>
              </a:ext>
            </a:extLst>
          </xdr:cNvPr>
          <xdr:cNvSpPr/>
        </xdr:nvSpPr>
        <xdr:spPr>
          <a:xfrm>
            <a:off x="7286625" y="310286399"/>
            <a:ext cx="152400" cy="8524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97" name="Straight Connector 696">
            <a:extLst>
              <a:ext uri="{FF2B5EF4-FFF2-40B4-BE49-F238E27FC236}">
                <a16:creationId xmlns:a16="http://schemas.microsoft.com/office/drawing/2014/main" id="{145BD032-E2D2-474F-953A-7CFE82760105}"/>
              </a:ext>
            </a:extLst>
          </xdr:cNvPr>
          <xdr:cNvCxnSpPr/>
        </xdr:nvCxnSpPr>
        <xdr:spPr>
          <a:xfrm>
            <a:off x="7453312" y="310272112"/>
            <a:ext cx="0" cy="8715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4" name="Straight Arrow Connector 2743">
            <a:extLst>
              <a:ext uri="{FF2B5EF4-FFF2-40B4-BE49-F238E27FC236}">
                <a16:creationId xmlns:a16="http://schemas.microsoft.com/office/drawing/2014/main" id="{8AF745A3-6C6B-4FC4-95BC-874549FCD574}"/>
              </a:ext>
            </a:extLst>
          </xdr:cNvPr>
          <xdr:cNvCxnSpPr/>
        </xdr:nvCxnSpPr>
        <xdr:spPr>
          <a:xfrm>
            <a:off x="7615238" y="310205437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5" name="Straight Arrow Connector 2744">
            <a:extLst>
              <a:ext uri="{FF2B5EF4-FFF2-40B4-BE49-F238E27FC236}">
                <a16:creationId xmlns:a16="http://schemas.microsoft.com/office/drawing/2014/main" id="{D0611703-F54D-4F33-A44F-8C8AD01C3521}"/>
              </a:ext>
            </a:extLst>
          </xdr:cNvPr>
          <xdr:cNvCxnSpPr/>
        </xdr:nvCxnSpPr>
        <xdr:spPr>
          <a:xfrm>
            <a:off x="7777162" y="310205438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6" name="Straight Arrow Connector 2745">
            <a:extLst>
              <a:ext uri="{FF2B5EF4-FFF2-40B4-BE49-F238E27FC236}">
                <a16:creationId xmlns:a16="http://schemas.microsoft.com/office/drawing/2014/main" id="{BB026C6F-AE2F-4E29-B4DE-A98FDC4D3B62}"/>
              </a:ext>
            </a:extLst>
          </xdr:cNvPr>
          <xdr:cNvCxnSpPr/>
        </xdr:nvCxnSpPr>
        <xdr:spPr>
          <a:xfrm>
            <a:off x="7939088" y="310205437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7" name="Straight Arrow Connector 2746">
            <a:extLst>
              <a:ext uri="{FF2B5EF4-FFF2-40B4-BE49-F238E27FC236}">
                <a16:creationId xmlns:a16="http://schemas.microsoft.com/office/drawing/2014/main" id="{73033613-9501-441D-AE1B-1ED0725A441F}"/>
              </a:ext>
            </a:extLst>
          </xdr:cNvPr>
          <xdr:cNvCxnSpPr/>
        </xdr:nvCxnSpPr>
        <xdr:spPr>
          <a:xfrm>
            <a:off x="8101012" y="310205438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8" name="Straight Arrow Connector 2747">
            <a:extLst>
              <a:ext uri="{FF2B5EF4-FFF2-40B4-BE49-F238E27FC236}">
                <a16:creationId xmlns:a16="http://schemas.microsoft.com/office/drawing/2014/main" id="{516C71C6-5902-410D-99A1-BABACDF40DA2}"/>
              </a:ext>
            </a:extLst>
          </xdr:cNvPr>
          <xdr:cNvCxnSpPr/>
        </xdr:nvCxnSpPr>
        <xdr:spPr>
          <a:xfrm>
            <a:off x="8262937" y="310205436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9" name="Straight Arrow Connector 2748">
            <a:extLst>
              <a:ext uri="{FF2B5EF4-FFF2-40B4-BE49-F238E27FC236}">
                <a16:creationId xmlns:a16="http://schemas.microsoft.com/office/drawing/2014/main" id="{2C4FC464-04FC-40DA-B735-66312FD69123}"/>
              </a:ext>
            </a:extLst>
          </xdr:cNvPr>
          <xdr:cNvCxnSpPr/>
        </xdr:nvCxnSpPr>
        <xdr:spPr>
          <a:xfrm>
            <a:off x="8424861" y="310205437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0" name="Straight Arrow Connector 2749">
            <a:extLst>
              <a:ext uri="{FF2B5EF4-FFF2-40B4-BE49-F238E27FC236}">
                <a16:creationId xmlns:a16="http://schemas.microsoft.com/office/drawing/2014/main" id="{2C9FF85D-04A0-4A16-84C8-BED1055DDB6B}"/>
              </a:ext>
            </a:extLst>
          </xdr:cNvPr>
          <xdr:cNvCxnSpPr/>
        </xdr:nvCxnSpPr>
        <xdr:spPr>
          <a:xfrm>
            <a:off x="8586787" y="310205436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1" name="Straight Arrow Connector 2750">
            <a:extLst>
              <a:ext uri="{FF2B5EF4-FFF2-40B4-BE49-F238E27FC236}">
                <a16:creationId xmlns:a16="http://schemas.microsoft.com/office/drawing/2014/main" id="{087987F7-9750-4B27-96EC-0EB3BC6C1FA5}"/>
              </a:ext>
            </a:extLst>
          </xdr:cNvPr>
          <xdr:cNvCxnSpPr/>
        </xdr:nvCxnSpPr>
        <xdr:spPr>
          <a:xfrm>
            <a:off x="8748711" y="310205437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2" name="Straight Arrow Connector 2751">
            <a:extLst>
              <a:ext uri="{FF2B5EF4-FFF2-40B4-BE49-F238E27FC236}">
                <a16:creationId xmlns:a16="http://schemas.microsoft.com/office/drawing/2014/main" id="{25DF96B6-4D7E-4C98-91DC-6B1D80923A62}"/>
              </a:ext>
            </a:extLst>
          </xdr:cNvPr>
          <xdr:cNvCxnSpPr/>
        </xdr:nvCxnSpPr>
        <xdr:spPr>
          <a:xfrm>
            <a:off x="8910637" y="310205436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3" name="Straight Arrow Connector 2752">
            <a:extLst>
              <a:ext uri="{FF2B5EF4-FFF2-40B4-BE49-F238E27FC236}">
                <a16:creationId xmlns:a16="http://schemas.microsoft.com/office/drawing/2014/main" id="{F7A5ECB4-4469-40FE-8297-5CC70FF93E9E}"/>
              </a:ext>
            </a:extLst>
          </xdr:cNvPr>
          <xdr:cNvCxnSpPr/>
        </xdr:nvCxnSpPr>
        <xdr:spPr>
          <a:xfrm>
            <a:off x="9072561" y="310205437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4" name="Straight Arrow Connector 2753">
            <a:extLst>
              <a:ext uri="{FF2B5EF4-FFF2-40B4-BE49-F238E27FC236}">
                <a16:creationId xmlns:a16="http://schemas.microsoft.com/office/drawing/2014/main" id="{ADCB6CB0-60AF-4511-8845-030A2AEBB66F}"/>
              </a:ext>
            </a:extLst>
          </xdr:cNvPr>
          <xdr:cNvCxnSpPr/>
        </xdr:nvCxnSpPr>
        <xdr:spPr>
          <a:xfrm>
            <a:off x="9234487" y="310205436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5" name="Straight Connector 2754">
            <a:extLst>
              <a:ext uri="{FF2B5EF4-FFF2-40B4-BE49-F238E27FC236}">
                <a16:creationId xmlns:a16="http://schemas.microsoft.com/office/drawing/2014/main" id="{01568773-1DBC-4A0D-B5A5-2B0BDB1AD15C}"/>
              </a:ext>
            </a:extLst>
          </xdr:cNvPr>
          <xdr:cNvCxnSpPr/>
        </xdr:nvCxnSpPr>
        <xdr:spPr>
          <a:xfrm>
            <a:off x="7448550" y="310200675"/>
            <a:ext cx="19526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6" name="Straight Arrow Connector 2755">
            <a:extLst>
              <a:ext uri="{FF2B5EF4-FFF2-40B4-BE49-F238E27FC236}">
                <a16:creationId xmlns:a16="http://schemas.microsoft.com/office/drawing/2014/main" id="{A651875C-30DC-4D12-9066-71B0E951503A}"/>
              </a:ext>
            </a:extLst>
          </xdr:cNvPr>
          <xdr:cNvCxnSpPr/>
        </xdr:nvCxnSpPr>
        <xdr:spPr>
          <a:xfrm>
            <a:off x="7453312" y="310205439"/>
            <a:ext cx="0" cy="20955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7" name="Straight Connector 2756">
            <a:extLst>
              <a:ext uri="{FF2B5EF4-FFF2-40B4-BE49-F238E27FC236}">
                <a16:creationId xmlns:a16="http://schemas.microsoft.com/office/drawing/2014/main" id="{9A67127E-D363-4CD4-9D76-4F84265DC36F}"/>
              </a:ext>
            </a:extLst>
          </xdr:cNvPr>
          <xdr:cNvCxnSpPr/>
        </xdr:nvCxnSpPr>
        <xdr:spPr>
          <a:xfrm flipH="1" flipV="1">
            <a:off x="8472487" y="310124475"/>
            <a:ext cx="114300" cy="17145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62</xdr:col>
      <xdr:colOff>157163</xdr:colOff>
      <xdr:row>1995</xdr:row>
      <xdr:rowOff>1</xdr:rowOff>
    </xdr:from>
    <xdr:to>
      <xdr:col>71</xdr:col>
      <xdr:colOff>4762</xdr:colOff>
      <xdr:row>2006</xdr:row>
      <xdr:rowOff>9</xdr:rowOff>
    </xdr:to>
    <xdr:grpSp>
      <xdr:nvGrpSpPr>
        <xdr:cNvPr id="2768" name="Group 2767">
          <a:extLst>
            <a:ext uri="{FF2B5EF4-FFF2-40B4-BE49-F238E27FC236}">
              <a16:creationId xmlns:a16="http://schemas.microsoft.com/office/drawing/2014/main" id="{CA1B5E03-CFF5-45B4-8B13-1CB2AA4A341E}"/>
            </a:ext>
          </a:extLst>
        </xdr:cNvPr>
        <xdr:cNvGrpSpPr/>
      </xdr:nvGrpSpPr>
      <xdr:grpSpPr>
        <a:xfrm>
          <a:off x="10196513" y="301009051"/>
          <a:ext cx="1304924" cy="1571633"/>
          <a:chOff x="1290638" y="5572125"/>
          <a:chExt cx="1304924" cy="1571633"/>
        </a:xfrm>
      </xdr:grpSpPr>
      <xdr:cxnSp macro="">
        <xdr:nvCxnSpPr>
          <xdr:cNvPr id="2769" name="Straight Connector 2768">
            <a:extLst>
              <a:ext uri="{FF2B5EF4-FFF2-40B4-BE49-F238E27FC236}">
                <a16:creationId xmlns:a16="http://schemas.microsoft.com/office/drawing/2014/main" id="{F00D8348-A041-8683-DD91-EC2B8343FADB}"/>
              </a:ext>
            </a:extLst>
          </xdr:cNvPr>
          <xdr:cNvCxnSpPr/>
        </xdr:nvCxnSpPr>
        <xdr:spPr>
          <a:xfrm>
            <a:off x="1290638" y="5572126"/>
            <a:ext cx="12954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0" name="Straight Connector 2769">
            <a:extLst>
              <a:ext uri="{FF2B5EF4-FFF2-40B4-BE49-F238E27FC236}">
                <a16:creationId xmlns:a16="http://schemas.microsoft.com/office/drawing/2014/main" id="{34985899-7C8B-DCA7-BE70-D8A9F8D7C4EF}"/>
              </a:ext>
            </a:extLst>
          </xdr:cNvPr>
          <xdr:cNvCxnSpPr/>
        </xdr:nvCxnSpPr>
        <xdr:spPr>
          <a:xfrm>
            <a:off x="1295400" y="5715001"/>
            <a:ext cx="5191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1" name="Straight Connector 2770">
            <a:extLst>
              <a:ext uri="{FF2B5EF4-FFF2-40B4-BE49-F238E27FC236}">
                <a16:creationId xmlns:a16="http://schemas.microsoft.com/office/drawing/2014/main" id="{C2EE3046-C7E9-DD6A-4CDF-4E0953F977A3}"/>
              </a:ext>
            </a:extLst>
          </xdr:cNvPr>
          <xdr:cNvCxnSpPr/>
        </xdr:nvCxnSpPr>
        <xdr:spPr>
          <a:xfrm>
            <a:off x="1895475" y="5810250"/>
            <a:ext cx="0" cy="10906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72" name="Arc 2771">
            <a:extLst>
              <a:ext uri="{FF2B5EF4-FFF2-40B4-BE49-F238E27FC236}">
                <a16:creationId xmlns:a16="http://schemas.microsoft.com/office/drawing/2014/main" id="{B62E5910-9A18-5889-7BF1-D33FC0A06243}"/>
              </a:ext>
            </a:extLst>
          </xdr:cNvPr>
          <xdr:cNvSpPr/>
        </xdr:nvSpPr>
        <xdr:spPr>
          <a:xfrm>
            <a:off x="1685926" y="5715000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73" name="Straight Connector 2772">
            <a:extLst>
              <a:ext uri="{FF2B5EF4-FFF2-40B4-BE49-F238E27FC236}">
                <a16:creationId xmlns:a16="http://schemas.microsoft.com/office/drawing/2014/main" id="{4107FA8D-0017-2155-B73E-F6D21590CACC}"/>
              </a:ext>
            </a:extLst>
          </xdr:cNvPr>
          <xdr:cNvCxnSpPr/>
        </xdr:nvCxnSpPr>
        <xdr:spPr>
          <a:xfrm>
            <a:off x="1990725" y="5805487"/>
            <a:ext cx="0" cy="111442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4" name="Straight Connector 2773">
            <a:extLst>
              <a:ext uri="{FF2B5EF4-FFF2-40B4-BE49-F238E27FC236}">
                <a16:creationId xmlns:a16="http://schemas.microsoft.com/office/drawing/2014/main" id="{319A24D1-07A3-A718-C0FE-6D61BDB21CBA}"/>
              </a:ext>
            </a:extLst>
          </xdr:cNvPr>
          <xdr:cNvCxnSpPr/>
        </xdr:nvCxnSpPr>
        <xdr:spPr>
          <a:xfrm>
            <a:off x="2095500" y="5715001"/>
            <a:ext cx="4953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5" name="Straight Connector 2774">
            <a:extLst>
              <a:ext uri="{FF2B5EF4-FFF2-40B4-BE49-F238E27FC236}">
                <a16:creationId xmlns:a16="http://schemas.microsoft.com/office/drawing/2014/main" id="{E5BE5510-6492-6FDA-50B5-E1B67EDC0A38}"/>
              </a:ext>
            </a:extLst>
          </xdr:cNvPr>
          <xdr:cNvCxnSpPr/>
        </xdr:nvCxnSpPr>
        <xdr:spPr>
          <a:xfrm>
            <a:off x="2586038" y="5572125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6" name="Straight Connector 2775">
            <a:extLst>
              <a:ext uri="{FF2B5EF4-FFF2-40B4-BE49-F238E27FC236}">
                <a16:creationId xmlns:a16="http://schemas.microsoft.com/office/drawing/2014/main" id="{300E4063-D4ED-C40E-26D2-0BB4D167F209}"/>
              </a:ext>
            </a:extLst>
          </xdr:cNvPr>
          <xdr:cNvCxnSpPr/>
        </xdr:nvCxnSpPr>
        <xdr:spPr>
          <a:xfrm>
            <a:off x="1295400" y="5572126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77" name="Arc 2776">
            <a:extLst>
              <a:ext uri="{FF2B5EF4-FFF2-40B4-BE49-F238E27FC236}">
                <a16:creationId xmlns:a16="http://schemas.microsoft.com/office/drawing/2014/main" id="{289780DD-ED58-27D4-1E85-7EFE29D86676}"/>
              </a:ext>
            </a:extLst>
          </xdr:cNvPr>
          <xdr:cNvSpPr/>
        </xdr:nvSpPr>
        <xdr:spPr>
          <a:xfrm rot="16200000">
            <a:off x="1990725" y="5715000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78" name="Straight Connector 2777">
            <a:extLst>
              <a:ext uri="{FF2B5EF4-FFF2-40B4-BE49-F238E27FC236}">
                <a16:creationId xmlns:a16="http://schemas.microsoft.com/office/drawing/2014/main" id="{EA255006-658B-C36D-1471-50E2501D1C63}"/>
              </a:ext>
            </a:extLst>
          </xdr:cNvPr>
          <xdr:cNvCxnSpPr/>
        </xdr:nvCxnSpPr>
        <xdr:spPr>
          <a:xfrm>
            <a:off x="1295400" y="7143758"/>
            <a:ext cx="12954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9" name="Straight Connector 2778">
            <a:extLst>
              <a:ext uri="{FF2B5EF4-FFF2-40B4-BE49-F238E27FC236}">
                <a16:creationId xmlns:a16="http://schemas.microsoft.com/office/drawing/2014/main" id="{0613D416-265F-0EE2-3F2D-75F8DC2127C4}"/>
              </a:ext>
            </a:extLst>
          </xdr:cNvPr>
          <xdr:cNvCxnSpPr/>
        </xdr:nvCxnSpPr>
        <xdr:spPr>
          <a:xfrm>
            <a:off x="1300162" y="7000876"/>
            <a:ext cx="5191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0" name="Straight Connector 2779">
            <a:extLst>
              <a:ext uri="{FF2B5EF4-FFF2-40B4-BE49-F238E27FC236}">
                <a16:creationId xmlns:a16="http://schemas.microsoft.com/office/drawing/2014/main" id="{D0A7BA21-4729-EA85-E243-5325FAB6FF6A}"/>
              </a:ext>
            </a:extLst>
          </xdr:cNvPr>
          <xdr:cNvCxnSpPr/>
        </xdr:nvCxnSpPr>
        <xdr:spPr>
          <a:xfrm>
            <a:off x="2100262" y="7000876"/>
            <a:ext cx="4953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1" name="Straight Connector 2780">
            <a:extLst>
              <a:ext uri="{FF2B5EF4-FFF2-40B4-BE49-F238E27FC236}">
                <a16:creationId xmlns:a16="http://schemas.microsoft.com/office/drawing/2014/main" id="{2BB46CA8-C7D3-7529-9C25-F80601EC284A}"/>
              </a:ext>
            </a:extLst>
          </xdr:cNvPr>
          <xdr:cNvCxnSpPr/>
        </xdr:nvCxnSpPr>
        <xdr:spPr>
          <a:xfrm>
            <a:off x="2590800" y="7000875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2" name="Straight Connector 2781">
            <a:extLst>
              <a:ext uri="{FF2B5EF4-FFF2-40B4-BE49-F238E27FC236}">
                <a16:creationId xmlns:a16="http://schemas.microsoft.com/office/drawing/2014/main" id="{FF1D9BEC-75D5-2C8C-C632-B0C404D77BF6}"/>
              </a:ext>
            </a:extLst>
          </xdr:cNvPr>
          <xdr:cNvCxnSpPr/>
        </xdr:nvCxnSpPr>
        <xdr:spPr>
          <a:xfrm>
            <a:off x="1300162" y="7000876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83" name="Arc 2782">
            <a:extLst>
              <a:ext uri="{FF2B5EF4-FFF2-40B4-BE49-F238E27FC236}">
                <a16:creationId xmlns:a16="http://schemas.microsoft.com/office/drawing/2014/main" id="{CE7DC2A3-1E56-0CDA-4648-8462788B1F4C}"/>
              </a:ext>
            </a:extLst>
          </xdr:cNvPr>
          <xdr:cNvSpPr/>
        </xdr:nvSpPr>
        <xdr:spPr>
          <a:xfrm rot="5400000">
            <a:off x="1685924" y="679132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84" name="Arc 2783">
            <a:extLst>
              <a:ext uri="{FF2B5EF4-FFF2-40B4-BE49-F238E27FC236}">
                <a16:creationId xmlns:a16="http://schemas.microsoft.com/office/drawing/2014/main" id="{CA8E62AD-230C-1CFD-2700-D73765E4E121}"/>
              </a:ext>
            </a:extLst>
          </xdr:cNvPr>
          <xdr:cNvSpPr/>
        </xdr:nvSpPr>
        <xdr:spPr>
          <a:xfrm rot="10800000">
            <a:off x="1990726" y="6791325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40</xdr:col>
      <xdr:colOff>95250</xdr:colOff>
      <xdr:row>1563</xdr:row>
      <xdr:rowOff>71438</xdr:rowOff>
    </xdr:from>
    <xdr:to>
      <xdr:col>45</xdr:col>
      <xdr:colOff>61913</xdr:colOff>
      <xdr:row>1569</xdr:row>
      <xdr:rowOff>71438</xdr:rowOff>
    </xdr:to>
    <xdr:grpSp>
      <xdr:nvGrpSpPr>
        <xdr:cNvPr id="2804" name="Group 2803">
          <a:extLst>
            <a:ext uri="{FF2B5EF4-FFF2-40B4-BE49-F238E27FC236}">
              <a16:creationId xmlns:a16="http://schemas.microsoft.com/office/drawing/2014/main" id="{27FCFA8E-51D0-4859-A8C0-0503BB078B53}"/>
            </a:ext>
          </a:extLst>
        </xdr:cNvPr>
        <xdr:cNvGrpSpPr/>
      </xdr:nvGrpSpPr>
      <xdr:grpSpPr>
        <a:xfrm>
          <a:off x="6572250" y="235519913"/>
          <a:ext cx="776288" cy="857250"/>
          <a:chOff x="8029575" y="182227538"/>
          <a:chExt cx="776288" cy="857250"/>
        </a:xfrm>
      </xdr:grpSpPr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7C328E47-196C-33A7-6DCF-F5954E407C89}"/>
              </a:ext>
            </a:extLst>
          </xdr:cNvPr>
          <xdr:cNvSpPr/>
        </xdr:nvSpPr>
        <xdr:spPr>
          <a:xfrm>
            <a:off x="8096250" y="182303738"/>
            <a:ext cx="323850" cy="42386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806" name="Straight Connector 2805">
            <a:extLst>
              <a:ext uri="{FF2B5EF4-FFF2-40B4-BE49-F238E27FC236}">
                <a16:creationId xmlns:a16="http://schemas.microsoft.com/office/drawing/2014/main" id="{2EB110FF-681D-B9A2-C75B-00927ECBBAD1}"/>
              </a:ext>
            </a:extLst>
          </xdr:cNvPr>
          <xdr:cNvCxnSpPr/>
        </xdr:nvCxnSpPr>
        <xdr:spPr>
          <a:xfrm>
            <a:off x="8096250" y="18279903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7" name="Straight Connector 2806">
            <a:extLst>
              <a:ext uri="{FF2B5EF4-FFF2-40B4-BE49-F238E27FC236}">
                <a16:creationId xmlns:a16="http://schemas.microsoft.com/office/drawing/2014/main" id="{C54E2673-6592-4251-FD6D-2C61F7E7579E}"/>
              </a:ext>
            </a:extLst>
          </xdr:cNvPr>
          <xdr:cNvCxnSpPr/>
        </xdr:nvCxnSpPr>
        <xdr:spPr>
          <a:xfrm>
            <a:off x="8029575" y="183013350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8" name="Straight Connector 2807">
            <a:extLst>
              <a:ext uri="{FF2B5EF4-FFF2-40B4-BE49-F238E27FC236}">
                <a16:creationId xmlns:a16="http://schemas.microsoft.com/office/drawing/2014/main" id="{1F465F06-1A2C-94F1-C9BF-D86AC84F9823}"/>
              </a:ext>
            </a:extLst>
          </xdr:cNvPr>
          <xdr:cNvCxnSpPr/>
        </xdr:nvCxnSpPr>
        <xdr:spPr>
          <a:xfrm flipH="1">
            <a:off x="8062913" y="1829800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9" name="Straight Connector 2808">
            <a:extLst>
              <a:ext uri="{FF2B5EF4-FFF2-40B4-BE49-F238E27FC236}">
                <a16:creationId xmlns:a16="http://schemas.microsoft.com/office/drawing/2014/main" id="{1BE60D67-FA62-AC82-4C79-DAC1FDF3709C}"/>
              </a:ext>
            </a:extLst>
          </xdr:cNvPr>
          <xdr:cNvCxnSpPr/>
        </xdr:nvCxnSpPr>
        <xdr:spPr>
          <a:xfrm>
            <a:off x="8420100" y="18279903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0" name="Straight Connector 2809">
            <a:extLst>
              <a:ext uri="{FF2B5EF4-FFF2-40B4-BE49-F238E27FC236}">
                <a16:creationId xmlns:a16="http://schemas.microsoft.com/office/drawing/2014/main" id="{97A0C013-DEC1-C8BB-0206-6020BBBC0F18}"/>
              </a:ext>
            </a:extLst>
          </xdr:cNvPr>
          <xdr:cNvCxnSpPr/>
        </xdr:nvCxnSpPr>
        <xdr:spPr>
          <a:xfrm flipH="1">
            <a:off x="8386763" y="1829800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1" name="Straight Connector 2810">
            <a:extLst>
              <a:ext uri="{FF2B5EF4-FFF2-40B4-BE49-F238E27FC236}">
                <a16:creationId xmlns:a16="http://schemas.microsoft.com/office/drawing/2014/main" id="{E65BB8CE-4A4A-E1A5-7E65-C2A849B4E485}"/>
              </a:ext>
            </a:extLst>
          </xdr:cNvPr>
          <xdr:cNvCxnSpPr/>
        </xdr:nvCxnSpPr>
        <xdr:spPr>
          <a:xfrm>
            <a:off x="8477247" y="182298976"/>
            <a:ext cx="3286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2" name="Straight Connector 2811">
            <a:extLst>
              <a:ext uri="{FF2B5EF4-FFF2-40B4-BE49-F238E27FC236}">
                <a16:creationId xmlns:a16="http://schemas.microsoft.com/office/drawing/2014/main" id="{3C525E28-8A9B-EABD-A8E1-20BB3A120977}"/>
              </a:ext>
            </a:extLst>
          </xdr:cNvPr>
          <xdr:cNvCxnSpPr/>
        </xdr:nvCxnSpPr>
        <xdr:spPr>
          <a:xfrm>
            <a:off x="8472488" y="182727601"/>
            <a:ext cx="328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3" name="Straight Connector 2812">
            <a:extLst>
              <a:ext uri="{FF2B5EF4-FFF2-40B4-BE49-F238E27FC236}">
                <a16:creationId xmlns:a16="http://schemas.microsoft.com/office/drawing/2014/main" id="{E7F72528-B27B-CF1E-3B7B-8B3A106681C2}"/>
              </a:ext>
            </a:extLst>
          </xdr:cNvPr>
          <xdr:cNvCxnSpPr/>
        </xdr:nvCxnSpPr>
        <xdr:spPr>
          <a:xfrm>
            <a:off x="8743950" y="182227538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4" name="Straight Connector 2813">
            <a:extLst>
              <a:ext uri="{FF2B5EF4-FFF2-40B4-BE49-F238E27FC236}">
                <a16:creationId xmlns:a16="http://schemas.microsoft.com/office/drawing/2014/main" id="{79471809-9E3F-11C7-A16F-32E39D47F70E}"/>
              </a:ext>
            </a:extLst>
          </xdr:cNvPr>
          <xdr:cNvCxnSpPr/>
        </xdr:nvCxnSpPr>
        <xdr:spPr>
          <a:xfrm flipH="1">
            <a:off x="8710608" y="18226564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5" name="Straight Connector 2814">
            <a:extLst>
              <a:ext uri="{FF2B5EF4-FFF2-40B4-BE49-F238E27FC236}">
                <a16:creationId xmlns:a16="http://schemas.microsoft.com/office/drawing/2014/main" id="{44459782-AA39-CA4F-546D-41BFE22309E1}"/>
              </a:ext>
            </a:extLst>
          </xdr:cNvPr>
          <xdr:cNvCxnSpPr/>
        </xdr:nvCxnSpPr>
        <xdr:spPr>
          <a:xfrm flipH="1">
            <a:off x="8710603" y="18269427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48</xdr:col>
      <xdr:colOff>95250</xdr:colOff>
      <xdr:row>1563</xdr:row>
      <xdr:rowOff>71438</xdr:rowOff>
    </xdr:from>
    <xdr:to>
      <xdr:col>53</xdr:col>
      <xdr:colOff>61913</xdr:colOff>
      <xdr:row>1571</xdr:row>
      <xdr:rowOff>71438</xdr:rowOff>
    </xdr:to>
    <xdr:grpSp>
      <xdr:nvGrpSpPr>
        <xdr:cNvPr id="669" name="Group 668">
          <a:extLst>
            <a:ext uri="{FF2B5EF4-FFF2-40B4-BE49-F238E27FC236}">
              <a16:creationId xmlns:a16="http://schemas.microsoft.com/office/drawing/2014/main" id="{DB603A52-15FF-4A5A-84D3-1510942E771F}"/>
            </a:ext>
          </a:extLst>
        </xdr:cNvPr>
        <xdr:cNvGrpSpPr/>
      </xdr:nvGrpSpPr>
      <xdr:grpSpPr>
        <a:xfrm>
          <a:off x="7867650" y="235519913"/>
          <a:ext cx="776288" cy="1143000"/>
          <a:chOff x="9648825" y="251493338"/>
          <a:chExt cx="776288" cy="1143000"/>
        </a:xfrm>
      </xdr:grpSpPr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640520D2-6EFF-E578-6057-B8301FB310BE}"/>
              </a:ext>
            </a:extLst>
          </xdr:cNvPr>
          <xdr:cNvSpPr/>
        </xdr:nvSpPr>
        <xdr:spPr>
          <a:xfrm>
            <a:off x="9715500" y="251569538"/>
            <a:ext cx="323850" cy="70961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675" name="Straight Connector 674">
            <a:extLst>
              <a:ext uri="{FF2B5EF4-FFF2-40B4-BE49-F238E27FC236}">
                <a16:creationId xmlns:a16="http://schemas.microsoft.com/office/drawing/2014/main" id="{76A9D3F5-2E3A-C44B-FB7C-677CC81B929E}"/>
              </a:ext>
            </a:extLst>
          </xdr:cNvPr>
          <xdr:cNvCxnSpPr/>
        </xdr:nvCxnSpPr>
        <xdr:spPr>
          <a:xfrm>
            <a:off x="9715500" y="25235058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" name="Straight Connector 677">
            <a:extLst>
              <a:ext uri="{FF2B5EF4-FFF2-40B4-BE49-F238E27FC236}">
                <a16:creationId xmlns:a16="http://schemas.microsoft.com/office/drawing/2014/main" id="{B3B8171F-F5D3-8063-9EFD-05C9FDB169D7}"/>
              </a:ext>
            </a:extLst>
          </xdr:cNvPr>
          <xdr:cNvCxnSpPr/>
        </xdr:nvCxnSpPr>
        <xdr:spPr>
          <a:xfrm>
            <a:off x="9648825" y="252564900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Straight Connector 691">
            <a:extLst>
              <a:ext uri="{FF2B5EF4-FFF2-40B4-BE49-F238E27FC236}">
                <a16:creationId xmlns:a16="http://schemas.microsoft.com/office/drawing/2014/main" id="{7B491FDF-1340-D4B2-3EB1-022FBC1932B0}"/>
              </a:ext>
            </a:extLst>
          </xdr:cNvPr>
          <xdr:cNvCxnSpPr/>
        </xdr:nvCxnSpPr>
        <xdr:spPr>
          <a:xfrm flipH="1">
            <a:off x="9682163" y="2525315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" name="Straight Connector 693">
            <a:extLst>
              <a:ext uri="{FF2B5EF4-FFF2-40B4-BE49-F238E27FC236}">
                <a16:creationId xmlns:a16="http://schemas.microsoft.com/office/drawing/2014/main" id="{A8A97D3D-9975-6465-2529-13874D623BF8}"/>
              </a:ext>
            </a:extLst>
          </xdr:cNvPr>
          <xdr:cNvCxnSpPr/>
        </xdr:nvCxnSpPr>
        <xdr:spPr>
          <a:xfrm>
            <a:off x="10039350" y="25235058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" name="Straight Connector 697">
            <a:extLst>
              <a:ext uri="{FF2B5EF4-FFF2-40B4-BE49-F238E27FC236}">
                <a16:creationId xmlns:a16="http://schemas.microsoft.com/office/drawing/2014/main" id="{B439A297-5B71-97A7-BEED-AD53F251DD21}"/>
              </a:ext>
            </a:extLst>
          </xdr:cNvPr>
          <xdr:cNvCxnSpPr/>
        </xdr:nvCxnSpPr>
        <xdr:spPr>
          <a:xfrm flipH="1">
            <a:off x="10006013" y="2525315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" name="Straight Connector 698">
            <a:extLst>
              <a:ext uri="{FF2B5EF4-FFF2-40B4-BE49-F238E27FC236}">
                <a16:creationId xmlns:a16="http://schemas.microsoft.com/office/drawing/2014/main" id="{B97248B2-368B-7770-2BD6-49A46D919E0F}"/>
              </a:ext>
            </a:extLst>
          </xdr:cNvPr>
          <xdr:cNvCxnSpPr/>
        </xdr:nvCxnSpPr>
        <xdr:spPr>
          <a:xfrm>
            <a:off x="10096497" y="251569534"/>
            <a:ext cx="3286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8" name="Straight Connector 2347">
            <a:extLst>
              <a:ext uri="{FF2B5EF4-FFF2-40B4-BE49-F238E27FC236}">
                <a16:creationId xmlns:a16="http://schemas.microsoft.com/office/drawing/2014/main" id="{AD0C4D8B-6067-C5D6-A724-43935644A7E8}"/>
              </a:ext>
            </a:extLst>
          </xdr:cNvPr>
          <xdr:cNvCxnSpPr/>
        </xdr:nvCxnSpPr>
        <xdr:spPr>
          <a:xfrm>
            <a:off x="10091738" y="252279160"/>
            <a:ext cx="328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2" name="Straight Connector 2691">
            <a:extLst>
              <a:ext uri="{FF2B5EF4-FFF2-40B4-BE49-F238E27FC236}">
                <a16:creationId xmlns:a16="http://schemas.microsoft.com/office/drawing/2014/main" id="{2758811E-9B55-F96A-E98B-2F9C1E6C1FD0}"/>
              </a:ext>
            </a:extLst>
          </xdr:cNvPr>
          <xdr:cNvCxnSpPr/>
        </xdr:nvCxnSpPr>
        <xdr:spPr>
          <a:xfrm>
            <a:off x="10363200" y="251493338"/>
            <a:ext cx="0" cy="852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3" name="Straight Connector 2692">
            <a:extLst>
              <a:ext uri="{FF2B5EF4-FFF2-40B4-BE49-F238E27FC236}">
                <a16:creationId xmlns:a16="http://schemas.microsoft.com/office/drawing/2014/main" id="{5ED17357-C791-9DFD-674E-D8A4DA6FC743}"/>
              </a:ext>
            </a:extLst>
          </xdr:cNvPr>
          <xdr:cNvCxnSpPr/>
        </xdr:nvCxnSpPr>
        <xdr:spPr>
          <a:xfrm flipH="1">
            <a:off x="10329858" y="25153619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5" name="Straight Connector 2694">
            <a:extLst>
              <a:ext uri="{FF2B5EF4-FFF2-40B4-BE49-F238E27FC236}">
                <a16:creationId xmlns:a16="http://schemas.microsoft.com/office/drawing/2014/main" id="{BAC52F21-F644-0152-37F6-524892B796D7}"/>
              </a:ext>
            </a:extLst>
          </xdr:cNvPr>
          <xdr:cNvCxnSpPr/>
        </xdr:nvCxnSpPr>
        <xdr:spPr>
          <a:xfrm flipH="1">
            <a:off x="10329853" y="25224583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47625</xdr:colOff>
      <xdr:row>1585</xdr:row>
      <xdr:rowOff>66675</xdr:rowOff>
    </xdr:from>
    <xdr:to>
      <xdr:col>11</xdr:col>
      <xdr:colOff>104775</xdr:colOff>
      <xdr:row>1585</xdr:row>
      <xdr:rowOff>66675</xdr:rowOff>
    </xdr:to>
    <xdr:cxnSp macro="">
      <xdr:nvCxnSpPr>
        <xdr:cNvPr id="2847" name="Straight Arrow Connector 2846">
          <a:extLst>
            <a:ext uri="{FF2B5EF4-FFF2-40B4-BE49-F238E27FC236}">
              <a16:creationId xmlns:a16="http://schemas.microsoft.com/office/drawing/2014/main" id="{F3EFD9C0-9A7B-400A-866E-9BC475DC70D3}"/>
            </a:ext>
          </a:extLst>
        </xdr:cNvPr>
        <xdr:cNvCxnSpPr/>
      </xdr:nvCxnSpPr>
      <xdr:spPr>
        <a:xfrm>
          <a:off x="1666875" y="235800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47625</xdr:colOff>
      <xdr:row>1585</xdr:row>
      <xdr:rowOff>66675</xdr:rowOff>
    </xdr:from>
    <xdr:to>
      <xdr:col>22</xdr:col>
      <xdr:colOff>104775</xdr:colOff>
      <xdr:row>1585</xdr:row>
      <xdr:rowOff>66675</xdr:rowOff>
    </xdr:to>
    <xdr:cxnSp macro="">
      <xdr:nvCxnSpPr>
        <xdr:cNvPr id="2848" name="Straight Arrow Connector 2847">
          <a:extLst>
            <a:ext uri="{FF2B5EF4-FFF2-40B4-BE49-F238E27FC236}">
              <a16:creationId xmlns:a16="http://schemas.microsoft.com/office/drawing/2014/main" id="{2D94584D-4B71-4339-84B1-B57284A78F01}"/>
            </a:ext>
          </a:extLst>
        </xdr:cNvPr>
        <xdr:cNvCxnSpPr/>
      </xdr:nvCxnSpPr>
      <xdr:spPr>
        <a:xfrm>
          <a:off x="3448050" y="235800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1598</xdr:row>
      <xdr:rowOff>66675</xdr:rowOff>
    </xdr:from>
    <xdr:to>
      <xdr:col>8</xdr:col>
      <xdr:colOff>109537</xdr:colOff>
      <xdr:row>1598</xdr:row>
      <xdr:rowOff>66675</xdr:rowOff>
    </xdr:to>
    <xdr:cxnSp macro="">
      <xdr:nvCxnSpPr>
        <xdr:cNvPr id="2849" name="Straight Arrow Connector 2848">
          <a:extLst>
            <a:ext uri="{FF2B5EF4-FFF2-40B4-BE49-F238E27FC236}">
              <a16:creationId xmlns:a16="http://schemas.microsoft.com/office/drawing/2014/main" id="{13883E84-EC32-4C6F-91BF-6F455F3A0C4F}"/>
            </a:ext>
          </a:extLst>
        </xdr:cNvPr>
        <xdr:cNvCxnSpPr/>
      </xdr:nvCxnSpPr>
      <xdr:spPr>
        <a:xfrm>
          <a:off x="1190625" y="3190779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1599</xdr:row>
      <xdr:rowOff>66675</xdr:rowOff>
    </xdr:from>
    <xdr:to>
      <xdr:col>7</xdr:col>
      <xdr:colOff>109537</xdr:colOff>
      <xdr:row>1599</xdr:row>
      <xdr:rowOff>66675</xdr:rowOff>
    </xdr:to>
    <xdr:cxnSp macro="">
      <xdr:nvCxnSpPr>
        <xdr:cNvPr id="2851" name="Straight Arrow Connector 2850">
          <a:extLst>
            <a:ext uri="{FF2B5EF4-FFF2-40B4-BE49-F238E27FC236}">
              <a16:creationId xmlns:a16="http://schemas.microsoft.com/office/drawing/2014/main" id="{76D68425-60E1-4A0C-A4E7-74FC457EC668}"/>
            </a:ext>
          </a:extLst>
        </xdr:cNvPr>
        <xdr:cNvCxnSpPr/>
      </xdr:nvCxnSpPr>
      <xdr:spPr>
        <a:xfrm>
          <a:off x="1190625" y="2185416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57150</xdr:colOff>
      <xdr:row>1599</xdr:row>
      <xdr:rowOff>66675</xdr:rowOff>
    </xdr:from>
    <xdr:to>
      <xdr:col>52</xdr:col>
      <xdr:colOff>109537</xdr:colOff>
      <xdr:row>1599</xdr:row>
      <xdr:rowOff>66675</xdr:rowOff>
    </xdr:to>
    <xdr:cxnSp macro="">
      <xdr:nvCxnSpPr>
        <xdr:cNvPr id="2852" name="Straight Arrow Connector 2851">
          <a:extLst>
            <a:ext uri="{FF2B5EF4-FFF2-40B4-BE49-F238E27FC236}">
              <a16:creationId xmlns:a16="http://schemas.microsoft.com/office/drawing/2014/main" id="{DA8B2250-B9A2-48B3-9A17-10E91C93468C}"/>
            </a:ext>
          </a:extLst>
        </xdr:cNvPr>
        <xdr:cNvCxnSpPr/>
      </xdr:nvCxnSpPr>
      <xdr:spPr>
        <a:xfrm>
          <a:off x="8153400" y="2185416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57150</xdr:colOff>
      <xdr:row>1587</xdr:row>
      <xdr:rowOff>76200</xdr:rowOff>
    </xdr:from>
    <xdr:to>
      <xdr:col>69</xdr:col>
      <xdr:colOff>114300</xdr:colOff>
      <xdr:row>1587</xdr:row>
      <xdr:rowOff>76200</xdr:rowOff>
    </xdr:to>
    <xdr:cxnSp macro="">
      <xdr:nvCxnSpPr>
        <xdr:cNvPr id="2853" name="Straight Arrow Connector 2852">
          <a:extLst>
            <a:ext uri="{FF2B5EF4-FFF2-40B4-BE49-F238E27FC236}">
              <a16:creationId xmlns:a16="http://schemas.microsoft.com/office/drawing/2014/main" id="{66E2E16F-ABCA-4C6B-8D80-7919CE47C595}"/>
            </a:ext>
          </a:extLst>
        </xdr:cNvPr>
        <xdr:cNvCxnSpPr/>
      </xdr:nvCxnSpPr>
      <xdr:spPr>
        <a:xfrm>
          <a:off x="11229975" y="2168366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47625</xdr:colOff>
      <xdr:row>1590</xdr:row>
      <xdr:rowOff>66675</xdr:rowOff>
    </xdr:from>
    <xdr:to>
      <xdr:col>27</xdr:col>
      <xdr:colOff>104775</xdr:colOff>
      <xdr:row>1590</xdr:row>
      <xdr:rowOff>66675</xdr:rowOff>
    </xdr:to>
    <xdr:cxnSp macro="">
      <xdr:nvCxnSpPr>
        <xdr:cNvPr id="2854" name="Straight Arrow Connector 2853">
          <a:extLst>
            <a:ext uri="{FF2B5EF4-FFF2-40B4-BE49-F238E27FC236}">
              <a16:creationId xmlns:a16="http://schemas.microsoft.com/office/drawing/2014/main" id="{A6EEAB46-3DC9-4B67-82ED-F2AD2FF85A33}"/>
            </a:ext>
          </a:extLst>
        </xdr:cNvPr>
        <xdr:cNvCxnSpPr/>
      </xdr:nvCxnSpPr>
      <xdr:spPr>
        <a:xfrm>
          <a:off x="4419600" y="2172557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47625</xdr:colOff>
      <xdr:row>1590</xdr:row>
      <xdr:rowOff>66675</xdr:rowOff>
    </xdr:from>
    <xdr:to>
      <xdr:col>35</xdr:col>
      <xdr:colOff>104775</xdr:colOff>
      <xdr:row>1590</xdr:row>
      <xdr:rowOff>66675</xdr:rowOff>
    </xdr:to>
    <xdr:cxnSp macro="">
      <xdr:nvCxnSpPr>
        <xdr:cNvPr id="2855" name="Straight Arrow Connector 2854">
          <a:extLst>
            <a:ext uri="{FF2B5EF4-FFF2-40B4-BE49-F238E27FC236}">
              <a16:creationId xmlns:a16="http://schemas.microsoft.com/office/drawing/2014/main" id="{4F38D6B3-A01C-4C51-BEDE-303499CEE99F}"/>
            </a:ext>
          </a:extLst>
        </xdr:cNvPr>
        <xdr:cNvCxnSpPr/>
      </xdr:nvCxnSpPr>
      <xdr:spPr>
        <a:xfrm>
          <a:off x="5715000" y="2172557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47625</xdr:colOff>
      <xdr:row>1590</xdr:row>
      <xdr:rowOff>66675</xdr:rowOff>
    </xdr:from>
    <xdr:to>
      <xdr:col>43</xdr:col>
      <xdr:colOff>104775</xdr:colOff>
      <xdr:row>1590</xdr:row>
      <xdr:rowOff>66675</xdr:rowOff>
    </xdr:to>
    <xdr:cxnSp macro="">
      <xdr:nvCxnSpPr>
        <xdr:cNvPr id="2856" name="Straight Arrow Connector 2855">
          <a:extLst>
            <a:ext uri="{FF2B5EF4-FFF2-40B4-BE49-F238E27FC236}">
              <a16:creationId xmlns:a16="http://schemas.microsoft.com/office/drawing/2014/main" id="{CAB24A1F-7DB2-4C79-B1BB-2E91652198B1}"/>
            </a:ext>
          </a:extLst>
        </xdr:cNvPr>
        <xdr:cNvCxnSpPr/>
      </xdr:nvCxnSpPr>
      <xdr:spPr>
        <a:xfrm>
          <a:off x="7010400" y="2172557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57150</xdr:colOff>
      <xdr:row>1591</xdr:row>
      <xdr:rowOff>66675</xdr:rowOff>
    </xdr:from>
    <xdr:to>
      <xdr:col>49</xdr:col>
      <xdr:colOff>114300</xdr:colOff>
      <xdr:row>1591</xdr:row>
      <xdr:rowOff>66675</xdr:rowOff>
    </xdr:to>
    <xdr:cxnSp macro="">
      <xdr:nvCxnSpPr>
        <xdr:cNvPr id="2857" name="Straight Arrow Connector 2856">
          <a:extLst>
            <a:ext uri="{FF2B5EF4-FFF2-40B4-BE49-F238E27FC236}">
              <a16:creationId xmlns:a16="http://schemas.microsoft.com/office/drawing/2014/main" id="{24852A4B-7BB6-4616-B565-49075BFECCC7}"/>
            </a:ext>
          </a:extLst>
        </xdr:cNvPr>
        <xdr:cNvCxnSpPr/>
      </xdr:nvCxnSpPr>
      <xdr:spPr>
        <a:xfrm>
          <a:off x="7991475" y="2173986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57150</xdr:colOff>
      <xdr:row>1591</xdr:row>
      <xdr:rowOff>66675</xdr:rowOff>
    </xdr:from>
    <xdr:to>
      <xdr:col>56</xdr:col>
      <xdr:colOff>114300</xdr:colOff>
      <xdr:row>1591</xdr:row>
      <xdr:rowOff>66675</xdr:rowOff>
    </xdr:to>
    <xdr:cxnSp macro="">
      <xdr:nvCxnSpPr>
        <xdr:cNvPr id="2858" name="Straight Arrow Connector 2857">
          <a:extLst>
            <a:ext uri="{FF2B5EF4-FFF2-40B4-BE49-F238E27FC236}">
              <a16:creationId xmlns:a16="http://schemas.microsoft.com/office/drawing/2014/main" id="{76CCBD17-E59E-4A88-8C98-42C573EF542D}"/>
            </a:ext>
          </a:extLst>
        </xdr:cNvPr>
        <xdr:cNvCxnSpPr/>
      </xdr:nvCxnSpPr>
      <xdr:spPr>
        <a:xfrm>
          <a:off x="9124950" y="2173986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57150</xdr:colOff>
      <xdr:row>1591</xdr:row>
      <xdr:rowOff>66675</xdr:rowOff>
    </xdr:from>
    <xdr:to>
      <xdr:col>63</xdr:col>
      <xdr:colOff>114300</xdr:colOff>
      <xdr:row>1591</xdr:row>
      <xdr:rowOff>66675</xdr:rowOff>
    </xdr:to>
    <xdr:cxnSp macro="">
      <xdr:nvCxnSpPr>
        <xdr:cNvPr id="2859" name="Straight Arrow Connector 2858">
          <a:extLst>
            <a:ext uri="{FF2B5EF4-FFF2-40B4-BE49-F238E27FC236}">
              <a16:creationId xmlns:a16="http://schemas.microsoft.com/office/drawing/2014/main" id="{EB03C6F0-11A2-4B82-AF64-5B8452BDB322}"/>
            </a:ext>
          </a:extLst>
        </xdr:cNvPr>
        <xdr:cNvCxnSpPr/>
      </xdr:nvCxnSpPr>
      <xdr:spPr>
        <a:xfrm>
          <a:off x="10258425" y="2173986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57150</xdr:colOff>
      <xdr:row>1598</xdr:row>
      <xdr:rowOff>66675</xdr:rowOff>
    </xdr:from>
    <xdr:to>
      <xdr:col>44</xdr:col>
      <xdr:colOff>109537</xdr:colOff>
      <xdr:row>1598</xdr:row>
      <xdr:rowOff>66675</xdr:rowOff>
    </xdr:to>
    <xdr:cxnSp macro="">
      <xdr:nvCxnSpPr>
        <xdr:cNvPr id="2862" name="Straight Arrow Connector 2861">
          <a:extLst>
            <a:ext uri="{FF2B5EF4-FFF2-40B4-BE49-F238E27FC236}">
              <a16:creationId xmlns:a16="http://schemas.microsoft.com/office/drawing/2014/main" id="{BF0F4550-E677-4E61-89E4-F0182426B7D4}"/>
            </a:ext>
          </a:extLst>
        </xdr:cNvPr>
        <xdr:cNvCxnSpPr/>
      </xdr:nvCxnSpPr>
      <xdr:spPr>
        <a:xfrm>
          <a:off x="7991475" y="2265997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90490</xdr:colOff>
      <xdr:row>1559</xdr:row>
      <xdr:rowOff>4763</xdr:rowOff>
    </xdr:from>
    <xdr:to>
      <xdr:col>36</xdr:col>
      <xdr:colOff>76200</xdr:colOff>
      <xdr:row>1573</xdr:row>
      <xdr:rowOff>80963</xdr:rowOff>
    </xdr:to>
    <xdr:grpSp>
      <xdr:nvGrpSpPr>
        <xdr:cNvPr id="3563" name="Group 3562">
          <a:extLst>
            <a:ext uri="{FF2B5EF4-FFF2-40B4-BE49-F238E27FC236}">
              <a16:creationId xmlns:a16="http://schemas.microsoft.com/office/drawing/2014/main" id="{A62764A5-8D50-FA16-FCF7-C61166657971}"/>
            </a:ext>
          </a:extLst>
        </xdr:cNvPr>
        <xdr:cNvGrpSpPr/>
      </xdr:nvGrpSpPr>
      <xdr:grpSpPr>
        <a:xfrm>
          <a:off x="576265" y="234881738"/>
          <a:ext cx="5329235" cy="2076450"/>
          <a:chOff x="576265" y="234881738"/>
          <a:chExt cx="5329235" cy="2076450"/>
        </a:xfrm>
      </xdr:grpSpPr>
      <xdr:sp macro="" textlink="">
        <xdr:nvSpPr>
          <xdr:cNvPr id="2758" name="Freeform: Shape 2757">
            <a:extLst>
              <a:ext uri="{FF2B5EF4-FFF2-40B4-BE49-F238E27FC236}">
                <a16:creationId xmlns:a16="http://schemas.microsoft.com/office/drawing/2014/main" id="{9141E839-805F-0651-9E7F-D399954E4EE4}"/>
              </a:ext>
            </a:extLst>
          </xdr:cNvPr>
          <xdr:cNvSpPr/>
        </xdr:nvSpPr>
        <xdr:spPr>
          <a:xfrm>
            <a:off x="971550" y="235310363"/>
            <a:ext cx="4538663" cy="857250"/>
          </a:xfrm>
          <a:custGeom>
            <a:avLst/>
            <a:gdLst>
              <a:gd name="connsiteX0" fmla="*/ 0 w 4538663"/>
              <a:gd name="connsiteY0" fmla="*/ 280987 h 857250"/>
              <a:gd name="connsiteX1" fmla="*/ 2271713 w 4538663"/>
              <a:gd name="connsiteY1" fmla="*/ 0 h 857250"/>
              <a:gd name="connsiteX2" fmla="*/ 4538663 w 4538663"/>
              <a:gd name="connsiteY2" fmla="*/ 280987 h 857250"/>
              <a:gd name="connsiteX3" fmla="*/ 4538663 w 4538663"/>
              <a:gd name="connsiteY3" fmla="*/ 561975 h 857250"/>
              <a:gd name="connsiteX4" fmla="*/ 2271713 w 4538663"/>
              <a:gd name="connsiteY4" fmla="*/ 857250 h 857250"/>
              <a:gd name="connsiteX5" fmla="*/ 0 w 4538663"/>
              <a:gd name="connsiteY5" fmla="*/ 571500 h 857250"/>
              <a:gd name="connsiteX6" fmla="*/ 0 w 4538663"/>
              <a:gd name="connsiteY6" fmla="*/ 280987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538663" h="857250">
                <a:moveTo>
                  <a:pt x="0" y="280987"/>
                </a:moveTo>
                <a:lnTo>
                  <a:pt x="2271713" y="0"/>
                </a:lnTo>
                <a:lnTo>
                  <a:pt x="4538663" y="280987"/>
                </a:lnTo>
                <a:lnTo>
                  <a:pt x="4538663" y="561975"/>
                </a:lnTo>
                <a:lnTo>
                  <a:pt x="2271713" y="857250"/>
                </a:lnTo>
                <a:lnTo>
                  <a:pt x="0" y="571500"/>
                </a:lnTo>
                <a:lnTo>
                  <a:pt x="0" y="280987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761" name="Straight Arrow Connector 2760">
            <a:extLst>
              <a:ext uri="{FF2B5EF4-FFF2-40B4-BE49-F238E27FC236}">
                <a16:creationId xmlns:a16="http://schemas.microsoft.com/office/drawing/2014/main" id="{A270A5EB-2BAC-4E73-9FF4-40334F296D1D}"/>
              </a:ext>
            </a:extLst>
          </xdr:cNvPr>
          <xdr:cNvCxnSpPr/>
        </xdr:nvCxnSpPr>
        <xdr:spPr>
          <a:xfrm>
            <a:off x="3243262" y="234881738"/>
            <a:ext cx="0" cy="414337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62" name="Isosceles Triangle 2761">
            <a:extLst>
              <a:ext uri="{FF2B5EF4-FFF2-40B4-BE49-F238E27FC236}">
                <a16:creationId xmlns:a16="http://schemas.microsoft.com/office/drawing/2014/main" id="{64258123-DDAC-414F-8CEA-C40C17041780}"/>
              </a:ext>
            </a:extLst>
          </xdr:cNvPr>
          <xdr:cNvSpPr/>
        </xdr:nvSpPr>
        <xdr:spPr>
          <a:xfrm>
            <a:off x="900119" y="235886616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85" name="Straight Arrow Connector 2784">
            <a:extLst>
              <a:ext uri="{FF2B5EF4-FFF2-40B4-BE49-F238E27FC236}">
                <a16:creationId xmlns:a16="http://schemas.microsoft.com/office/drawing/2014/main" id="{E5D3AD30-C4FD-4038-8808-0549C8B9B650}"/>
              </a:ext>
            </a:extLst>
          </xdr:cNvPr>
          <xdr:cNvCxnSpPr/>
        </xdr:nvCxnSpPr>
        <xdr:spPr>
          <a:xfrm flipV="1">
            <a:off x="976319" y="236024731"/>
            <a:ext cx="0" cy="285749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6" name="Straight Arrow Connector 2785">
            <a:extLst>
              <a:ext uri="{FF2B5EF4-FFF2-40B4-BE49-F238E27FC236}">
                <a16:creationId xmlns:a16="http://schemas.microsoft.com/office/drawing/2014/main" id="{3B0005DA-596F-450D-99B3-28AF39291DD7}"/>
              </a:ext>
            </a:extLst>
          </xdr:cNvPr>
          <xdr:cNvCxnSpPr/>
        </xdr:nvCxnSpPr>
        <xdr:spPr>
          <a:xfrm>
            <a:off x="990606" y="236229517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87" name="Isosceles Triangle 2786">
            <a:extLst>
              <a:ext uri="{FF2B5EF4-FFF2-40B4-BE49-F238E27FC236}">
                <a16:creationId xmlns:a16="http://schemas.microsoft.com/office/drawing/2014/main" id="{BA392926-FD87-4389-8809-320001093922}"/>
              </a:ext>
            </a:extLst>
          </xdr:cNvPr>
          <xdr:cNvSpPr/>
        </xdr:nvSpPr>
        <xdr:spPr>
          <a:xfrm>
            <a:off x="5438779" y="235877100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88" name="Straight Arrow Connector 2787">
            <a:extLst>
              <a:ext uri="{FF2B5EF4-FFF2-40B4-BE49-F238E27FC236}">
                <a16:creationId xmlns:a16="http://schemas.microsoft.com/office/drawing/2014/main" id="{B0C6E2AC-9155-4F55-A95F-0752AC6EC044}"/>
              </a:ext>
            </a:extLst>
          </xdr:cNvPr>
          <xdr:cNvCxnSpPr/>
        </xdr:nvCxnSpPr>
        <xdr:spPr>
          <a:xfrm flipV="1">
            <a:off x="5510216" y="236015215"/>
            <a:ext cx="0" cy="285749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1" name="Straight Connector 2790">
            <a:extLst>
              <a:ext uri="{FF2B5EF4-FFF2-40B4-BE49-F238E27FC236}">
                <a16:creationId xmlns:a16="http://schemas.microsoft.com/office/drawing/2014/main" id="{35853267-0C1A-AF9D-C3BA-26D53672470E}"/>
              </a:ext>
            </a:extLst>
          </xdr:cNvPr>
          <xdr:cNvCxnSpPr/>
        </xdr:nvCxnSpPr>
        <xdr:spPr>
          <a:xfrm>
            <a:off x="971551" y="236486700"/>
            <a:ext cx="0" cy="471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3" name="Straight Connector 2792">
            <a:extLst>
              <a:ext uri="{FF2B5EF4-FFF2-40B4-BE49-F238E27FC236}">
                <a16:creationId xmlns:a16="http://schemas.microsoft.com/office/drawing/2014/main" id="{A215BF69-00DE-0D0A-F8EC-25528722121B}"/>
              </a:ext>
            </a:extLst>
          </xdr:cNvPr>
          <xdr:cNvCxnSpPr/>
        </xdr:nvCxnSpPr>
        <xdr:spPr>
          <a:xfrm>
            <a:off x="895351" y="236591476"/>
            <a:ext cx="4691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6" name="Straight Connector 2795">
            <a:extLst>
              <a:ext uri="{FF2B5EF4-FFF2-40B4-BE49-F238E27FC236}">
                <a16:creationId xmlns:a16="http://schemas.microsoft.com/office/drawing/2014/main" id="{D17758DD-5224-7F1F-C54B-05BDB34C0BDD}"/>
              </a:ext>
            </a:extLst>
          </xdr:cNvPr>
          <xdr:cNvCxnSpPr/>
        </xdr:nvCxnSpPr>
        <xdr:spPr>
          <a:xfrm flipH="1">
            <a:off x="938211" y="236553375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7" name="Straight Connector 2796">
            <a:extLst>
              <a:ext uri="{FF2B5EF4-FFF2-40B4-BE49-F238E27FC236}">
                <a16:creationId xmlns:a16="http://schemas.microsoft.com/office/drawing/2014/main" id="{E775F01D-32DA-4D19-A5C8-BE76BA1A14AD}"/>
              </a:ext>
            </a:extLst>
          </xdr:cNvPr>
          <xdr:cNvCxnSpPr/>
        </xdr:nvCxnSpPr>
        <xdr:spPr>
          <a:xfrm>
            <a:off x="895350" y="236877226"/>
            <a:ext cx="4691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8" name="Straight Connector 2797">
            <a:extLst>
              <a:ext uri="{FF2B5EF4-FFF2-40B4-BE49-F238E27FC236}">
                <a16:creationId xmlns:a16="http://schemas.microsoft.com/office/drawing/2014/main" id="{B90152FE-3BF6-4C61-BB6B-2A843EFBC2A4}"/>
              </a:ext>
            </a:extLst>
          </xdr:cNvPr>
          <xdr:cNvCxnSpPr/>
        </xdr:nvCxnSpPr>
        <xdr:spPr>
          <a:xfrm flipH="1">
            <a:off x="938210" y="236839125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9" name="Straight Connector 2798">
            <a:extLst>
              <a:ext uri="{FF2B5EF4-FFF2-40B4-BE49-F238E27FC236}">
                <a16:creationId xmlns:a16="http://schemas.microsoft.com/office/drawing/2014/main" id="{0BE5BA1B-4953-4714-AE41-EFD61597F027}"/>
              </a:ext>
            </a:extLst>
          </xdr:cNvPr>
          <xdr:cNvCxnSpPr/>
        </xdr:nvCxnSpPr>
        <xdr:spPr>
          <a:xfrm>
            <a:off x="5505451" y="236486700"/>
            <a:ext cx="0" cy="471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0" name="Straight Connector 2799">
            <a:extLst>
              <a:ext uri="{FF2B5EF4-FFF2-40B4-BE49-F238E27FC236}">
                <a16:creationId xmlns:a16="http://schemas.microsoft.com/office/drawing/2014/main" id="{D77784A1-4C06-4E2B-998F-4FA66789CBEE}"/>
              </a:ext>
            </a:extLst>
          </xdr:cNvPr>
          <xdr:cNvCxnSpPr/>
        </xdr:nvCxnSpPr>
        <xdr:spPr>
          <a:xfrm flipH="1">
            <a:off x="5472111" y="236553375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1" name="Straight Connector 2800">
            <a:extLst>
              <a:ext uri="{FF2B5EF4-FFF2-40B4-BE49-F238E27FC236}">
                <a16:creationId xmlns:a16="http://schemas.microsoft.com/office/drawing/2014/main" id="{4F7B9AA3-EB81-40B3-B40C-F1D6ED135233}"/>
              </a:ext>
            </a:extLst>
          </xdr:cNvPr>
          <xdr:cNvCxnSpPr/>
        </xdr:nvCxnSpPr>
        <xdr:spPr>
          <a:xfrm flipH="1">
            <a:off x="5472110" y="236839125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2" name="Straight Connector 2801">
            <a:extLst>
              <a:ext uri="{FF2B5EF4-FFF2-40B4-BE49-F238E27FC236}">
                <a16:creationId xmlns:a16="http://schemas.microsoft.com/office/drawing/2014/main" id="{A94A0961-4EB3-407F-BBFE-8344A5ACE12D}"/>
              </a:ext>
            </a:extLst>
          </xdr:cNvPr>
          <xdr:cNvCxnSpPr/>
        </xdr:nvCxnSpPr>
        <xdr:spPr>
          <a:xfrm>
            <a:off x="3238509" y="236196184"/>
            <a:ext cx="0" cy="471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3" name="Straight Connector 2802">
            <a:extLst>
              <a:ext uri="{FF2B5EF4-FFF2-40B4-BE49-F238E27FC236}">
                <a16:creationId xmlns:a16="http://schemas.microsoft.com/office/drawing/2014/main" id="{CC70CF59-0447-492F-BF4D-C134485E9997}"/>
              </a:ext>
            </a:extLst>
          </xdr:cNvPr>
          <xdr:cNvCxnSpPr/>
        </xdr:nvCxnSpPr>
        <xdr:spPr>
          <a:xfrm flipH="1">
            <a:off x="3205168" y="23654860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4" name="Straight Connector 2863">
            <a:extLst>
              <a:ext uri="{FF2B5EF4-FFF2-40B4-BE49-F238E27FC236}">
                <a16:creationId xmlns:a16="http://schemas.microsoft.com/office/drawing/2014/main" id="{348B93EE-83AB-D309-8453-0A140DB1A96A}"/>
              </a:ext>
            </a:extLst>
          </xdr:cNvPr>
          <xdr:cNvCxnSpPr/>
        </xdr:nvCxnSpPr>
        <xdr:spPr>
          <a:xfrm flipH="1">
            <a:off x="576265" y="235591350"/>
            <a:ext cx="3000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6" name="Straight Connector 2865">
            <a:extLst>
              <a:ext uri="{FF2B5EF4-FFF2-40B4-BE49-F238E27FC236}">
                <a16:creationId xmlns:a16="http://schemas.microsoft.com/office/drawing/2014/main" id="{03EAA71D-2E1F-5419-C906-11DD27FCF42D}"/>
              </a:ext>
            </a:extLst>
          </xdr:cNvPr>
          <xdr:cNvCxnSpPr/>
        </xdr:nvCxnSpPr>
        <xdr:spPr>
          <a:xfrm>
            <a:off x="647701" y="235524675"/>
            <a:ext cx="0" cy="428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8" name="Straight Connector 2867">
            <a:extLst>
              <a:ext uri="{FF2B5EF4-FFF2-40B4-BE49-F238E27FC236}">
                <a16:creationId xmlns:a16="http://schemas.microsoft.com/office/drawing/2014/main" id="{F8260175-3090-C5DA-AE13-AE36E1FC12AB}"/>
              </a:ext>
            </a:extLst>
          </xdr:cNvPr>
          <xdr:cNvCxnSpPr/>
        </xdr:nvCxnSpPr>
        <xdr:spPr>
          <a:xfrm flipH="1">
            <a:off x="609599" y="235553249"/>
            <a:ext cx="76201" cy="762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0" name="Straight Connector 2869">
            <a:extLst>
              <a:ext uri="{FF2B5EF4-FFF2-40B4-BE49-F238E27FC236}">
                <a16:creationId xmlns:a16="http://schemas.microsoft.com/office/drawing/2014/main" id="{3AD923C0-01DB-4F7C-8C49-082712DAE3EC}"/>
              </a:ext>
            </a:extLst>
          </xdr:cNvPr>
          <xdr:cNvCxnSpPr/>
        </xdr:nvCxnSpPr>
        <xdr:spPr>
          <a:xfrm flipH="1">
            <a:off x="576265" y="235877100"/>
            <a:ext cx="3000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1" name="Straight Connector 2870">
            <a:extLst>
              <a:ext uri="{FF2B5EF4-FFF2-40B4-BE49-F238E27FC236}">
                <a16:creationId xmlns:a16="http://schemas.microsoft.com/office/drawing/2014/main" id="{42D38898-27F9-42E7-B506-2DFE7A6F3AB4}"/>
              </a:ext>
            </a:extLst>
          </xdr:cNvPr>
          <xdr:cNvCxnSpPr/>
        </xdr:nvCxnSpPr>
        <xdr:spPr>
          <a:xfrm flipH="1">
            <a:off x="609599" y="235838999"/>
            <a:ext cx="76201" cy="762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4" name="Straight Connector 2873">
            <a:extLst>
              <a:ext uri="{FF2B5EF4-FFF2-40B4-BE49-F238E27FC236}">
                <a16:creationId xmlns:a16="http://schemas.microsoft.com/office/drawing/2014/main" id="{C483E79D-B28C-F27E-FDBC-CC21F21C14CA}"/>
              </a:ext>
            </a:extLst>
          </xdr:cNvPr>
          <xdr:cNvCxnSpPr/>
        </xdr:nvCxnSpPr>
        <xdr:spPr>
          <a:xfrm>
            <a:off x="3395657" y="235305602"/>
            <a:ext cx="25098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6" name="Straight Connector 2875">
            <a:extLst>
              <a:ext uri="{FF2B5EF4-FFF2-40B4-BE49-F238E27FC236}">
                <a16:creationId xmlns:a16="http://schemas.microsoft.com/office/drawing/2014/main" id="{95696590-5141-4842-A86A-FC148272CF51}"/>
              </a:ext>
            </a:extLst>
          </xdr:cNvPr>
          <xdr:cNvCxnSpPr/>
        </xdr:nvCxnSpPr>
        <xdr:spPr>
          <a:xfrm>
            <a:off x="3428994" y="236162850"/>
            <a:ext cx="200025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8" name="Straight Connector 2877">
            <a:extLst>
              <a:ext uri="{FF2B5EF4-FFF2-40B4-BE49-F238E27FC236}">
                <a16:creationId xmlns:a16="http://schemas.microsoft.com/office/drawing/2014/main" id="{9E956ECE-93E5-F306-5A37-1FB96D3008A7}"/>
              </a:ext>
            </a:extLst>
          </xdr:cNvPr>
          <xdr:cNvCxnSpPr/>
        </xdr:nvCxnSpPr>
        <xdr:spPr>
          <a:xfrm>
            <a:off x="5829300" y="235238925"/>
            <a:ext cx="0" cy="1009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0" name="Straight Connector 2879">
            <a:extLst>
              <a:ext uri="{FF2B5EF4-FFF2-40B4-BE49-F238E27FC236}">
                <a16:creationId xmlns:a16="http://schemas.microsoft.com/office/drawing/2014/main" id="{AEBE52EF-59AB-4BBC-A5EF-361CF1534194}"/>
              </a:ext>
            </a:extLst>
          </xdr:cNvPr>
          <xdr:cNvCxnSpPr/>
        </xdr:nvCxnSpPr>
        <xdr:spPr>
          <a:xfrm flipH="1">
            <a:off x="5786438" y="235262738"/>
            <a:ext cx="76201" cy="762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1" name="Straight Connector 2880">
            <a:extLst>
              <a:ext uri="{FF2B5EF4-FFF2-40B4-BE49-F238E27FC236}">
                <a16:creationId xmlns:a16="http://schemas.microsoft.com/office/drawing/2014/main" id="{A72B6104-5D51-4BF4-B0D7-C9BC4F936B40}"/>
              </a:ext>
            </a:extLst>
          </xdr:cNvPr>
          <xdr:cNvCxnSpPr/>
        </xdr:nvCxnSpPr>
        <xdr:spPr>
          <a:xfrm flipH="1">
            <a:off x="5791201" y="236124758"/>
            <a:ext cx="76201" cy="762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4" name="Straight Connector 2883">
            <a:extLst>
              <a:ext uri="{FF2B5EF4-FFF2-40B4-BE49-F238E27FC236}">
                <a16:creationId xmlns:a16="http://schemas.microsoft.com/office/drawing/2014/main" id="{A62250BA-DBC5-9F1C-7238-35F470FB05AB}"/>
              </a:ext>
            </a:extLst>
          </xdr:cNvPr>
          <xdr:cNvCxnSpPr/>
        </xdr:nvCxnSpPr>
        <xdr:spPr>
          <a:xfrm>
            <a:off x="5581650" y="236162850"/>
            <a:ext cx="3238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66675</xdr:colOff>
      <xdr:row>1910</xdr:row>
      <xdr:rowOff>66675</xdr:rowOff>
    </xdr:from>
    <xdr:to>
      <xdr:col>7</xdr:col>
      <xdr:colOff>119062</xdr:colOff>
      <xdr:row>1910</xdr:row>
      <xdr:rowOff>66675</xdr:rowOff>
    </xdr:to>
    <xdr:cxnSp macro="">
      <xdr:nvCxnSpPr>
        <xdr:cNvPr id="2966" name="Straight Arrow Connector 2965">
          <a:extLst>
            <a:ext uri="{FF2B5EF4-FFF2-40B4-BE49-F238E27FC236}">
              <a16:creationId xmlns:a16="http://schemas.microsoft.com/office/drawing/2014/main" id="{8269B0C8-02E8-4584-AA89-E332BFCBEAAB}"/>
            </a:ext>
          </a:extLst>
        </xdr:cNvPr>
        <xdr:cNvCxnSpPr/>
      </xdr:nvCxnSpPr>
      <xdr:spPr>
        <a:xfrm>
          <a:off x="1038225" y="2693193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1911</xdr:row>
      <xdr:rowOff>66675</xdr:rowOff>
    </xdr:from>
    <xdr:to>
      <xdr:col>7</xdr:col>
      <xdr:colOff>109537</xdr:colOff>
      <xdr:row>1911</xdr:row>
      <xdr:rowOff>66675</xdr:rowOff>
    </xdr:to>
    <xdr:cxnSp macro="">
      <xdr:nvCxnSpPr>
        <xdr:cNvPr id="2967" name="Straight Arrow Connector 2966">
          <a:extLst>
            <a:ext uri="{FF2B5EF4-FFF2-40B4-BE49-F238E27FC236}">
              <a16:creationId xmlns:a16="http://schemas.microsoft.com/office/drawing/2014/main" id="{1ECAC999-8865-4F80-8EB9-6E58A4D50659}"/>
            </a:ext>
          </a:extLst>
        </xdr:cNvPr>
        <xdr:cNvCxnSpPr/>
      </xdr:nvCxnSpPr>
      <xdr:spPr>
        <a:xfrm>
          <a:off x="1028700" y="2694622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1917</xdr:row>
      <xdr:rowOff>66675</xdr:rowOff>
    </xdr:from>
    <xdr:to>
      <xdr:col>11</xdr:col>
      <xdr:colOff>109537</xdr:colOff>
      <xdr:row>1917</xdr:row>
      <xdr:rowOff>66675</xdr:rowOff>
    </xdr:to>
    <xdr:cxnSp macro="">
      <xdr:nvCxnSpPr>
        <xdr:cNvPr id="2968" name="Straight Arrow Connector 2967">
          <a:extLst>
            <a:ext uri="{FF2B5EF4-FFF2-40B4-BE49-F238E27FC236}">
              <a16:creationId xmlns:a16="http://schemas.microsoft.com/office/drawing/2014/main" id="{2CE5CEAE-308D-474F-9DFC-F10902AC61EF}"/>
            </a:ext>
          </a:extLst>
        </xdr:cNvPr>
        <xdr:cNvCxnSpPr/>
      </xdr:nvCxnSpPr>
      <xdr:spPr>
        <a:xfrm>
          <a:off x="1676400" y="270319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1914</xdr:row>
      <xdr:rowOff>66675</xdr:rowOff>
    </xdr:from>
    <xdr:to>
      <xdr:col>11</xdr:col>
      <xdr:colOff>109537</xdr:colOff>
      <xdr:row>1914</xdr:row>
      <xdr:rowOff>66675</xdr:rowOff>
    </xdr:to>
    <xdr:cxnSp macro="">
      <xdr:nvCxnSpPr>
        <xdr:cNvPr id="2969" name="Straight Arrow Connector 2968">
          <a:extLst>
            <a:ext uri="{FF2B5EF4-FFF2-40B4-BE49-F238E27FC236}">
              <a16:creationId xmlns:a16="http://schemas.microsoft.com/office/drawing/2014/main" id="{87C91963-23F5-4B72-9D6A-E284FE7857C0}"/>
            </a:ext>
          </a:extLst>
        </xdr:cNvPr>
        <xdr:cNvCxnSpPr/>
      </xdr:nvCxnSpPr>
      <xdr:spPr>
        <a:xfrm>
          <a:off x="1676400" y="2698908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85726</xdr:colOff>
      <xdr:row>1876</xdr:row>
      <xdr:rowOff>133350</xdr:rowOff>
    </xdr:from>
    <xdr:to>
      <xdr:col>25</xdr:col>
      <xdr:colOff>133350</xdr:colOff>
      <xdr:row>1894</xdr:row>
      <xdr:rowOff>71436</xdr:rowOff>
    </xdr:to>
    <xdr:grpSp>
      <xdr:nvGrpSpPr>
        <xdr:cNvPr id="2975" name="Group 2974">
          <a:extLst>
            <a:ext uri="{FF2B5EF4-FFF2-40B4-BE49-F238E27FC236}">
              <a16:creationId xmlns:a16="http://schemas.microsoft.com/office/drawing/2014/main" id="{6A27523A-B7AC-64FE-37D7-87D8CBEABB9B}"/>
            </a:ext>
          </a:extLst>
        </xdr:cNvPr>
        <xdr:cNvGrpSpPr/>
      </xdr:nvGrpSpPr>
      <xdr:grpSpPr>
        <a:xfrm>
          <a:off x="1219201" y="283168725"/>
          <a:ext cx="2962274" cy="2509836"/>
          <a:chOff x="1219201" y="321821175"/>
          <a:chExt cx="2962274" cy="2509836"/>
        </a:xfrm>
      </xdr:grpSpPr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27405825-C31D-49C3-8322-5B4FDFE58FF3}"/>
              </a:ext>
            </a:extLst>
          </xdr:cNvPr>
          <xdr:cNvSpPr/>
        </xdr:nvSpPr>
        <xdr:spPr>
          <a:xfrm>
            <a:off x="1600198" y="323111812"/>
            <a:ext cx="1314449" cy="95250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08A47620-6433-8CC4-509C-E87DD26A0E82}"/>
              </a:ext>
            </a:extLst>
          </xdr:cNvPr>
          <xdr:cNvSpPr/>
        </xdr:nvSpPr>
        <xdr:spPr>
          <a:xfrm>
            <a:off x="1595438" y="322597463"/>
            <a:ext cx="1314449" cy="95250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2AF0EA6F-07C0-EC72-30DF-03AFEB9C03EC}"/>
              </a:ext>
            </a:extLst>
          </xdr:cNvPr>
          <xdr:cNvSpPr/>
        </xdr:nvSpPr>
        <xdr:spPr>
          <a:xfrm>
            <a:off x="1614487" y="322692712"/>
            <a:ext cx="2109788" cy="419100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E4D98232-8625-4A29-A35B-158B9DC4188C}"/>
              </a:ext>
            </a:extLst>
          </xdr:cNvPr>
          <xdr:cNvSpPr/>
        </xdr:nvSpPr>
        <xdr:spPr>
          <a:xfrm>
            <a:off x="1462088" y="322406963"/>
            <a:ext cx="152400" cy="99536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60" name="Straight Arrow Connector 2759">
            <a:extLst>
              <a:ext uri="{FF2B5EF4-FFF2-40B4-BE49-F238E27FC236}">
                <a16:creationId xmlns:a16="http://schemas.microsoft.com/office/drawing/2014/main" id="{A5BF76D2-FE2D-4303-AE60-9EC6045F0E7A}"/>
              </a:ext>
            </a:extLst>
          </xdr:cNvPr>
          <xdr:cNvCxnSpPr/>
        </xdr:nvCxnSpPr>
        <xdr:spPr>
          <a:xfrm flipV="1">
            <a:off x="1619250" y="323411858"/>
            <a:ext cx="0" cy="271462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9" name="Straight Connector 2788">
            <a:extLst>
              <a:ext uri="{FF2B5EF4-FFF2-40B4-BE49-F238E27FC236}">
                <a16:creationId xmlns:a16="http://schemas.microsoft.com/office/drawing/2014/main" id="{F2E2637B-75D3-46C1-8961-4D6FE4AFA73A}"/>
              </a:ext>
            </a:extLst>
          </xdr:cNvPr>
          <xdr:cNvCxnSpPr/>
        </xdr:nvCxnSpPr>
        <xdr:spPr>
          <a:xfrm>
            <a:off x="1614488" y="322397438"/>
            <a:ext cx="0" cy="10096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4" name="Straight Connector 2793">
            <a:extLst>
              <a:ext uri="{FF2B5EF4-FFF2-40B4-BE49-F238E27FC236}">
                <a16:creationId xmlns:a16="http://schemas.microsoft.com/office/drawing/2014/main" id="{44795A7E-A911-6669-DD70-6BFDCE1682E8}"/>
              </a:ext>
            </a:extLst>
          </xdr:cNvPr>
          <xdr:cNvCxnSpPr/>
        </xdr:nvCxnSpPr>
        <xdr:spPr>
          <a:xfrm>
            <a:off x="1619251" y="322759388"/>
            <a:ext cx="210502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6" name="Straight Connector 2815">
            <a:extLst>
              <a:ext uri="{FF2B5EF4-FFF2-40B4-BE49-F238E27FC236}">
                <a16:creationId xmlns:a16="http://schemas.microsoft.com/office/drawing/2014/main" id="{F5AFC35A-5151-4765-BCA3-3AEE0A4D1791}"/>
              </a:ext>
            </a:extLst>
          </xdr:cNvPr>
          <xdr:cNvCxnSpPr/>
        </xdr:nvCxnSpPr>
        <xdr:spPr>
          <a:xfrm>
            <a:off x="1619251" y="323040375"/>
            <a:ext cx="210502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2" name="Straight Connector 2821">
            <a:extLst>
              <a:ext uri="{FF2B5EF4-FFF2-40B4-BE49-F238E27FC236}">
                <a16:creationId xmlns:a16="http://schemas.microsoft.com/office/drawing/2014/main" id="{7885C1DE-3CC2-F392-4A46-0FFCE97E1B0E}"/>
              </a:ext>
            </a:extLst>
          </xdr:cNvPr>
          <xdr:cNvCxnSpPr/>
        </xdr:nvCxnSpPr>
        <xdr:spPr>
          <a:xfrm>
            <a:off x="1614488" y="322545075"/>
            <a:ext cx="13049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5" name="Straight Arrow Connector 2824">
            <a:extLst>
              <a:ext uri="{FF2B5EF4-FFF2-40B4-BE49-F238E27FC236}">
                <a16:creationId xmlns:a16="http://schemas.microsoft.com/office/drawing/2014/main" id="{369B1555-6ACF-9184-D903-BE1C8B4013D4}"/>
              </a:ext>
            </a:extLst>
          </xdr:cNvPr>
          <xdr:cNvCxnSpPr/>
        </xdr:nvCxnSpPr>
        <xdr:spPr>
          <a:xfrm>
            <a:off x="2914650" y="322354575"/>
            <a:ext cx="0" cy="19050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7" name="Straight Connector 2826">
            <a:extLst>
              <a:ext uri="{FF2B5EF4-FFF2-40B4-BE49-F238E27FC236}">
                <a16:creationId xmlns:a16="http://schemas.microsoft.com/office/drawing/2014/main" id="{FC7A1C20-6033-4F99-A9C3-53B19533C209}"/>
              </a:ext>
            </a:extLst>
          </xdr:cNvPr>
          <xdr:cNvCxnSpPr/>
        </xdr:nvCxnSpPr>
        <xdr:spPr>
          <a:xfrm>
            <a:off x="1614486" y="322354570"/>
            <a:ext cx="13049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8" name="Straight Arrow Connector 2827">
            <a:extLst>
              <a:ext uri="{FF2B5EF4-FFF2-40B4-BE49-F238E27FC236}">
                <a16:creationId xmlns:a16="http://schemas.microsoft.com/office/drawing/2014/main" id="{4C29D1FC-D80E-4BCF-BD32-B65B76E13313}"/>
              </a:ext>
            </a:extLst>
          </xdr:cNvPr>
          <xdr:cNvCxnSpPr/>
        </xdr:nvCxnSpPr>
        <xdr:spPr>
          <a:xfrm>
            <a:off x="2752725" y="322354575"/>
            <a:ext cx="0" cy="19050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9" name="Straight Arrow Connector 2828">
            <a:extLst>
              <a:ext uri="{FF2B5EF4-FFF2-40B4-BE49-F238E27FC236}">
                <a16:creationId xmlns:a16="http://schemas.microsoft.com/office/drawing/2014/main" id="{50AA3B33-F999-4B0F-BC03-832CD4D7F436}"/>
              </a:ext>
            </a:extLst>
          </xdr:cNvPr>
          <xdr:cNvCxnSpPr/>
        </xdr:nvCxnSpPr>
        <xdr:spPr>
          <a:xfrm>
            <a:off x="2590800" y="322354575"/>
            <a:ext cx="0" cy="19050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0" name="Straight Arrow Connector 2829">
            <a:extLst>
              <a:ext uri="{FF2B5EF4-FFF2-40B4-BE49-F238E27FC236}">
                <a16:creationId xmlns:a16="http://schemas.microsoft.com/office/drawing/2014/main" id="{A5F7ADCE-F752-4406-BB21-04CD0108F92B}"/>
              </a:ext>
            </a:extLst>
          </xdr:cNvPr>
          <xdr:cNvCxnSpPr/>
        </xdr:nvCxnSpPr>
        <xdr:spPr>
          <a:xfrm>
            <a:off x="2428875" y="322354575"/>
            <a:ext cx="0" cy="19050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1" name="Straight Arrow Connector 2830">
            <a:extLst>
              <a:ext uri="{FF2B5EF4-FFF2-40B4-BE49-F238E27FC236}">
                <a16:creationId xmlns:a16="http://schemas.microsoft.com/office/drawing/2014/main" id="{F2BA1BBC-4C8B-4054-A197-FBA22CC88FB1}"/>
              </a:ext>
            </a:extLst>
          </xdr:cNvPr>
          <xdr:cNvCxnSpPr/>
        </xdr:nvCxnSpPr>
        <xdr:spPr>
          <a:xfrm>
            <a:off x="2266950" y="322354575"/>
            <a:ext cx="0" cy="19050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2" name="Straight Arrow Connector 2831">
            <a:extLst>
              <a:ext uri="{FF2B5EF4-FFF2-40B4-BE49-F238E27FC236}">
                <a16:creationId xmlns:a16="http://schemas.microsoft.com/office/drawing/2014/main" id="{C5395C8B-369D-4085-A65C-C4EA6B8083E1}"/>
              </a:ext>
            </a:extLst>
          </xdr:cNvPr>
          <xdr:cNvCxnSpPr/>
        </xdr:nvCxnSpPr>
        <xdr:spPr>
          <a:xfrm>
            <a:off x="2105025" y="322354575"/>
            <a:ext cx="0" cy="19050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3" name="Straight Arrow Connector 2832">
            <a:extLst>
              <a:ext uri="{FF2B5EF4-FFF2-40B4-BE49-F238E27FC236}">
                <a16:creationId xmlns:a16="http://schemas.microsoft.com/office/drawing/2014/main" id="{8A0B5872-0DB5-4BEF-A9D4-F845AAE6C29F}"/>
              </a:ext>
            </a:extLst>
          </xdr:cNvPr>
          <xdr:cNvCxnSpPr/>
        </xdr:nvCxnSpPr>
        <xdr:spPr>
          <a:xfrm>
            <a:off x="1943100" y="322354575"/>
            <a:ext cx="0" cy="19050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4" name="Straight Arrow Connector 2833">
            <a:extLst>
              <a:ext uri="{FF2B5EF4-FFF2-40B4-BE49-F238E27FC236}">
                <a16:creationId xmlns:a16="http://schemas.microsoft.com/office/drawing/2014/main" id="{54DAB005-6E8A-4BEC-8F3A-927A0B35A8DD}"/>
              </a:ext>
            </a:extLst>
          </xdr:cNvPr>
          <xdr:cNvCxnSpPr/>
        </xdr:nvCxnSpPr>
        <xdr:spPr>
          <a:xfrm>
            <a:off x="1781175" y="322354575"/>
            <a:ext cx="0" cy="19050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5" name="Straight Arrow Connector 2834">
            <a:extLst>
              <a:ext uri="{FF2B5EF4-FFF2-40B4-BE49-F238E27FC236}">
                <a16:creationId xmlns:a16="http://schemas.microsoft.com/office/drawing/2014/main" id="{E927C857-655B-479E-AD63-1958A8E2E54C}"/>
              </a:ext>
            </a:extLst>
          </xdr:cNvPr>
          <xdr:cNvCxnSpPr/>
        </xdr:nvCxnSpPr>
        <xdr:spPr>
          <a:xfrm>
            <a:off x="1614479" y="322354572"/>
            <a:ext cx="0" cy="19050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7" name="Straight Connector 2836">
            <a:extLst>
              <a:ext uri="{FF2B5EF4-FFF2-40B4-BE49-F238E27FC236}">
                <a16:creationId xmlns:a16="http://schemas.microsoft.com/office/drawing/2014/main" id="{58B3B815-B5E0-DA7C-5094-34FA75BF43D2}"/>
              </a:ext>
            </a:extLst>
          </xdr:cNvPr>
          <xdr:cNvCxnSpPr/>
        </xdr:nvCxnSpPr>
        <xdr:spPr>
          <a:xfrm flipH="1" flipV="1">
            <a:off x="2152650" y="322245038"/>
            <a:ext cx="114300" cy="17621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8" name="Straight Arrow Connector 2837">
            <a:extLst>
              <a:ext uri="{FF2B5EF4-FFF2-40B4-BE49-F238E27FC236}">
                <a16:creationId xmlns:a16="http://schemas.microsoft.com/office/drawing/2014/main" id="{EA2C2142-8F15-41A7-978C-96DF33E34E89}"/>
              </a:ext>
            </a:extLst>
          </xdr:cNvPr>
          <xdr:cNvCxnSpPr/>
        </xdr:nvCxnSpPr>
        <xdr:spPr>
          <a:xfrm>
            <a:off x="3724275" y="322268850"/>
            <a:ext cx="0" cy="41910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0" name="Straight Connector 2839">
            <a:extLst>
              <a:ext uri="{FF2B5EF4-FFF2-40B4-BE49-F238E27FC236}">
                <a16:creationId xmlns:a16="http://schemas.microsoft.com/office/drawing/2014/main" id="{1AC0BFFE-39AF-0A79-5582-A56ABF884826}"/>
              </a:ext>
            </a:extLst>
          </xdr:cNvPr>
          <xdr:cNvCxnSpPr/>
        </xdr:nvCxnSpPr>
        <xdr:spPr>
          <a:xfrm>
            <a:off x="1619250" y="323859523"/>
            <a:ext cx="0" cy="471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2" name="Straight Connector 2841">
            <a:extLst>
              <a:ext uri="{FF2B5EF4-FFF2-40B4-BE49-F238E27FC236}">
                <a16:creationId xmlns:a16="http://schemas.microsoft.com/office/drawing/2014/main" id="{A62478A2-4672-CAA7-D7B5-CC19B376157C}"/>
              </a:ext>
            </a:extLst>
          </xdr:cNvPr>
          <xdr:cNvCxnSpPr/>
        </xdr:nvCxnSpPr>
        <xdr:spPr>
          <a:xfrm>
            <a:off x="1547813" y="323973820"/>
            <a:ext cx="2238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4" name="Straight Connector 2843">
            <a:extLst>
              <a:ext uri="{FF2B5EF4-FFF2-40B4-BE49-F238E27FC236}">
                <a16:creationId xmlns:a16="http://schemas.microsoft.com/office/drawing/2014/main" id="{B738A782-1283-9C0A-EB2B-983144EA7F27}"/>
              </a:ext>
            </a:extLst>
          </xdr:cNvPr>
          <xdr:cNvCxnSpPr/>
        </xdr:nvCxnSpPr>
        <xdr:spPr>
          <a:xfrm flipH="1">
            <a:off x="1585912" y="32394525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5" name="Straight Connector 2844">
            <a:extLst>
              <a:ext uri="{FF2B5EF4-FFF2-40B4-BE49-F238E27FC236}">
                <a16:creationId xmlns:a16="http://schemas.microsoft.com/office/drawing/2014/main" id="{411493DD-D977-4CFD-A2B3-AA993561DFED}"/>
              </a:ext>
            </a:extLst>
          </xdr:cNvPr>
          <xdr:cNvCxnSpPr/>
        </xdr:nvCxnSpPr>
        <xdr:spPr>
          <a:xfrm>
            <a:off x="1543050" y="324259569"/>
            <a:ext cx="22431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6" name="Straight Connector 2845">
            <a:extLst>
              <a:ext uri="{FF2B5EF4-FFF2-40B4-BE49-F238E27FC236}">
                <a16:creationId xmlns:a16="http://schemas.microsoft.com/office/drawing/2014/main" id="{46030730-460B-423B-A9F1-1EB272945B2C}"/>
              </a:ext>
            </a:extLst>
          </xdr:cNvPr>
          <xdr:cNvCxnSpPr/>
        </xdr:nvCxnSpPr>
        <xdr:spPr>
          <a:xfrm flipH="1">
            <a:off x="1581149" y="32423100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0" name="Straight Connector 2859">
            <a:extLst>
              <a:ext uri="{FF2B5EF4-FFF2-40B4-BE49-F238E27FC236}">
                <a16:creationId xmlns:a16="http://schemas.microsoft.com/office/drawing/2014/main" id="{8465388F-70F7-4052-B370-077AE96D771B}"/>
              </a:ext>
            </a:extLst>
          </xdr:cNvPr>
          <xdr:cNvCxnSpPr/>
        </xdr:nvCxnSpPr>
        <xdr:spPr>
          <a:xfrm>
            <a:off x="2914650" y="323388038"/>
            <a:ext cx="0" cy="65722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1" name="Straight Connector 2860">
            <a:extLst>
              <a:ext uri="{FF2B5EF4-FFF2-40B4-BE49-F238E27FC236}">
                <a16:creationId xmlns:a16="http://schemas.microsoft.com/office/drawing/2014/main" id="{108B8EE9-3C13-431F-8770-47EA066DCF64}"/>
              </a:ext>
            </a:extLst>
          </xdr:cNvPr>
          <xdr:cNvCxnSpPr/>
        </xdr:nvCxnSpPr>
        <xdr:spPr>
          <a:xfrm flipH="1">
            <a:off x="2876549" y="32394524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3" name="Straight Connector 2862">
            <a:extLst>
              <a:ext uri="{FF2B5EF4-FFF2-40B4-BE49-F238E27FC236}">
                <a16:creationId xmlns:a16="http://schemas.microsoft.com/office/drawing/2014/main" id="{B4798811-77A1-46B5-8E8F-F1BCB8435917}"/>
              </a:ext>
            </a:extLst>
          </xdr:cNvPr>
          <xdr:cNvCxnSpPr/>
        </xdr:nvCxnSpPr>
        <xdr:spPr>
          <a:xfrm>
            <a:off x="3724274" y="323249925"/>
            <a:ext cx="0" cy="10810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5" name="Straight Connector 2864">
            <a:extLst>
              <a:ext uri="{FF2B5EF4-FFF2-40B4-BE49-F238E27FC236}">
                <a16:creationId xmlns:a16="http://schemas.microsoft.com/office/drawing/2014/main" id="{005AB28A-185E-41B3-B25E-CE8870FDC748}"/>
              </a:ext>
            </a:extLst>
          </xdr:cNvPr>
          <xdr:cNvCxnSpPr/>
        </xdr:nvCxnSpPr>
        <xdr:spPr>
          <a:xfrm flipH="1">
            <a:off x="3686173" y="32423100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3" name="Straight Connector 2872">
            <a:extLst>
              <a:ext uri="{FF2B5EF4-FFF2-40B4-BE49-F238E27FC236}">
                <a16:creationId xmlns:a16="http://schemas.microsoft.com/office/drawing/2014/main" id="{0F0C1D95-7537-4BB0-9E6C-74680DC2C365}"/>
              </a:ext>
            </a:extLst>
          </xdr:cNvPr>
          <xdr:cNvCxnSpPr/>
        </xdr:nvCxnSpPr>
        <xdr:spPr>
          <a:xfrm flipH="1">
            <a:off x="3690938" y="32394048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75" name="Arc 2874">
            <a:extLst>
              <a:ext uri="{FF2B5EF4-FFF2-40B4-BE49-F238E27FC236}">
                <a16:creationId xmlns:a16="http://schemas.microsoft.com/office/drawing/2014/main" id="{64992FE1-A836-4D80-B6C9-2834DDA5071F}"/>
              </a:ext>
            </a:extLst>
          </xdr:cNvPr>
          <xdr:cNvSpPr/>
        </xdr:nvSpPr>
        <xdr:spPr>
          <a:xfrm rot="13519201">
            <a:off x="1219201" y="322649849"/>
            <a:ext cx="558924" cy="558924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58" name="Straight Arrow Connector 2957">
            <a:extLst>
              <a:ext uri="{FF2B5EF4-FFF2-40B4-BE49-F238E27FC236}">
                <a16:creationId xmlns:a16="http://schemas.microsoft.com/office/drawing/2014/main" id="{C2360339-080C-582E-24CD-43E15EBFA33F}"/>
              </a:ext>
            </a:extLst>
          </xdr:cNvPr>
          <xdr:cNvCxnSpPr/>
        </xdr:nvCxnSpPr>
        <xdr:spPr>
          <a:xfrm>
            <a:off x="1619250" y="323611875"/>
            <a:ext cx="428625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0" name="Straight Connector 2959">
            <a:extLst>
              <a:ext uri="{FF2B5EF4-FFF2-40B4-BE49-F238E27FC236}">
                <a16:creationId xmlns:a16="http://schemas.microsoft.com/office/drawing/2014/main" id="{EEB36C4B-4626-B6F8-0796-FAC1E9515224}"/>
              </a:ext>
            </a:extLst>
          </xdr:cNvPr>
          <xdr:cNvCxnSpPr/>
        </xdr:nvCxnSpPr>
        <xdr:spPr>
          <a:xfrm>
            <a:off x="2424113" y="323259450"/>
            <a:ext cx="0" cy="233363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1" name="Straight Connector 2960">
            <a:extLst>
              <a:ext uri="{FF2B5EF4-FFF2-40B4-BE49-F238E27FC236}">
                <a16:creationId xmlns:a16="http://schemas.microsoft.com/office/drawing/2014/main" id="{DFE432EE-FF9C-482C-93C0-9BFF834BE784}"/>
              </a:ext>
            </a:extLst>
          </xdr:cNvPr>
          <xdr:cNvCxnSpPr/>
        </xdr:nvCxnSpPr>
        <xdr:spPr>
          <a:xfrm>
            <a:off x="2424113" y="321821175"/>
            <a:ext cx="0" cy="233363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2" name="Straight Connector 2961">
            <a:extLst>
              <a:ext uri="{FF2B5EF4-FFF2-40B4-BE49-F238E27FC236}">
                <a16:creationId xmlns:a16="http://schemas.microsoft.com/office/drawing/2014/main" id="{11C97902-2123-44EA-982C-4AC15D08B0D2}"/>
              </a:ext>
            </a:extLst>
          </xdr:cNvPr>
          <xdr:cNvCxnSpPr/>
        </xdr:nvCxnSpPr>
        <xdr:spPr>
          <a:xfrm>
            <a:off x="3243263" y="323178488"/>
            <a:ext cx="0" cy="233363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3" name="Straight Connector 2962">
            <a:extLst>
              <a:ext uri="{FF2B5EF4-FFF2-40B4-BE49-F238E27FC236}">
                <a16:creationId xmlns:a16="http://schemas.microsoft.com/office/drawing/2014/main" id="{43943D81-5836-48B2-B77E-9F9ED19EB9FE}"/>
              </a:ext>
            </a:extLst>
          </xdr:cNvPr>
          <xdr:cNvCxnSpPr/>
        </xdr:nvCxnSpPr>
        <xdr:spPr>
          <a:xfrm>
            <a:off x="3243263" y="322335536"/>
            <a:ext cx="0" cy="233363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5" name="Straight Connector 2964">
            <a:extLst>
              <a:ext uri="{FF2B5EF4-FFF2-40B4-BE49-F238E27FC236}">
                <a16:creationId xmlns:a16="http://schemas.microsoft.com/office/drawing/2014/main" id="{BECC5B50-7D19-3354-68AD-E6A5661ECC52}"/>
              </a:ext>
            </a:extLst>
          </xdr:cNvPr>
          <xdr:cNvCxnSpPr/>
        </xdr:nvCxnSpPr>
        <xdr:spPr>
          <a:xfrm flipH="1" flipV="1">
            <a:off x="3629025" y="322849875"/>
            <a:ext cx="552450" cy="42862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2" name="Straight Arrow Connector 2971">
            <a:extLst>
              <a:ext uri="{FF2B5EF4-FFF2-40B4-BE49-F238E27FC236}">
                <a16:creationId xmlns:a16="http://schemas.microsoft.com/office/drawing/2014/main" id="{006E3297-D1CB-4F4F-ACD5-9A8E1F6B213F}"/>
              </a:ext>
            </a:extLst>
          </xdr:cNvPr>
          <xdr:cNvCxnSpPr/>
        </xdr:nvCxnSpPr>
        <xdr:spPr>
          <a:xfrm>
            <a:off x="2919413" y="323607112"/>
            <a:ext cx="428625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57150</xdr:colOff>
      <xdr:row>1914</xdr:row>
      <xdr:rowOff>66675</xdr:rowOff>
    </xdr:from>
    <xdr:to>
      <xdr:col>22</xdr:col>
      <xdr:colOff>109537</xdr:colOff>
      <xdr:row>1914</xdr:row>
      <xdr:rowOff>66675</xdr:rowOff>
    </xdr:to>
    <xdr:cxnSp macro="">
      <xdr:nvCxnSpPr>
        <xdr:cNvPr id="2973" name="Straight Arrow Connector 2972">
          <a:extLst>
            <a:ext uri="{FF2B5EF4-FFF2-40B4-BE49-F238E27FC236}">
              <a16:creationId xmlns:a16="http://schemas.microsoft.com/office/drawing/2014/main" id="{889A5398-175F-4029-9F95-AA478670B28B}"/>
            </a:ext>
          </a:extLst>
        </xdr:cNvPr>
        <xdr:cNvCxnSpPr/>
      </xdr:nvCxnSpPr>
      <xdr:spPr>
        <a:xfrm>
          <a:off x="1676400" y="3275647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1917</xdr:row>
      <xdr:rowOff>66675</xdr:rowOff>
    </xdr:from>
    <xdr:to>
      <xdr:col>22</xdr:col>
      <xdr:colOff>109537</xdr:colOff>
      <xdr:row>1917</xdr:row>
      <xdr:rowOff>66675</xdr:rowOff>
    </xdr:to>
    <xdr:cxnSp macro="">
      <xdr:nvCxnSpPr>
        <xdr:cNvPr id="2974" name="Straight Arrow Connector 2973">
          <a:extLst>
            <a:ext uri="{FF2B5EF4-FFF2-40B4-BE49-F238E27FC236}">
              <a16:creationId xmlns:a16="http://schemas.microsoft.com/office/drawing/2014/main" id="{DA18C41C-07FB-4D80-B2A9-BFCE613F067E}"/>
            </a:ext>
          </a:extLst>
        </xdr:cNvPr>
        <xdr:cNvCxnSpPr/>
      </xdr:nvCxnSpPr>
      <xdr:spPr>
        <a:xfrm>
          <a:off x="1676400" y="3281362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100012</xdr:colOff>
      <xdr:row>1878</xdr:row>
      <xdr:rowOff>66680</xdr:rowOff>
    </xdr:from>
    <xdr:to>
      <xdr:col>44</xdr:col>
      <xdr:colOff>9524</xdr:colOff>
      <xdr:row>1896</xdr:row>
      <xdr:rowOff>71438</xdr:rowOff>
    </xdr:to>
    <xdr:grpSp>
      <xdr:nvGrpSpPr>
        <xdr:cNvPr id="2821" name="Group 2820">
          <a:extLst>
            <a:ext uri="{FF2B5EF4-FFF2-40B4-BE49-F238E27FC236}">
              <a16:creationId xmlns:a16="http://schemas.microsoft.com/office/drawing/2014/main" id="{D7C44634-C7F8-99CF-7F6F-7F5E5F6516E0}"/>
            </a:ext>
          </a:extLst>
        </xdr:cNvPr>
        <xdr:cNvGrpSpPr/>
      </xdr:nvGrpSpPr>
      <xdr:grpSpPr>
        <a:xfrm>
          <a:off x="5443537" y="283387805"/>
          <a:ext cx="1690687" cy="2576508"/>
          <a:chOff x="5443537" y="265604630"/>
          <a:chExt cx="1690687" cy="2576508"/>
        </a:xfrm>
      </xdr:grpSpPr>
      <xdr:grpSp>
        <xdr:nvGrpSpPr>
          <xdr:cNvPr id="2901" name="Group 2900">
            <a:extLst>
              <a:ext uri="{FF2B5EF4-FFF2-40B4-BE49-F238E27FC236}">
                <a16:creationId xmlns:a16="http://schemas.microsoft.com/office/drawing/2014/main" id="{40788ABC-5ED6-B93E-54AA-A3441EEC2E63}"/>
              </a:ext>
            </a:extLst>
          </xdr:cNvPr>
          <xdr:cNvGrpSpPr/>
        </xdr:nvGrpSpPr>
        <xdr:grpSpPr>
          <a:xfrm>
            <a:off x="5829300" y="265971338"/>
            <a:ext cx="1304924" cy="1847854"/>
            <a:chOff x="5829300" y="321359213"/>
            <a:chExt cx="1304924" cy="1847854"/>
          </a:xfrm>
        </xdr:grpSpPr>
        <xdr:cxnSp macro="">
          <xdr:nvCxnSpPr>
            <xdr:cNvPr id="2879" name="Straight Connector 2878">
              <a:extLst>
                <a:ext uri="{FF2B5EF4-FFF2-40B4-BE49-F238E27FC236}">
                  <a16:creationId xmlns:a16="http://schemas.microsoft.com/office/drawing/2014/main" id="{F769FA69-0E83-32A9-A74B-A9AFB9C53CFD}"/>
                </a:ext>
              </a:extLst>
            </xdr:cNvPr>
            <xdr:cNvCxnSpPr/>
          </xdr:nvCxnSpPr>
          <xdr:spPr>
            <a:xfrm>
              <a:off x="5829300" y="3214973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82" name="Straight Connector 2881">
              <a:extLst>
                <a:ext uri="{FF2B5EF4-FFF2-40B4-BE49-F238E27FC236}">
                  <a16:creationId xmlns:a16="http://schemas.microsoft.com/office/drawing/2014/main" id="{826EE624-2495-7B9D-FB4E-50B488D72F36}"/>
                </a:ext>
              </a:extLst>
            </xdr:cNvPr>
            <xdr:cNvCxnSpPr/>
          </xdr:nvCxnSpPr>
          <xdr:spPr>
            <a:xfrm>
              <a:off x="5834062" y="3216402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83" name="Straight Connector 2882">
              <a:extLst>
                <a:ext uri="{FF2B5EF4-FFF2-40B4-BE49-F238E27FC236}">
                  <a16:creationId xmlns:a16="http://schemas.microsoft.com/office/drawing/2014/main" id="{DF3DDF29-B48B-0A59-8451-F7536EA83FA2}"/>
                </a:ext>
              </a:extLst>
            </xdr:cNvPr>
            <xdr:cNvCxnSpPr/>
          </xdr:nvCxnSpPr>
          <xdr:spPr>
            <a:xfrm>
              <a:off x="6434137" y="3217354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885" name="Arc 2884">
              <a:extLst>
                <a:ext uri="{FF2B5EF4-FFF2-40B4-BE49-F238E27FC236}">
                  <a16:creationId xmlns:a16="http://schemas.microsoft.com/office/drawing/2014/main" id="{A9FAC7EA-8138-8465-BECA-31FECF5993F3}"/>
                </a:ext>
              </a:extLst>
            </xdr:cNvPr>
            <xdr:cNvSpPr/>
          </xdr:nvSpPr>
          <xdr:spPr>
            <a:xfrm>
              <a:off x="6224588" y="3216402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887" name="Straight Connector 2886">
              <a:extLst>
                <a:ext uri="{FF2B5EF4-FFF2-40B4-BE49-F238E27FC236}">
                  <a16:creationId xmlns:a16="http://schemas.microsoft.com/office/drawing/2014/main" id="{D1F1961C-7D4C-307E-903A-6F00DC7CE998}"/>
                </a:ext>
              </a:extLst>
            </xdr:cNvPr>
            <xdr:cNvCxnSpPr/>
          </xdr:nvCxnSpPr>
          <xdr:spPr>
            <a:xfrm>
              <a:off x="6529387" y="3217306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88" name="Straight Connector 2887">
              <a:extLst>
                <a:ext uri="{FF2B5EF4-FFF2-40B4-BE49-F238E27FC236}">
                  <a16:creationId xmlns:a16="http://schemas.microsoft.com/office/drawing/2014/main" id="{97A1BCA3-F405-F5FC-B228-799BCF6638E2}"/>
                </a:ext>
              </a:extLst>
            </xdr:cNvPr>
            <xdr:cNvCxnSpPr/>
          </xdr:nvCxnSpPr>
          <xdr:spPr>
            <a:xfrm>
              <a:off x="6634162" y="3216402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89" name="Straight Connector 2888">
              <a:extLst>
                <a:ext uri="{FF2B5EF4-FFF2-40B4-BE49-F238E27FC236}">
                  <a16:creationId xmlns:a16="http://schemas.microsoft.com/office/drawing/2014/main" id="{6F71F52C-81E2-1A76-8401-F927F4E600ED}"/>
                </a:ext>
              </a:extLst>
            </xdr:cNvPr>
            <xdr:cNvCxnSpPr/>
          </xdr:nvCxnSpPr>
          <xdr:spPr>
            <a:xfrm>
              <a:off x="7124700" y="3214973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90" name="Straight Connector 2889">
              <a:extLst>
                <a:ext uri="{FF2B5EF4-FFF2-40B4-BE49-F238E27FC236}">
                  <a16:creationId xmlns:a16="http://schemas.microsoft.com/office/drawing/2014/main" id="{2B70F217-D611-1681-70A5-F16778B78B0A}"/>
                </a:ext>
              </a:extLst>
            </xdr:cNvPr>
            <xdr:cNvCxnSpPr/>
          </xdr:nvCxnSpPr>
          <xdr:spPr>
            <a:xfrm>
              <a:off x="5834062" y="3214973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891" name="Arc 2890">
              <a:extLst>
                <a:ext uri="{FF2B5EF4-FFF2-40B4-BE49-F238E27FC236}">
                  <a16:creationId xmlns:a16="http://schemas.microsoft.com/office/drawing/2014/main" id="{EB82BCB5-9BBB-AAEB-29F5-ADC7F906D33F}"/>
                </a:ext>
              </a:extLst>
            </xdr:cNvPr>
            <xdr:cNvSpPr/>
          </xdr:nvSpPr>
          <xdr:spPr>
            <a:xfrm rot="16200000">
              <a:off x="6529387" y="3216402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892" name="Straight Connector 2891">
              <a:extLst>
                <a:ext uri="{FF2B5EF4-FFF2-40B4-BE49-F238E27FC236}">
                  <a16:creationId xmlns:a16="http://schemas.microsoft.com/office/drawing/2014/main" id="{EF90541D-4646-9553-0F8B-6BD836FF00F8}"/>
                </a:ext>
              </a:extLst>
            </xdr:cNvPr>
            <xdr:cNvCxnSpPr/>
          </xdr:nvCxnSpPr>
          <xdr:spPr>
            <a:xfrm>
              <a:off x="5834062" y="3230689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93" name="Straight Connector 2892">
              <a:extLst>
                <a:ext uri="{FF2B5EF4-FFF2-40B4-BE49-F238E27FC236}">
                  <a16:creationId xmlns:a16="http://schemas.microsoft.com/office/drawing/2014/main" id="{F239DD7B-8DC7-90D4-840E-15826C370043}"/>
                </a:ext>
              </a:extLst>
            </xdr:cNvPr>
            <xdr:cNvCxnSpPr/>
          </xdr:nvCxnSpPr>
          <xdr:spPr>
            <a:xfrm>
              <a:off x="5838824" y="3229260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94" name="Straight Connector 2893">
              <a:extLst>
                <a:ext uri="{FF2B5EF4-FFF2-40B4-BE49-F238E27FC236}">
                  <a16:creationId xmlns:a16="http://schemas.microsoft.com/office/drawing/2014/main" id="{017CD534-92A4-578D-B571-530BA6EAC991}"/>
                </a:ext>
              </a:extLst>
            </xdr:cNvPr>
            <xdr:cNvCxnSpPr/>
          </xdr:nvCxnSpPr>
          <xdr:spPr>
            <a:xfrm>
              <a:off x="6638924" y="3229260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95" name="Straight Connector 2894">
              <a:extLst>
                <a:ext uri="{FF2B5EF4-FFF2-40B4-BE49-F238E27FC236}">
                  <a16:creationId xmlns:a16="http://schemas.microsoft.com/office/drawing/2014/main" id="{F3C390D0-D1DD-3EBA-1FDB-0BD99CCCB5D7}"/>
                </a:ext>
              </a:extLst>
            </xdr:cNvPr>
            <xdr:cNvCxnSpPr/>
          </xdr:nvCxnSpPr>
          <xdr:spPr>
            <a:xfrm>
              <a:off x="7129462" y="3229260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96" name="Straight Connector 2895">
              <a:extLst>
                <a:ext uri="{FF2B5EF4-FFF2-40B4-BE49-F238E27FC236}">
                  <a16:creationId xmlns:a16="http://schemas.microsoft.com/office/drawing/2014/main" id="{CAFA2A4F-39BD-47EC-A08C-0F47D46E2352}"/>
                </a:ext>
              </a:extLst>
            </xdr:cNvPr>
            <xdr:cNvCxnSpPr/>
          </xdr:nvCxnSpPr>
          <xdr:spPr>
            <a:xfrm>
              <a:off x="5838824" y="3229260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897" name="Arc 2896">
              <a:extLst>
                <a:ext uri="{FF2B5EF4-FFF2-40B4-BE49-F238E27FC236}">
                  <a16:creationId xmlns:a16="http://schemas.microsoft.com/office/drawing/2014/main" id="{EE73D9C0-D55A-F7E7-7B50-61DE748C731A}"/>
                </a:ext>
              </a:extLst>
            </xdr:cNvPr>
            <xdr:cNvSpPr/>
          </xdr:nvSpPr>
          <xdr:spPr>
            <a:xfrm rot="5400000">
              <a:off x="6224586" y="3227165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898" name="Arc 2897">
              <a:extLst>
                <a:ext uri="{FF2B5EF4-FFF2-40B4-BE49-F238E27FC236}">
                  <a16:creationId xmlns:a16="http://schemas.microsoft.com/office/drawing/2014/main" id="{2D31747F-0AC9-A616-0285-F2FC82A31D05}"/>
                </a:ext>
              </a:extLst>
            </xdr:cNvPr>
            <xdr:cNvSpPr/>
          </xdr:nvSpPr>
          <xdr:spPr>
            <a:xfrm rot="10800000">
              <a:off x="6529388" y="3227165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899" name="Rectangle 2898">
              <a:extLst>
                <a:ext uri="{FF2B5EF4-FFF2-40B4-BE49-F238E27FC236}">
                  <a16:creationId xmlns:a16="http://schemas.microsoft.com/office/drawing/2014/main" id="{90A4A63F-D6F4-465A-A1C0-E89735018DCD}"/>
                </a:ext>
              </a:extLst>
            </xdr:cNvPr>
            <xdr:cNvSpPr/>
          </xdr:nvSpPr>
          <xdr:spPr>
            <a:xfrm>
              <a:off x="5995988" y="321359213"/>
              <a:ext cx="971550" cy="1381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2900" name="Rectangle 2899">
              <a:extLst>
                <a:ext uri="{FF2B5EF4-FFF2-40B4-BE49-F238E27FC236}">
                  <a16:creationId xmlns:a16="http://schemas.microsoft.com/office/drawing/2014/main" id="{54F946DD-281D-4D55-ABEF-A72B6E014412}"/>
                </a:ext>
              </a:extLst>
            </xdr:cNvPr>
            <xdr:cNvSpPr/>
          </xdr:nvSpPr>
          <xdr:spPr>
            <a:xfrm>
              <a:off x="5991224" y="323068950"/>
              <a:ext cx="971550" cy="1381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</xdr:grpSp>
      <xdr:cxnSp macro="">
        <xdr:nvCxnSpPr>
          <xdr:cNvPr id="2903" name="Straight Connector 2902">
            <a:extLst>
              <a:ext uri="{FF2B5EF4-FFF2-40B4-BE49-F238E27FC236}">
                <a16:creationId xmlns:a16="http://schemas.microsoft.com/office/drawing/2014/main" id="{28D20CF7-2546-BF4F-C562-D50FE3A06011}"/>
              </a:ext>
            </a:extLst>
          </xdr:cNvPr>
          <xdr:cNvCxnSpPr/>
        </xdr:nvCxnSpPr>
        <xdr:spPr>
          <a:xfrm flipV="1">
            <a:off x="5991226" y="267876337"/>
            <a:ext cx="0" cy="3048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6" name="Straight Connector 2905">
            <a:extLst>
              <a:ext uri="{FF2B5EF4-FFF2-40B4-BE49-F238E27FC236}">
                <a16:creationId xmlns:a16="http://schemas.microsoft.com/office/drawing/2014/main" id="{8BF3BF0C-0796-F197-8DD5-82FE2A4BA14C}"/>
              </a:ext>
            </a:extLst>
          </xdr:cNvPr>
          <xdr:cNvCxnSpPr/>
        </xdr:nvCxnSpPr>
        <xdr:spPr>
          <a:xfrm>
            <a:off x="5915025" y="268109701"/>
            <a:ext cx="11096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8" name="Straight Connector 2907">
            <a:extLst>
              <a:ext uri="{FF2B5EF4-FFF2-40B4-BE49-F238E27FC236}">
                <a16:creationId xmlns:a16="http://schemas.microsoft.com/office/drawing/2014/main" id="{58787974-5357-0A72-B48F-CC5D61ADEB71}"/>
              </a:ext>
            </a:extLst>
          </xdr:cNvPr>
          <xdr:cNvCxnSpPr/>
        </xdr:nvCxnSpPr>
        <xdr:spPr>
          <a:xfrm flipH="1">
            <a:off x="5953124" y="26807636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9" name="Straight Connector 2908">
            <a:extLst>
              <a:ext uri="{FF2B5EF4-FFF2-40B4-BE49-F238E27FC236}">
                <a16:creationId xmlns:a16="http://schemas.microsoft.com/office/drawing/2014/main" id="{ACB49642-CAC3-406A-94ED-87C0D620B190}"/>
              </a:ext>
            </a:extLst>
          </xdr:cNvPr>
          <xdr:cNvCxnSpPr/>
        </xdr:nvCxnSpPr>
        <xdr:spPr>
          <a:xfrm flipV="1">
            <a:off x="6962776" y="267876337"/>
            <a:ext cx="0" cy="3048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0" name="Straight Connector 2909">
            <a:extLst>
              <a:ext uri="{FF2B5EF4-FFF2-40B4-BE49-F238E27FC236}">
                <a16:creationId xmlns:a16="http://schemas.microsoft.com/office/drawing/2014/main" id="{0CB2DA7D-93D7-46BB-8665-F0626752D686}"/>
              </a:ext>
            </a:extLst>
          </xdr:cNvPr>
          <xdr:cNvCxnSpPr/>
        </xdr:nvCxnSpPr>
        <xdr:spPr>
          <a:xfrm flipH="1">
            <a:off x="6924674" y="26807636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2" name="Straight Connector 2911">
            <a:extLst>
              <a:ext uri="{FF2B5EF4-FFF2-40B4-BE49-F238E27FC236}">
                <a16:creationId xmlns:a16="http://schemas.microsoft.com/office/drawing/2014/main" id="{011445BD-603A-434B-9C82-E647FF475D02}"/>
              </a:ext>
            </a:extLst>
          </xdr:cNvPr>
          <xdr:cNvCxnSpPr/>
        </xdr:nvCxnSpPr>
        <xdr:spPr>
          <a:xfrm flipV="1">
            <a:off x="5991226" y="265604630"/>
            <a:ext cx="0" cy="3048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3" name="Straight Connector 2912">
            <a:extLst>
              <a:ext uri="{FF2B5EF4-FFF2-40B4-BE49-F238E27FC236}">
                <a16:creationId xmlns:a16="http://schemas.microsoft.com/office/drawing/2014/main" id="{3E76A27A-7C10-44ED-8C82-59AE52B34FEA}"/>
              </a:ext>
            </a:extLst>
          </xdr:cNvPr>
          <xdr:cNvCxnSpPr/>
        </xdr:nvCxnSpPr>
        <xdr:spPr>
          <a:xfrm>
            <a:off x="5915025" y="265680825"/>
            <a:ext cx="11096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4" name="Straight Connector 2913">
            <a:extLst>
              <a:ext uri="{FF2B5EF4-FFF2-40B4-BE49-F238E27FC236}">
                <a16:creationId xmlns:a16="http://schemas.microsoft.com/office/drawing/2014/main" id="{8E0383EA-DA26-4553-AF97-8701757F12A3}"/>
              </a:ext>
            </a:extLst>
          </xdr:cNvPr>
          <xdr:cNvCxnSpPr/>
        </xdr:nvCxnSpPr>
        <xdr:spPr>
          <a:xfrm flipH="1">
            <a:off x="5953124" y="26564748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5" name="Straight Connector 2914">
            <a:extLst>
              <a:ext uri="{FF2B5EF4-FFF2-40B4-BE49-F238E27FC236}">
                <a16:creationId xmlns:a16="http://schemas.microsoft.com/office/drawing/2014/main" id="{767AFF1C-0E22-49A5-9E48-E7539BF09C9D}"/>
              </a:ext>
            </a:extLst>
          </xdr:cNvPr>
          <xdr:cNvCxnSpPr/>
        </xdr:nvCxnSpPr>
        <xdr:spPr>
          <a:xfrm flipV="1">
            <a:off x="6962776" y="265604630"/>
            <a:ext cx="0" cy="3048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6" name="Straight Connector 2915">
            <a:extLst>
              <a:ext uri="{FF2B5EF4-FFF2-40B4-BE49-F238E27FC236}">
                <a16:creationId xmlns:a16="http://schemas.microsoft.com/office/drawing/2014/main" id="{9C0EEFC4-4A2F-4FD5-A5CF-C69C9C76D11E}"/>
              </a:ext>
            </a:extLst>
          </xdr:cNvPr>
          <xdr:cNvCxnSpPr/>
        </xdr:nvCxnSpPr>
        <xdr:spPr>
          <a:xfrm flipH="1">
            <a:off x="6924674" y="26564748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8" name="Straight Connector 2917">
            <a:extLst>
              <a:ext uri="{FF2B5EF4-FFF2-40B4-BE49-F238E27FC236}">
                <a16:creationId xmlns:a16="http://schemas.microsoft.com/office/drawing/2014/main" id="{30D75B9F-3D86-DF14-BB0E-EC4BD30BCA24}"/>
              </a:ext>
            </a:extLst>
          </xdr:cNvPr>
          <xdr:cNvCxnSpPr/>
        </xdr:nvCxnSpPr>
        <xdr:spPr>
          <a:xfrm>
            <a:off x="5443538" y="266109449"/>
            <a:ext cx="34766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0" name="Straight Connector 2919">
            <a:extLst>
              <a:ext uri="{FF2B5EF4-FFF2-40B4-BE49-F238E27FC236}">
                <a16:creationId xmlns:a16="http://schemas.microsoft.com/office/drawing/2014/main" id="{C3CD00BE-BECD-A179-7C07-8792A755A224}"/>
              </a:ext>
            </a:extLst>
          </xdr:cNvPr>
          <xdr:cNvCxnSpPr/>
        </xdr:nvCxnSpPr>
        <xdr:spPr>
          <a:xfrm flipV="1">
            <a:off x="5505450" y="265928474"/>
            <a:ext cx="0" cy="252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2" name="Straight Connector 2921">
            <a:extLst>
              <a:ext uri="{FF2B5EF4-FFF2-40B4-BE49-F238E27FC236}">
                <a16:creationId xmlns:a16="http://schemas.microsoft.com/office/drawing/2014/main" id="{888DCC66-AE85-41E1-8746-52D1D6C9E202}"/>
              </a:ext>
            </a:extLst>
          </xdr:cNvPr>
          <xdr:cNvCxnSpPr/>
        </xdr:nvCxnSpPr>
        <xdr:spPr>
          <a:xfrm flipH="1">
            <a:off x="5467349" y="266076114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3" name="Straight Connector 2922">
            <a:extLst>
              <a:ext uri="{FF2B5EF4-FFF2-40B4-BE49-F238E27FC236}">
                <a16:creationId xmlns:a16="http://schemas.microsoft.com/office/drawing/2014/main" id="{4C9EC250-0852-4755-8D34-6A082B2C0CFE}"/>
              </a:ext>
            </a:extLst>
          </xdr:cNvPr>
          <xdr:cNvCxnSpPr/>
        </xdr:nvCxnSpPr>
        <xdr:spPr>
          <a:xfrm>
            <a:off x="5443537" y="265966574"/>
            <a:ext cx="34766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4" name="Straight Connector 2923">
            <a:extLst>
              <a:ext uri="{FF2B5EF4-FFF2-40B4-BE49-F238E27FC236}">
                <a16:creationId xmlns:a16="http://schemas.microsoft.com/office/drawing/2014/main" id="{B1D1DC82-B054-42E4-B815-61CAA205AF4C}"/>
              </a:ext>
            </a:extLst>
          </xdr:cNvPr>
          <xdr:cNvCxnSpPr/>
        </xdr:nvCxnSpPr>
        <xdr:spPr>
          <a:xfrm flipH="1">
            <a:off x="5467348" y="26593323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5" name="Straight Connector 2924">
            <a:extLst>
              <a:ext uri="{FF2B5EF4-FFF2-40B4-BE49-F238E27FC236}">
                <a16:creationId xmlns:a16="http://schemas.microsoft.com/office/drawing/2014/main" id="{51B4B62B-A5F0-42E8-9ABA-F841D3E320E9}"/>
              </a:ext>
            </a:extLst>
          </xdr:cNvPr>
          <xdr:cNvCxnSpPr/>
        </xdr:nvCxnSpPr>
        <xdr:spPr>
          <a:xfrm>
            <a:off x="5443538" y="267823949"/>
            <a:ext cx="34766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6" name="Straight Connector 2925">
            <a:extLst>
              <a:ext uri="{FF2B5EF4-FFF2-40B4-BE49-F238E27FC236}">
                <a16:creationId xmlns:a16="http://schemas.microsoft.com/office/drawing/2014/main" id="{B9DA9FA9-CCA0-4E4A-8E14-C464AF282D63}"/>
              </a:ext>
            </a:extLst>
          </xdr:cNvPr>
          <xdr:cNvCxnSpPr/>
        </xdr:nvCxnSpPr>
        <xdr:spPr>
          <a:xfrm flipV="1">
            <a:off x="5505450" y="267642974"/>
            <a:ext cx="0" cy="252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7" name="Straight Connector 2926">
            <a:extLst>
              <a:ext uri="{FF2B5EF4-FFF2-40B4-BE49-F238E27FC236}">
                <a16:creationId xmlns:a16="http://schemas.microsoft.com/office/drawing/2014/main" id="{4E4D43F9-0B82-447A-99BE-105DC16C5541}"/>
              </a:ext>
            </a:extLst>
          </xdr:cNvPr>
          <xdr:cNvCxnSpPr/>
        </xdr:nvCxnSpPr>
        <xdr:spPr>
          <a:xfrm flipH="1">
            <a:off x="5467349" y="267790614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8" name="Straight Connector 2927">
            <a:extLst>
              <a:ext uri="{FF2B5EF4-FFF2-40B4-BE49-F238E27FC236}">
                <a16:creationId xmlns:a16="http://schemas.microsoft.com/office/drawing/2014/main" id="{A91CCED7-4B29-4CD8-91CA-26890AF56B8B}"/>
              </a:ext>
            </a:extLst>
          </xdr:cNvPr>
          <xdr:cNvCxnSpPr/>
        </xdr:nvCxnSpPr>
        <xdr:spPr>
          <a:xfrm>
            <a:off x="5443537" y="267681074"/>
            <a:ext cx="34766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9" name="Straight Connector 2928">
            <a:extLst>
              <a:ext uri="{FF2B5EF4-FFF2-40B4-BE49-F238E27FC236}">
                <a16:creationId xmlns:a16="http://schemas.microsoft.com/office/drawing/2014/main" id="{A787276A-00DD-4D68-A099-4B1C14366C37}"/>
              </a:ext>
            </a:extLst>
          </xdr:cNvPr>
          <xdr:cNvCxnSpPr/>
        </xdr:nvCxnSpPr>
        <xdr:spPr>
          <a:xfrm flipH="1">
            <a:off x="5467348" y="26764773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92" name="Right Triangle 2791">
            <a:extLst>
              <a:ext uri="{FF2B5EF4-FFF2-40B4-BE49-F238E27FC236}">
                <a16:creationId xmlns:a16="http://schemas.microsoft.com/office/drawing/2014/main" id="{12E0E89D-E3F4-EBA3-1AE6-6BB805472D68}"/>
              </a:ext>
            </a:extLst>
          </xdr:cNvPr>
          <xdr:cNvSpPr/>
        </xdr:nvSpPr>
        <xdr:spPr>
          <a:xfrm>
            <a:off x="6972300" y="265990387"/>
            <a:ext cx="114300" cy="114300"/>
          </a:xfrm>
          <a:prstGeom prst="rtTriangle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95" name="Right Triangle 2794">
            <a:extLst>
              <a:ext uri="{FF2B5EF4-FFF2-40B4-BE49-F238E27FC236}">
                <a16:creationId xmlns:a16="http://schemas.microsoft.com/office/drawing/2014/main" id="{E7DEEC97-0AE1-4995-9B33-CAF447C12C42}"/>
              </a:ext>
            </a:extLst>
          </xdr:cNvPr>
          <xdr:cNvSpPr/>
        </xdr:nvSpPr>
        <xdr:spPr>
          <a:xfrm rot="10800000">
            <a:off x="5876925" y="267685837"/>
            <a:ext cx="114300" cy="114300"/>
          </a:xfrm>
          <a:prstGeom prst="rtTriangle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18" name="Right Triangle 2817">
            <a:extLst>
              <a:ext uri="{FF2B5EF4-FFF2-40B4-BE49-F238E27FC236}">
                <a16:creationId xmlns:a16="http://schemas.microsoft.com/office/drawing/2014/main" id="{73D3D487-B1CA-43ED-9603-BF36999BF819}"/>
              </a:ext>
            </a:extLst>
          </xdr:cNvPr>
          <xdr:cNvSpPr/>
        </xdr:nvSpPr>
        <xdr:spPr>
          <a:xfrm rot="5400000">
            <a:off x="6967536" y="267685837"/>
            <a:ext cx="114300" cy="114300"/>
          </a:xfrm>
          <a:prstGeom prst="rtTriangle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20" name="Right Triangle 2819">
            <a:extLst>
              <a:ext uri="{FF2B5EF4-FFF2-40B4-BE49-F238E27FC236}">
                <a16:creationId xmlns:a16="http://schemas.microsoft.com/office/drawing/2014/main" id="{355A2D8B-0F18-4CD3-BF37-0C5F5C372923}"/>
              </a:ext>
            </a:extLst>
          </xdr:cNvPr>
          <xdr:cNvSpPr/>
        </xdr:nvSpPr>
        <xdr:spPr>
          <a:xfrm rot="16200000">
            <a:off x="5881688" y="265995152"/>
            <a:ext cx="114300" cy="114300"/>
          </a:xfrm>
          <a:prstGeom prst="rtTriangle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6</xdr:col>
      <xdr:colOff>90486</xdr:colOff>
      <xdr:row>2081</xdr:row>
      <xdr:rowOff>4766</xdr:rowOff>
    </xdr:from>
    <xdr:to>
      <xdr:col>31</xdr:col>
      <xdr:colOff>72203</xdr:colOff>
      <xdr:row>2081</xdr:row>
      <xdr:rowOff>133352</xdr:rowOff>
    </xdr:to>
    <xdr:grpSp>
      <xdr:nvGrpSpPr>
        <xdr:cNvPr id="2823" name="Group 2822">
          <a:extLst>
            <a:ext uri="{FF2B5EF4-FFF2-40B4-BE49-F238E27FC236}">
              <a16:creationId xmlns:a16="http://schemas.microsoft.com/office/drawing/2014/main" id="{6D827A80-1584-409D-9BB8-5F726480F8E0}"/>
            </a:ext>
          </a:extLst>
        </xdr:cNvPr>
        <xdr:cNvGrpSpPr/>
      </xdr:nvGrpSpPr>
      <xdr:grpSpPr>
        <a:xfrm>
          <a:off x="1062036" y="313786841"/>
          <a:ext cx="4029842" cy="128586"/>
          <a:chOff x="1062036" y="261627941"/>
          <a:chExt cx="4029842" cy="128586"/>
        </a:xfrm>
      </xdr:grpSpPr>
      <xdr:cxnSp macro="">
        <xdr:nvCxnSpPr>
          <xdr:cNvPr id="2824" name="Straight Connector 2823">
            <a:extLst>
              <a:ext uri="{FF2B5EF4-FFF2-40B4-BE49-F238E27FC236}">
                <a16:creationId xmlns:a16="http://schemas.microsoft.com/office/drawing/2014/main" id="{7AF163B1-03DA-7D8E-A057-E65DB7AC18F9}"/>
              </a:ext>
            </a:extLst>
          </xdr:cNvPr>
          <xdr:cNvCxnSpPr/>
        </xdr:nvCxnSpPr>
        <xdr:spPr>
          <a:xfrm>
            <a:off x="1138236" y="261627941"/>
            <a:ext cx="3895726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26" name="Isosceles Triangle 2825">
            <a:extLst>
              <a:ext uri="{FF2B5EF4-FFF2-40B4-BE49-F238E27FC236}">
                <a16:creationId xmlns:a16="http://schemas.microsoft.com/office/drawing/2014/main" id="{66CCB73E-3AAA-26A4-5C46-4CA55CEAFFE9}"/>
              </a:ext>
            </a:extLst>
          </xdr:cNvPr>
          <xdr:cNvSpPr/>
        </xdr:nvSpPr>
        <xdr:spPr>
          <a:xfrm>
            <a:off x="1062036" y="261632703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36" name="Isosceles Triangle 2835">
            <a:extLst>
              <a:ext uri="{FF2B5EF4-FFF2-40B4-BE49-F238E27FC236}">
                <a16:creationId xmlns:a16="http://schemas.microsoft.com/office/drawing/2014/main" id="{25BFBBB9-312A-86D5-90DA-AD67D5CD3BDE}"/>
              </a:ext>
            </a:extLst>
          </xdr:cNvPr>
          <xdr:cNvSpPr/>
        </xdr:nvSpPr>
        <xdr:spPr>
          <a:xfrm>
            <a:off x="4948242" y="261627941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66675</xdr:colOff>
      <xdr:row>2130</xdr:row>
      <xdr:rowOff>66675</xdr:rowOff>
    </xdr:from>
    <xdr:to>
      <xdr:col>7</xdr:col>
      <xdr:colOff>119062</xdr:colOff>
      <xdr:row>2130</xdr:row>
      <xdr:rowOff>66675</xdr:rowOff>
    </xdr:to>
    <xdr:cxnSp macro="">
      <xdr:nvCxnSpPr>
        <xdr:cNvPr id="2839" name="Straight Arrow Connector 2838">
          <a:extLst>
            <a:ext uri="{FF2B5EF4-FFF2-40B4-BE49-F238E27FC236}">
              <a16:creationId xmlns:a16="http://schemas.microsoft.com/office/drawing/2014/main" id="{57828A28-791E-4643-A1BE-D0B6C4F11DCC}"/>
            </a:ext>
          </a:extLst>
        </xdr:cNvPr>
        <xdr:cNvCxnSpPr/>
      </xdr:nvCxnSpPr>
      <xdr:spPr>
        <a:xfrm>
          <a:off x="1038225" y="3036379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2131</xdr:row>
      <xdr:rowOff>66675</xdr:rowOff>
    </xdr:from>
    <xdr:to>
      <xdr:col>7</xdr:col>
      <xdr:colOff>119062</xdr:colOff>
      <xdr:row>2131</xdr:row>
      <xdr:rowOff>66675</xdr:rowOff>
    </xdr:to>
    <xdr:cxnSp macro="">
      <xdr:nvCxnSpPr>
        <xdr:cNvPr id="2841" name="Straight Arrow Connector 2840">
          <a:extLst>
            <a:ext uri="{FF2B5EF4-FFF2-40B4-BE49-F238E27FC236}">
              <a16:creationId xmlns:a16="http://schemas.microsoft.com/office/drawing/2014/main" id="{5C604E03-2AE6-468F-8916-7FE454903A98}"/>
            </a:ext>
          </a:extLst>
        </xdr:cNvPr>
        <xdr:cNvCxnSpPr/>
      </xdr:nvCxnSpPr>
      <xdr:spPr>
        <a:xfrm>
          <a:off x="1038225" y="3037808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2132</xdr:row>
      <xdr:rowOff>66675</xdr:rowOff>
    </xdr:from>
    <xdr:to>
      <xdr:col>9</xdr:col>
      <xdr:colOff>109537</xdr:colOff>
      <xdr:row>2132</xdr:row>
      <xdr:rowOff>66675</xdr:rowOff>
    </xdr:to>
    <xdr:cxnSp macro="">
      <xdr:nvCxnSpPr>
        <xdr:cNvPr id="2843" name="Straight Arrow Connector 2842">
          <a:extLst>
            <a:ext uri="{FF2B5EF4-FFF2-40B4-BE49-F238E27FC236}">
              <a16:creationId xmlns:a16="http://schemas.microsoft.com/office/drawing/2014/main" id="{C73A54E6-4C47-4AD2-B56A-2464E4477CC6}"/>
            </a:ext>
          </a:extLst>
        </xdr:cNvPr>
        <xdr:cNvCxnSpPr/>
      </xdr:nvCxnSpPr>
      <xdr:spPr>
        <a:xfrm>
          <a:off x="9934575" y="3037808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2135</xdr:row>
      <xdr:rowOff>66675</xdr:rowOff>
    </xdr:from>
    <xdr:to>
      <xdr:col>11</xdr:col>
      <xdr:colOff>119062</xdr:colOff>
      <xdr:row>2135</xdr:row>
      <xdr:rowOff>66675</xdr:rowOff>
    </xdr:to>
    <xdr:cxnSp macro="">
      <xdr:nvCxnSpPr>
        <xdr:cNvPr id="2850" name="Straight Arrow Connector 2849">
          <a:extLst>
            <a:ext uri="{FF2B5EF4-FFF2-40B4-BE49-F238E27FC236}">
              <a16:creationId xmlns:a16="http://schemas.microsoft.com/office/drawing/2014/main" id="{758F9403-2F44-4591-8AC4-5CA0FAF73401}"/>
            </a:ext>
          </a:extLst>
        </xdr:cNvPr>
        <xdr:cNvCxnSpPr/>
      </xdr:nvCxnSpPr>
      <xdr:spPr>
        <a:xfrm>
          <a:off x="1685925" y="3043523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66675</xdr:colOff>
      <xdr:row>2135</xdr:row>
      <xdr:rowOff>66675</xdr:rowOff>
    </xdr:from>
    <xdr:to>
      <xdr:col>27</xdr:col>
      <xdr:colOff>119062</xdr:colOff>
      <xdr:row>2135</xdr:row>
      <xdr:rowOff>66675</xdr:rowOff>
    </xdr:to>
    <xdr:cxnSp macro="">
      <xdr:nvCxnSpPr>
        <xdr:cNvPr id="2867" name="Straight Arrow Connector 2866">
          <a:extLst>
            <a:ext uri="{FF2B5EF4-FFF2-40B4-BE49-F238E27FC236}">
              <a16:creationId xmlns:a16="http://schemas.microsoft.com/office/drawing/2014/main" id="{83F17BAA-13ED-4BE9-8B80-455B75663647}"/>
            </a:ext>
          </a:extLst>
        </xdr:cNvPr>
        <xdr:cNvCxnSpPr/>
      </xdr:nvCxnSpPr>
      <xdr:spPr>
        <a:xfrm>
          <a:off x="4276725" y="3043523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2138</xdr:row>
      <xdr:rowOff>66675</xdr:rowOff>
    </xdr:from>
    <xdr:to>
      <xdr:col>11</xdr:col>
      <xdr:colOff>119062</xdr:colOff>
      <xdr:row>2138</xdr:row>
      <xdr:rowOff>66675</xdr:rowOff>
    </xdr:to>
    <xdr:cxnSp macro="">
      <xdr:nvCxnSpPr>
        <xdr:cNvPr id="2869" name="Straight Arrow Connector 2868">
          <a:extLst>
            <a:ext uri="{FF2B5EF4-FFF2-40B4-BE49-F238E27FC236}">
              <a16:creationId xmlns:a16="http://schemas.microsoft.com/office/drawing/2014/main" id="{43367B20-26C1-4612-88BE-FEBC2B49949A}"/>
            </a:ext>
          </a:extLst>
        </xdr:cNvPr>
        <xdr:cNvCxnSpPr/>
      </xdr:nvCxnSpPr>
      <xdr:spPr>
        <a:xfrm>
          <a:off x="1685925" y="3049238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66675</xdr:colOff>
      <xdr:row>2138</xdr:row>
      <xdr:rowOff>66675</xdr:rowOff>
    </xdr:from>
    <xdr:to>
      <xdr:col>24</xdr:col>
      <xdr:colOff>119062</xdr:colOff>
      <xdr:row>2138</xdr:row>
      <xdr:rowOff>66675</xdr:rowOff>
    </xdr:to>
    <xdr:cxnSp macro="">
      <xdr:nvCxnSpPr>
        <xdr:cNvPr id="2872" name="Straight Arrow Connector 2871">
          <a:extLst>
            <a:ext uri="{FF2B5EF4-FFF2-40B4-BE49-F238E27FC236}">
              <a16:creationId xmlns:a16="http://schemas.microsoft.com/office/drawing/2014/main" id="{4D918FB1-4080-41A2-B00E-60C8F9C73A1C}"/>
            </a:ext>
          </a:extLst>
        </xdr:cNvPr>
        <xdr:cNvCxnSpPr/>
      </xdr:nvCxnSpPr>
      <xdr:spPr>
        <a:xfrm>
          <a:off x="3790950" y="3049238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2141</xdr:row>
      <xdr:rowOff>66675</xdr:rowOff>
    </xdr:from>
    <xdr:to>
      <xdr:col>11</xdr:col>
      <xdr:colOff>119062</xdr:colOff>
      <xdr:row>2141</xdr:row>
      <xdr:rowOff>66675</xdr:rowOff>
    </xdr:to>
    <xdr:cxnSp macro="">
      <xdr:nvCxnSpPr>
        <xdr:cNvPr id="2877" name="Straight Arrow Connector 2876">
          <a:extLst>
            <a:ext uri="{FF2B5EF4-FFF2-40B4-BE49-F238E27FC236}">
              <a16:creationId xmlns:a16="http://schemas.microsoft.com/office/drawing/2014/main" id="{3AF12BFF-8853-485C-88D8-E4F14B447BA7}"/>
            </a:ext>
          </a:extLst>
        </xdr:cNvPr>
        <xdr:cNvCxnSpPr/>
      </xdr:nvCxnSpPr>
      <xdr:spPr>
        <a:xfrm>
          <a:off x="1685925" y="3054953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66675</xdr:colOff>
      <xdr:row>2141</xdr:row>
      <xdr:rowOff>66675</xdr:rowOff>
    </xdr:from>
    <xdr:to>
      <xdr:col>29</xdr:col>
      <xdr:colOff>119062</xdr:colOff>
      <xdr:row>2141</xdr:row>
      <xdr:rowOff>66675</xdr:rowOff>
    </xdr:to>
    <xdr:cxnSp macro="">
      <xdr:nvCxnSpPr>
        <xdr:cNvPr id="2902" name="Straight Arrow Connector 2901">
          <a:extLst>
            <a:ext uri="{FF2B5EF4-FFF2-40B4-BE49-F238E27FC236}">
              <a16:creationId xmlns:a16="http://schemas.microsoft.com/office/drawing/2014/main" id="{349F421E-9B5A-467F-B392-E9EE3069D403}"/>
            </a:ext>
          </a:extLst>
        </xdr:cNvPr>
        <xdr:cNvCxnSpPr/>
      </xdr:nvCxnSpPr>
      <xdr:spPr>
        <a:xfrm>
          <a:off x="4600575" y="3054953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2144</xdr:row>
      <xdr:rowOff>66675</xdr:rowOff>
    </xdr:from>
    <xdr:to>
      <xdr:col>11</xdr:col>
      <xdr:colOff>119062</xdr:colOff>
      <xdr:row>2144</xdr:row>
      <xdr:rowOff>66675</xdr:rowOff>
    </xdr:to>
    <xdr:cxnSp macro="">
      <xdr:nvCxnSpPr>
        <xdr:cNvPr id="2904" name="Straight Arrow Connector 2903">
          <a:extLst>
            <a:ext uri="{FF2B5EF4-FFF2-40B4-BE49-F238E27FC236}">
              <a16:creationId xmlns:a16="http://schemas.microsoft.com/office/drawing/2014/main" id="{2A274A8B-839A-4343-85DC-FB32ADE6C983}"/>
            </a:ext>
          </a:extLst>
        </xdr:cNvPr>
        <xdr:cNvCxnSpPr/>
      </xdr:nvCxnSpPr>
      <xdr:spPr>
        <a:xfrm>
          <a:off x="1685925" y="3060668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66675</xdr:colOff>
      <xdr:row>2144</xdr:row>
      <xdr:rowOff>66675</xdr:rowOff>
    </xdr:from>
    <xdr:to>
      <xdr:col>24</xdr:col>
      <xdr:colOff>119062</xdr:colOff>
      <xdr:row>2144</xdr:row>
      <xdr:rowOff>66675</xdr:rowOff>
    </xdr:to>
    <xdr:cxnSp macro="">
      <xdr:nvCxnSpPr>
        <xdr:cNvPr id="2905" name="Straight Arrow Connector 2904">
          <a:extLst>
            <a:ext uri="{FF2B5EF4-FFF2-40B4-BE49-F238E27FC236}">
              <a16:creationId xmlns:a16="http://schemas.microsoft.com/office/drawing/2014/main" id="{3FC5325A-1AAA-4CD2-AEF0-24565429C657}"/>
            </a:ext>
          </a:extLst>
        </xdr:cNvPr>
        <xdr:cNvCxnSpPr/>
      </xdr:nvCxnSpPr>
      <xdr:spPr>
        <a:xfrm>
          <a:off x="3790950" y="3060668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157163</xdr:colOff>
      <xdr:row>2067</xdr:row>
      <xdr:rowOff>1</xdr:rowOff>
    </xdr:from>
    <xdr:to>
      <xdr:col>71</xdr:col>
      <xdr:colOff>4762</xdr:colOff>
      <xdr:row>2078</xdr:row>
      <xdr:rowOff>9</xdr:rowOff>
    </xdr:to>
    <xdr:grpSp>
      <xdr:nvGrpSpPr>
        <xdr:cNvPr id="2907" name="Group 2906">
          <a:extLst>
            <a:ext uri="{FF2B5EF4-FFF2-40B4-BE49-F238E27FC236}">
              <a16:creationId xmlns:a16="http://schemas.microsoft.com/office/drawing/2014/main" id="{AB65E8C8-60F6-4AEC-968D-B877F7D1ABC3}"/>
            </a:ext>
          </a:extLst>
        </xdr:cNvPr>
        <xdr:cNvGrpSpPr/>
      </xdr:nvGrpSpPr>
      <xdr:grpSpPr>
        <a:xfrm>
          <a:off x="10196513" y="311781826"/>
          <a:ext cx="1304924" cy="1571633"/>
          <a:chOff x="1290638" y="5572125"/>
          <a:chExt cx="1304924" cy="1571633"/>
        </a:xfrm>
      </xdr:grpSpPr>
      <xdr:cxnSp macro="">
        <xdr:nvCxnSpPr>
          <xdr:cNvPr id="2911" name="Straight Connector 2910">
            <a:extLst>
              <a:ext uri="{FF2B5EF4-FFF2-40B4-BE49-F238E27FC236}">
                <a16:creationId xmlns:a16="http://schemas.microsoft.com/office/drawing/2014/main" id="{80931D8C-1272-B8BD-1D43-C14D171F5A80}"/>
              </a:ext>
            </a:extLst>
          </xdr:cNvPr>
          <xdr:cNvCxnSpPr/>
        </xdr:nvCxnSpPr>
        <xdr:spPr>
          <a:xfrm>
            <a:off x="1290638" y="5572126"/>
            <a:ext cx="12954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7" name="Straight Connector 2916">
            <a:extLst>
              <a:ext uri="{FF2B5EF4-FFF2-40B4-BE49-F238E27FC236}">
                <a16:creationId xmlns:a16="http://schemas.microsoft.com/office/drawing/2014/main" id="{5114ADAE-D45B-803F-F6A1-EB12328C859D}"/>
              </a:ext>
            </a:extLst>
          </xdr:cNvPr>
          <xdr:cNvCxnSpPr/>
        </xdr:nvCxnSpPr>
        <xdr:spPr>
          <a:xfrm>
            <a:off x="1295400" y="5715001"/>
            <a:ext cx="5191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9" name="Straight Connector 2918">
            <a:extLst>
              <a:ext uri="{FF2B5EF4-FFF2-40B4-BE49-F238E27FC236}">
                <a16:creationId xmlns:a16="http://schemas.microsoft.com/office/drawing/2014/main" id="{92080F53-3533-0DC6-423B-3EFE906826A0}"/>
              </a:ext>
            </a:extLst>
          </xdr:cNvPr>
          <xdr:cNvCxnSpPr/>
        </xdr:nvCxnSpPr>
        <xdr:spPr>
          <a:xfrm>
            <a:off x="1895475" y="5810250"/>
            <a:ext cx="0" cy="10906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21" name="Arc 2920">
            <a:extLst>
              <a:ext uri="{FF2B5EF4-FFF2-40B4-BE49-F238E27FC236}">
                <a16:creationId xmlns:a16="http://schemas.microsoft.com/office/drawing/2014/main" id="{1F3E7979-2C6A-FC68-A710-62CD2285689C}"/>
              </a:ext>
            </a:extLst>
          </xdr:cNvPr>
          <xdr:cNvSpPr/>
        </xdr:nvSpPr>
        <xdr:spPr>
          <a:xfrm>
            <a:off x="1685926" y="5715000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30" name="Straight Connector 2929">
            <a:extLst>
              <a:ext uri="{FF2B5EF4-FFF2-40B4-BE49-F238E27FC236}">
                <a16:creationId xmlns:a16="http://schemas.microsoft.com/office/drawing/2014/main" id="{6A8D5F28-8398-0087-43BB-F30F3524FD24}"/>
              </a:ext>
            </a:extLst>
          </xdr:cNvPr>
          <xdr:cNvCxnSpPr/>
        </xdr:nvCxnSpPr>
        <xdr:spPr>
          <a:xfrm>
            <a:off x="1990725" y="5805487"/>
            <a:ext cx="0" cy="111442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1" name="Straight Connector 2930">
            <a:extLst>
              <a:ext uri="{FF2B5EF4-FFF2-40B4-BE49-F238E27FC236}">
                <a16:creationId xmlns:a16="http://schemas.microsoft.com/office/drawing/2014/main" id="{421FB1A5-1E03-5E08-9D7B-00BE31E15B04}"/>
              </a:ext>
            </a:extLst>
          </xdr:cNvPr>
          <xdr:cNvCxnSpPr/>
        </xdr:nvCxnSpPr>
        <xdr:spPr>
          <a:xfrm>
            <a:off x="2095500" y="5715001"/>
            <a:ext cx="4953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2" name="Straight Connector 2931">
            <a:extLst>
              <a:ext uri="{FF2B5EF4-FFF2-40B4-BE49-F238E27FC236}">
                <a16:creationId xmlns:a16="http://schemas.microsoft.com/office/drawing/2014/main" id="{B60F4C5F-F089-90B8-98CB-13531EED3402}"/>
              </a:ext>
            </a:extLst>
          </xdr:cNvPr>
          <xdr:cNvCxnSpPr/>
        </xdr:nvCxnSpPr>
        <xdr:spPr>
          <a:xfrm>
            <a:off x="2586038" y="5572125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3" name="Straight Connector 2932">
            <a:extLst>
              <a:ext uri="{FF2B5EF4-FFF2-40B4-BE49-F238E27FC236}">
                <a16:creationId xmlns:a16="http://schemas.microsoft.com/office/drawing/2014/main" id="{5589A65F-EB37-0EB5-AC53-B06AF2FCBCE4}"/>
              </a:ext>
            </a:extLst>
          </xdr:cNvPr>
          <xdr:cNvCxnSpPr/>
        </xdr:nvCxnSpPr>
        <xdr:spPr>
          <a:xfrm>
            <a:off x="1295400" y="5572126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34" name="Arc 2933">
            <a:extLst>
              <a:ext uri="{FF2B5EF4-FFF2-40B4-BE49-F238E27FC236}">
                <a16:creationId xmlns:a16="http://schemas.microsoft.com/office/drawing/2014/main" id="{AE001313-0F54-694C-220B-84C70C6CB93B}"/>
              </a:ext>
            </a:extLst>
          </xdr:cNvPr>
          <xdr:cNvSpPr/>
        </xdr:nvSpPr>
        <xdr:spPr>
          <a:xfrm rot="16200000">
            <a:off x="1990725" y="5715000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35" name="Straight Connector 2934">
            <a:extLst>
              <a:ext uri="{FF2B5EF4-FFF2-40B4-BE49-F238E27FC236}">
                <a16:creationId xmlns:a16="http://schemas.microsoft.com/office/drawing/2014/main" id="{2E0393A0-8D33-F07C-7CFC-F167E145CC1C}"/>
              </a:ext>
            </a:extLst>
          </xdr:cNvPr>
          <xdr:cNvCxnSpPr/>
        </xdr:nvCxnSpPr>
        <xdr:spPr>
          <a:xfrm>
            <a:off x="1295400" y="7143758"/>
            <a:ext cx="12954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6" name="Straight Connector 2935">
            <a:extLst>
              <a:ext uri="{FF2B5EF4-FFF2-40B4-BE49-F238E27FC236}">
                <a16:creationId xmlns:a16="http://schemas.microsoft.com/office/drawing/2014/main" id="{C12642C6-7111-72ED-ED73-2D94125159BB}"/>
              </a:ext>
            </a:extLst>
          </xdr:cNvPr>
          <xdr:cNvCxnSpPr/>
        </xdr:nvCxnSpPr>
        <xdr:spPr>
          <a:xfrm>
            <a:off x="1300162" y="7000876"/>
            <a:ext cx="5191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7" name="Straight Connector 2936">
            <a:extLst>
              <a:ext uri="{FF2B5EF4-FFF2-40B4-BE49-F238E27FC236}">
                <a16:creationId xmlns:a16="http://schemas.microsoft.com/office/drawing/2014/main" id="{71850B91-9A05-140F-F3B0-8CB4F98FAC28}"/>
              </a:ext>
            </a:extLst>
          </xdr:cNvPr>
          <xdr:cNvCxnSpPr/>
        </xdr:nvCxnSpPr>
        <xdr:spPr>
          <a:xfrm>
            <a:off x="2100262" y="7000876"/>
            <a:ext cx="4953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8" name="Straight Connector 2937">
            <a:extLst>
              <a:ext uri="{FF2B5EF4-FFF2-40B4-BE49-F238E27FC236}">
                <a16:creationId xmlns:a16="http://schemas.microsoft.com/office/drawing/2014/main" id="{6210031C-0C9B-B6F4-3405-95C956E4573E}"/>
              </a:ext>
            </a:extLst>
          </xdr:cNvPr>
          <xdr:cNvCxnSpPr/>
        </xdr:nvCxnSpPr>
        <xdr:spPr>
          <a:xfrm>
            <a:off x="2590800" y="7000875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9" name="Straight Connector 2938">
            <a:extLst>
              <a:ext uri="{FF2B5EF4-FFF2-40B4-BE49-F238E27FC236}">
                <a16:creationId xmlns:a16="http://schemas.microsoft.com/office/drawing/2014/main" id="{18F98139-6392-7387-9489-598F5F3E1ACF}"/>
              </a:ext>
            </a:extLst>
          </xdr:cNvPr>
          <xdr:cNvCxnSpPr/>
        </xdr:nvCxnSpPr>
        <xdr:spPr>
          <a:xfrm>
            <a:off x="1300162" y="7000876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40" name="Arc 2939">
            <a:extLst>
              <a:ext uri="{FF2B5EF4-FFF2-40B4-BE49-F238E27FC236}">
                <a16:creationId xmlns:a16="http://schemas.microsoft.com/office/drawing/2014/main" id="{AE6146FD-A6B4-5812-6797-4A63072502E7}"/>
              </a:ext>
            </a:extLst>
          </xdr:cNvPr>
          <xdr:cNvSpPr/>
        </xdr:nvSpPr>
        <xdr:spPr>
          <a:xfrm rot="5400000">
            <a:off x="1685924" y="679132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41" name="Arc 2940">
            <a:extLst>
              <a:ext uri="{FF2B5EF4-FFF2-40B4-BE49-F238E27FC236}">
                <a16:creationId xmlns:a16="http://schemas.microsoft.com/office/drawing/2014/main" id="{C06A0DE5-A48B-103F-2342-317CAB73A193}"/>
              </a:ext>
            </a:extLst>
          </xdr:cNvPr>
          <xdr:cNvSpPr/>
        </xdr:nvSpPr>
        <xdr:spPr>
          <a:xfrm rot="10800000">
            <a:off x="1990726" y="6791325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90487</xdr:colOff>
      <xdr:row>2066</xdr:row>
      <xdr:rowOff>104772</xdr:rowOff>
    </xdr:from>
    <xdr:to>
      <xdr:col>31</xdr:col>
      <xdr:colOff>72204</xdr:colOff>
      <xdr:row>2079</xdr:row>
      <xdr:rowOff>71438</xdr:rowOff>
    </xdr:to>
    <xdr:grpSp>
      <xdr:nvGrpSpPr>
        <xdr:cNvPr id="2942" name="Group 2941">
          <a:extLst>
            <a:ext uri="{FF2B5EF4-FFF2-40B4-BE49-F238E27FC236}">
              <a16:creationId xmlns:a16="http://schemas.microsoft.com/office/drawing/2014/main" id="{BD460F9B-EBD3-4718-9E45-EB3AF4645749}"/>
            </a:ext>
          </a:extLst>
        </xdr:cNvPr>
        <xdr:cNvGrpSpPr/>
      </xdr:nvGrpSpPr>
      <xdr:grpSpPr>
        <a:xfrm>
          <a:off x="1062037" y="311743722"/>
          <a:ext cx="4029842" cy="1824041"/>
          <a:chOff x="1062037" y="266071347"/>
          <a:chExt cx="4029842" cy="1824041"/>
        </a:xfrm>
      </xdr:grpSpPr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E1FFDDFF-4FE2-7E0E-765D-4C11FC555085}"/>
              </a:ext>
            </a:extLst>
          </xdr:cNvPr>
          <xdr:cNvSpPr/>
        </xdr:nvSpPr>
        <xdr:spPr>
          <a:xfrm>
            <a:off x="1138237" y="266599995"/>
            <a:ext cx="1295401" cy="166687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57" name="Isosceles Triangle 2956">
            <a:extLst>
              <a:ext uri="{FF2B5EF4-FFF2-40B4-BE49-F238E27FC236}">
                <a16:creationId xmlns:a16="http://schemas.microsoft.com/office/drawing/2014/main" id="{E0CA0A75-56AA-6B27-3228-EC930D2F513C}"/>
              </a:ext>
            </a:extLst>
          </xdr:cNvPr>
          <xdr:cNvSpPr/>
        </xdr:nvSpPr>
        <xdr:spPr>
          <a:xfrm>
            <a:off x="1062037" y="266771430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59" name="Isosceles Triangle 2958">
            <a:extLst>
              <a:ext uri="{FF2B5EF4-FFF2-40B4-BE49-F238E27FC236}">
                <a16:creationId xmlns:a16="http://schemas.microsoft.com/office/drawing/2014/main" id="{4957FF95-278D-10DC-D06B-A81607B82972}"/>
              </a:ext>
            </a:extLst>
          </xdr:cNvPr>
          <xdr:cNvSpPr/>
        </xdr:nvSpPr>
        <xdr:spPr>
          <a:xfrm>
            <a:off x="4948243" y="266790483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64" name="Straight Arrow Connector 2963">
            <a:extLst>
              <a:ext uri="{FF2B5EF4-FFF2-40B4-BE49-F238E27FC236}">
                <a16:creationId xmlns:a16="http://schemas.microsoft.com/office/drawing/2014/main" id="{61933886-41EF-559B-2FB4-36E9845DD9A1}"/>
              </a:ext>
            </a:extLst>
          </xdr:cNvPr>
          <xdr:cNvCxnSpPr/>
        </xdr:nvCxnSpPr>
        <xdr:spPr>
          <a:xfrm>
            <a:off x="1133475" y="266304710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0" name="Straight Connector 2969">
            <a:extLst>
              <a:ext uri="{FF2B5EF4-FFF2-40B4-BE49-F238E27FC236}">
                <a16:creationId xmlns:a16="http://schemas.microsoft.com/office/drawing/2014/main" id="{298876F2-FFEA-A98E-CC1B-8B8DE4ACB7AF}"/>
              </a:ext>
            </a:extLst>
          </xdr:cNvPr>
          <xdr:cNvCxnSpPr/>
        </xdr:nvCxnSpPr>
        <xdr:spPr>
          <a:xfrm>
            <a:off x="1133476" y="266304708"/>
            <a:ext cx="1295399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1" name="Straight Arrow Connector 2970">
            <a:extLst>
              <a:ext uri="{FF2B5EF4-FFF2-40B4-BE49-F238E27FC236}">
                <a16:creationId xmlns:a16="http://schemas.microsoft.com/office/drawing/2014/main" id="{F64AA52D-DFF6-C919-D7C6-2CE5572E0C4A}"/>
              </a:ext>
            </a:extLst>
          </xdr:cNvPr>
          <xdr:cNvCxnSpPr/>
        </xdr:nvCxnSpPr>
        <xdr:spPr>
          <a:xfrm>
            <a:off x="1295400" y="266304712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6" name="Straight Arrow Connector 2975">
            <a:extLst>
              <a:ext uri="{FF2B5EF4-FFF2-40B4-BE49-F238E27FC236}">
                <a16:creationId xmlns:a16="http://schemas.microsoft.com/office/drawing/2014/main" id="{A1C8F38F-8B85-CF67-A27E-2D3C2C63B655}"/>
              </a:ext>
            </a:extLst>
          </xdr:cNvPr>
          <xdr:cNvCxnSpPr/>
        </xdr:nvCxnSpPr>
        <xdr:spPr>
          <a:xfrm>
            <a:off x="1457326" y="266304711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7" name="Straight Arrow Connector 2976">
            <a:extLst>
              <a:ext uri="{FF2B5EF4-FFF2-40B4-BE49-F238E27FC236}">
                <a16:creationId xmlns:a16="http://schemas.microsoft.com/office/drawing/2014/main" id="{711ECA8B-2BDD-58CB-6AF7-E93F6F8FCA0A}"/>
              </a:ext>
            </a:extLst>
          </xdr:cNvPr>
          <xdr:cNvCxnSpPr/>
        </xdr:nvCxnSpPr>
        <xdr:spPr>
          <a:xfrm>
            <a:off x="1619251" y="266304713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8" name="Straight Arrow Connector 2977">
            <a:extLst>
              <a:ext uri="{FF2B5EF4-FFF2-40B4-BE49-F238E27FC236}">
                <a16:creationId xmlns:a16="http://schemas.microsoft.com/office/drawing/2014/main" id="{0804F4D6-0254-5474-C477-05C1FD8D1535}"/>
              </a:ext>
            </a:extLst>
          </xdr:cNvPr>
          <xdr:cNvCxnSpPr/>
        </xdr:nvCxnSpPr>
        <xdr:spPr>
          <a:xfrm>
            <a:off x="1781174" y="266304710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9" name="Straight Arrow Connector 2978">
            <a:extLst>
              <a:ext uri="{FF2B5EF4-FFF2-40B4-BE49-F238E27FC236}">
                <a16:creationId xmlns:a16="http://schemas.microsoft.com/office/drawing/2014/main" id="{4D3AFD9D-0F2B-D867-5502-FA3D53F8F4C8}"/>
              </a:ext>
            </a:extLst>
          </xdr:cNvPr>
          <xdr:cNvCxnSpPr/>
        </xdr:nvCxnSpPr>
        <xdr:spPr>
          <a:xfrm>
            <a:off x="1943099" y="266304712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0" name="Straight Arrow Connector 2979">
            <a:extLst>
              <a:ext uri="{FF2B5EF4-FFF2-40B4-BE49-F238E27FC236}">
                <a16:creationId xmlns:a16="http://schemas.microsoft.com/office/drawing/2014/main" id="{D640E755-D959-C581-1D79-D7624535A6B8}"/>
              </a:ext>
            </a:extLst>
          </xdr:cNvPr>
          <xdr:cNvCxnSpPr/>
        </xdr:nvCxnSpPr>
        <xdr:spPr>
          <a:xfrm>
            <a:off x="2105025" y="266304711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1" name="Straight Arrow Connector 2980">
            <a:extLst>
              <a:ext uri="{FF2B5EF4-FFF2-40B4-BE49-F238E27FC236}">
                <a16:creationId xmlns:a16="http://schemas.microsoft.com/office/drawing/2014/main" id="{68C09F29-E13B-D4E6-C33D-435F3DB0D969}"/>
              </a:ext>
            </a:extLst>
          </xdr:cNvPr>
          <xdr:cNvCxnSpPr/>
        </xdr:nvCxnSpPr>
        <xdr:spPr>
          <a:xfrm>
            <a:off x="2266950" y="266304713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2" name="Straight Arrow Connector 2981">
            <a:extLst>
              <a:ext uri="{FF2B5EF4-FFF2-40B4-BE49-F238E27FC236}">
                <a16:creationId xmlns:a16="http://schemas.microsoft.com/office/drawing/2014/main" id="{05C27086-6B22-B0BC-B1A7-CEA00612F349}"/>
              </a:ext>
            </a:extLst>
          </xdr:cNvPr>
          <xdr:cNvCxnSpPr/>
        </xdr:nvCxnSpPr>
        <xdr:spPr>
          <a:xfrm>
            <a:off x="2428874" y="266152310"/>
            <a:ext cx="0" cy="3619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3" name="Straight Arrow Connector 2982">
            <a:extLst>
              <a:ext uri="{FF2B5EF4-FFF2-40B4-BE49-F238E27FC236}">
                <a16:creationId xmlns:a16="http://schemas.microsoft.com/office/drawing/2014/main" id="{01861AFA-F80C-A583-B3C2-B586993DAD2C}"/>
              </a:ext>
            </a:extLst>
          </xdr:cNvPr>
          <xdr:cNvCxnSpPr/>
        </xdr:nvCxnSpPr>
        <xdr:spPr>
          <a:xfrm>
            <a:off x="2590799" y="266157072"/>
            <a:ext cx="0" cy="3571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4" name="Straight Arrow Connector 2983">
            <a:extLst>
              <a:ext uri="{FF2B5EF4-FFF2-40B4-BE49-F238E27FC236}">
                <a16:creationId xmlns:a16="http://schemas.microsoft.com/office/drawing/2014/main" id="{A56E97A1-7C68-3ECE-0FA3-065772E89F94}"/>
              </a:ext>
            </a:extLst>
          </xdr:cNvPr>
          <xdr:cNvCxnSpPr/>
        </xdr:nvCxnSpPr>
        <xdr:spPr>
          <a:xfrm>
            <a:off x="2752725" y="266157072"/>
            <a:ext cx="0" cy="35242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5" name="Straight Arrow Connector 2984">
            <a:extLst>
              <a:ext uri="{FF2B5EF4-FFF2-40B4-BE49-F238E27FC236}">
                <a16:creationId xmlns:a16="http://schemas.microsoft.com/office/drawing/2014/main" id="{7DE69346-E8F1-1962-2683-438D7E2388AD}"/>
              </a:ext>
            </a:extLst>
          </xdr:cNvPr>
          <xdr:cNvCxnSpPr/>
        </xdr:nvCxnSpPr>
        <xdr:spPr>
          <a:xfrm>
            <a:off x="2914650" y="266157072"/>
            <a:ext cx="0" cy="35243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6" name="Straight Connector 2985">
            <a:extLst>
              <a:ext uri="{FF2B5EF4-FFF2-40B4-BE49-F238E27FC236}">
                <a16:creationId xmlns:a16="http://schemas.microsoft.com/office/drawing/2014/main" id="{B564FF19-39F7-C36B-ADF7-C4F8C79EF974}"/>
              </a:ext>
            </a:extLst>
          </xdr:cNvPr>
          <xdr:cNvCxnSpPr/>
        </xdr:nvCxnSpPr>
        <xdr:spPr>
          <a:xfrm>
            <a:off x="2428876" y="266157070"/>
            <a:ext cx="1295399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7" name="Straight Arrow Connector 2986">
            <a:extLst>
              <a:ext uri="{FF2B5EF4-FFF2-40B4-BE49-F238E27FC236}">
                <a16:creationId xmlns:a16="http://schemas.microsoft.com/office/drawing/2014/main" id="{9855BEE6-E1E3-A375-4F01-F9EA7CB04731}"/>
              </a:ext>
            </a:extLst>
          </xdr:cNvPr>
          <xdr:cNvCxnSpPr/>
        </xdr:nvCxnSpPr>
        <xdr:spPr>
          <a:xfrm>
            <a:off x="3076574" y="266157073"/>
            <a:ext cx="0" cy="3619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8" name="Straight Arrow Connector 2987">
            <a:extLst>
              <a:ext uri="{FF2B5EF4-FFF2-40B4-BE49-F238E27FC236}">
                <a16:creationId xmlns:a16="http://schemas.microsoft.com/office/drawing/2014/main" id="{92A6BAFE-0C65-D06A-2334-4CC1040D62EB}"/>
              </a:ext>
            </a:extLst>
          </xdr:cNvPr>
          <xdr:cNvCxnSpPr/>
        </xdr:nvCxnSpPr>
        <xdr:spPr>
          <a:xfrm>
            <a:off x="3238499" y="266161835"/>
            <a:ext cx="0" cy="3571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9" name="Straight Arrow Connector 2988">
            <a:extLst>
              <a:ext uri="{FF2B5EF4-FFF2-40B4-BE49-F238E27FC236}">
                <a16:creationId xmlns:a16="http://schemas.microsoft.com/office/drawing/2014/main" id="{7620F0F5-5E54-5703-3A5B-F049BF9E54EB}"/>
              </a:ext>
            </a:extLst>
          </xdr:cNvPr>
          <xdr:cNvCxnSpPr/>
        </xdr:nvCxnSpPr>
        <xdr:spPr>
          <a:xfrm>
            <a:off x="3400425" y="266161835"/>
            <a:ext cx="0" cy="35242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0" name="Straight Arrow Connector 2989">
            <a:extLst>
              <a:ext uri="{FF2B5EF4-FFF2-40B4-BE49-F238E27FC236}">
                <a16:creationId xmlns:a16="http://schemas.microsoft.com/office/drawing/2014/main" id="{D88A54F6-AE2D-1D40-722E-887971C555A1}"/>
              </a:ext>
            </a:extLst>
          </xdr:cNvPr>
          <xdr:cNvCxnSpPr/>
        </xdr:nvCxnSpPr>
        <xdr:spPr>
          <a:xfrm>
            <a:off x="3562350" y="266161835"/>
            <a:ext cx="0" cy="35243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1" name="Straight Arrow Connector 2990">
            <a:extLst>
              <a:ext uri="{FF2B5EF4-FFF2-40B4-BE49-F238E27FC236}">
                <a16:creationId xmlns:a16="http://schemas.microsoft.com/office/drawing/2014/main" id="{2B232E10-4B81-BEB9-94AC-17247A70C02F}"/>
              </a:ext>
            </a:extLst>
          </xdr:cNvPr>
          <xdr:cNvCxnSpPr/>
        </xdr:nvCxnSpPr>
        <xdr:spPr>
          <a:xfrm>
            <a:off x="3724275" y="266161835"/>
            <a:ext cx="0" cy="352431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2" name="Straight Arrow Connector 2991">
            <a:extLst>
              <a:ext uri="{FF2B5EF4-FFF2-40B4-BE49-F238E27FC236}">
                <a16:creationId xmlns:a16="http://schemas.microsoft.com/office/drawing/2014/main" id="{E1FF7392-7F24-677E-BFB1-02E17D0E8CF7}"/>
              </a:ext>
            </a:extLst>
          </xdr:cNvPr>
          <xdr:cNvCxnSpPr/>
        </xdr:nvCxnSpPr>
        <xdr:spPr>
          <a:xfrm>
            <a:off x="3886200" y="266299955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3" name="Straight Connector 2992">
            <a:extLst>
              <a:ext uri="{FF2B5EF4-FFF2-40B4-BE49-F238E27FC236}">
                <a16:creationId xmlns:a16="http://schemas.microsoft.com/office/drawing/2014/main" id="{0AFDE07E-4D2A-2572-C090-D1404E6B2ABD}"/>
              </a:ext>
            </a:extLst>
          </xdr:cNvPr>
          <xdr:cNvCxnSpPr/>
        </xdr:nvCxnSpPr>
        <xdr:spPr>
          <a:xfrm>
            <a:off x="3724267" y="266299953"/>
            <a:ext cx="1295399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4" name="Straight Arrow Connector 2993">
            <a:extLst>
              <a:ext uri="{FF2B5EF4-FFF2-40B4-BE49-F238E27FC236}">
                <a16:creationId xmlns:a16="http://schemas.microsoft.com/office/drawing/2014/main" id="{7290F41B-2D01-6AA3-D721-0C3D9A55E49A}"/>
              </a:ext>
            </a:extLst>
          </xdr:cNvPr>
          <xdr:cNvCxnSpPr/>
        </xdr:nvCxnSpPr>
        <xdr:spPr>
          <a:xfrm>
            <a:off x="4048125" y="266299957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5" name="Straight Arrow Connector 2994">
            <a:extLst>
              <a:ext uri="{FF2B5EF4-FFF2-40B4-BE49-F238E27FC236}">
                <a16:creationId xmlns:a16="http://schemas.microsoft.com/office/drawing/2014/main" id="{00B4EE10-439A-7F72-0F4F-33197EF3E995}"/>
              </a:ext>
            </a:extLst>
          </xdr:cNvPr>
          <xdr:cNvCxnSpPr/>
        </xdr:nvCxnSpPr>
        <xdr:spPr>
          <a:xfrm>
            <a:off x="4210051" y="266299956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6" name="Straight Arrow Connector 2995">
            <a:extLst>
              <a:ext uri="{FF2B5EF4-FFF2-40B4-BE49-F238E27FC236}">
                <a16:creationId xmlns:a16="http://schemas.microsoft.com/office/drawing/2014/main" id="{3991467B-0E75-A9E4-016A-B44F3D9616B5}"/>
              </a:ext>
            </a:extLst>
          </xdr:cNvPr>
          <xdr:cNvCxnSpPr/>
        </xdr:nvCxnSpPr>
        <xdr:spPr>
          <a:xfrm>
            <a:off x="4371976" y="266299958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7" name="Straight Arrow Connector 2996">
            <a:extLst>
              <a:ext uri="{FF2B5EF4-FFF2-40B4-BE49-F238E27FC236}">
                <a16:creationId xmlns:a16="http://schemas.microsoft.com/office/drawing/2014/main" id="{7B5E041B-2A5C-6254-5F7F-20340370E679}"/>
              </a:ext>
            </a:extLst>
          </xdr:cNvPr>
          <xdr:cNvCxnSpPr/>
        </xdr:nvCxnSpPr>
        <xdr:spPr>
          <a:xfrm>
            <a:off x="4533899" y="266299955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8" name="Straight Arrow Connector 2997">
            <a:extLst>
              <a:ext uri="{FF2B5EF4-FFF2-40B4-BE49-F238E27FC236}">
                <a16:creationId xmlns:a16="http://schemas.microsoft.com/office/drawing/2014/main" id="{04C8A47F-7F67-496E-AD69-23D6BF9DB336}"/>
              </a:ext>
            </a:extLst>
          </xdr:cNvPr>
          <xdr:cNvCxnSpPr/>
        </xdr:nvCxnSpPr>
        <xdr:spPr>
          <a:xfrm>
            <a:off x="4695824" y="266299957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9" name="Straight Arrow Connector 2998">
            <a:extLst>
              <a:ext uri="{FF2B5EF4-FFF2-40B4-BE49-F238E27FC236}">
                <a16:creationId xmlns:a16="http://schemas.microsoft.com/office/drawing/2014/main" id="{9D338BF8-1E7F-D733-9133-F6DAFA28785C}"/>
              </a:ext>
            </a:extLst>
          </xdr:cNvPr>
          <xdr:cNvCxnSpPr/>
        </xdr:nvCxnSpPr>
        <xdr:spPr>
          <a:xfrm>
            <a:off x="4857750" y="266299956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0" name="Straight Arrow Connector 2999">
            <a:extLst>
              <a:ext uri="{FF2B5EF4-FFF2-40B4-BE49-F238E27FC236}">
                <a16:creationId xmlns:a16="http://schemas.microsoft.com/office/drawing/2014/main" id="{7E03D9EA-32FE-FB4F-C614-A0EDE7EBB7FE}"/>
              </a:ext>
            </a:extLst>
          </xdr:cNvPr>
          <xdr:cNvCxnSpPr/>
        </xdr:nvCxnSpPr>
        <xdr:spPr>
          <a:xfrm>
            <a:off x="5019675" y="266299958"/>
            <a:ext cx="0" cy="2095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1" name="Straight Arrow Connector 3000">
            <a:extLst>
              <a:ext uri="{FF2B5EF4-FFF2-40B4-BE49-F238E27FC236}">
                <a16:creationId xmlns:a16="http://schemas.microsoft.com/office/drawing/2014/main" id="{1A1B9A2A-2A1F-8126-C628-9C56EFE355D0}"/>
              </a:ext>
            </a:extLst>
          </xdr:cNvPr>
          <xdr:cNvCxnSpPr/>
        </xdr:nvCxnSpPr>
        <xdr:spPr>
          <a:xfrm flipV="1">
            <a:off x="1133475" y="266885738"/>
            <a:ext cx="0" cy="223837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2" name="Straight Arrow Connector 3001">
            <a:extLst>
              <a:ext uri="{FF2B5EF4-FFF2-40B4-BE49-F238E27FC236}">
                <a16:creationId xmlns:a16="http://schemas.microsoft.com/office/drawing/2014/main" id="{E4979FC0-B983-F5D3-2E71-91FFB3B8B4E2}"/>
              </a:ext>
            </a:extLst>
          </xdr:cNvPr>
          <xdr:cNvCxnSpPr/>
        </xdr:nvCxnSpPr>
        <xdr:spPr>
          <a:xfrm flipV="1">
            <a:off x="5019675" y="266914313"/>
            <a:ext cx="0" cy="19050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3" name="Straight Connector 3002">
            <a:extLst>
              <a:ext uri="{FF2B5EF4-FFF2-40B4-BE49-F238E27FC236}">
                <a16:creationId xmlns:a16="http://schemas.microsoft.com/office/drawing/2014/main" id="{2BF97037-AB35-C445-C513-575925901AB1}"/>
              </a:ext>
            </a:extLst>
          </xdr:cNvPr>
          <xdr:cNvCxnSpPr/>
        </xdr:nvCxnSpPr>
        <xdr:spPr>
          <a:xfrm>
            <a:off x="1133475" y="267247688"/>
            <a:ext cx="0" cy="647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4" name="Straight Connector 3003">
            <a:extLst>
              <a:ext uri="{FF2B5EF4-FFF2-40B4-BE49-F238E27FC236}">
                <a16:creationId xmlns:a16="http://schemas.microsoft.com/office/drawing/2014/main" id="{4DAE45C0-9B29-6725-245F-2B8E18B08746}"/>
              </a:ext>
            </a:extLst>
          </xdr:cNvPr>
          <xdr:cNvCxnSpPr/>
        </xdr:nvCxnSpPr>
        <xdr:spPr>
          <a:xfrm>
            <a:off x="1062038" y="267538201"/>
            <a:ext cx="40147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5" name="Straight Connector 3004">
            <a:extLst>
              <a:ext uri="{FF2B5EF4-FFF2-40B4-BE49-F238E27FC236}">
                <a16:creationId xmlns:a16="http://schemas.microsoft.com/office/drawing/2014/main" id="{9FA9EB51-6D56-0852-2C89-E6549EBD1376}"/>
              </a:ext>
            </a:extLst>
          </xdr:cNvPr>
          <xdr:cNvCxnSpPr/>
        </xdr:nvCxnSpPr>
        <xdr:spPr>
          <a:xfrm flipH="1">
            <a:off x="1100137" y="2675048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6" name="Straight Connector 3005">
            <a:extLst>
              <a:ext uri="{FF2B5EF4-FFF2-40B4-BE49-F238E27FC236}">
                <a16:creationId xmlns:a16="http://schemas.microsoft.com/office/drawing/2014/main" id="{48928A5E-906F-E78A-3F36-A7CCEF4A389A}"/>
              </a:ext>
            </a:extLst>
          </xdr:cNvPr>
          <xdr:cNvCxnSpPr/>
        </xdr:nvCxnSpPr>
        <xdr:spPr>
          <a:xfrm>
            <a:off x="1062037" y="267823950"/>
            <a:ext cx="4024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7" name="Straight Connector 3006">
            <a:extLst>
              <a:ext uri="{FF2B5EF4-FFF2-40B4-BE49-F238E27FC236}">
                <a16:creationId xmlns:a16="http://schemas.microsoft.com/office/drawing/2014/main" id="{5ED07339-D070-E740-1FB6-A13DF685D7A5}"/>
              </a:ext>
            </a:extLst>
          </xdr:cNvPr>
          <xdr:cNvCxnSpPr/>
        </xdr:nvCxnSpPr>
        <xdr:spPr>
          <a:xfrm flipH="1">
            <a:off x="1100136" y="26779061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8" name="Straight Connector 2427">
            <a:extLst>
              <a:ext uri="{FF2B5EF4-FFF2-40B4-BE49-F238E27FC236}">
                <a16:creationId xmlns:a16="http://schemas.microsoft.com/office/drawing/2014/main" id="{08357028-1F02-457B-90F5-E98D8E7E082F}"/>
              </a:ext>
            </a:extLst>
          </xdr:cNvPr>
          <xdr:cNvCxnSpPr/>
        </xdr:nvCxnSpPr>
        <xdr:spPr>
          <a:xfrm>
            <a:off x="5019675" y="267238163"/>
            <a:ext cx="0" cy="657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6" name="Straight Connector 2705">
            <a:extLst>
              <a:ext uri="{FF2B5EF4-FFF2-40B4-BE49-F238E27FC236}">
                <a16:creationId xmlns:a16="http://schemas.microsoft.com/office/drawing/2014/main" id="{4C1F19E1-0FEC-9D4C-47C6-8C53DB707633}"/>
              </a:ext>
            </a:extLst>
          </xdr:cNvPr>
          <xdr:cNvCxnSpPr/>
        </xdr:nvCxnSpPr>
        <xdr:spPr>
          <a:xfrm flipH="1">
            <a:off x="4986337" y="2675048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7" name="Straight Connector 2706">
            <a:extLst>
              <a:ext uri="{FF2B5EF4-FFF2-40B4-BE49-F238E27FC236}">
                <a16:creationId xmlns:a16="http://schemas.microsoft.com/office/drawing/2014/main" id="{B23147CB-A5CC-F5AC-AB83-D3BDE6538155}"/>
              </a:ext>
            </a:extLst>
          </xdr:cNvPr>
          <xdr:cNvCxnSpPr/>
        </xdr:nvCxnSpPr>
        <xdr:spPr>
          <a:xfrm flipH="1">
            <a:off x="4986336" y="26779061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0" name="Straight Connector 2709">
            <a:extLst>
              <a:ext uri="{FF2B5EF4-FFF2-40B4-BE49-F238E27FC236}">
                <a16:creationId xmlns:a16="http://schemas.microsoft.com/office/drawing/2014/main" id="{10E794F7-5E32-2B41-C0C9-EE730152C276}"/>
              </a:ext>
            </a:extLst>
          </xdr:cNvPr>
          <xdr:cNvCxnSpPr/>
        </xdr:nvCxnSpPr>
        <xdr:spPr>
          <a:xfrm>
            <a:off x="2428875" y="267157200"/>
            <a:ext cx="0" cy="452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8" name="Straight Connector 3007">
            <a:extLst>
              <a:ext uri="{FF2B5EF4-FFF2-40B4-BE49-F238E27FC236}">
                <a16:creationId xmlns:a16="http://schemas.microsoft.com/office/drawing/2014/main" id="{CF558908-9BF7-C961-5BC5-A461C3FC4A96}"/>
              </a:ext>
            </a:extLst>
          </xdr:cNvPr>
          <xdr:cNvCxnSpPr/>
        </xdr:nvCxnSpPr>
        <xdr:spPr>
          <a:xfrm flipH="1">
            <a:off x="2395536" y="26750486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9" name="Straight Connector 3008">
            <a:extLst>
              <a:ext uri="{FF2B5EF4-FFF2-40B4-BE49-F238E27FC236}">
                <a16:creationId xmlns:a16="http://schemas.microsoft.com/office/drawing/2014/main" id="{ED55A07F-9308-95FE-1204-2B99AEC5D80B}"/>
              </a:ext>
            </a:extLst>
          </xdr:cNvPr>
          <xdr:cNvCxnSpPr/>
        </xdr:nvCxnSpPr>
        <xdr:spPr>
          <a:xfrm>
            <a:off x="3724275" y="267161963"/>
            <a:ext cx="0" cy="4476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0" name="Straight Connector 3009">
            <a:extLst>
              <a:ext uri="{FF2B5EF4-FFF2-40B4-BE49-F238E27FC236}">
                <a16:creationId xmlns:a16="http://schemas.microsoft.com/office/drawing/2014/main" id="{D8789748-54BE-193D-B056-1A00CBE53F98}"/>
              </a:ext>
            </a:extLst>
          </xdr:cNvPr>
          <xdr:cNvCxnSpPr/>
        </xdr:nvCxnSpPr>
        <xdr:spPr>
          <a:xfrm flipH="1">
            <a:off x="3690936" y="26750486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1" name="Straight Connector 3010">
            <a:extLst>
              <a:ext uri="{FF2B5EF4-FFF2-40B4-BE49-F238E27FC236}">
                <a16:creationId xmlns:a16="http://schemas.microsoft.com/office/drawing/2014/main" id="{9A6C03C2-FB6E-CD97-88F0-FB1C74E737EF}"/>
              </a:ext>
            </a:extLst>
          </xdr:cNvPr>
          <xdr:cNvCxnSpPr/>
        </xdr:nvCxnSpPr>
        <xdr:spPr>
          <a:xfrm flipH="1" flipV="1">
            <a:off x="1824038" y="266214222"/>
            <a:ext cx="119063" cy="14763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2" name="Straight Connector 3011">
            <a:extLst>
              <a:ext uri="{FF2B5EF4-FFF2-40B4-BE49-F238E27FC236}">
                <a16:creationId xmlns:a16="http://schemas.microsoft.com/office/drawing/2014/main" id="{22B046DE-6A5C-2565-7313-CDDFA12BEC2A}"/>
              </a:ext>
            </a:extLst>
          </xdr:cNvPr>
          <xdr:cNvCxnSpPr/>
        </xdr:nvCxnSpPr>
        <xdr:spPr>
          <a:xfrm flipH="1" flipV="1">
            <a:off x="3119438" y="266071347"/>
            <a:ext cx="119063" cy="14763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3" name="Straight Connector 3012">
            <a:extLst>
              <a:ext uri="{FF2B5EF4-FFF2-40B4-BE49-F238E27FC236}">
                <a16:creationId xmlns:a16="http://schemas.microsoft.com/office/drawing/2014/main" id="{55C402AF-4F80-A8A0-E9CB-DD5B9446463D}"/>
              </a:ext>
            </a:extLst>
          </xdr:cNvPr>
          <xdr:cNvCxnSpPr/>
        </xdr:nvCxnSpPr>
        <xdr:spPr>
          <a:xfrm flipH="1" flipV="1">
            <a:off x="4414838" y="266214222"/>
            <a:ext cx="119063" cy="14763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4" name="Straight Arrow Connector 3013">
            <a:extLst>
              <a:ext uri="{FF2B5EF4-FFF2-40B4-BE49-F238E27FC236}">
                <a16:creationId xmlns:a16="http://schemas.microsoft.com/office/drawing/2014/main" id="{93D96400-A0FD-8F4B-1BE8-6D7D50C27906}"/>
              </a:ext>
            </a:extLst>
          </xdr:cNvPr>
          <xdr:cNvCxnSpPr/>
        </xdr:nvCxnSpPr>
        <xdr:spPr>
          <a:xfrm>
            <a:off x="1138238" y="267319125"/>
            <a:ext cx="466725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5" name="Straight Connector 3014">
            <a:extLst>
              <a:ext uri="{FF2B5EF4-FFF2-40B4-BE49-F238E27FC236}">
                <a16:creationId xmlns:a16="http://schemas.microsoft.com/office/drawing/2014/main" id="{49FF2CD3-BC1F-E1CF-B17B-717510968B73}"/>
              </a:ext>
            </a:extLst>
          </xdr:cNvPr>
          <xdr:cNvCxnSpPr/>
        </xdr:nvCxnSpPr>
        <xdr:spPr>
          <a:xfrm>
            <a:off x="1133484" y="266514263"/>
            <a:ext cx="3890954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6" name="Straight Arrow Connector 3015">
            <a:extLst>
              <a:ext uri="{FF2B5EF4-FFF2-40B4-BE49-F238E27FC236}">
                <a16:creationId xmlns:a16="http://schemas.microsoft.com/office/drawing/2014/main" id="{1055E850-98ED-341A-B053-9179A86FA227}"/>
              </a:ext>
            </a:extLst>
          </xdr:cNvPr>
          <xdr:cNvCxnSpPr/>
        </xdr:nvCxnSpPr>
        <xdr:spPr>
          <a:xfrm>
            <a:off x="2428875" y="267323887"/>
            <a:ext cx="466725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7" name="Straight Arrow Connector 3016">
            <a:extLst>
              <a:ext uri="{FF2B5EF4-FFF2-40B4-BE49-F238E27FC236}">
                <a16:creationId xmlns:a16="http://schemas.microsoft.com/office/drawing/2014/main" id="{92E79F53-377E-3145-C359-C2490363AA41}"/>
              </a:ext>
            </a:extLst>
          </xdr:cNvPr>
          <xdr:cNvCxnSpPr/>
        </xdr:nvCxnSpPr>
        <xdr:spPr>
          <a:xfrm>
            <a:off x="3724275" y="267323887"/>
            <a:ext cx="466725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A8FEAE5E-BFF8-E7EC-AC76-405F4A061808}"/>
              </a:ext>
            </a:extLst>
          </xdr:cNvPr>
          <xdr:cNvSpPr/>
        </xdr:nvSpPr>
        <xdr:spPr>
          <a:xfrm>
            <a:off x="2424113" y="266538075"/>
            <a:ext cx="1295400" cy="2952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830657EF-74CE-86DC-1C55-2385A8A101C2}"/>
              </a:ext>
            </a:extLst>
          </xdr:cNvPr>
          <xdr:cNvSpPr/>
        </xdr:nvSpPr>
        <xdr:spPr>
          <a:xfrm>
            <a:off x="3719513" y="266585700"/>
            <a:ext cx="1295400" cy="20002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65</xdr:col>
      <xdr:colOff>66675</xdr:colOff>
      <xdr:row>2131</xdr:row>
      <xdr:rowOff>66675</xdr:rowOff>
    </xdr:from>
    <xdr:to>
      <xdr:col>66</xdr:col>
      <xdr:colOff>119062</xdr:colOff>
      <xdr:row>2131</xdr:row>
      <xdr:rowOff>66675</xdr:rowOff>
    </xdr:to>
    <xdr:cxnSp macro="">
      <xdr:nvCxnSpPr>
        <xdr:cNvPr id="3020" name="Straight Arrow Connector 3019">
          <a:extLst>
            <a:ext uri="{FF2B5EF4-FFF2-40B4-BE49-F238E27FC236}">
              <a16:creationId xmlns:a16="http://schemas.microsoft.com/office/drawing/2014/main" id="{DCEB2711-BE3D-46DF-AB20-3BA0825FC5FF}"/>
            </a:ext>
          </a:extLst>
        </xdr:cNvPr>
        <xdr:cNvCxnSpPr/>
      </xdr:nvCxnSpPr>
      <xdr:spPr>
        <a:xfrm>
          <a:off x="1038225" y="341947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90487</xdr:colOff>
      <xdr:row>2196</xdr:row>
      <xdr:rowOff>9525</xdr:rowOff>
    </xdr:from>
    <xdr:to>
      <xdr:col>50</xdr:col>
      <xdr:colOff>72197</xdr:colOff>
      <xdr:row>2196</xdr:row>
      <xdr:rowOff>142874</xdr:rowOff>
    </xdr:to>
    <xdr:grpSp>
      <xdr:nvGrpSpPr>
        <xdr:cNvPr id="3021" name="Group 3020">
          <a:extLst>
            <a:ext uri="{FF2B5EF4-FFF2-40B4-BE49-F238E27FC236}">
              <a16:creationId xmlns:a16="http://schemas.microsoft.com/office/drawing/2014/main" id="{FDA00493-D070-4033-9CE2-B099E99F9754}"/>
            </a:ext>
          </a:extLst>
        </xdr:cNvPr>
        <xdr:cNvGrpSpPr/>
      </xdr:nvGrpSpPr>
      <xdr:grpSpPr>
        <a:xfrm>
          <a:off x="4462462" y="330708000"/>
          <a:ext cx="3705985" cy="133349"/>
          <a:chOff x="4462462" y="223685100"/>
          <a:chExt cx="3705985" cy="133349"/>
        </a:xfrm>
      </xdr:grpSpPr>
      <xdr:cxnSp macro="">
        <xdr:nvCxnSpPr>
          <xdr:cNvPr id="3022" name="Straight Connector 3021">
            <a:extLst>
              <a:ext uri="{FF2B5EF4-FFF2-40B4-BE49-F238E27FC236}">
                <a16:creationId xmlns:a16="http://schemas.microsoft.com/office/drawing/2014/main" id="{1CC1DB58-1E6E-5A63-5DB5-4D6D235FF4DF}"/>
              </a:ext>
            </a:extLst>
          </xdr:cNvPr>
          <xdr:cNvCxnSpPr/>
        </xdr:nvCxnSpPr>
        <xdr:spPr>
          <a:xfrm>
            <a:off x="4533900" y="223685100"/>
            <a:ext cx="35623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23" name="Isosceles Triangle 3022">
            <a:extLst>
              <a:ext uri="{FF2B5EF4-FFF2-40B4-BE49-F238E27FC236}">
                <a16:creationId xmlns:a16="http://schemas.microsoft.com/office/drawing/2014/main" id="{864CCE8C-4ED0-0B4E-76BA-F26B1DA1EB10}"/>
              </a:ext>
            </a:extLst>
          </xdr:cNvPr>
          <xdr:cNvSpPr/>
        </xdr:nvSpPr>
        <xdr:spPr>
          <a:xfrm>
            <a:off x="4462462" y="223694625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24" name="Isosceles Triangle 3023">
            <a:extLst>
              <a:ext uri="{FF2B5EF4-FFF2-40B4-BE49-F238E27FC236}">
                <a16:creationId xmlns:a16="http://schemas.microsoft.com/office/drawing/2014/main" id="{88CF3252-D327-E0DB-14D0-C201A8A9AF1B}"/>
              </a:ext>
            </a:extLst>
          </xdr:cNvPr>
          <xdr:cNvSpPr/>
        </xdr:nvSpPr>
        <xdr:spPr>
          <a:xfrm>
            <a:off x="8024811" y="223689863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57150</xdr:colOff>
      <xdr:row>2236</xdr:row>
      <xdr:rowOff>66675</xdr:rowOff>
    </xdr:from>
    <xdr:to>
      <xdr:col>7</xdr:col>
      <xdr:colOff>109537</xdr:colOff>
      <xdr:row>2236</xdr:row>
      <xdr:rowOff>66675</xdr:rowOff>
    </xdr:to>
    <xdr:cxnSp macro="">
      <xdr:nvCxnSpPr>
        <xdr:cNvPr id="3025" name="Straight Arrow Connector 3024">
          <a:extLst>
            <a:ext uri="{FF2B5EF4-FFF2-40B4-BE49-F238E27FC236}">
              <a16:creationId xmlns:a16="http://schemas.microsoft.com/office/drawing/2014/main" id="{5BD29248-7668-46C6-ADA4-17CB816DA599}"/>
            </a:ext>
          </a:extLst>
        </xdr:cNvPr>
        <xdr:cNvCxnSpPr/>
      </xdr:nvCxnSpPr>
      <xdr:spPr>
        <a:xfrm>
          <a:off x="1028700" y="3186969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2237</xdr:row>
      <xdr:rowOff>66675</xdr:rowOff>
    </xdr:from>
    <xdr:to>
      <xdr:col>7</xdr:col>
      <xdr:colOff>109537</xdr:colOff>
      <xdr:row>2237</xdr:row>
      <xdr:rowOff>66675</xdr:rowOff>
    </xdr:to>
    <xdr:cxnSp macro="">
      <xdr:nvCxnSpPr>
        <xdr:cNvPr id="3026" name="Straight Arrow Connector 3025">
          <a:extLst>
            <a:ext uri="{FF2B5EF4-FFF2-40B4-BE49-F238E27FC236}">
              <a16:creationId xmlns:a16="http://schemas.microsoft.com/office/drawing/2014/main" id="{671A0E42-E144-4B12-9C7D-4A61D4034B71}"/>
            </a:ext>
          </a:extLst>
        </xdr:cNvPr>
        <xdr:cNvCxnSpPr/>
      </xdr:nvCxnSpPr>
      <xdr:spPr>
        <a:xfrm>
          <a:off x="1028700" y="3188398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2177</xdr:row>
      <xdr:rowOff>66674</xdr:rowOff>
    </xdr:from>
    <xdr:to>
      <xdr:col>15</xdr:col>
      <xdr:colOff>57150</xdr:colOff>
      <xdr:row>2191</xdr:row>
      <xdr:rowOff>76200</xdr:rowOff>
    </xdr:to>
    <xdr:grpSp>
      <xdr:nvGrpSpPr>
        <xdr:cNvPr id="3027" name="Group 3026">
          <a:extLst>
            <a:ext uri="{FF2B5EF4-FFF2-40B4-BE49-F238E27FC236}">
              <a16:creationId xmlns:a16="http://schemas.microsoft.com/office/drawing/2014/main" id="{8983F8FB-A982-4DE6-9AD3-7A04A0760158}"/>
            </a:ext>
          </a:extLst>
        </xdr:cNvPr>
        <xdr:cNvGrpSpPr/>
      </xdr:nvGrpSpPr>
      <xdr:grpSpPr>
        <a:xfrm>
          <a:off x="419100" y="328050524"/>
          <a:ext cx="2066925" cy="2009776"/>
          <a:chOff x="1066800" y="495299"/>
          <a:chExt cx="2066925" cy="2009776"/>
        </a:xfrm>
      </xdr:grpSpPr>
      <xdr:grpSp>
        <xdr:nvGrpSpPr>
          <xdr:cNvPr id="3028" name="Group 3027">
            <a:extLst>
              <a:ext uri="{FF2B5EF4-FFF2-40B4-BE49-F238E27FC236}">
                <a16:creationId xmlns:a16="http://schemas.microsoft.com/office/drawing/2014/main" id="{D81B093A-7A84-E239-2C7E-7040E9AF27F4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3046" name="Straight Connector 3045">
              <a:extLst>
                <a:ext uri="{FF2B5EF4-FFF2-40B4-BE49-F238E27FC236}">
                  <a16:creationId xmlns:a16="http://schemas.microsoft.com/office/drawing/2014/main" id="{1EE3636D-60F6-3475-575D-6DF41B2B3DAA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47" name="Straight Connector 3046">
              <a:extLst>
                <a:ext uri="{FF2B5EF4-FFF2-40B4-BE49-F238E27FC236}">
                  <a16:creationId xmlns:a16="http://schemas.microsoft.com/office/drawing/2014/main" id="{3FCEE954-9E29-F3D6-CA7A-76AE35FE856E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48" name="Straight Connector 3047">
              <a:extLst>
                <a:ext uri="{FF2B5EF4-FFF2-40B4-BE49-F238E27FC236}">
                  <a16:creationId xmlns:a16="http://schemas.microsoft.com/office/drawing/2014/main" id="{9B28C555-C9A5-9815-3FC9-484FF8C34F9E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049" name="Arc 3048">
              <a:extLst>
                <a:ext uri="{FF2B5EF4-FFF2-40B4-BE49-F238E27FC236}">
                  <a16:creationId xmlns:a16="http://schemas.microsoft.com/office/drawing/2014/main" id="{4F9EC04D-4DE2-DD9A-635B-8060A805207D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050" name="Straight Connector 3049">
              <a:extLst>
                <a:ext uri="{FF2B5EF4-FFF2-40B4-BE49-F238E27FC236}">
                  <a16:creationId xmlns:a16="http://schemas.microsoft.com/office/drawing/2014/main" id="{839A7DDC-5EE9-D34B-9D0A-494DBFE74D39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51" name="Straight Connector 3050">
              <a:extLst>
                <a:ext uri="{FF2B5EF4-FFF2-40B4-BE49-F238E27FC236}">
                  <a16:creationId xmlns:a16="http://schemas.microsoft.com/office/drawing/2014/main" id="{29CD4CA7-8E08-F003-608E-8845AC9F13D3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52" name="Straight Connector 3051">
              <a:extLst>
                <a:ext uri="{FF2B5EF4-FFF2-40B4-BE49-F238E27FC236}">
                  <a16:creationId xmlns:a16="http://schemas.microsoft.com/office/drawing/2014/main" id="{56C32594-6FD8-64FD-99F3-98178CFE3098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53" name="Straight Connector 3052">
              <a:extLst>
                <a:ext uri="{FF2B5EF4-FFF2-40B4-BE49-F238E27FC236}">
                  <a16:creationId xmlns:a16="http://schemas.microsoft.com/office/drawing/2014/main" id="{D9629056-02D8-0BB2-D3DA-499B6961AAFB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054" name="Arc 3053">
              <a:extLst>
                <a:ext uri="{FF2B5EF4-FFF2-40B4-BE49-F238E27FC236}">
                  <a16:creationId xmlns:a16="http://schemas.microsoft.com/office/drawing/2014/main" id="{5F1D87DB-F622-C134-515D-CAB54FC1745A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055" name="Straight Connector 3054">
              <a:extLst>
                <a:ext uri="{FF2B5EF4-FFF2-40B4-BE49-F238E27FC236}">
                  <a16:creationId xmlns:a16="http://schemas.microsoft.com/office/drawing/2014/main" id="{37B9CC69-C60F-E8C6-659B-AD6D378A5C02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56" name="Straight Connector 3055">
              <a:extLst>
                <a:ext uri="{FF2B5EF4-FFF2-40B4-BE49-F238E27FC236}">
                  <a16:creationId xmlns:a16="http://schemas.microsoft.com/office/drawing/2014/main" id="{D31B0B37-161E-253D-672A-5312A152076B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57" name="Straight Connector 3056">
              <a:extLst>
                <a:ext uri="{FF2B5EF4-FFF2-40B4-BE49-F238E27FC236}">
                  <a16:creationId xmlns:a16="http://schemas.microsoft.com/office/drawing/2014/main" id="{2999D0ED-BAE9-C1AB-F817-DDABA9F0ECEC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58" name="Straight Connector 3057">
              <a:extLst>
                <a:ext uri="{FF2B5EF4-FFF2-40B4-BE49-F238E27FC236}">
                  <a16:creationId xmlns:a16="http://schemas.microsoft.com/office/drawing/2014/main" id="{704E02DA-F273-783B-C04C-5FF9795834C5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59" name="Straight Connector 3058">
              <a:extLst>
                <a:ext uri="{FF2B5EF4-FFF2-40B4-BE49-F238E27FC236}">
                  <a16:creationId xmlns:a16="http://schemas.microsoft.com/office/drawing/2014/main" id="{CF7C2C33-497D-D6CA-C211-CD9657069072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060" name="Arc 3059">
              <a:extLst>
                <a:ext uri="{FF2B5EF4-FFF2-40B4-BE49-F238E27FC236}">
                  <a16:creationId xmlns:a16="http://schemas.microsoft.com/office/drawing/2014/main" id="{4F828D0C-AF42-9C56-9031-B34C1726F93F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61" name="Arc 3060">
              <a:extLst>
                <a:ext uri="{FF2B5EF4-FFF2-40B4-BE49-F238E27FC236}">
                  <a16:creationId xmlns:a16="http://schemas.microsoft.com/office/drawing/2014/main" id="{E619C4C8-ECA4-530B-AFDF-74C6FE72009F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3029" name="Straight Connector 3028">
            <a:extLst>
              <a:ext uri="{FF2B5EF4-FFF2-40B4-BE49-F238E27FC236}">
                <a16:creationId xmlns:a16="http://schemas.microsoft.com/office/drawing/2014/main" id="{853B3766-BE70-3363-D4A1-2339BB16F804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0" name="Straight Connector 3029">
            <a:extLst>
              <a:ext uri="{FF2B5EF4-FFF2-40B4-BE49-F238E27FC236}">
                <a16:creationId xmlns:a16="http://schemas.microsoft.com/office/drawing/2014/main" id="{19A27031-522D-E696-555C-9D9B98CC0370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1" name="Straight Connector 3030">
            <a:extLst>
              <a:ext uri="{FF2B5EF4-FFF2-40B4-BE49-F238E27FC236}">
                <a16:creationId xmlns:a16="http://schemas.microsoft.com/office/drawing/2014/main" id="{69BA8D4D-5BA7-7FF7-3957-2D7220044D87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2" name="Straight Connector 3031">
            <a:extLst>
              <a:ext uri="{FF2B5EF4-FFF2-40B4-BE49-F238E27FC236}">
                <a16:creationId xmlns:a16="http://schemas.microsoft.com/office/drawing/2014/main" id="{96BD23B7-94DA-398C-D8A3-5A74BA43E995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3" name="Straight Connector 3032">
            <a:extLst>
              <a:ext uri="{FF2B5EF4-FFF2-40B4-BE49-F238E27FC236}">
                <a16:creationId xmlns:a16="http://schemas.microsoft.com/office/drawing/2014/main" id="{23000FA1-8845-515A-144E-29E92C8D7468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4" name="Straight Connector 3033">
            <a:extLst>
              <a:ext uri="{FF2B5EF4-FFF2-40B4-BE49-F238E27FC236}">
                <a16:creationId xmlns:a16="http://schemas.microsoft.com/office/drawing/2014/main" id="{C7379EBB-7E31-6B08-50A5-08D77FD13A52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5" name="Straight Connector 3034">
            <a:extLst>
              <a:ext uri="{FF2B5EF4-FFF2-40B4-BE49-F238E27FC236}">
                <a16:creationId xmlns:a16="http://schemas.microsoft.com/office/drawing/2014/main" id="{940844F7-72BC-1E0B-0959-E99CBEDCA5DC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6" name="Straight Connector 3035">
            <a:extLst>
              <a:ext uri="{FF2B5EF4-FFF2-40B4-BE49-F238E27FC236}">
                <a16:creationId xmlns:a16="http://schemas.microsoft.com/office/drawing/2014/main" id="{C8EAD818-C294-14FD-98EC-41F55CC78ED1}"/>
              </a:ext>
            </a:extLst>
          </xdr:cNvPr>
          <xdr:cNvCxnSpPr/>
        </xdr:nvCxnSpPr>
        <xdr:spPr>
          <a:xfrm>
            <a:off x="1395413" y="2428875"/>
            <a:ext cx="14239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7" name="Straight Connector 3036">
            <a:extLst>
              <a:ext uri="{FF2B5EF4-FFF2-40B4-BE49-F238E27FC236}">
                <a16:creationId xmlns:a16="http://schemas.microsoft.com/office/drawing/2014/main" id="{0D029FF7-342C-3505-E904-FE9C032FE1DB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8" name="Straight Connector 3037">
            <a:extLst>
              <a:ext uri="{FF2B5EF4-FFF2-40B4-BE49-F238E27FC236}">
                <a16:creationId xmlns:a16="http://schemas.microsoft.com/office/drawing/2014/main" id="{82857A56-F3BF-0DE5-FB55-0D9F63CC45EA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9" name="Straight Connector 3038">
            <a:extLst>
              <a:ext uri="{FF2B5EF4-FFF2-40B4-BE49-F238E27FC236}">
                <a16:creationId xmlns:a16="http://schemas.microsoft.com/office/drawing/2014/main" id="{98F581D6-BCBD-4DAB-F45F-834574A4D869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0" name="Straight Connector 3039">
            <a:extLst>
              <a:ext uri="{FF2B5EF4-FFF2-40B4-BE49-F238E27FC236}">
                <a16:creationId xmlns:a16="http://schemas.microsoft.com/office/drawing/2014/main" id="{CE977554-7188-8BEF-7027-47E2F8E6B0A8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1" name="Straight Connector 3040">
            <a:extLst>
              <a:ext uri="{FF2B5EF4-FFF2-40B4-BE49-F238E27FC236}">
                <a16:creationId xmlns:a16="http://schemas.microsoft.com/office/drawing/2014/main" id="{C212FC8C-F43E-1974-1EAB-5036C66014FF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2" name="Straight Connector 3041">
            <a:extLst>
              <a:ext uri="{FF2B5EF4-FFF2-40B4-BE49-F238E27FC236}">
                <a16:creationId xmlns:a16="http://schemas.microsoft.com/office/drawing/2014/main" id="{FF90D8F2-5DA2-14B8-AEBE-C2B42824EF1D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3" name="Straight Connector 3042">
            <a:extLst>
              <a:ext uri="{FF2B5EF4-FFF2-40B4-BE49-F238E27FC236}">
                <a16:creationId xmlns:a16="http://schemas.microsoft.com/office/drawing/2014/main" id="{D69BE83E-E9B5-830E-5586-4A2FD67969DA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4" name="Straight Connector 3043">
            <a:extLst>
              <a:ext uri="{FF2B5EF4-FFF2-40B4-BE49-F238E27FC236}">
                <a16:creationId xmlns:a16="http://schemas.microsoft.com/office/drawing/2014/main" id="{AEB35EDB-778A-D136-4878-E4000CFDB5D5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5" name="Straight Connector 3044">
            <a:extLst>
              <a:ext uri="{FF2B5EF4-FFF2-40B4-BE49-F238E27FC236}">
                <a16:creationId xmlns:a16="http://schemas.microsoft.com/office/drawing/2014/main" id="{E4AC8761-E8FB-FB47-89A9-C204CDCC9A93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58</xdr:col>
      <xdr:colOff>0</xdr:colOff>
      <xdr:row>2177</xdr:row>
      <xdr:rowOff>66674</xdr:rowOff>
    </xdr:from>
    <xdr:to>
      <xdr:col>71</xdr:col>
      <xdr:colOff>66675</xdr:colOff>
      <xdr:row>2191</xdr:row>
      <xdr:rowOff>76200</xdr:rowOff>
    </xdr:to>
    <xdr:grpSp>
      <xdr:nvGrpSpPr>
        <xdr:cNvPr id="3062" name="Group 3061">
          <a:extLst>
            <a:ext uri="{FF2B5EF4-FFF2-40B4-BE49-F238E27FC236}">
              <a16:creationId xmlns:a16="http://schemas.microsoft.com/office/drawing/2014/main" id="{7E0BD0A9-86E0-4746-A8A0-6A624EABC05B}"/>
            </a:ext>
          </a:extLst>
        </xdr:cNvPr>
        <xdr:cNvGrpSpPr/>
      </xdr:nvGrpSpPr>
      <xdr:grpSpPr>
        <a:xfrm>
          <a:off x="9391650" y="328050524"/>
          <a:ext cx="2171700" cy="2009776"/>
          <a:chOff x="9391650" y="221027624"/>
          <a:chExt cx="2171700" cy="2009776"/>
        </a:xfrm>
      </xdr:grpSpPr>
      <xdr:grpSp>
        <xdr:nvGrpSpPr>
          <xdr:cNvPr id="3063" name="Group 3062">
            <a:extLst>
              <a:ext uri="{FF2B5EF4-FFF2-40B4-BE49-F238E27FC236}">
                <a16:creationId xmlns:a16="http://schemas.microsoft.com/office/drawing/2014/main" id="{F619E960-2804-8972-338B-9168DF37CBDB}"/>
              </a:ext>
            </a:extLst>
          </xdr:cNvPr>
          <xdr:cNvGrpSpPr/>
        </xdr:nvGrpSpPr>
        <xdr:grpSpPr>
          <a:xfrm>
            <a:off x="10196513" y="221103825"/>
            <a:ext cx="1304924" cy="1571633"/>
            <a:chOff x="1290638" y="5572125"/>
            <a:chExt cx="1304924" cy="1571633"/>
          </a:xfrm>
        </xdr:grpSpPr>
        <xdr:cxnSp macro="">
          <xdr:nvCxnSpPr>
            <xdr:cNvPr id="3081" name="Straight Connector 3080">
              <a:extLst>
                <a:ext uri="{FF2B5EF4-FFF2-40B4-BE49-F238E27FC236}">
                  <a16:creationId xmlns:a16="http://schemas.microsoft.com/office/drawing/2014/main" id="{E9F87F28-33A4-33F7-783C-688B9EFD7503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82" name="Straight Connector 3081">
              <a:extLst>
                <a:ext uri="{FF2B5EF4-FFF2-40B4-BE49-F238E27FC236}">
                  <a16:creationId xmlns:a16="http://schemas.microsoft.com/office/drawing/2014/main" id="{B9010EC4-8514-264F-2D70-A27F2E50D7C9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83" name="Straight Connector 3082">
              <a:extLst>
                <a:ext uri="{FF2B5EF4-FFF2-40B4-BE49-F238E27FC236}">
                  <a16:creationId xmlns:a16="http://schemas.microsoft.com/office/drawing/2014/main" id="{8EB84707-ED4E-9C0E-0E92-690825BC8F40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084" name="Arc 3083">
              <a:extLst>
                <a:ext uri="{FF2B5EF4-FFF2-40B4-BE49-F238E27FC236}">
                  <a16:creationId xmlns:a16="http://schemas.microsoft.com/office/drawing/2014/main" id="{1FF80C26-3F44-86FD-1E29-4F986E0337E8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085" name="Straight Connector 3084">
              <a:extLst>
                <a:ext uri="{FF2B5EF4-FFF2-40B4-BE49-F238E27FC236}">
                  <a16:creationId xmlns:a16="http://schemas.microsoft.com/office/drawing/2014/main" id="{BB183B72-EA57-8AF5-5AB0-D86B3EA41D91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86" name="Straight Connector 3085">
              <a:extLst>
                <a:ext uri="{FF2B5EF4-FFF2-40B4-BE49-F238E27FC236}">
                  <a16:creationId xmlns:a16="http://schemas.microsoft.com/office/drawing/2014/main" id="{0B97F115-8753-20BC-CEC3-BEBDD6A535C7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87" name="Straight Connector 3086">
              <a:extLst>
                <a:ext uri="{FF2B5EF4-FFF2-40B4-BE49-F238E27FC236}">
                  <a16:creationId xmlns:a16="http://schemas.microsoft.com/office/drawing/2014/main" id="{BD30272D-DFEA-EC06-8ECA-4F4CCE472993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88" name="Straight Connector 3087">
              <a:extLst>
                <a:ext uri="{FF2B5EF4-FFF2-40B4-BE49-F238E27FC236}">
                  <a16:creationId xmlns:a16="http://schemas.microsoft.com/office/drawing/2014/main" id="{D703067E-F76A-AB50-FF37-2B255355D94D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089" name="Arc 3088">
              <a:extLst>
                <a:ext uri="{FF2B5EF4-FFF2-40B4-BE49-F238E27FC236}">
                  <a16:creationId xmlns:a16="http://schemas.microsoft.com/office/drawing/2014/main" id="{87B7E4A6-7548-8086-AB83-9D061006AD51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090" name="Straight Connector 3089">
              <a:extLst>
                <a:ext uri="{FF2B5EF4-FFF2-40B4-BE49-F238E27FC236}">
                  <a16:creationId xmlns:a16="http://schemas.microsoft.com/office/drawing/2014/main" id="{8C7716B9-84F2-6ACA-C6DF-3D58FF8D8B25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91" name="Straight Connector 3090">
              <a:extLst>
                <a:ext uri="{FF2B5EF4-FFF2-40B4-BE49-F238E27FC236}">
                  <a16:creationId xmlns:a16="http://schemas.microsoft.com/office/drawing/2014/main" id="{F0639731-2A1D-444E-8436-ACC6A153DC92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92" name="Straight Connector 3091">
              <a:extLst>
                <a:ext uri="{FF2B5EF4-FFF2-40B4-BE49-F238E27FC236}">
                  <a16:creationId xmlns:a16="http://schemas.microsoft.com/office/drawing/2014/main" id="{9FE4BA5A-C86E-9FC1-DDEA-36897DF21574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93" name="Straight Connector 3092">
              <a:extLst>
                <a:ext uri="{FF2B5EF4-FFF2-40B4-BE49-F238E27FC236}">
                  <a16:creationId xmlns:a16="http://schemas.microsoft.com/office/drawing/2014/main" id="{2454A431-4201-8799-CA2E-B0259C95AE84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94" name="Straight Connector 3093">
              <a:extLst>
                <a:ext uri="{FF2B5EF4-FFF2-40B4-BE49-F238E27FC236}">
                  <a16:creationId xmlns:a16="http://schemas.microsoft.com/office/drawing/2014/main" id="{58B72C67-55B5-7737-325B-2228DAB38642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095" name="Arc 3094">
              <a:extLst>
                <a:ext uri="{FF2B5EF4-FFF2-40B4-BE49-F238E27FC236}">
                  <a16:creationId xmlns:a16="http://schemas.microsoft.com/office/drawing/2014/main" id="{11166524-DABB-22F2-CC06-3AAFFF87ECA5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96" name="Arc 3095">
              <a:extLst>
                <a:ext uri="{FF2B5EF4-FFF2-40B4-BE49-F238E27FC236}">
                  <a16:creationId xmlns:a16="http://schemas.microsoft.com/office/drawing/2014/main" id="{74E4671F-8171-58CB-4643-B7005258830A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3064" name="Straight Connector 3063">
            <a:extLst>
              <a:ext uri="{FF2B5EF4-FFF2-40B4-BE49-F238E27FC236}">
                <a16:creationId xmlns:a16="http://schemas.microsoft.com/office/drawing/2014/main" id="{C3AB8674-D4B5-F6BD-1D4A-E10FB0BF3672}"/>
              </a:ext>
            </a:extLst>
          </xdr:cNvPr>
          <xdr:cNvCxnSpPr/>
        </xdr:nvCxnSpPr>
        <xdr:spPr>
          <a:xfrm>
            <a:off x="10739438" y="22210395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5" name="Straight Connector 3064">
            <a:extLst>
              <a:ext uri="{FF2B5EF4-FFF2-40B4-BE49-F238E27FC236}">
                <a16:creationId xmlns:a16="http://schemas.microsoft.com/office/drawing/2014/main" id="{31B60D84-B2C7-D632-1279-486CD2E989B6}"/>
              </a:ext>
            </a:extLst>
          </xdr:cNvPr>
          <xdr:cNvCxnSpPr/>
        </xdr:nvCxnSpPr>
        <xdr:spPr>
          <a:xfrm flipH="1">
            <a:off x="10763252" y="22207061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6" name="Straight Connector 3065">
            <a:extLst>
              <a:ext uri="{FF2B5EF4-FFF2-40B4-BE49-F238E27FC236}">
                <a16:creationId xmlns:a16="http://schemas.microsoft.com/office/drawing/2014/main" id="{E3E4317C-B529-F2DE-3E16-D2318336291F}"/>
              </a:ext>
            </a:extLst>
          </xdr:cNvPr>
          <xdr:cNvCxnSpPr/>
        </xdr:nvCxnSpPr>
        <xdr:spPr>
          <a:xfrm flipH="1">
            <a:off x="10858498" y="22207061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7" name="Straight Connector 3066">
            <a:extLst>
              <a:ext uri="{FF2B5EF4-FFF2-40B4-BE49-F238E27FC236}">
                <a16:creationId xmlns:a16="http://schemas.microsoft.com/office/drawing/2014/main" id="{9B13AD41-E86D-CD92-4F31-9C5A2E6DBFDF}"/>
              </a:ext>
            </a:extLst>
          </xdr:cNvPr>
          <xdr:cNvCxnSpPr/>
        </xdr:nvCxnSpPr>
        <xdr:spPr>
          <a:xfrm>
            <a:off x="11172826" y="222470663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8" name="Straight Connector 3067">
            <a:extLst>
              <a:ext uri="{FF2B5EF4-FFF2-40B4-BE49-F238E27FC236}">
                <a16:creationId xmlns:a16="http://schemas.microsoft.com/office/drawing/2014/main" id="{D88ABD05-9E0B-0ED4-CFC3-55BBD661894C}"/>
              </a:ext>
            </a:extLst>
          </xdr:cNvPr>
          <xdr:cNvCxnSpPr/>
        </xdr:nvCxnSpPr>
        <xdr:spPr>
          <a:xfrm flipH="1">
            <a:off x="11134726" y="22249923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9" name="Straight Connector 3068">
            <a:extLst>
              <a:ext uri="{FF2B5EF4-FFF2-40B4-BE49-F238E27FC236}">
                <a16:creationId xmlns:a16="http://schemas.microsoft.com/office/drawing/2014/main" id="{BCB723E9-BB47-4C48-0471-5A233E8E3A64}"/>
              </a:ext>
            </a:extLst>
          </xdr:cNvPr>
          <xdr:cNvCxnSpPr/>
        </xdr:nvCxnSpPr>
        <xdr:spPr>
          <a:xfrm flipH="1">
            <a:off x="11134724" y="22264211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0" name="Straight Connector 3069">
            <a:extLst>
              <a:ext uri="{FF2B5EF4-FFF2-40B4-BE49-F238E27FC236}">
                <a16:creationId xmlns:a16="http://schemas.microsoft.com/office/drawing/2014/main" id="{A0D8774C-B7FD-D2AD-61CD-399CF5233198}"/>
              </a:ext>
            </a:extLst>
          </xdr:cNvPr>
          <xdr:cNvCxnSpPr/>
        </xdr:nvCxnSpPr>
        <xdr:spPr>
          <a:xfrm>
            <a:off x="10201275" y="22273736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1" name="Straight Connector 3070">
            <a:extLst>
              <a:ext uri="{FF2B5EF4-FFF2-40B4-BE49-F238E27FC236}">
                <a16:creationId xmlns:a16="http://schemas.microsoft.com/office/drawing/2014/main" id="{F7E7CD19-ACC8-5BE7-75EB-1901235FEA30}"/>
              </a:ext>
            </a:extLst>
          </xdr:cNvPr>
          <xdr:cNvCxnSpPr/>
        </xdr:nvCxnSpPr>
        <xdr:spPr>
          <a:xfrm>
            <a:off x="10139363" y="222961200"/>
            <a:ext cx="14239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2" name="Straight Connector 3071">
            <a:extLst>
              <a:ext uri="{FF2B5EF4-FFF2-40B4-BE49-F238E27FC236}">
                <a16:creationId xmlns:a16="http://schemas.microsoft.com/office/drawing/2014/main" id="{AA332F38-3514-1643-5A04-DDFFB5975919}"/>
              </a:ext>
            </a:extLst>
          </xdr:cNvPr>
          <xdr:cNvCxnSpPr/>
        </xdr:nvCxnSpPr>
        <xdr:spPr>
          <a:xfrm flipH="1">
            <a:off x="10163174" y="22292787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3" name="Straight Connector 3072">
            <a:extLst>
              <a:ext uri="{FF2B5EF4-FFF2-40B4-BE49-F238E27FC236}">
                <a16:creationId xmlns:a16="http://schemas.microsoft.com/office/drawing/2014/main" id="{64EB4D55-1518-530E-AF69-AE66EA0929E3}"/>
              </a:ext>
            </a:extLst>
          </xdr:cNvPr>
          <xdr:cNvCxnSpPr/>
        </xdr:nvCxnSpPr>
        <xdr:spPr>
          <a:xfrm>
            <a:off x="11496675" y="22273736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4" name="Straight Connector 3073">
            <a:extLst>
              <a:ext uri="{FF2B5EF4-FFF2-40B4-BE49-F238E27FC236}">
                <a16:creationId xmlns:a16="http://schemas.microsoft.com/office/drawing/2014/main" id="{1FD08626-3BCE-154E-6EDF-9D49A3FC3DE3}"/>
              </a:ext>
            </a:extLst>
          </xdr:cNvPr>
          <xdr:cNvCxnSpPr/>
        </xdr:nvCxnSpPr>
        <xdr:spPr>
          <a:xfrm flipH="1">
            <a:off x="11458574" y="22292787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5" name="Straight Connector 3074">
            <a:extLst>
              <a:ext uri="{FF2B5EF4-FFF2-40B4-BE49-F238E27FC236}">
                <a16:creationId xmlns:a16="http://schemas.microsoft.com/office/drawing/2014/main" id="{715232D2-E9C5-8654-0D0E-38DC8E997383}"/>
              </a:ext>
            </a:extLst>
          </xdr:cNvPr>
          <xdr:cNvCxnSpPr/>
        </xdr:nvCxnSpPr>
        <xdr:spPr>
          <a:xfrm>
            <a:off x="9877426" y="221027624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6" name="Straight Connector 3075">
            <a:extLst>
              <a:ext uri="{FF2B5EF4-FFF2-40B4-BE49-F238E27FC236}">
                <a16:creationId xmlns:a16="http://schemas.microsoft.com/office/drawing/2014/main" id="{BC37FFCD-68DF-C4AD-DC07-1CF7FC2BBF34}"/>
              </a:ext>
            </a:extLst>
          </xdr:cNvPr>
          <xdr:cNvCxnSpPr/>
        </xdr:nvCxnSpPr>
        <xdr:spPr>
          <a:xfrm flipH="1">
            <a:off x="9839330" y="221070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7" name="Straight Connector 3076">
            <a:extLst>
              <a:ext uri="{FF2B5EF4-FFF2-40B4-BE49-F238E27FC236}">
                <a16:creationId xmlns:a16="http://schemas.microsoft.com/office/drawing/2014/main" id="{FDF67AF5-CD13-1E98-8470-C07017E0E108}"/>
              </a:ext>
            </a:extLst>
          </xdr:cNvPr>
          <xdr:cNvCxnSpPr/>
        </xdr:nvCxnSpPr>
        <xdr:spPr>
          <a:xfrm flipH="1">
            <a:off x="9839321" y="22264211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8" name="Straight Connector 3077">
            <a:extLst>
              <a:ext uri="{FF2B5EF4-FFF2-40B4-BE49-F238E27FC236}">
                <a16:creationId xmlns:a16="http://schemas.microsoft.com/office/drawing/2014/main" id="{6B1D6211-66D7-E53A-B2DE-1A6025544972}"/>
              </a:ext>
            </a:extLst>
          </xdr:cNvPr>
          <xdr:cNvCxnSpPr/>
        </xdr:nvCxnSpPr>
        <xdr:spPr>
          <a:xfrm flipH="1">
            <a:off x="9810750" y="222675450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9" name="Straight Connector 3078">
            <a:extLst>
              <a:ext uri="{FF2B5EF4-FFF2-40B4-BE49-F238E27FC236}">
                <a16:creationId xmlns:a16="http://schemas.microsoft.com/office/drawing/2014/main" id="{E4A396D8-B095-D590-24F5-8C6975C69158}"/>
              </a:ext>
            </a:extLst>
          </xdr:cNvPr>
          <xdr:cNvCxnSpPr/>
        </xdr:nvCxnSpPr>
        <xdr:spPr>
          <a:xfrm flipH="1">
            <a:off x="9810750" y="221103826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0" name="Straight Connector 3079">
            <a:extLst>
              <a:ext uri="{FF2B5EF4-FFF2-40B4-BE49-F238E27FC236}">
                <a16:creationId xmlns:a16="http://schemas.microsoft.com/office/drawing/2014/main" id="{9DEC8E5D-1D55-FFB0-C709-55FE24125A28}"/>
              </a:ext>
            </a:extLst>
          </xdr:cNvPr>
          <xdr:cNvCxnSpPr/>
        </xdr:nvCxnSpPr>
        <xdr:spPr>
          <a:xfrm>
            <a:off x="9391650" y="221180025"/>
            <a:ext cx="1447800" cy="4857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60</xdr:col>
      <xdr:colOff>100013</xdr:colOff>
      <xdr:row>2207</xdr:row>
      <xdr:rowOff>1</xdr:rowOff>
    </xdr:from>
    <xdr:to>
      <xdr:col>75</xdr:col>
      <xdr:colOff>80963</xdr:colOff>
      <xdr:row>2213</xdr:row>
      <xdr:rowOff>9527</xdr:rowOff>
    </xdr:to>
    <xdr:grpSp>
      <xdr:nvGrpSpPr>
        <xdr:cNvPr id="3097" name="Group 3096">
          <a:extLst>
            <a:ext uri="{FF2B5EF4-FFF2-40B4-BE49-F238E27FC236}">
              <a16:creationId xmlns:a16="http://schemas.microsoft.com/office/drawing/2014/main" id="{20EBC09C-5B23-45D1-A50F-4227763296FB}"/>
            </a:ext>
          </a:extLst>
        </xdr:cNvPr>
        <xdr:cNvGrpSpPr/>
      </xdr:nvGrpSpPr>
      <xdr:grpSpPr>
        <a:xfrm>
          <a:off x="9815513" y="332270101"/>
          <a:ext cx="2409825" cy="866776"/>
          <a:chOff x="9815513" y="287378776"/>
          <a:chExt cx="2409825" cy="866776"/>
        </a:xfrm>
      </xdr:grpSpPr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932A1EFE-6144-305B-B443-AFD46552C5D2}"/>
              </a:ext>
            </a:extLst>
          </xdr:cNvPr>
          <xdr:cNvSpPr/>
        </xdr:nvSpPr>
        <xdr:spPr>
          <a:xfrm>
            <a:off x="11020429" y="288069351"/>
            <a:ext cx="566733" cy="99999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7B382306-1BFC-34A9-201B-FD04B745D3CE}"/>
              </a:ext>
            </a:extLst>
          </xdr:cNvPr>
          <xdr:cNvSpPr/>
        </xdr:nvSpPr>
        <xdr:spPr>
          <a:xfrm>
            <a:off x="11020425" y="287454976"/>
            <a:ext cx="566733" cy="90487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00" name="Freeform: Shape 3099">
            <a:extLst>
              <a:ext uri="{FF2B5EF4-FFF2-40B4-BE49-F238E27FC236}">
                <a16:creationId xmlns:a16="http://schemas.microsoft.com/office/drawing/2014/main" id="{BA8903EE-8BD3-C7F8-586C-0CE1BA0CB28A}"/>
              </a:ext>
            </a:extLst>
          </xdr:cNvPr>
          <xdr:cNvSpPr/>
        </xdr:nvSpPr>
        <xdr:spPr>
          <a:xfrm>
            <a:off x="9815513" y="287454975"/>
            <a:ext cx="1204912" cy="714375"/>
          </a:xfrm>
          <a:custGeom>
            <a:avLst/>
            <a:gdLst>
              <a:gd name="connsiteX0" fmla="*/ 0 w 1204912"/>
              <a:gd name="connsiteY0" fmla="*/ 381000 h 714375"/>
              <a:gd name="connsiteX1" fmla="*/ 114300 w 1204912"/>
              <a:gd name="connsiteY1" fmla="*/ 295275 h 714375"/>
              <a:gd name="connsiteX2" fmla="*/ 114300 w 1204912"/>
              <a:gd name="connsiteY2" fmla="*/ 0 h 714375"/>
              <a:gd name="connsiteX3" fmla="*/ 1204912 w 1204912"/>
              <a:gd name="connsiteY3" fmla="*/ 0 h 714375"/>
              <a:gd name="connsiteX4" fmla="*/ 1204912 w 1204912"/>
              <a:gd name="connsiteY4" fmla="*/ 714375 h 714375"/>
              <a:gd name="connsiteX5" fmla="*/ 119062 w 1204912"/>
              <a:gd name="connsiteY5" fmla="*/ 714375 h 714375"/>
              <a:gd name="connsiteX6" fmla="*/ 119062 w 1204912"/>
              <a:gd name="connsiteY6" fmla="*/ 476250 h 714375"/>
              <a:gd name="connsiteX7" fmla="*/ 180975 w 1204912"/>
              <a:gd name="connsiteY7" fmla="*/ 404813 h 714375"/>
              <a:gd name="connsiteX8" fmla="*/ 0 w 1204912"/>
              <a:gd name="connsiteY8" fmla="*/ 381000 h 714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04912" h="714375">
                <a:moveTo>
                  <a:pt x="0" y="381000"/>
                </a:moveTo>
                <a:lnTo>
                  <a:pt x="114300" y="295275"/>
                </a:lnTo>
                <a:lnTo>
                  <a:pt x="114300" y="0"/>
                </a:lnTo>
                <a:lnTo>
                  <a:pt x="1204912" y="0"/>
                </a:lnTo>
                <a:lnTo>
                  <a:pt x="1204912" y="714375"/>
                </a:lnTo>
                <a:lnTo>
                  <a:pt x="119062" y="714375"/>
                </a:lnTo>
                <a:lnTo>
                  <a:pt x="119062" y="476250"/>
                </a:lnTo>
                <a:lnTo>
                  <a:pt x="180975" y="404813"/>
                </a:lnTo>
                <a:lnTo>
                  <a:pt x="0" y="38100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01" name="Freeform: Shape 3100">
            <a:extLst>
              <a:ext uri="{FF2B5EF4-FFF2-40B4-BE49-F238E27FC236}">
                <a16:creationId xmlns:a16="http://schemas.microsoft.com/office/drawing/2014/main" id="{839709E1-2478-9CB5-124E-1AB39D90DCED}"/>
              </a:ext>
            </a:extLst>
          </xdr:cNvPr>
          <xdr:cNvSpPr/>
        </xdr:nvSpPr>
        <xdr:spPr>
          <a:xfrm rot="10800000">
            <a:off x="11020426" y="287545469"/>
            <a:ext cx="1204912" cy="523874"/>
          </a:xfrm>
          <a:custGeom>
            <a:avLst/>
            <a:gdLst>
              <a:gd name="connsiteX0" fmla="*/ 0 w 1204912"/>
              <a:gd name="connsiteY0" fmla="*/ 381000 h 714375"/>
              <a:gd name="connsiteX1" fmla="*/ 114300 w 1204912"/>
              <a:gd name="connsiteY1" fmla="*/ 295275 h 714375"/>
              <a:gd name="connsiteX2" fmla="*/ 114300 w 1204912"/>
              <a:gd name="connsiteY2" fmla="*/ 0 h 714375"/>
              <a:gd name="connsiteX3" fmla="*/ 1204912 w 1204912"/>
              <a:gd name="connsiteY3" fmla="*/ 0 h 714375"/>
              <a:gd name="connsiteX4" fmla="*/ 1204912 w 1204912"/>
              <a:gd name="connsiteY4" fmla="*/ 714375 h 714375"/>
              <a:gd name="connsiteX5" fmla="*/ 119062 w 1204912"/>
              <a:gd name="connsiteY5" fmla="*/ 714375 h 714375"/>
              <a:gd name="connsiteX6" fmla="*/ 119062 w 1204912"/>
              <a:gd name="connsiteY6" fmla="*/ 476250 h 714375"/>
              <a:gd name="connsiteX7" fmla="*/ 180975 w 1204912"/>
              <a:gd name="connsiteY7" fmla="*/ 404813 h 714375"/>
              <a:gd name="connsiteX8" fmla="*/ 0 w 1204912"/>
              <a:gd name="connsiteY8" fmla="*/ 381000 h 714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04912" h="714375">
                <a:moveTo>
                  <a:pt x="0" y="381000"/>
                </a:moveTo>
                <a:lnTo>
                  <a:pt x="114300" y="295275"/>
                </a:lnTo>
                <a:lnTo>
                  <a:pt x="114300" y="0"/>
                </a:lnTo>
                <a:lnTo>
                  <a:pt x="1204912" y="0"/>
                </a:lnTo>
                <a:lnTo>
                  <a:pt x="1204912" y="714375"/>
                </a:lnTo>
                <a:lnTo>
                  <a:pt x="119062" y="714375"/>
                </a:lnTo>
                <a:lnTo>
                  <a:pt x="119062" y="476250"/>
                </a:lnTo>
                <a:lnTo>
                  <a:pt x="180975" y="404813"/>
                </a:lnTo>
                <a:lnTo>
                  <a:pt x="0" y="38100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0419B0DB-605F-F5EC-1E8F-1F4EC3E1E814}"/>
              </a:ext>
            </a:extLst>
          </xdr:cNvPr>
          <xdr:cNvSpPr/>
        </xdr:nvSpPr>
        <xdr:spPr>
          <a:xfrm>
            <a:off x="10620380" y="287378776"/>
            <a:ext cx="804862" cy="7620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103" name="Straight Connector 3102">
            <a:extLst>
              <a:ext uri="{FF2B5EF4-FFF2-40B4-BE49-F238E27FC236}">
                <a16:creationId xmlns:a16="http://schemas.microsoft.com/office/drawing/2014/main" id="{B6050817-1287-EAD6-14B5-DADA81F8A53E}"/>
              </a:ext>
            </a:extLst>
          </xdr:cNvPr>
          <xdr:cNvCxnSpPr/>
        </xdr:nvCxnSpPr>
        <xdr:spPr>
          <a:xfrm>
            <a:off x="9929814" y="287559754"/>
            <a:ext cx="109061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4" name="Straight Connector 3103">
            <a:extLst>
              <a:ext uri="{FF2B5EF4-FFF2-40B4-BE49-F238E27FC236}">
                <a16:creationId xmlns:a16="http://schemas.microsoft.com/office/drawing/2014/main" id="{765BDAEE-0852-B0CD-7C71-2F7623D33710}"/>
              </a:ext>
            </a:extLst>
          </xdr:cNvPr>
          <xdr:cNvCxnSpPr/>
        </xdr:nvCxnSpPr>
        <xdr:spPr>
          <a:xfrm>
            <a:off x="9929813" y="288064577"/>
            <a:ext cx="109061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5" name="Straight Connector 3104">
            <a:extLst>
              <a:ext uri="{FF2B5EF4-FFF2-40B4-BE49-F238E27FC236}">
                <a16:creationId xmlns:a16="http://schemas.microsoft.com/office/drawing/2014/main" id="{71E5319D-C197-799F-8180-73590DC2F6EC}"/>
              </a:ext>
            </a:extLst>
          </xdr:cNvPr>
          <xdr:cNvCxnSpPr/>
        </xdr:nvCxnSpPr>
        <xdr:spPr>
          <a:xfrm>
            <a:off x="11020426" y="287597860"/>
            <a:ext cx="109061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6" name="Straight Connector 3105">
            <a:extLst>
              <a:ext uri="{FF2B5EF4-FFF2-40B4-BE49-F238E27FC236}">
                <a16:creationId xmlns:a16="http://schemas.microsoft.com/office/drawing/2014/main" id="{A4F68B16-CFFC-AD8C-6F0A-6E00819FB9F1}"/>
              </a:ext>
            </a:extLst>
          </xdr:cNvPr>
          <xdr:cNvCxnSpPr/>
        </xdr:nvCxnSpPr>
        <xdr:spPr>
          <a:xfrm>
            <a:off x="11020426" y="288012199"/>
            <a:ext cx="109061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BA38A2D5-BBC6-3673-9A8B-B9FACF1E5F78}"/>
              </a:ext>
            </a:extLst>
          </xdr:cNvPr>
          <xdr:cNvSpPr/>
        </xdr:nvSpPr>
        <xdr:spPr>
          <a:xfrm>
            <a:off x="10620371" y="288169350"/>
            <a:ext cx="804862" cy="7620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F50A370B-4431-D82E-FC2B-6F8D2CDB14B1}"/>
              </a:ext>
            </a:extLst>
          </xdr:cNvPr>
          <xdr:cNvSpPr/>
        </xdr:nvSpPr>
        <xdr:spPr>
          <a:xfrm>
            <a:off x="10806113" y="287674052"/>
            <a:ext cx="433388" cy="266701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27</xdr:col>
      <xdr:colOff>85723</xdr:colOff>
      <xdr:row>2177</xdr:row>
      <xdr:rowOff>138113</xdr:rowOff>
    </xdr:from>
    <xdr:to>
      <xdr:col>53</xdr:col>
      <xdr:colOff>76200</xdr:colOff>
      <xdr:row>2192</xdr:row>
      <xdr:rowOff>61913</xdr:rowOff>
    </xdr:to>
    <xdr:grpSp>
      <xdr:nvGrpSpPr>
        <xdr:cNvPr id="3109" name="Group 3108">
          <a:extLst>
            <a:ext uri="{FF2B5EF4-FFF2-40B4-BE49-F238E27FC236}">
              <a16:creationId xmlns:a16="http://schemas.microsoft.com/office/drawing/2014/main" id="{CF14F27D-F4CC-4BB4-8F1A-58B03DEADEBE}"/>
            </a:ext>
          </a:extLst>
        </xdr:cNvPr>
        <xdr:cNvGrpSpPr/>
      </xdr:nvGrpSpPr>
      <xdr:grpSpPr>
        <a:xfrm>
          <a:off x="4457698" y="328121963"/>
          <a:ext cx="4200527" cy="2066925"/>
          <a:chOff x="4457698" y="283306838"/>
          <a:chExt cx="4200527" cy="2066925"/>
        </a:xfrm>
      </xdr:grpSpPr>
      <xdr:sp macro="" textlink="">
        <xdr:nvSpPr>
          <xdr:cNvPr id="3110" name="Isosceles Triangle 3109">
            <a:extLst>
              <a:ext uri="{FF2B5EF4-FFF2-40B4-BE49-F238E27FC236}">
                <a16:creationId xmlns:a16="http://schemas.microsoft.com/office/drawing/2014/main" id="{565B9AB9-F471-ABFA-8AF7-7C9549679CDF}"/>
              </a:ext>
            </a:extLst>
          </xdr:cNvPr>
          <xdr:cNvSpPr/>
        </xdr:nvSpPr>
        <xdr:spPr>
          <a:xfrm>
            <a:off x="4462463" y="284321249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11" name="Isosceles Triangle 3110">
            <a:extLst>
              <a:ext uri="{FF2B5EF4-FFF2-40B4-BE49-F238E27FC236}">
                <a16:creationId xmlns:a16="http://schemas.microsoft.com/office/drawing/2014/main" id="{B0743AE5-B4B7-5F47-3FD3-40DFDD0414DC}"/>
              </a:ext>
            </a:extLst>
          </xdr:cNvPr>
          <xdr:cNvSpPr/>
        </xdr:nvSpPr>
        <xdr:spPr>
          <a:xfrm>
            <a:off x="8029575" y="284249819"/>
            <a:ext cx="143636" cy="1238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12" name="Straight Connector 3111">
            <a:extLst>
              <a:ext uri="{FF2B5EF4-FFF2-40B4-BE49-F238E27FC236}">
                <a16:creationId xmlns:a16="http://schemas.microsoft.com/office/drawing/2014/main" id="{76B6BA7F-6ABC-94BA-2FB1-343DCE75A35B}"/>
              </a:ext>
            </a:extLst>
          </xdr:cNvPr>
          <xdr:cNvCxnSpPr/>
        </xdr:nvCxnSpPr>
        <xdr:spPr>
          <a:xfrm>
            <a:off x="4533900" y="284887988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3" name="Straight Connector 3112">
            <a:extLst>
              <a:ext uri="{FF2B5EF4-FFF2-40B4-BE49-F238E27FC236}">
                <a16:creationId xmlns:a16="http://schemas.microsoft.com/office/drawing/2014/main" id="{D41B35EA-487E-BD9C-0B48-B0BEE79BE8C0}"/>
              </a:ext>
            </a:extLst>
          </xdr:cNvPr>
          <xdr:cNvCxnSpPr/>
        </xdr:nvCxnSpPr>
        <xdr:spPr>
          <a:xfrm>
            <a:off x="4457699" y="285026109"/>
            <a:ext cx="37052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4" name="Straight Arrow Connector 3113">
            <a:extLst>
              <a:ext uri="{FF2B5EF4-FFF2-40B4-BE49-F238E27FC236}">
                <a16:creationId xmlns:a16="http://schemas.microsoft.com/office/drawing/2014/main" id="{99B5570E-4452-3C95-8F9D-3B01D73B5275}"/>
              </a:ext>
            </a:extLst>
          </xdr:cNvPr>
          <xdr:cNvCxnSpPr/>
        </xdr:nvCxnSpPr>
        <xdr:spPr>
          <a:xfrm flipV="1">
            <a:off x="8096250" y="284392695"/>
            <a:ext cx="0" cy="209543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5" name="Straight Arrow Connector 3114">
            <a:extLst>
              <a:ext uri="{FF2B5EF4-FFF2-40B4-BE49-F238E27FC236}">
                <a16:creationId xmlns:a16="http://schemas.microsoft.com/office/drawing/2014/main" id="{1502A9BE-F139-4CC0-E1A2-D85624810BAD}"/>
              </a:ext>
            </a:extLst>
          </xdr:cNvPr>
          <xdr:cNvCxnSpPr/>
        </xdr:nvCxnSpPr>
        <xdr:spPr>
          <a:xfrm flipV="1">
            <a:off x="4538663" y="284459364"/>
            <a:ext cx="0" cy="285749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6" name="Straight Connector 3115">
            <a:extLst>
              <a:ext uri="{FF2B5EF4-FFF2-40B4-BE49-F238E27FC236}">
                <a16:creationId xmlns:a16="http://schemas.microsoft.com/office/drawing/2014/main" id="{1B241681-47E0-F89E-7EE6-9E4DC341E2D7}"/>
              </a:ext>
            </a:extLst>
          </xdr:cNvPr>
          <xdr:cNvCxnSpPr/>
        </xdr:nvCxnSpPr>
        <xdr:spPr>
          <a:xfrm flipH="1">
            <a:off x="4495801" y="28499276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7" name="Straight Connector 3116">
            <a:extLst>
              <a:ext uri="{FF2B5EF4-FFF2-40B4-BE49-F238E27FC236}">
                <a16:creationId xmlns:a16="http://schemas.microsoft.com/office/drawing/2014/main" id="{8F057D81-1271-1E3F-882B-CAFB304773EE}"/>
              </a:ext>
            </a:extLst>
          </xdr:cNvPr>
          <xdr:cNvCxnSpPr/>
        </xdr:nvCxnSpPr>
        <xdr:spPr>
          <a:xfrm>
            <a:off x="4457698" y="285311861"/>
            <a:ext cx="37147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8" name="Straight Connector 3117">
            <a:extLst>
              <a:ext uri="{FF2B5EF4-FFF2-40B4-BE49-F238E27FC236}">
                <a16:creationId xmlns:a16="http://schemas.microsoft.com/office/drawing/2014/main" id="{03C598D9-3C37-CAEE-0DB5-E9ACCE4BABAD}"/>
              </a:ext>
            </a:extLst>
          </xdr:cNvPr>
          <xdr:cNvCxnSpPr/>
        </xdr:nvCxnSpPr>
        <xdr:spPr>
          <a:xfrm flipH="1">
            <a:off x="4495800" y="2852785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9" name="Straight Connector 3118">
            <a:extLst>
              <a:ext uri="{FF2B5EF4-FFF2-40B4-BE49-F238E27FC236}">
                <a16:creationId xmlns:a16="http://schemas.microsoft.com/office/drawing/2014/main" id="{F66ACBA0-2201-69FD-BB25-57E829214692}"/>
              </a:ext>
            </a:extLst>
          </xdr:cNvPr>
          <xdr:cNvCxnSpPr/>
        </xdr:nvCxnSpPr>
        <xdr:spPr>
          <a:xfrm>
            <a:off x="8096250" y="284754638"/>
            <a:ext cx="0" cy="619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0" name="Straight Connector 3119">
            <a:extLst>
              <a:ext uri="{FF2B5EF4-FFF2-40B4-BE49-F238E27FC236}">
                <a16:creationId xmlns:a16="http://schemas.microsoft.com/office/drawing/2014/main" id="{05661B7D-9BE6-00D4-57E7-D7527811E2B1}"/>
              </a:ext>
            </a:extLst>
          </xdr:cNvPr>
          <xdr:cNvCxnSpPr/>
        </xdr:nvCxnSpPr>
        <xdr:spPr>
          <a:xfrm flipH="1">
            <a:off x="8058151" y="28499276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1" name="Straight Connector 3120">
            <a:extLst>
              <a:ext uri="{FF2B5EF4-FFF2-40B4-BE49-F238E27FC236}">
                <a16:creationId xmlns:a16="http://schemas.microsoft.com/office/drawing/2014/main" id="{857914F5-555B-8026-C57D-A6B6C59869B3}"/>
              </a:ext>
            </a:extLst>
          </xdr:cNvPr>
          <xdr:cNvCxnSpPr/>
        </xdr:nvCxnSpPr>
        <xdr:spPr>
          <a:xfrm flipH="1">
            <a:off x="8058150" y="2852785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2" name="Straight Arrow Connector 3121">
            <a:extLst>
              <a:ext uri="{FF2B5EF4-FFF2-40B4-BE49-F238E27FC236}">
                <a16:creationId xmlns:a16="http://schemas.microsoft.com/office/drawing/2014/main" id="{8AA87C7F-5F33-C6AD-2C03-D9D6632276A5}"/>
              </a:ext>
            </a:extLst>
          </xdr:cNvPr>
          <xdr:cNvCxnSpPr/>
        </xdr:nvCxnSpPr>
        <xdr:spPr>
          <a:xfrm>
            <a:off x="6315075" y="283306838"/>
            <a:ext cx="0" cy="481012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3" name="Straight Connector 3122">
            <a:extLst>
              <a:ext uri="{FF2B5EF4-FFF2-40B4-BE49-F238E27FC236}">
                <a16:creationId xmlns:a16="http://schemas.microsoft.com/office/drawing/2014/main" id="{481782E3-3EFE-59FF-8BBF-083B88B06138}"/>
              </a:ext>
            </a:extLst>
          </xdr:cNvPr>
          <xdr:cNvCxnSpPr/>
        </xdr:nvCxnSpPr>
        <xdr:spPr>
          <a:xfrm>
            <a:off x="4529138" y="283787850"/>
            <a:ext cx="357187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4" name="Straight Arrow Connector 3123">
            <a:extLst>
              <a:ext uri="{FF2B5EF4-FFF2-40B4-BE49-F238E27FC236}">
                <a16:creationId xmlns:a16="http://schemas.microsoft.com/office/drawing/2014/main" id="{D5AC4169-7E48-98BA-80E9-C787B5FF73FB}"/>
              </a:ext>
            </a:extLst>
          </xdr:cNvPr>
          <xdr:cNvCxnSpPr/>
        </xdr:nvCxnSpPr>
        <xdr:spPr>
          <a:xfrm>
            <a:off x="4533900" y="283502100"/>
            <a:ext cx="0" cy="28098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5" name="Straight Connector 3124">
            <a:extLst>
              <a:ext uri="{FF2B5EF4-FFF2-40B4-BE49-F238E27FC236}">
                <a16:creationId xmlns:a16="http://schemas.microsoft.com/office/drawing/2014/main" id="{F2F0F1E1-2627-BD5A-B60A-0D05F9255149}"/>
              </a:ext>
            </a:extLst>
          </xdr:cNvPr>
          <xdr:cNvCxnSpPr/>
        </xdr:nvCxnSpPr>
        <xdr:spPr>
          <a:xfrm>
            <a:off x="4533901" y="283497339"/>
            <a:ext cx="1781174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6" name="Straight Arrow Connector 3125">
            <a:extLst>
              <a:ext uri="{FF2B5EF4-FFF2-40B4-BE49-F238E27FC236}">
                <a16:creationId xmlns:a16="http://schemas.microsoft.com/office/drawing/2014/main" id="{5971703D-041A-D1C6-2363-4EDDA67F5097}"/>
              </a:ext>
            </a:extLst>
          </xdr:cNvPr>
          <xdr:cNvCxnSpPr/>
        </xdr:nvCxnSpPr>
        <xdr:spPr>
          <a:xfrm>
            <a:off x="4695825" y="283506863"/>
            <a:ext cx="0" cy="28098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7" name="Straight Arrow Connector 3126">
            <a:extLst>
              <a:ext uri="{FF2B5EF4-FFF2-40B4-BE49-F238E27FC236}">
                <a16:creationId xmlns:a16="http://schemas.microsoft.com/office/drawing/2014/main" id="{D7415A6D-A8A2-7402-268C-3D5BB8B17593}"/>
              </a:ext>
            </a:extLst>
          </xdr:cNvPr>
          <xdr:cNvCxnSpPr/>
        </xdr:nvCxnSpPr>
        <xdr:spPr>
          <a:xfrm>
            <a:off x="4857750" y="283506862"/>
            <a:ext cx="0" cy="28098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8" name="Straight Arrow Connector 3127">
            <a:extLst>
              <a:ext uri="{FF2B5EF4-FFF2-40B4-BE49-F238E27FC236}">
                <a16:creationId xmlns:a16="http://schemas.microsoft.com/office/drawing/2014/main" id="{31565A0F-C91C-9199-7FBE-931B7724769E}"/>
              </a:ext>
            </a:extLst>
          </xdr:cNvPr>
          <xdr:cNvCxnSpPr/>
        </xdr:nvCxnSpPr>
        <xdr:spPr>
          <a:xfrm>
            <a:off x="5019675" y="283502100"/>
            <a:ext cx="0" cy="28098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9" name="Straight Arrow Connector 3128">
            <a:extLst>
              <a:ext uri="{FF2B5EF4-FFF2-40B4-BE49-F238E27FC236}">
                <a16:creationId xmlns:a16="http://schemas.microsoft.com/office/drawing/2014/main" id="{424D8738-C78C-849C-5CFE-EE6B41D3F9ED}"/>
              </a:ext>
            </a:extLst>
          </xdr:cNvPr>
          <xdr:cNvCxnSpPr/>
        </xdr:nvCxnSpPr>
        <xdr:spPr>
          <a:xfrm>
            <a:off x="5181600" y="283502103"/>
            <a:ext cx="0" cy="28098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0" name="Straight Arrow Connector 3129">
            <a:extLst>
              <a:ext uri="{FF2B5EF4-FFF2-40B4-BE49-F238E27FC236}">
                <a16:creationId xmlns:a16="http://schemas.microsoft.com/office/drawing/2014/main" id="{BC0C99E8-012F-A158-EB45-9BA6EC8655A2}"/>
              </a:ext>
            </a:extLst>
          </xdr:cNvPr>
          <xdr:cNvCxnSpPr/>
        </xdr:nvCxnSpPr>
        <xdr:spPr>
          <a:xfrm>
            <a:off x="5343525" y="283497338"/>
            <a:ext cx="0" cy="28098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1" name="Straight Arrow Connector 3130">
            <a:extLst>
              <a:ext uri="{FF2B5EF4-FFF2-40B4-BE49-F238E27FC236}">
                <a16:creationId xmlns:a16="http://schemas.microsoft.com/office/drawing/2014/main" id="{36E9CFDE-805C-66F2-61C1-193A3859523E}"/>
              </a:ext>
            </a:extLst>
          </xdr:cNvPr>
          <xdr:cNvCxnSpPr/>
        </xdr:nvCxnSpPr>
        <xdr:spPr>
          <a:xfrm>
            <a:off x="5505448" y="283497340"/>
            <a:ext cx="0" cy="28098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2" name="Straight Arrow Connector 3131">
            <a:extLst>
              <a:ext uri="{FF2B5EF4-FFF2-40B4-BE49-F238E27FC236}">
                <a16:creationId xmlns:a16="http://schemas.microsoft.com/office/drawing/2014/main" id="{048B7F31-927F-85F8-7957-09EDE5CB8E8E}"/>
              </a:ext>
            </a:extLst>
          </xdr:cNvPr>
          <xdr:cNvCxnSpPr/>
        </xdr:nvCxnSpPr>
        <xdr:spPr>
          <a:xfrm>
            <a:off x="5667373" y="283502103"/>
            <a:ext cx="0" cy="28098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3" name="Straight Arrow Connector 3132">
            <a:extLst>
              <a:ext uri="{FF2B5EF4-FFF2-40B4-BE49-F238E27FC236}">
                <a16:creationId xmlns:a16="http://schemas.microsoft.com/office/drawing/2014/main" id="{2EE164AC-97ED-A939-327F-B5BFAE4D5FF7}"/>
              </a:ext>
            </a:extLst>
          </xdr:cNvPr>
          <xdr:cNvCxnSpPr/>
        </xdr:nvCxnSpPr>
        <xdr:spPr>
          <a:xfrm>
            <a:off x="5829298" y="283502102"/>
            <a:ext cx="0" cy="28098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4" name="Straight Arrow Connector 3133">
            <a:extLst>
              <a:ext uri="{FF2B5EF4-FFF2-40B4-BE49-F238E27FC236}">
                <a16:creationId xmlns:a16="http://schemas.microsoft.com/office/drawing/2014/main" id="{760529B8-D746-900B-C89E-F769B65931E5}"/>
              </a:ext>
            </a:extLst>
          </xdr:cNvPr>
          <xdr:cNvCxnSpPr/>
        </xdr:nvCxnSpPr>
        <xdr:spPr>
          <a:xfrm>
            <a:off x="5991223" y="283497340"/>
            <a:ext cx="0" cy="28098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5" name="Straight Arrow Connector 3134">
            <a:extLst>
              <a:ext uri="{FF2B5EF4-FFF2-40B4-BE49-F238E27FC236}">
                <a16:creationId xmlns:a16="http://schemas.microsoft.com/office/drawing/2014/main" id="{2AE62B98-A213-08B1-4A68-C64EB1F3396A}"/>
              </a:ext>
            </a:extLst>
          </xdr:cNvPr>
          <xdr:cNvCxnSpPr/>
        </xdr:nvCxnSpPr>
        <xdr:spPr>
          <a:xfrm>
            <a:off x="6153148" y="283497343"/>
            <a:ext cx="0" cy="28098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6" name="Straight Arrow Connector 3135">
            <a:extLst>
              <a:ext uri="{FF2B5EF4-FFF2-40B4-BE49-F238E27FC236}">
                <a16:creationId xmlns:a16="http://schemas.microsoft.com/office/drawing/2014/main" id="{F5776691-60A6-F75A-6E69-AF822D273979}"/>
              </a:ext>
            </a:extLst>
          </xdr:cNvPr>
          <xdr:cNvCxnSpPr/>
        </xdr:nvCxnSpPr>
        <xdr:spPr>
          <a:xfrm>
            <a:off x="8096248" y="283587825"/>
            <a:ext cx="0" cy="20002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7" name="Straight Connector 3136">
            <a:extLst>
              <a:ext uri="{FF2B5EF4-FFF2-40B4-BE49-F238E27FC236}">
                <a16:creationId xmlns:a16="http://schemas.microsoft.com/office/drawing/2014/main" id="{3B848067-36CD-260E-1859-29F855DDA250}"/>
              </a:ext>
            </a:extLst>
          </xdr:cNvPr>
          <xdr:cNvCxnSpPr/>
        </xdr:nvCxnSpPr>
        <xdr:spPr>
          <a:xfrm>
            <a:off x="6315075" y="283592589"/>
            <a:ext cx="1781174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8" name="Straight Arrow Connector 3137">
            <a:extLst>
              <a:ext uri="{FF2B5EF4-FFF2-40B4-BE49-F238E27FC236}">
                <a16:creationId xmlns:a16="http://schemas.microsoft.com/office/drawing/2014/main" id="{7D937BBB-CE32-DE5E-4222-14E379AE56DE}"/>
              </a:ext>
            </a:extLst>
          </xdr:cNvPr>
          <xdr:cNvCxnSpPr/>
        </xdr:nvCxnSpPr>
        <xdr:spPr>
          <a:xfrm>
            <a:off x="7934323" y="283587826"/>
            <a:ext cx="0" cy="20002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9" name="Straight Arrow Connector 3138">
            <a:extLst>
              <a:ext uri="{FF2B5EF4-FFF2-40B4-BE49-F238E27FC236}">
                <a16:creationId xmlns:a16="http://schemas.microsoft.com/office/drawing/2014/main" id="{1330AC49-6419-2587-3C6F-70ADD5F96210}"/>
              </a:ext>
            </a:extLst>
          </xdr:cNvPr>
          <xdr:cNvCxnSpPr/>
        </xdr:nvCxnSpPr>
        <xdr:spPr>
          <a:xfrm>
            <a:off x="7772397" y="283592589"/>
            <a:ext cx="0" cy="20002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0" name="Straight Arrow Connector 3139">
            <a:extLst>
              <a:ext uri="{FF2B5EF4-FFF2-40B4-BE49-F238E27FC236}">
                <a16:creationId xmlns:a16="http://schemas.microsoft.com/office/drawing/2014/main" id="{A83F9E40-FA1F-2304-E14F-4FE3146657ED}"/>
              </a:ext>
            </a:extLst>
          </xdr:cNvPr>
          <xdr:cNvCxnSpPr/>
        </xdr:nvCxnSpPr>
        <xdr:spPr>
          <a:xfrm>
            <a:off x="7610472" y="283592590"/>
            <a:ext cx="0" cy="20002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1" name="Straight Arrow Connector 3140">
            <a:extLst>
              <a:ext uri="{FF2B5EF4-FFF2-40B4-BE49-F238E27FC236}">
                <a16:creationId xmlns:a16="http://schemas.microsoft.com/office/drawing/2014/main" id="{E63603D2-E71F-A451-217C-A532F10F5B99}"/>
              </a:ext>
            </a:extLst>
          </xdr:cNvPr>
          <xdr:cNvCxnSpPr/>
        </xdr:nvCxnSpPr>
        <xdr:spPr>
          <a:xfrm>
            <a:off x="7448548" y="283587826"/>
            <a:ext cx="0" cy="20002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2" name="Straight Arrow Connector 3141">
            <a:extLst>
              <a:ext uri="{FF2B5EF4-FFF2-40B4-BE49-F238E27FC236}">
                <a16:creationId xmlns:a16="http://schemas.microsoft.com/office/drawing/2014/main" id="{0A2683DD-7565-1EEC-1B80-C76521B383B4}"/>
              </a:ext>
            </a:extLst>
          </xdr:cNvPr>
          <xdr:cNvCxnSpPr/>
        </xdr:nvCxnSpPr>
        <xdr:spPr>
          <a:xfrm>
            <a:off x="7286623" y="283587827"/>
            <a:ext cx="0" cy="20002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3" name="Straight Arrow Connector 3142">
            <a:extLst>
              <a:ext uri="{FF2B5EF4-FFF2-40B4-BE49-F238E27FC236}">
                <a16:creationId xmlns:a16="http://schemas.microsoft.com/office/drawing/2014/main" id="{54609879-130A-F9C8-1093-03D4B446E916}"/>
              </a:ext>
            </a:extLst>
          </xdr:cNvPr>
          <xdr:cNvCxnSpPr/>
        </xdr:nvCxnSpPr>
        <xdr:spPr>
          <a:xfrm>
            <a:off x="7124697" y="283592590"/>
            <a:ext cx="0" cy="20002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4" name="Straight Arrow Connector 3143">
            <a:extLst>
              <a:ext uri="{FF2B5EF4-FFF2-40B4-BE49-F238E27FC236}">
                <a16:creationId xmlns:a16="http://schemas.microsoft.com/office/drawing/2014/main" id="{24D10DC0-FA46-633D-1F69-432B2A7F28C4}"/>
              </a:ext>
            </a:extLst>
          </xdr:cNvPr>
          <xdr:cNvCxnSpPr/>
        </xdr:nvCxnSpPr>
        <xdr:spPr>
          <a:xfrm>
            <a:off x="6962772" y="283592591"/>
            <a:ext cx="0" cy="20002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5" name="Straight Arrow Connector 3144">
            <a:extLst>
              <a:ext uri="{FF2B5EF4-FFF2-40B4-BE49-F238E27FC236}">
                <a16:creationId xmlns:a16="http://schemas.microsoft.com/office/drawing/2014/main" id="{4EBF5494-B538-FC64-CB85-3A2E542FDD94}"/>
              </a:ext>
            </a:extLst>
          </xdr:cNvPr>
          <xdr:cNvCxnSpPr/>
        </xdr:nvCxnSpPr>
        <xdr:spPr>
          <a:xfrm>
            <a:off x="6800850" y="283592589"/>
            <a:ext cx="0" cy="20002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6" name="Straight Arrow Connector 3145">
            <a:extLst>
              <a:ext uri="{FF2B5EF4-FFF2-40B4-BE49-F238E27FC236}">
                <a16:creationId xmlns:a16="http://schemas.microsoft.com/office/drawing/2014/main" id="{B19AF3AB-6A0D-814D-5E8D-8C2819172F02}"/>
              </a:ext>
            </a:extLst>
          </xdr:cNvPr>
          <xdr:cNvCxnSpPr/>
        </xdr:nvCxnSpPr>
        <xdr:spPr>
          <a:xfrm>
            <a:off x="6638925" y="283592590"/>
            <a:ext cx="0" cy="20002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7" name="Straight Arrow Connector 3146">
            <a:extLst>
              <a:ext uri="{FF2B5EF4-FFF2-40B4-BE49-F238E27FC236}">
                <a16:creationId xmlns:a16="http://schemas.microsoft.com/office/drawing/2014/main" id="{D57BBF54-2C4D-367B-BBAD-F2C0282CC00F}"/>
              </a:ext>
            </a:extLst>
          </xdr:cNvPr>
          <xdr:cNvCxnSpPr/>
        </xdr:nvCxnSpPr>
        <xdr:spPr>
          <a:xfrm>
            <a:off x="6476999" y="283597353"/>
            <a:ext cx="0" cy="20002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8" name="Straight Connector 3147">
            <a:extLst>
              <a:ext uri="{FF2B5EF4-FFF2-40B4-BE49-F238E27FC236}">
                <a16:creationId xmlns:a16="http://schemas.microsoft.com/office/drawing/2014/main" id="{D3FA027C-89A7-2E0D-81FA-DBC109EB1A01}"/>
              </a:ext>
            </a:extLst>
          </xdr:cNvPr>
          <xdr:cNvCxnSpPr/>
        </xdr:nvCxnSpPr>
        <xdr:spPr>
          <a:xfrm flipH="1" flipV="1">
            <a:off x="5548313" y="283449713"/>
            <a:ext cx="119062" cy="157162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9" name="Straight Connector 3148">
            <a:extLst>
              <a:ext uri="{FF2B5EF4-FFF2-40B4-BE49-F238E27FC236}">
                <a16:creationId xmlns:a16="http://schemas.microsoft.com/office/drawing/2014/main" id="{4AA4EA8A-0062-1A34-7B31-E5507CC5A908}"/>
              </a:ext>
            </a:extLst>
          </xdr:cNvPr>
          <xdr:cNvCxnSpPr/>
        </xdr:nvCxnSpPr>
        <xdr:spPr>
          <a:xfrm flipH="1" flipV="1">
            <a:off x="7439025" y="283444950"/>
            <a:ext cx="171450" cy="214312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0" name="Straight Connector 3149">
            <a:extLst>
              <a:ext uri="{FF2B5EF4-FFF2-40B4-BE49-F238E27FC236}">
                <a16:creationId xmlns:a16="http://schemas.microsoft.com/office/drawing/2014/main" id="{8C1BC3A5-19E3-EDF2-E8D7-BA3BBB42CA24}"/>
              </a:ext>
            </a:extLst>
          </xdr:cNvPr>
          <xdr:cNvCxnSpPr/>
        </xdr:nvCxnSpPr>
        <xdr:spPr>
          <a:xfrm>
            <a:off x="6315075" y="284468888"/>
            <a:ext cx="0" cy="614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1" name="Straight Connector 3150">
            <a:extLst>
              <a:ext uri="{FF2B5EF4-FFF2-40B4-BE49-F238E27FC236}">
                <a16:creationId xmlns:a16="http://schemas.microsoft.com/office/drawing/2014/main" id="{6003D9BE-30DD-CC1A-8D5E-212096A49E16}"/>
              </a:ext>
            </a:extLst>
          </xdr:cNvPr>
          <xdr:cNvCxnSpPr/>
        </xdr:nvCxnSpPr>
        <xdr:spPr>
          <a:xfrm flipH="1">
            <a:off x="6276975" y="28498800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2" name="Straight Arrow Connector 3151">
            <a:extLst>
              <a:ext uri="{FF2B5EF4-FFF2-40B4-BE49-F238E27FC236}">
                <a16:creationId xmlns:a16="http://schemas.microsoft.com/office/drawing/2014/main" id="{8A6C6921-041A-4916-10A8-8B81636E0CD8}"/>
              </a:ext>
            </a:extLst>
          </xdr:cNvPr>
          <xdr:cNvCxnSpPr/>
        </xdr:nvCxnSpPr>
        <xdr:spPr>
          <a:xfrm>
            <a:off x="4552950" y="284664150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5291019E-9C85-4739-614A-B03D3E052440}"/>
              </a:ext>
            </a:extLst>
          </xdr:cNvPr>
          <xdr:cNvSpPr/>
        </xdr:nvSpPr>
        <xdr:spPr>
          <a:xfrm>
            <a:off x="4529138" y="283849763"/>
            <a:ext cx="1785937" cy="46196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1AF2B4DF-CE44-59EF-556F-C21EF373D144}"/>
              </a:ext>
            </a:extLst>
          </xdr:cNvPr>
          <xdr:cNvSpPr/>
        </xdr:nvSpPr>
        <xdr:spPr>
          <a:xfrm>
            <a:off x="6315075" y="283921208"/>
            <a:ext cx="1785937" cy="319087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155" name="Straight Connector 3154">
            <a:extLst>
              <a:ext uri="{FF2B5EF4-FFF2-40B4-BE49-F238E27FC236}">
                <a16:creationId xmlns:a16="http://schemas.microsoft.com/office/drawing/2014/main" id="{F8DE5F45-8653-3AE0-ACFE-548C2F0084DB}"/>
              </a:ext>
            </a:extLst>
          </xdr:cNvPr>
          <xdr:cNvCxnSpPr/>
        </xdr:nvCxnSpPr>
        <xdr:spPr>
          <a:xfrm>
            <a:off x="4529138" y="283935488"/>
            <a:ext cx="178593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6" name="Straight Connector 3155">
            <a:extLst>
              <a:ext uri="{FF2B5EF4-FFF2-40B4-BE49-F238E27FC236}">
                <a16:creationId xmlns:a16="http://schemas.microsoft.com/office/drawing/2014/main" id="{8F713F68-B12D-732F-61C4-5B3D2694FC3D}"/>
              </a:ext>
            </a:extLst>
          </xdr:cNvPr>
          <xdr:cNvCxnSpPr/>
        </xdr:nvCxnSpPr>
        <xdr:spPr>
          <a:xfrm>
            <a:off x="4529138" y="284226001"/>
            <a:ext cx="178593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7" name="Straight Connector 3156">
            <a:extLst>
              <a:ext uri="{FF2B5EF4-FFF2-40B4-BE49-F238E27FC236}">
                <a16:creationId xmlns:a16="http://schemas.microsoft.com/office/drawing/2014/main" id="{D32517BD-E5E8-D8C6-456D-CA1CB0F4E217}"/>
              </a:ext>
            </a:extLst>
          </xdr:cNvPr>
          <xdr:cNvCxnSpPr/>
        </xdr:nvCxnSpPr>
        <xdr:spPr>
          <a:xfrm>
            <a:off x="6315075" y="283973596"/>
            <a:ext cx="178593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8" name="Straight Connector 3157">
            <a:extLst>
              <a:ext uri="{FF2B5EF4-FFF2-40B4-BE49-F238E27FC236}">
                <a16:creationId xmlns:a16="http://schemas.microsoft.com/office/drawing/2014/main" id="{854A4B2C-F532-568D-5051-B82E0854F2D1}"/>
              </a:ext>
            </a:extLst>
          </xdr:cNvPr>
          <xdr:cNvCxnSpPr/>
        </xdr:nvCxnSpPr>
        <xdr:spPr>
          <a:xfrm>
            <a:off x="6315074" y="284187908"/>
            <a:ext cx="178593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9" name="Straight Arrow Connector 3158">
            <a:extLst>
              <a:ext uri="{FF2B5EF4-FFF2-40B4-BE49-F238E27FC236}">
                <a16:creationId xmlns:a16="http://schemas.microsoft.com/office/drawing/2014/main" id="{BABE025D-751A-50D8-F76D-B417ADCBD849}"/>
              </a:ext>
            </a:extLst>
          </xdr:cNvPr>
          <xdr:cNvCxnSpPr/>
        </xdr:nvCxnSpPr>
        <xdr:spPr>
          <a:xfrm>
            <a:off x="6315074" y="284668916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0" name="Straight Connector 3159">
            <a:extLst>
              <a:ext uri="{FF2B5EF4-FFF2-40B4-BE49-F238E27FC236}">
                <a16:creationId xmlns:a16="http://schemas.microsoft.com/office/drawing/2014/main" id="{984300C5-8B83-3FEB-0273-073CBCD5F17C}"/>
              </a:ext>
            </a:extLst>
          </xdr:cNvPr>
          <xdr:cNvCxnSpPr/>
        </xdr:nvCxnSpPr>
        <xdr:spPr>
          <a:xfrm flipV="1">
            <a:off x="7800975" y="283416375"/>
            <a:ext cx="857250" cy="69532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57150</xdr:colOff>
      <xdr:row>2242</xdr:row>
      <xdr:rowOff>66675</xdr:rowOff>
    </xdr:from>
    <xdr:to>
      <xdr:col>26</xdr:col>
      <xdr:colOff>109537</xdr:colOff>
      <xdr:row>2242</xdr:row>
      <xdr:rowOff>66675</xdr:rowOff>
    </xdr:to>
    <xdr:cxnSp macro="">
      <xdr:nvCxnSpPr>
        <xdr:cNvPr id="3161" name="Straight Arrow Connector 3160">
          <a:extLst>
            <a:ext uri="{FF2B5EF4-FFF2-40B4-BE49-F238E27FC236}">
              <a16:creationId xmlns:a16="http://schemas.microsoft.com/office/drawing/2014/main" id="{FE201ADD-611A-4320-9F8D-08996F5431BB}"/>
            </a:ext>
          </a:extLst>
        </xdr:cNvPr>
        <xdr:cNvCxnSpPr/>
      </xdr:nvCxnSpPr>
      <xdr:spPr>
        <a:xfrm>
          <a:off x="3781425" y="3195542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57150</xdr:colOff>
      <xdr:row>2237</xdr:row>
      <xdr:rowOff>66675</xdr:rowOff>
    </xdr:from>
    <xdr:to>
      <xdr:col>60</xdr:col>
      <xdr:colOff>109537</xdr:colOff>
      <xdr:row>2237</xdr:row>
      <xdr:rowOff>66675</xdr:rowOff>
    </xdr:to>
    <xdr:cxnSp macro="">
      <xdr:nvCxnSpPr>
        <xdr:cNvPr id="3162" name="Straight Arrow Connector 3161">
          <a:extLst>
            <a:ext uri="{FF2B5EF4-FFF2-40B4-BE49-F238E27FC236}">
              <a16:creationId xmlns:a16="http://schemas.microsoft.com/office/drawing/2014/main" id="{FADF0B74-5EDD-47F8-A8E0-E13CC81623CA}"/>
            </a:ext>
          </a:extLst>
        </xdr:cNvPr>
        <xdr:cNvCxnSpPr/>
      </xdr:nvCxnSpPr>
      <xdr:spPr>
        <a:xfrm>
          <a:off x="8963025" y="3188398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2243</xdr:row>
      <xdr:rowOff>66675</xdr:rowOff>
    </xdr:from>
    <xdr:to>
      <xdr:col>11</xdr:col>
      <xdr:colOff>109537</xdr:colOff>
      <xdr:row>2243</xdr:row>
      <xdr:rowOff>66675</xdr:rowOff>
    </xdr:to>
    <xdr:cxnSp macro="">
      <xdr:nvCxnSpPr>
        <xdr:cNvPr id="3163" name="Straight Arrow Connector 3162">
          <a:extLst>
            <a:ext uri="{FF2B5EF4-FFF2-40B4-BE49-F238E27FC236}">
              <a16:creationId xmlns:a16="http://schemas.microsoft.com/office/drawing/2014/main" id="{558238A1-0A1D-4C27-9E90-48FCD165E03D}"/>
            </a:ext>
          </a:extLst>
        </xdr:cNvPr>
        <xdr:cNvCxnSpPr/>
      </xdr:nvCxnSpPr>
      <xdr:spPr>
        <a:xfrm>
          <a:off x="1676400" y="3196971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2243</xdr:row>
      <xdr:rowOff>66675</xdr:rowOff>
    </xdr:from>
    <xdr:to>
      <xdr:col>27</xdr:col>
      <xdr:colOff>109537</xdr:colOff>
      <xdr:row>2243</xdr:row>
      <xdr:rowOff>66675</xdr:rowOff>
    </xdr:to>
    <xdr:cxnSp macro="">
      <xdr:nvCxnSpPr>
        <xdr:cNvPr id="3164" name="Straight Arrow Connector 3163">
          <a:extLst>
            <a:ext uri="{FF2B5EF4-FFF2-40B4-BE49-F238E27FC236}">
              <a16:creationId xmlns:a16="http://schemas.microsoft.com/office/drawing/2014/main" id="{9742F453-35DB-464B-8078-30947015E358}"/>
            </a:ext>
          </a:extLst>
        </xdr:cNvPr>
        <xdr:cNvCxnSpPr/>
      </xdr:nvCxnSpPr>
      <xdr:spPr>
        <a:xfrm>
          <a:off x="4267200" y="3196971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2238</xdr:row>
      <xdr:rowOff>66675</xdr:rowOff>
    </xdr:from>
    <xdr:to>
      <xdr:col>26</xdr:col>
      <xdr:colOff>109537</xdr:colOff>
      <xdr:row>2238</xdr:row>
      <xdr:rowOff>66675</xdr:rowOff>
    </xdr:to>
    <xdr:cxnSp macro="">
      <xdr:nvCxnSpPr>
        <xdr:cNvPr id="3165" name="Straight Arrow Connector 3164">
          <a:extLst>
            <a:ext uri="{FF2B5EF4-FFF2-40B4-BE49-F238E27FC236}">
              <a16:creationId xmlns:a16="http://schemas.microsoft.com/office/drawing/2014/main" id="{3781BAFF-F8E4-47C7-942E-6E239FFF43D0}"/>
            </a:ext>
          </a:extLst>
        </xdr:cNvPr>
        <xdr:cNvCxnSpPr/>
      </xdr:nvCxnSpPr>
      <xdr:spPr>
        <a:xfrm>
          <a:off x="3781425" y="3189827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2240</xdr:row>
      <xdr:rowOff>66675</xdr:rowOff>
    </xdr:from>
    <xdr:to>
      <xdr:col>11</xdr:col>
      <xdr:colOff>109537</xdr:colOff>
      <xdr:row>2240</xdr:row>
      <xdr:rowOff>66675</xdr:rowOff>
    </xdr:to>
    <xdr:cxnSp macro="">
      <xdr:nvCxnSpPr>
        <xdr:cNvPr id="3166" name="Straight Arrow Connector 3165">
          <a:extLst>
            <a:ext uri="{FF2B5EF4-FFF2-40B4-BE49-F238E27FC236}">
              <a16:creationId xmlns:a16="http://schemas.microsoft.com/office/drawing/2014/main" id="{BA53A6CB-7786-4F1C-A9D8-FC91EA5CD254}"/>
            </a:ext>
          </a:extLst>
        </xdr:cNvPr>
        <xdr:cNvCxnSpPr/>
      </xdr:nvCxnSpPr>
      <xdr:spPr>
        <a:xfrm>
          <a:off x="1676400" y="3192684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57150</xdr:colOff>
      <xdr:row>2240</xdr:row>
      <xdr:rowOff>66675</xdr:rowOff>
    </xdr:from>
    <xdr:to>
      <xdr:col>24</xdr:col>
      <xdr:colOff>109537</xdr:colOff>
      <xdr:row>2240</xdr:row>
      <xdr:rowOff>66675</xdr:rowOff>
    </xdr:to>
    <xdr:cxnSp macro="">
      <xdr:nvCxnSpPr>
        <xdr:cNvPr id="3167" name="Straight Arrow Connector 3166">
          <a:extLst>
            <a:ext uri="{FF2B5EF4-FFF2-40B4-BE49-F238E27FC236}">
              <a16:creationId xmlns:a16="http://schemas.microsoft.com/office/drawing/2014/main" id="{88C72843-F0B4-4B33-BDA3-A2D57E9863F2}"/>
            </a:ext>
          </a:extLst>
        </xdr:cNvPr>
        <xdr:cNvCxnSpPr/>
      </xdr:nvCxnSpPr>
      <xdr:spPr>
        <a:xfrm>
          <a:off x="3781425" y="3192684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2239</xdr:row>
      <xdr:rowOff>66675</xdr:rowOff>
    </xdr:from>
    <xdr:to>
      <xdr:col>26</xdr:col>
      <xdr:colOff>109537</xdr:colOff>
      <xdr:row>2239</xdr:row>
      <xdr:rowOff>66675</xdr:rowOff>
    </xdr:to>
    <xdr:cxnSp macro="">
      <xdr:nvCxnSpPr>
        <xdr:cNvPr id="3168" name="Straight Arrow Connector 3167">
          <a:extLst>
            <a:ext uri="{FF2B5EF4-FFF2-40B4-BE49-F238E27FC236}">
              <a16:creationId xmlns:a16="http://schemas.microsoft.com/office/drawing/2014/main" id="{598928D6-5439-4EC5-829F-0527EC7D77ED}"/>
            </a:ext>
          </a:extLst>
        </xdr:cNvPr>
        <xdr:cNvCxnSpPr/>
      </xdr:nvCxnSpPr>
      <xdr:spPr>
        <a:xfrm>
          <a:off x="3781425" y="3191256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57150</xdr:colOff>
      <xdr:row>2241</xdr:row>
      <xdr:rowOff>66675</xdr:rowOff>
    </xdr:from>
    <xdr:to>
      <xdr:col>30</xdr:col>
      <xdr:colOff>109537</xdr:colOff>
      <xdr:row>2241</xdr:row>
      <xdr:rowOff>66675</xdr:rowOff>
    </xdr:to>
    <xdr:cxnSp macro="">
      <xdr:nvCxnSpPr>
        <xdr:cNvPr id="3169" name="Straight Arrow Connector 3168">
          <a:extLst>
            <a:ext uri="{FF2B5EF4-FFF2-40B4-BE49-F238E27FC236}">
              <a16:creationId xmlns:a16="http://schemas.microsoft.com/office/drawing/2014/main" id="{736924F8-F8F1-4E2A-B84B-72EA38F5C72A}"/>
            </a:ext>
          </a:extLst>
        </xdr:cNvPr>
        <xdr:cNvCxnSpPr/>
      </xdr:nvCxnSpPr>
      <xdr:spPr>
        <a:xfrm>
          <a:off x="4429125" y="3194113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2178</xdr:row>
      <xdr:rowOff>66675</xdr:rowOff>
    </xdr:from>
    <xdr:to>
      <xdr:col>29</xdr:col>
      <xdr:colOff>38100</xdr:colOff>
      <xdr:row>2183</xdr:row>
      <xdr:rowOff>85725</xdr:rowOff>
    </xdr:to>
    <xdr:cxnSp macro="">
      <xdr:nvCxnSpPr>
        <xdr:cNvPr id="3170" name="Straight Connector 3169">
          <a:extLst>
            <a:ext uri="{FF2B5EF4-FFF2-40B4-BE49-F238E27FC236}">
              <a16:creationId xmlns:a16="http://schemas.microsoft.com/office/drawing/2014/main" id="{C92DC0FA-FDF4-459C-8D08-19880B7AFE66}"/>
            </a:ext>
          </a:extLst>
        </xdr:cNvPr>
        <xdr:cNvCxnSpPr/>
      </xdr:nvCxnSpPr>
      <xdr:spPr>
        <a:xfrm>
          <a:off x="3133725" y="311410350"/>
          <a:ext cx="1600200" cy="733425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95250</xdr:colOff>
      <xdr:row>1881</xdr:row>
      <xdr:rowOff>66674</xdr:rowOff>
    </xdr:from>
    <xdr:to>
      <xdr:col>58</xdr:col>
      <xdr:colOff>57150</xdr:colOff>
      <xdr:row>1895</xdr:row>
      <xdr:rowOff>76200</xdr:rowOff>
    </xdr:to>
    <xdr:grpSp>
      <xdr:nvGrpSpPr>
        <xdr:cNvPr id="2007" name="Group 2006">
          <a:extLst>
            <a:ext uri="{FF2B5EF4-FFF2-40B4-BE49-F238E27FC236}">
              <a16:creationId xmlns:a16="http://schemas.microsoft.com/office/drawing/2014/main" id="{0AB9845E-DF10-4461-1AFB-D2873F8106A0}"/>
            </a:ext>
          </a:extLst>
        </xdr:cNvPr>
        <xdr:cNvGrpSpPr/>
      </xdr:nvGrpSpPr>
      <xdr:grpSpPr>
        <a:xfrm>
          <a:off x="7705725" y="283816424"/>
          <a:ext cx="1743075" cy="2009776"/>
          <a:chOff x="7705725" y="253688849"/>
          <a:chExt cx="1743075" cy="2009776"/>
        </a:xfrm>
      </xdr:grpSpPr>
      <xdr:grpSp>
        <xdr:nvGrpSpPr>
          <xdr:cNvPr id="604" name="Group 603">
            <a:extLst>
              <a:ext uri="{FF2B5EF4-FFF2-40B4-BE49-F238E27FC236}">
                <a16:creationId xmlns:a16="http://schemas.microsoft.com/office/drawing/2014/main" id="{0DBC9F2F-E6CA-4871-9ED1-4D55452022AA}"/>
              </a:ext>
            </a:extLst>
          </xdr:cNvPr>
          <xdr:cNvGrpSpPr/>
        </xdr:nvGrpSpPr>
        <xdr:grpSpPr>
          <a:xfrm>
            <a:off x="8091488" y="253765050"/>
            <a:ext cx="1304924" cy="1571633"/>
            <a:chOff x="1290638" y="5572125"/>
            <a:chExt cx="1304924" cy="1571633"/>
          </a:xfrm>
        </xdr:grpSpPr>
        <xdr:cxnSp macro="">
          <xdr:nvCxnSpPr>
            <xdr:cNvPr id="610" name="Straight Connector 609">
              <a:extLst>
                <a:ext uri="{FF2B5EF4-FFF2-40B4-BE49-F238E27FC236}">
                  <a16:creationId xmlns:a16="http://schemas.microsoft.com/office/drawing/2014/main" id="{86B03896-48B5-14BB-281F-65E4DDD1071D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32" name="Straight Connector 1831">
              <a:extLst>
                <a:ext uri="{FF2B5EF4-FFF2-40B4-BE49-F238E27FC236}">
                  <a16:creationId xmlns:a16="http://schemas.microsoft.com/office/drawing/2014/main" id="{0F4384B5-2E0E-D3CB-465C-4660EFD41E77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41" name="Straight Connector 1840">
              <a:extLst>
                <a:ext uri="{FF2B5EF4-FFF2-40B4-BE49-F238E27FC236}">
                  <a16:creationId xmlns:a16="http://schemas.microsoft.com/office/drawing/2014/main" id="{5FCBCFA8-3D5E-718F-8C31-56A1789598E2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44" name="Arc 1843">
              <a:extLst>
                <a:ext uri="{FF2B5EF4-FFF2-40B4-BE49-F238E27FC236}">
                  <a16:creationId xmlns:a16="http://schemas.microsoft.com/office/drawing/2014/main" id="{7A839ACB-827D-753A-2F5C-CCC30E62536C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847" name="Straight Connector 1846">
              <a:extLst>
                <a:ext uri="{FF2B5EF4-FFF2-40B4-BE49-F238E27FC236}">
                  <a16:creationId xmlns:a16="http://schemas.microsoft.com/office/drawing/2014/main" id="{9E602405-38BF-D5F5-52EF-D680DB20974B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48" name="Straight Connector 1847">
              <a:extLst>
                <a:ext uri="{FF2B5EF4-FFF2-40B4-BE49-F238E27FC236}">
                  <a16:creationId xmlns:a16="http://schemas.microsoft.com/office/drawing/2014/main" id="{520CE314-CC98-3A1D-F689-599C1F5CB13D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49" name="Straight Connector 1848">
              <a:extLst>
                <a:ext uri="{FF2B5EF4-FFF2-40B4-BE49-F238E27FC236}">
                  <a16:creationId xmlns:a16="http://schemas.microsoft.com/office/drawing/2014/main" id="{4654BFF6-94B5-C503-CE68-1E85D8FB39B7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50" name="Straight Connector 1849">
              <a:extLst>
                <a:ext uri="{FF2B5EF4-FFF2-40B4-BE49-F238E27FC236}">
                  <a16:creationId xmlns:a16="http://schemas.microsoft.com/office/drawing/2014/main" id="{A7FE9526-F99C-A404-6E73-511A7ACE4158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52" name="Arc 1851">
              <a:extLst>
                <a:ext uri="{FF2B5EF4-FFF2-40B4-BE49-F238E27FC236}">
                  <a16:creationId xmlns:a16="http://schemas.microsoft.com/office/drawing/2014/main" id="{80B94898-6FEA-F591-1BB4-8ADAC9345646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853" name="Straight Connector 1852">
              <a:extLst>
                <a:ext uri="{FF2B5EF4-FFF2-40B4-BE49-F238E27FC236}">
                  <a16:creationId xmlns:a16="http://schemas.microsoft.com/office/drawing/2014/main" id="{24B96339-AEAC-6144-7424-005F6518C471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4" name="Straight Connector 1983">
              <a:extLst>
                <a:ext uri="{FF2B5EF4-FFF2-40B4-BE49-F238E27FC236}">
                  <a16:creationId xmlns:a16="http://schemas.microsoft.com/office/drawing/2014/main" id="{6BA8FC33-6F91-6F25-2487-518071C9154A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5" name="Straight Connector 1984">
              <a:extLst>
                <a:ext uri="{FF2B5EF4-FFF2-40B4-BE49-F238E27FC236}">
                  <a16:creationId xmlns:a16="http://schemas.microsoft.com/office/drawing/2014/main" id="{3E702CCB-D534-853A-9AA2-35713E6D4661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6" name="Straight Connector 1985">
              <a:extLst>
                <a:ext uri="{FF2B5EF4-FFF2-40B4-BE49-F238E27FC236}">
                  <a16:creationId xmlns:a16="http://schemas.microsoft.com/office/drawing/2014/main" id="{29CBD40E-CB39-0B8D-57F5-67BE86991F21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7" name="Straight Connector 1986">
              <a:extLst>
                <a:ext uri="{FF2B5EF4-FFF2-40B4-BE49-F238E27FC236}">
                  <a16:creationId xmlns:a16="http://schemas.microsoft.com/office/drawing/2014/main" id="{D5B21EBE-3D07-20E7-3D84-17F8B2E3960E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88" name="Arc 1987">
              <a:extLst>
                <a:ext uri="{FF2B5EF4-FFF2-40B4-BE49-F238E27FC236}">
                  <a16:creationId xmlns:a16="http://schemas.microsoft.com/office/drawing/2014/main" id="{5028D915-B75D-177E-7F69-F68DAEF2103C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89" name="Arc 1988">
              <a:extLst>
                <a:ext uri="{FF2B5EF4-FFF2-40B4-BE49-F238E27FC236}">
                  <a16:creationId xmlns:a16="http://schemas.microsoft.com/office/drawing/2014/main" id="{838E91C1-3FAE-4110-A3C5-87174CA13BB6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1990" name="Straight Connector 1989">
            <a:extLst>
              <a:ext uri="{FF2B5EF4-FFF2-40B4-BE49-F238E27FC236}">
                <a16:creationId xmlns:a16="http://schemas.microsoft.com/office/drawing/2014/main" id="{3DE1C3E6-8B23-4268-9FF7-EB02F808C26A}"/>
              </a:ext>
            </a:extLst>
          </xdr:cNvPr>
          <xdr:cNvCxnSpPr/>
        </xdr:nvCxnSpPr>
        <xdr:spPr>
          <a:xfrm>
            <a:off x="8634413" y="25476517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1" name="Straight Connector 1990">
            <a:extLst>
              <a:ext uri="{FF2B5EF4-FFF2-40B4-BE49-F238E27FC236}">
                <a16:creationId xmlns:a16="http://schemas.microsoft.com/office/drawing/2014/main" id="{3F0F027E-02DD-4CB4-8F26-3659A245782F}"/>
              </a:ext>
            </a:extLst>
          </xdr:cNvPr>
          <xdr:cNvCxnSpPr/>
        </xdr:nvCxnSpPr>
        <xdr:spPr>
          <a:xfrm flipH="1">
            <a:off x="8658227" y="25473183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2" name="Straight Connector 1991">
            <a:extLst>
              <a:ext uri="{FF2B5EF4-FFF2-40B4-BE49-F238E27FC236}">
                <a16:creationId xmlns:a16="http://schemas.microsoft.com/office/drawing/2014/main" id="{989DA2A6-03A1-44C4-A6BB-0BE33D4372D6}"/>
              </a:ext>
            </a:extLst>
          </xdr:cNvPr>
          <xdr:cNvCxnSpPr/>
        </xdr:nvCxnSpPr>
        <xdr:spPr>
          <a:xfrm flipH="1">
            <a:off x="8753473" y="25473183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3" name="Straight Connector 1992">
            <a:extLst>
              <a:ext uri="{FF2B5EF4-FFF2-40B4-BE49-F238E27FC236}">
                <a16:creationId xmlns:a16="http://schemas.microsoft.com/office/drawing/2014/main" id="{EE73DD03-23A0-4B61-A6F1-51E38FB24FA2}"/>
              </a:ext>
            </a:extLst>
          </xdr:cNvPr>
          <xdr:cNvCxnSpPr/>
        </xdr:nvCxnSpPr>
        <xdr:spPr>
          <a:xfrm>
            <a:off x="9067801" y="25513188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4" name="Straight Connector 1993">
            <a:extLst>
              <a:ext uri="{FF2B5EF4-FFF2-40B4-BE49-F238E27FC236}">
                <a16:creationId xmlns:a16="http://schemas.microsoft.com/office/drawing/2014/main" id="{6E53FAC7-CD81-4F61-B55E-0501EF87446D}"/>
              </a:ext>
            </a:extLst>
          </xdr:cNvPr>
          <xdr:cNvCxnSpPr/>
        </xdr:nvCxnSpPr>
        <xdr:spPr>
          <a:xfrm flipH="1">
            <a:off x="9029701" y="25516045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5" name="Straight Connector 1994">
            <a:extLst>
              <a:ext uri="{FF2B5EF4-FFF2-40B4-BE49-F238E27FC236}">
                <a16:creationId xmlns:a16="http://schemas.microsoft.com/office/drawing/2014/main" id="{5105AF4E-2077-483A-9D94-BA9C730BC293}"/>
              </a:ext>
            </a:extLst>
          </xdr:cNvPr>
          <xdr:cNvCxnSpPr/>
        </xdr:nvCxnSpPr>
        <xdr:spPr>
          <a:xfrm flipH="1">
            <a:off x="9029699" y="25530333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6" name="Straight Connector 1995">
            <a:extLst>
              <a:ext uri="{FF2B5EF4-FFF2-40B4-BE49-F238E27FC236}">
                <a16:creationId xmlns:a16="http://schemas.microsoft.com/office/drawing/2014/main" id="{DAD95506-1EFE-4F55-ADFA-4028AE812D6D}"/>
              </a:ext>
            </a:extLst>
          </xdr:cNvPr>
          <xdr:cNvCxnSpPr/>
        </xdr:nvCxnSpPr>
        <xdr:spPr>
          <a:xfrm>
            <a:off x="8096250" y="25539858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7" name="Straight Connector 1996">
            <a:extLst>
              <a:ext uri="{FF2B5EF4-FFF2-40B4-BE49-F238E27FC236}">
                <a16:creationId xmlns:a16="http://schemas.microsoft.com/office/drawing/2014/main" id="{004D57DB-1F8C-4C99-872B-4220250C7122}"/>
              </a:ext>
            </a:extLst>
          </xdr:cNvPr>
          <xdr:cNvCxnSpPr/>
        </xdr:nvCxnSpPr>
        <xdr:spPr>
          <a:xfrm>
            <a:off x="8034338" y="255622425"/>
            <a:ext cx="14144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8" name="Straight Connector 1997">
            <a:extLst>
              <a:ext uri="{FF2B5EF4-FFF2-40B4-BE49-F238E27FC236}">
                <a16:creationId xmlns:a16="http://schemas.microsoft.com/office/drawing/2014/main" id="{F931F366-4F0A-442A-91DF-0B48FE19F06B}"/>
              </a:ext>
            </a:extLst>
          </xdr:cNvPr>
          <xdr:cNvCxnSpPr/>
        </xdr:nvCxnSpPr>
        <xdr:spPr>
          <a:xfrm flipH="1">
            <a:off x="8058149" y="25558909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9" name="Straight Connector 1998">
            <a:extLst>
              <a:ext uri="{FF2B5EF4-FFF2-40B4-BE49-F238E27FC236}">
                <a16:creationId xmlns:a16="http://schemas.microsoft.com/office/drawing/2014/main" id="{0E53AC08-078B-4B55-9967-683BD70CE389}"/>
              </a:ext>
            </a:extLst>
          </xdr:cNvPr>
          <xdr:cNvCxnSpPr/>
        </xdr:nvCxnSpPr>
        <xdr:spPr>
          <a:xfrm>
            <a:off x="9391650" y="25539858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0" name="Straight Connector 1999">
            <a:extLst>
              <a:ext uri="{FF2B5EF4-FFF2-40B4-BE49-F238E27FC236}">
                <a16:creationId xmlns:a16="http://schemas.microsoft.com/office/drawing/2014/main" id="{F5FE9262-0256-4E3E-BEF2-9A23766F360C}"/>
              </a:ext>
            </a:extLst>
          </xdr:cNvPr>
          <xdr:cNvCxnSpPr/>
        </xdr:nvCxnSpPr>
        <xdr:spPr>
          <a:xfrm flipH="1">
            <a:off x="9353549" y="25558909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1" name="Straight Connector 2000">
            <a:extLst>
              <a:ext uri="{FF2B5EF4-FFF2-40B4-BE49-F238E27FC236}">
                <a16:creationId xmlns:a16="http://schemas.microsoft.com/office/drawing/2014/main" id="{5223D103-DD20-433B-8625-7D89101CC1BD}"/>
              </a:ext>
            </a:extLst>
          </xdr:cNvPr>
          <xdr:cNvCxnSpPr/>
        </xdr:nvCxnSpPr>
        <xdr:spPr>
          <a:xfrm>
            <a:off x="7772401" y="25368884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2" name="Straight Connector 2001">
            <a:extLst>
              <a:ext uri="{FF2B5EF4-FFF2-40B4-BE49-F238E27FC236}">
                <a16:creationId xmlns:a16="http://schemas.microsoft.com/office/drawing/2014/main" id="{58CEF6E7-BA00-4845-A927-27C8BD2B4CFA}"/>
              </a:ext>
            </a:extLst>
          </xdr:cNvPr>
          <xdr:cNvCxnSpPr/>
        </xdr:nvCxnSpPr>
        <xdr:spPr>
          <a:xfrm flipH="1">
            <a:off x="7734305" y="25373171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3" name="Straight Connector 2002">
            <a:extLst>
              <a:ext uri="{FF2B5EF4-FFF2-40B4-BE49-F238E27FC236}">
                <a16:creationId xmlns:a16="http://schemas.microsoft.com/office/drawing/2014/main" id="{8BE703AC-C4EF-4900-BBBF-0EF0F1FA4E02}"/>
              </a:ext>
            </a:extLst>
          </xdr:cNvPr>
          <xdr:cNvCxnSpPr/>
        </xdr:nvCxnSpPr>
        <xdr:spPr>
          <a:xfrm flipH="1">
            <a:off x="7734296" y="25530333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4" name="Straight Connector 2003">
            <a:extLst>
              <a:ext uri="{FF2B5EF4-FFF2-40B4-BE49-F238E27FC236}">
                <a16:creationId xmlns:a16="http://schemas.microsoft.com/office/drawing/2014/main" id="{C6E3027B-9202-40F7-894E-364870329BBB}"/>
              </a:ext>
            </a:extLst>
          </xdr:cNvPr>
          <xdr:cNvCxnSpPr/>
        </xdr:nvCxnSpPr>
        <xdr:spPr>
          <a:xfrm flipH="1">
            <a:off x="7705725" y="25533667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5" name="Straight Connector 2004">
            <a:extLst>
              <a:ext uri="{FF2B5EF4-FFF2-40B4-BE49-F238E27FC236}">
                <a16:creationId xmlns:a16="http://schemas.microsoft.com/office/drawing/2014/main" id="{05E05E7E-921F-4564-AEAF-B247108E876C}"/>
              </a:ext>
            </a:extLst>
          </xdr:cNvPr>
          <xdr:cNvCxnSpPr/>
        </xdr:nvCxnSpPr>
        <xdr:spPr>
          <a:xfrm flipH="1">
            <a:off x="7705725" y="25376505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133350</xdr:colOff>
      <xdr:row>1882</xdr:row>
      <xdr:rowOff>76200</xdr:rowOff>
    </xdr:from>
    <xdr:to>
      <xdr:col>38</xdr:col>
      <xdr:colOff>0</xdr:colOff>
      <xdr:row>1887</xdr:row>
      <xdr:rowOff>38100</xdr:rowOff>
    </xdr:to>
    <xdr:cxnSp macro="">
      <xdr:nvCxnSpPr>
        <xdr:cNvPr id="2008" name="Straight Connector 2007">
          <a:extLst>
            <a:ext uri="{FF2B5EF4-FFF2-40B4-BE49-F238E27FC236}">
              <a16:creationId xmlns:a16="http://schemas.microsoft.com/office/drawing/2014/main" id="{D4B08B53-DB8D-4F4C-A378-047662A14A4B}"/>
            </a:ext>
          </a:extLst>
        </xdr:cNvPr>
        <xdr:cNvCxnSpPr/>
      </xdr:nvCxnSpPr>
      <xdr:spPr>
        <a:xfrm flipH="1">
          <a:off x="4667250" y="253841250"/>
          <a:ext cx="1485900" cy="676275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2271</xdr:row>
      <xdr:rowOff>0</xdr:rowOff>
    </xdr:from>
    <xdr:to>
      <xdr:col>32</xdr:col>
      <xdr:colOff>80125</xdr:colOff>
      <xdr:row>2282</xdr:row>
      <xdr:rowOff>19626</xdr:rowOff>
    </xdr:to>
    <xdr:grpSp>
      <xdr:nvGrpSpPr>
        <xdr:cNvPr id="2944" name="Group 2943">
          <a:extLst>
            <a:ext uri="{FF2B5EF4-FFF2-40B4-BE49-F238E27FC236}">
              <a16:creationId xmlns:a16="http://schemas.microsoft.com/office/drawing/2014/main" id="{ACDD360D-D940-41BC-AA04-784160E9101F}"/>
            </a:ext>
          </a:extLst>
        </xdr:cNvPr>
        <xdr:cNvGrpSpPr/>
      </xdr:nvGrpSpPr>
      <xdr:grpSpPr>
        <a:xfrm rot="-2160000">
          <a:off x="971550" y="341852250"/>
          <a:ext cx="4290175" cy="1591251"/>
          <a:chOff x="1476896" y="1839802"/>
          <a:chExt cx="4290175" cy="1591251"/>
        </a:xfrm>
      </xdr:grpSpPr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7C89FE40-DD76-271F-3259-66FBFCD02380}"/>
              </a:ext>
            </a:extLst>
          </xdr:cNvPr>
          <xdr:cNvSpPr/>
        </xdr:nvSpPr>
        <xdr:spPr>
          <a:xfrm rot="1080000">
            <a:off x="1476896" y="2025514"/>
            <a:ext cx="544655" cy="12113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FEBD18C5-BD32-6E0F-F95F-8E7FCDB796A1}"/>
              </a:ext>
            </a:extLst>
          </xdr:cNvPr>
          <xdr:cNvSpPr/>
        </xdr:nvSpPr>
        <xdr:spPr>
          <a:xfrm rot="1106405">
            <a:off x="1762125" y="2381250"/>
            <a:ext cx="3952875" cy="8572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47" name="Isosceles Triangle 2946">
            <a:extLst>
              <a:ext uri="{FF2B5EF4-FFF2-40B4-BE49-F238E27FC236}">
                <a16:creationId xmlns:a16="http://schemas.microsoft.com/office/drawing/2014/main" id="{A60248C5-9C7C-5E8B-8BFA-7F615000E044}"/>
              </a:ext>
            </a:extLst>
          </xdr:cNvPr>
          <xdr:cNvSpPr/>
        </xdr:nvSpPr>
        <xdr:spPr>
          <a:xfrm rot="1080000">
            <a:off x="1704975" y="1839802"/>
            <a:ext cx="228600" cy="19706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948" name="Straight Connector 2947">
            <a:extLst>
              <a:ext uri="{FF2B5EF4-FFF2-40B4-BE49-F238E27FC236}">
                <a16:creationId xmlns:a16="http://schemas.microsoft.com/office/drawing/2014/main" id="{5202D58C-5514-6932-8B8A-1B4A8B266AEB}"/>
              </a:ext>
            </a:extLst>
          </xdr:cNvPr>
          <xdr:cNvCxnSpPr/>
        </xdr:nvCxnSpPr>
        <xdr:spPr>
          <a:xfrm>
            <a:off x="1523794" y="1945243"/>
            <a:ext cx="510001" cy="16571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78FBFDC9-C5C4-03BA-19AB-5EE786573D99}"/>
              </a:ext>
            </a:extLst>
          </xdr:cNvPr>
          <xdr:cNvSpPr/>
        </xdr:nvSpPr>
        <xdr:spPr>
          <a:xfrm rot="1080000">
            <a:off x="5210172" y="3309918"/>
            <a:ext cx="544655" cy="12113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50" name="Isosceles Triangle 2949">
            <a:extLst>
              <a:ext uri="{FF2B5EF4-FFF2-40B4-BE49-F238E27FC236}">
                <a16:creationId xmlns:a16="http://schemas.microsoft.com/office/drawing/2014/main" id="{D2C22CFA-CD4C-BACF-2F8D-BE6C43A515D5}"/>
              </a:ext>
            </a:extLst>
          </xdr:cNvPr>
          <xdr:cNvSpPr/>
        </xdr:nvSpPr>
        <xdr:spPr>
          <a:xfrm rot="1080000">
            <a:off x="5452540" y="3090865"/>
            <a:ext cx="228600" cy="19706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951" name="Straight Connector 2950">
            <a:extLst>
              <a:ext uri="{FF2B5EF4-FFF2-40B4-BE49-F238E27FC236}">
                <a16:creationId xmlns:a16="http://schemas.microsoft.com/office/drawing/2014/main" id="{736257AB-4E8E-63EC-25CD-31B07EE3B4B7}"/>
              </a:ext>
            </a:extLst>
          </xdr:cNvPr>
          <xdr:cNvCxnSpPr/>
        </xdr:nvCxnSpPr>
        <xdr:spPr>
          <a:xfrm>
            <a:off x="5257070" y="3229647"/>
            <a:ext cx="510001" cy="16571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85725</xdr:colOff>
      <xdr:row>2268</xdr:row>
      <xdr:rowOff>69640</xdr:rowOff>
    </xdr:from>
    <xdr:to>
      <xdr:col>38</xdr:col>
      <xdr:colOff>33339</xdr:colOff>
      <xdr:row>2304</xdr:row>
      <xdr:rowOff>57150</xdr:rowOff>
    </xdr:to>
    <xdr:grpSp>
      <xdr:nvGrpSpPr>
        <xdr:cNvPr id="2952" name="Group 2951">
          <a:extLst>
            <a:ext uri="{FF2B5EF4-FFF2-40B4-BE49-F238E27FC236}">
              <a16:creationId xmlns:a16="http://schemas.microsoft.com/office/drawing/2014/main" id="{63C3B1CE-F00B-4381-8666-3CE349E1CF5B}"/>
            </a:ext>
          </a:extLst>
        </xdr:cNvPr>
        <xdr:cNvGrpSpPr/>
      </xdr:nvGrpSpPr>
      <xdr:grpSpPr>
        <a:xfrm>
          <a:off x="247650" y="341493265"/>
          <a:ext cx="5938839" cy="5131010"/>
          <a:chOff x="247650" y="993565"/>
          <a:chExt cx="5938839" cy="5131010"/>
        </a:xfrm>
      </xdr:grpSpPr>
      <xdr:grpSp>
        <xdr:nvGrpSpPr>
          <xdr:cNvPr id="2953" name="Group 2952">
            <a:extLst>
              <a:ext uri="{FF2B5EF4-FFF2-40B4-BE49-F238E27FC236}">
                <a16:creationId xmlns:a16="http://schemas.microsoft.com/office/drawing/2014/main" id="{3834E480-2D9D-1F66-C9BD-FEA1D15AA7C9}"/>
              </a:ext>
            </a:extLst>
          </xdr:cNvPr>
          <xdr:cNvGrpSpPr/>
        </xdr:nvGrpSpPr>
        <xdr:grpSpPr>
          <a:xfrm>
            <a:off x="829196" y="1334977"/>
            <a:ext cx="4290175" cy="1591251"/>
            <a:chOff x="1476896" y="1839802"/>
            <a:chExt cx="4290175" cy="1591251"/>
          </a:xfrm>
        </xdr:grpSpPr>
        <xdr:sp macro="" textlink="">
          <xdr:nvSpPr>
            <xdr:cNvPr id="2011" name="Rectangle 2010">
              <a:extLst>
                <a:ext uri="{FF2B5EF4-FFF2-40B4-BE49-F238E27FC236}">
                  <a16:creationId xmlns:a16="http://schemas.microsoft.com/office/drawing/2014/main" id="{B1FF5E59-E9CD-E571-2C7F-B4E47CA13357}"/>
                </a:ext>
              </a:extLst>
            </xdr:cNvPr>
            <xdr:cNvSpPr/>
          </xdr:nvSpPr>
          <xdr:spPr>
            <a:xfrm rot="1080000">
              <a:off x="1476896" y="2025514"/>
              <a:ext cx="544655" cy="12113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012" name="Rectangle 2011">
              <a:extLst>
                <a:ext uri="{FF2B5EF4-FFF2-40B4-BE49-F238E27FC236}">
                  <a16:creationId xmlns:a16="http://schemas.microsoft.com/office/drawing/2014/main" id="{2E1E6D62-65E5-379E-C884-0DB15BA8BF94}"/>
                </a:ext>
              </a:extLst>
            </xdr:cNvPr>
            <xdr:cNvSpPr/>
          </xdr:nvSpPr>
          <xdr:spPr>
            <a:xfrm rot="1106405">
              <a:off x="1762125" y="2381250"/>
              <a:ext cx="3952875" cy="8572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014" name="Isosceles Triangle 2013">
              <a:extLst>
                <a:ext uri="{FF2B5EF4-FFF2-40B4-BE49-F238E27FC236}">
                  <a16:creationId xmlns:a16="http://schemas.microsoft.com/office/drawing/2014/main" id="{47AB906E-A802-2AD1-AA2C-0372CE9CF654}"/>
                </a:ext>
              </a:extLst>
            </xdr:cNvPr>
            <xdr:cNvSpPr/>
          </xdr:nvSpPr>
          <xdr:spPr>
            <a:xfrm rot="1080000">
              <a:off x="1704975" y="1839802"/>
              <a:ext cx="228600" cy="197068"/>
            </a:xfrm>
            <a:prstGeom prst="triangle">
              <a:avLst/>
            </a:prstGeom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2015" name="Straight Connector 2014">
              <a:extLst>
                <a:ext uri="{FF2B5EF4-FFF2-40B4-BE49-F238E27FC236}">
                  <a16:creationId xmlns:a16="http://schemas.microsoft.com/office/drawing/2014/main" id="{2693AE4C-1602-15D6-BC3F-926F3A1B9C86}"/>
                </a:ext>
              </a:extLst>
            </xdr:cNvPr>
            <xdr:cNvCxnSpPr/>
          </xdr:nvCxnSpPr>
          <xdr:spPr>
            <a:xfrm>
              <a:off x="1523794" y="1945243"/>
              <a:ext cx="510001" cy="16571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016" name="Rectangle 2015">
              <a:extLst>
                <a:ext uri="{FF2B5EF4-FFF2-40B4-BE49-F238E27FC236}">
                  <a16:creationId xmlns:a16="http://schemas.microsoft.com/office/drawing/2014/main" id="{F97A815D-DF10-77AD-DDFB-C230BC8EF94A}"/>
                </a:ext>
              </a:extLst>
            </xdr:cNvPr>
            <xdr:cNvSpPr/>
          </xdr:nvSpPr>
          <xdr:spPr>
            <a:xfrm rot="1080000">
              <a:off x="5210172" y="3309918"/>
              <a:ext cx="544655" cy="12113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017" name="Isosceles Triangle 2016">
              <a:extLst>
                <a:ext uri="{FF2B5EF4-FFF2-40B4-BE49-F238E27FC236}">
                  <a16:creationId xmlns:a16="http://schemas.microsoft.com/office/drawing/2014/main" id="{03453327-3E28-0F0E-C270-240AFF576A00}"/>
                </a:ext>
              </a:extLst>
            </xdr:cNvPr>
            <xdr:cNvSpPr/>
          </xdr:nvSpPr>
          <xdr:spPr>
            <a:xfrm rot="1080000">
              <a:off x="5452540" y="3090865"/>
              <a:ext cx="228600" cy="197068"/>
            </a:xfrm>
            <a:prstGeom prst="triangle">
              <a:avLst/>
            </a:prstGeom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2018" name="Straight Connector 2017">
              <a:extLst>
                <a:ext uri="{FF2B5EF4-FFF2-40B4-BE49-F238E27FC236}">
                  <a16:creationId xmlns:a16="http://schemas.microsoft.com/office/drawing/2014/main" id="{C63BFE97-02AA-496B-6122-775CEBC4EC0F}"/>
                </a:ext>
              </a:extLst>
            </xdr:cNvPr>
            <xdr:cNvCxnSpPr/>
          </xdr:nvCxnSpPr>
          <xdr:spPr>
            <a:xfrm>
              <a:off x="5257070" y="3229647"/>
              <a:ext cx="510001" cy="16571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954" name="Straight Connector 2953">
            <a:extLst>
              <a:ext uri="{FF2B5EF4-FFF2-40B4-BE49-F238E27FC236}">
                <a16:creationId xmlns:a16="http://schemas.microsoft.com/office/drawing/2014/main" id="{2B1F9E4B-D0AB-27D1-E436-5CECB58C650C}"/>
              </a:ext>
            </a:extLst>
          </xdr:cNvPr>
          <xdr:cNvCxnSpPr/>
        </xdr:nvCxnSpPr>
        <xdr:spPr>
          <a:xfrm rot="1080000">
            <a:off x="371477" y="3814763"/>
            <a:ext cx="4171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5" name="Straight Connector 2954">
            <a:extLst>
              <a:ext uri="{FF2B5EF4-FFF2-40B4-BE49-F238E27FC236}">
                <a16:creationId xmlns:a16="http://schemas.microsoft.com/office/drawing/2014/main" id="{8717F0DF-2CFD-E542-620B-0A52858FDAD6}"/>
              </a:ext>
            </a:extLst>
          </xdr:cNvPr>
          <xdr:cNvCxnSpPr/>
        </xdr:nvCxnSpPr>
        <xdr:spPr>
          <a:xfrm flipH="1">
            <a:off x="408705" y="1660306"/>
            <a:ext cx="653603" cy="201158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6" name="Straight Connector 2955">
            <a:extLst>
              <a:ext uri="{FF2B5EF4-FFF2-40B4-BE49-F238E27FC236}">
                <a16:creationId xmlns:a16="http://schemas.microsoft.com/office/drawing/2014/main" id="{8E626037-4AA3-B4B7-FAC6-EA81D8A364B4}"/>
              </a:ext>
            </a:extLst>
          </xdr:cNvPr>
          <xdr:cNvCxnSpPr/>
        </xdr:nvCxnSpPr>
        <xdr:spPr>
          <a:xfrm flipH="1">
            <a:off x="497680" y="3157539"/>
            <a:ext cx="121441" cy="809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Connector 325">
            <a:extLst>
              <a:ext uri="{FF2B5EF4-FFF2-40B4-BE49-F238E27FC236}">
                <a16:creationId xmlns:a16="http://schemas.microsoft.com/office/drawing/2014/main" id="{D607229C-CF9F-191D-550E-01D81B7AFDF4}"/>
              </a:ext>
            </a:extLst>
          </xdr:cNvPr>
          <xdr:cNvCxnSpPr/>
        </xdr:nvCxnSpPr>
        <xdr:spPr>
          <a:xfrm flipH="1">
            <a:off x="4191828" y="2967038"/>
            <a:ext cx="634446" cy="1952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Straight Connector 430">
            <a:extLst>
              <a:ext uri="{FF2B5EF4-FFF2-40B4-BE49-F238E27FC236}">
                <a16:creationId xmlns:a16="http://schemas.microsoft.com/office/drawing/2014/main" id="{4B694D53-16DB-6A0B-AD75-862C673BB5F6}"/>
              </a:ext>
            </a:extLst>
          </xdr:cNvPr>
          <xdr:cNvCxnSpPr/>
        </xdr:nvCxnSpPr>
        <xdr:spPr>
          <a:xfrm flipH="1">
            <a:off x="4288631" y="4391027"/>
            <a:ext cx="121441" cy="809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Straight Connector 444">
            <a:extLst>
              <a:ext uri="{FF2B5EF4-FFF2-40B4-BE49-F238E27FC236}">
                <a16:creationId xmlns:a16="http://schemas.microsoft.com/office/drawing/2014/main" id="{DABB2239-32E4-C94E-5034-4F1D46A5E368}"/>
              </a:ext>
            </a:extLst>
          </xdr:cNvPr>
          <xdr:cNvCxnSpPr/>
        </xdr:nvCxnSpPr>
        <xdr:spPr>
          <a:xfrm flipH="1">
            <a:off x="2424792" y="1914528"/>
            <a:ext cx="645279" cy="1985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1" name="Straight Connector 3170">
            <a:extLst>
              <a:ext uri="{FF2B5EF4-FFF2-40B4-BE49-F238E27FC236}">
                <a16:creationId xmlns:a16="http://schemas.microsoft.com/office/drawing/2014/main" id="{C6829353-2B69-B249-CFC5-89C04B365C4C}"/>
              </a:ext>
            </a:extLst>
          </xdr:cNvPr>
          <xdr:cNvCxnSpPr/>
        </xdr:nvCxnSpPr>
        <xdr:spPr>
          <a:xfrm flipH="1">
            <a:off x="2393159" y="3767143"/>
            <a:ext cx="121441" cy="809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2" name="Straight Connector 3171">
            <a:extLst>
              <a:ext uri="{FF2B5EF4-FFF2-40B4-BE49-F238E27FC236}">
                <a16:creationId xmlns:a16="http://schemas.microsoft.com/office/drawing/2014/main" id="{FC721723-7AEC-467A-0034-189DF8ACB212}"/>
              </a:ext>
            </a:extLst>
          </xdr:cNvPr>
          <xdr:cNvCxnSpPr/>
        </xdr:nvCxnSpPr>
        <xdr:spPr>
          <a:xfrm rot="1080000">
            <a:off x="247650" y="4210056"/>
            <a:ext cx="4171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3" name="Straight Connector 3172">
            <a:extLst>
              <a:ext uri="{FF2B5EF4-FFF2-40B4-BE49-F238E27FC236}">
                <a16:creationId xmlns:a16="http://schemas.microsoft.com/office/drawing/2014/main" id="{E7DB1133-C60B-0FB3-2A35-76167FDA7987}"/>
              </a:ext>
            </a:extLst>
          </xdr:cNvPr>
          <xdr:cNvCxnSpPr/>
        </xdr:nvCxnSpPr>
        <xdr:spPr>
          <a:xfrm flipH="1">
            <a:off x="373853" y="3552832"/>
            <a:ext cx="121441" cy="809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4" name="Straight Connector 3173">
            <a:extLst>
              <a:ext uri="{FF2B5EF4-FFF2-40B4-BE49-F238E27FC236}">
                <a16:creationId xmlns:a16="http://schemas.microsoft.com/office/drawing/2014/main" id="{80A60F32-34C2-D335-2DA5-0E6865C8BC20}"/>
              </a:ext>
            </a:extLst>
          </xdr:cNvPr>
          <xdr:cNvCxnSpPr/>
        </xdr:nvCxnSpPr>
        <xdr:spPr>
          <a:xfrm flipH="1">
            <a:off x="4164804" y="4786320"/>
            <a:ext cx="121441" cy="809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5" name="Straight Connector 3174">
            <a:extLst>
              <a:ext uri="{FF2B5EF4-FFF2-40B4-BE49-F238E27FC236}">
                <a16:creationId xmlns:a16="http://schemas.microsoft.com/office/drawing/2014/main" id="{E85F1E2A-198D-7C55-D358-F20EF14D02AB}"/>
              </a:ext>
            </a:extLst>
          </xdr:cNvPr>
          <xdr:cNvCxnSpPr/>
        </xdr:nvCxnSpPr>
        <xdr:spPr>
          <a:xfrm flipV="1">
            <a:off x="2124865" y="4387860"/>
            <a:ext cx="3933035" cy="12779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6" name="Straight Connector 3175">
            <a:extLst>
              <a:ext uri="{FF2B5EF4-FFF2-40B4-BE49-F238E27FC236}">
                <a16:creationId xmlns:a16="http://schemas.microsoft.com/office/drawing/2014/main" id="{E2941842-8909-E5E3-A43E-ED884B6F89A4}"/>
              </a:ext>
            </a:extLst>
          </xdr:cNvPr>
          <xdr:cNvCxnSpPr/>
        </xdr:nvCxnSpPr>
        <xdr:spPr>
          <a:xfrm>
            <a:off x="1702804" y="4038600"/>
            <a:ext cx="677773" cy="2085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7" name="Straight Connector 3176">
            <a:extLst>
              <a:ext uri="{FF2B5EF4-FFF2-40B4-BE49-F238E27FC236}">
                <a16:creationId xmlns:a16="http://schemas.microsoft.com/office/drawing/2014/main" id="{03B14878-12A8-E4AA-8570-EA5EBB6246A2}"/>
              </a:ext>
            </a:extLst>
          </xdr:cNvPr>
          <xdr:cNvCxnSpPr/>
        </xdr:nvCxnSpPr>
        <xdr:spPr>
          <a:xfrm flipH="1">
            <a:off x="2190750" y="5576888"/>
            <a:ext cx="57150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8" name="Straight Connector 3177">
            <a:extLst>
              <a:ext uri="{FF2B5EF4-FFF2-40B4-BE49-F238E27FC236}">
                <a16:creationId xmlns:a16="http://schemas.microsoft.com/office/drawing/2014/main" id="{458FC028-3B7D-FC77-D666-F227FDB2511E}"/>
              </a:ext>
            </a:extLst>
          </xdr:cNvPr>
          <xdr:cNvCxnSpPr/>
        </xdr:nvCxnSpPr>
        <xdr:spPr>
          <a:xfrm>
            <a:off x="5102155" y="1728788"/>
            <a:ext cx="1030589" cy="3171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9" name="Straight Connector 3178">
            <a:extLst>
              <a:ext uri="{FF2B5EF4-FFF2-40B4-BE49-F238E27FC236}">
                <a16:creationId xmlns:a16="http://schemas.microsoft.com/office/drawing/2014/main" id="{8A585B10-A467-92E3-A66C-E9D1C2628A3B}"/>
              </a:ext>
            </a:extLst>
          </xdr:cNvPr>
          <xdr:cNvCxnSpPr/>
        </xdr:nvCxnSpPr>
        <xdr:spPr>
          <a:xfrm flipH="1">
            <a:off x="5945319" y="4348163"/>
            <a:ext cx="57150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0" name="Straight Connector 3179">
            <a:extLst>
              <a:ext uri="{FF2B5EF4-FFF2-40B4-BE49-F238E27FC236}">
                <a16:creationId xmlns:a16="http://schemas.microsoft.com/office/drawing/2014/main" id="{663F3D7A-D3A3-5B3A-665E-F8A03F66E402}"/>
              </a:ext>
            </a:extLst>
          </xdr:cNvPr>
          <xdr:cNvCxnSpPr/>
        </xdr:nvCxnSpPr>
        <xdr:spPr>
          <a:xfrm>
            <a:off x="3110119" y="2009775"/>
            <a:ext cx="696343" cy="2143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1" name="Straight Connector 3180">
            <a:extLst>
              <a:ext uri="{FF2B5EF4-FFF2-40B4-BE49-F238E27FC236}">
                <a16:creationId xmlns:a16="http://schemas.microsoft.com/office/drawing/2014/main" id="{2BC9E688-44D0-38F0-BCD3-8E61B48E2ABA}"/>
              </a:ext>
            </a:extLst>
          </xdr:cNvPr>
          <xdr:cNvCxnSpPr/>
        </xdr:nvCxnSpPr>
        <xdr:spPr>
          <a:xfrm flipH="1">
            <a:off x="4062415" y="4962525"/>
            <a:ext cx="57150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2" name="Straight Connector 3181">
            <a:extLst>
              <a:ext uri="{FF2B5EF4-FFF2-40B4-BE49-F238E27FC236}">
                <a16:creationId xmlns:a16="http://schemas.microsoft.com/office/drawing/2014/main" id="{5190E6F5-4F0B-AACA-0F35-E41E5D8A686C}"/>
              </a:ext>
            </a:extLst>
          </xdr:cNvPr>
          <xdr:cNvCxnSpPr/>
        </xdr:nvCxnSpPr>
        <xdr:spPr>
          <a:xfrm flipV="1">
            <a:off x="2253454" y="4778389"/>
            <a:ext cx="3933035" cy="12779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3" name="Straight Connector 3182">
            <a:extLst>
              <a:ext uri="{FF2B5EF4-FFF2-40B4-BE49-F238E27FC236}">
                <a16:creationId xmlns:a16="http://schemas.microsoft.com/office/drawing/2014/main" id="{EF411BDC-4274-0A17-6AFF-AE3B49FE8D18}"/>
              </a:ext>
            </a:extLst>
          </xdr:cNvPr>
          <xdr:cNvCxnSpPr/>
        </xdr:nvCxnSpPr>
        <xdr:spPr>
          <a:xfrm flipH="1">
            <a:off x="2319339" y="5967417"/>
            <a:ext cx="57150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4" name="Straight Connector 3183">
            <a:extLst>
              <a:ext uri="{FF2B5EF4-FFF2-40B4-BE49-F238E27FC236}">
                <a16:creationId xmlns:a16="http://schemas.microsoft.com/office/drawing/2014/main" id="{9388C200-DF06-FD86-6B50-6184ADCD4B49}"/>
              </a:ext>
            </a:extLst>
          </xdr:cNvPr>
          <xdr:cNvCxnSpPr/>
        </xdr:nvCxnSpPr>
        <xdr:spPr>
          <a:xfrm flipH="1">
            <a:off x="6073908" y="4738692"/>
            <a:ext cx="57150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5" name="Straight Connector 3184">
            <a:extLst>
              <a:ext uri="{FF2B5EF4-FFF2-40B4-BE49-F238E27FC236}">
                <a16:creationId xmlns:a16="http://schemas.microsoft.com/office/drawing/2014/main" id="{56CD9F09-B2E1-4E53-6EE7-2F1DDAC2881C}"/>
              </a:ext>
            </a:extLst>
          </xdr:cNvPr>
          <xdr:cNvCxnSpPr/>
        </xdr:nvCxnSpPr>
        <xdr:spPr>
          <a:xfrm>
            <a:off x="1244483" y="1208388"/>
            <a:ext cx="3749915" cy="1250344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6" name="Straight Arrow Connector 3185">
            <a:extLst>
              <a:ext uri="{FF2B5EF4-FFF2-40B4-BE49-F238E27FC236}">
                <a16:creationId xmlns:a16="http://schemas.microsoft.com/office/drawing/2014/main" id="{EFD9C91A-5492-A4C6-6177-A6A8CD5A3ABE}"/>
              </a:ext>
            </a:extLst>
          </xdr:cNvPr>
          <xdr:cNvCxnSpPr/>
        </xdr:nvCxnSpPr>
        <xdr:spPr>
          <a:xfrm flipH="1">
            <a:off x="1249266" y="993565"/>
            <a:ext cx="69223" cy="21304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7" name="Straight Connector 3186">
            <a:extLst>
              <a:ext uri="{FF2B5EF4-FFF2-40B4-BE49-F238E27FC236}">
                <a16:creationId xmlns:a16="http://schemas.microsoft.com/office/drawing/2014/main" id="{8325CBEA-A3E3-F7AC-8CF3-6CA3E268F93C}"/>
              </a:ext>
            </a:extLst>
          </xdr:cNvPr>
          <xdr:cNvCxnSpPr/>
        </xdr:nvCxnSpPr>
        <xdr:spPr>
          <a:xfrm>
            <a:off x="1320683" y="998838"/>
            <a:ext cx="3749915" cy="1250344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8" name="Straight Arrow Connector 3187">
            <a:extLst>
              <a:ext uri="{FF2B5EF4-FFF2-40B4-BE49-F238E27FC236}">
                <a16:creationId xmlns:a16="http://schemas.microsoft.com/office/drawing/2014/main" id="{4FBCF6D2-E0D4-BA23-FA6C-8B32E1C81BF3}"/>
              </a:ext>
            </a:extLst>
          </xdr:cNvPr>
          <xdr:cNvCxnSpPr/>
        </xdr:nvCxnSpPr>
        <xdr:spPr>
          <a:xfrm flipH="1">
            <a:off x="1563592" y="1107865"/>
            <a:ext cx="69223" cy="21304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9" name="Straight Arrow Connector 3188">
            <a:extLst>
              <a:ext uri="{FF2B5EF4-FFF2-40B4-BE49-F238E27FC236}">
                <a16:creationId xmlns:a16="http://schemas.microsoft.com/office/drawing/2014/main" id="{534DC3F9-47FD-4B9F-D274-BB9673E8C58B}"/>
              </a:ext>
            </a:extLst>
          </xdr:cNvPr>
          <xdr:cNvCxnSpPr/>
        </xdr:nvCxnSpPr>
        <xdr:spPr>
          <a:xfrm flipH="1">
            <a:off x="1868391" y="1212641"/>
            <a:ext cx="69223" cy="21304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0" name="Straight Arrow Connector 3189">
            <a:extLst>
              <a:ext uri="{FF2B5EF4-FFF2-40B4-BE49-F238E27FC236}">
                <a16:creationId xmlns:a16="http://schemas.microsoft.com/office/drawing/2014/main" id="{414597B6-5B22-9FED-3E7E-CCE89B8C7E0F}"/>
              </a:ext>
            </a:extLst>
          </xdr:cNvPr>
          <xdr:cNvCxnSpPr/>
        </xdr:nvCxnSpPr>
        <xdr:spPr>
          <a:xfrm flipH="1">
            <a:off x="2177954" y="1312652"/>
            <a:ext cx="69223" cy="21304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1" name="Straight Arrow Connector 3190">
            <a:extLst>
              <a:ext uri="{FF2B5EF4-FFF2-40B4-BE49-F238E27FC236}">
                <a16:creationId xmlns:a16="http://schemas.microsoft.com/office/drawing/2014/main" id="{0A279A17-35F0-CE93-D262-04D036BF1C16}"/>
              </a:ext>
            </a:extLst>
          </xdr:cNvPr>
          <xdr:cNvCxnSpPr/>
        </xdr:nvCxnSpPr>
        <xdr:spPr>
          <a:xfrm flipH="1">
            <a:off x="2486026" y="1414464"/>
            <a:ext cx="69223" cy="21304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2" name="Straight Arrow Connector 3191">
            <a:extLst>
              <a:ext uri="{FF2B5EF4-FFF2-40B4-BE49-F238E27FC236}">
                <a16:creationId xmlns:a16="http://schemas.microsoft.com/office/drawing/2014/main" id="{124EE847-3E9A-C4B1-A3E7-2F1A9A818D14}"/>
              </a:ext>
            </a:extLst>
          </xdr:cNvPr>
          <xdr:cNvCxnSpPr/>
        </xdr:nvCxnSpPr>
        <xdr:spPr>
          <a:xfrm flipH="1">
            <a:off x="2786063" y="1514475"/>
            <a:ext cx="69223" cy="21304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3" name="Straight Arrow Connector 3192">
            <a:extLst>
              <a:ext uri="{FF2B5EF4-FFF2-40B4-BE49-F238E27FC236}">
                <a16:creationId xmlns:a16="http://schemas.microsoft.com/office/drawing/2014/main" id="{AC7FA903-FDF6-034B-B1DF-DE8909B1CB40}"/>
              </a:ext>
            </a:extLst>
          </xdr:cNvPr>
          <xdr:cNvCxnSpPr/>
        </xdr:nvCxnSpPr>
        <xdr:spPr>
          <a:xfrm flipH="1">
            <a:off x="3095625" y="1614488"/>
            <a:ext cx="69223" cy="21304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4" name="Straight Arrow Connector 3193">
            <a:extLst>
              <a:ext uri="{FF2B5EF4-FFF2-40B4-BE49-F238E27FC236}">
                <a16:creationId xmlns:a16="http://schemas.microsoft.com/office/drawing/2014/main" id="{485F2BA9-E83E-AB54-5EAF-F0B6DAEE14ED}"/>
              </a:ext>
            </a:extLst>
          </xdr:cNvPr>
          <xdr:cNvCxnSpPr/>
        </xdr:nvCxnSpPr>
        <xdr:spPr>
          <a:xfrm flipH="1">
            <a:off x="3395662" y="1714499"/>
            <a:ext cx="69223" cy="21304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5" name="Straight Arrow Connector 3194">
            <a:extLst>
              <a:ext uri="{FF2B5EF4-FFF2-40B4-BE49-F238E27FC236}">
                <a16:creationId xmlns:a16="http://schemas.microsoft.com/office/drawing/2014/main" id="{FC8FACC9-A10A-C460-B653-553543CFCCE3}"/>
              </a:ext>
            </a:extLst>
          </xdr:cNvPr>
          <xdr:cNvCxnSpPr/>
        </xdr:nvCxnSpPr>
        <xdr:spPr>
          <a:xfrm flipH="1">
            <a:off x="3714753" y="1824040"/>
            <a:ext cx="69223" cy="21304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6" name="Straight Arrow Connector 3195">
            <a:extLst>
              <a:ext uri="{FF2B5EF4-FFF2-40B4-BE49-F238E27FC236}">
                <a16:creationId xmlns:a16="http://schemas.microsoft.com/office/drawing/2014/main" id="{A18D7972-F685-23E7-B50F-5BC8438A3603}"/>
              </a:ext>
            </a:extLst>
          </xdr:cNvPr>
          <xdr:cNvCxnSpPr/>
        </xdr:nvCxnSpPr>
        <xdr:spPr>
          <a:xfrm flipH="1">
            <a:off x="4014790" y="1924051"/>
            <a:ext cx="69223" cy="21304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7" name="Straight Arrow Connector 3196">
            <a:extLst>
              <a:ext uri="{FF2B5EF4-FFF2-40B4-BE49-F238E27FC236}">
                <a16:creationId xmlns:a16="http://schemas.microsoft.com/office/drawing/2014/main" id="{3D2F35D8-D705-B2C8-A711-831074543152}"/>
              </a:ext>
            </a:extLst>
          </xdr:cNvPr>
          <xdr:cNvCxnSpPr/>
        </xdr:nvCxnSpPr>
        <xdr:spPr>
          <a:xfrm flipH="1">
            <a:off x="4324352" y="2028827"/>
            <a:ext cx="69223" cy="21304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8" name="Straight Arrow Connector 3197">
            <a:extLst>
              <a:ext uri="{FF2B5EF4-FFF2-40B4-BE49-F238E27FC236}">
                <a16:creationId xmlns:a16="http://schemas.microsoft.com/office/drawing/2014/main" id="{7F59E47E-B2A2-5EF9-8841-CEC8CF3A78B4}"/>
              </a:ext>
            </a:extLst>
          </xdr:cNvPr>
          <xdr:cNvCxnSpPr/>
        </xdr:nvCxnSpPr>
        <xdr:spPr>
          <a:xfrm flipH="1">
            <a:off x="4633915" y="2133601"/>
            <a:ext cx="69223" cy="21304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9" name="Straight Arrow Connector 3198">
            <a:extLst>
              <a:ext uri="{FF2B5EF4-FFF2-40B4-BE49-F238E27FC236}">
                <a16:creationId xmlns:a16="http://schemas.microsoft.com/office/drawing/2014/main" id="{0DE64FE7-5510-C3A2-A05D-C5875B79BE0E}"/>
              </a:ext>
            </a:extLst>
          </xdr:cNvPr>
          <xdr:cNvCxnSpPr/>
        </xdr:nvCxnSpPr>
        <xdr:spPr>
          <a:xfrm flipH="1">
            <a:off x="4986337" y="2247899"/>
            <a:ext cx="69223" cy="21304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Straight Connector 587">
            <a:extLst>
              <a:ext uri="{FF2B5EF4-FFF2-40B4-BE49-F238E27FC236}">
                <a16:creationId xmlns:a16="http://schemas.microsoft.com/office/drawing/2014/main" id="{126E8AF2-1E8A-62B0-0AEA-C4EBCF065ECB}"/>
              </a:ext>
            </a:extLst>
          </xdr:cNvPr>
          <xdr:cNvCxnSpPr/>
        </xdr:nvCxnSpPr>
        <xdr:spPr>
          <a:xfrm>
            <a:off x="1331329" y="2895600"/>
            <a:ext cx="173621" cy="5343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" name="Straight Connector 598">
            <a:extLst>
              <a:ext uri="{FF2B5EF4-FFF2-40B4-BE49-F238E27FC236}">
                <a16:creationId xmlns:a16="http://schemas.microsoft.com/office/drawing/2014/main" id="{492614CD-B723-BC1B-2B37-723FCEF7E974}"/>
              </a:ext>
            </a:extLst>
          </xdr:cNvPr>
          <xdr:cNvCxnSpPr/>
        </xdr:nvCxnSpPr>
        <xdr:spPr>
          <a:xfrm>
            <a:off x="1578979" y="3667125"/>
            <a:ext cx="71182" cy="219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6" name="Straight Connector 2005">
            <a:extLst>
              <a:ext uri="{FF2B5EF4-FFF2-40B4-BE49-F238E27FC236}">
                <a16:creationId xmlns:a16="http://schemas.microsoft.com/office/drawing/2014/main" id="{B7C1DFDC-9F5F-D05B-7CCF-65280A4E682A}"/>
              </a:ext>
            </a:extLst>
          </xdr:cNvPr>
          <xdr:cNvCxnSpPr/>
        </xdr:nvCxnSpPr>
        <xdr:spPr>
          <a:xfrm>
            <a:off x="3856972" y="4305300"/>
            <a:ext cx="89751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9" name="Straight Connector 2008">
            <a:extLst>
              <a:ext uri="{FF2B5EF4-FFF2-40B4-BE49-F238E27FC236}">
                <a16:creationId xmlns:a16="http://schemas.microsoft.com/office/drawing/2014/main" id="{7123B1D2-AAEC-5AF6-7619-1646112AD34D}"/>
              </a:ext>
            </a:extLst>
          </xdr:cNvPr>
          <xdr:cNvCxnSpPr/>
        </xdr:nvCxnSpPr>
        <xdr:spPr>
          <a:xfrm>
            <a:off x="3995612" y="4724400"/>
            <a:ext cx="120699" cy="371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0" name="Straight Connector 2009">
            <a:extLst>
              <a:ext uri="{FF2B5EF4-FFF2-40B4-BE49-F238E27FC236}">
                <a16:creationId xmlns:a16="http://schemas.microsoft.com/office/drawing/2014/main" id="{864F5575-A04E-D3BB-A6BF-EE209B6D8DFB}"/>
              </a:ext>
            </a:extLst>
          </xdr:cNvPr>
          <xdr:cNvCxnSpPr/>
        </xdr:nvCxnSpPr>
        <xdr:spPr>
          <a:xfrm flipH="1" flipV="1">
            <a:off x="2705100" y="1338263"/>
            <a:ext cx="123825" cy="261937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57150</xdr:colOff>
      <xdr:row>2331</xdr:row>
      <xdr:rowOff>66675</xdr:rowOff>
    </xdr:from>
    <xdr:to>
      <xdr:col>7</xdr:col>
      <xdr:colOff>109537</xdr:colOff>
      <xdr:row>2331</xdr:row>
      <xdr:rowOff>66675</xdr:rowOff>
    </xdr:to>
    <xdr:cxnSp macro="">
      <xdr:nvCxnSpPr>
        <xdr:cNvPr id="2019" name="Straight Arrow Connector 2018">
          <a:extLst>
            <a:ext uri="{FF2B5EF4-FFF2-40B4-BE49-F238E27FC236}">
              <a16:creationId xmlns:a16="http://schemas.microsoft.com/office/drawing/2014/main" id="{E65468C6-47D7-4BC5-B492-95945DDD004D}"/>
            </a:ext>
          </a:extLst>
        </xdr:cNvPr>
        <xdr:cNvCxnSpPr/>
      </xdr:nvCxnSpPr>
      <xdr:spPr>
        <a:xfrm>
          <a:off x="1028700" y="99917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2332</xdr:row>
      <xdr:rowOff>66675</xdr:rowOff>
    </xdr:from>
    <xdr:to>
      <xdr:col>7</xdr:col>
      <xdr:colOff>109537</xdr:colOff>
      <xdr:row>2332</xdr:row>
      <xdr:rowOff>66675</xdr:rowOff>
    </xdr:to>
    <xdr:cxnSp macro="">
      <xdr:nvCxnSpPr>
        <xdr:cNvPr id="2020" name="Straight Arrow Connector 2019">
          <a:extLst>
            <a:ext uri="{FF2B5EF4-FFF2-40B4-BE49-F238E27FC236}">
              <a16:creationId xmlns:a16="http://schemas.microsoft.com/office/drawing/2014/main" id="{42FB847A-92EF-4057-912F-E3DF09C80C94}"/>
            </a:ext>
          </a:extLst>
        </xdr:cNvPr>
        <xdr:cNvCxnSpPr/>
      </xdr:nvCxnSpPr>
      <xdr:spPr>
        <a:xfrm>
          <a:off x="1028700" y="101346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2336</xdr:row>
      <xdr:rowOff>66675</xdr:rowOff>
    </xdr:from>
    <xdr:to>
      <xdr:col>11</xdr:col>
      <xdr:colOff>109537</xdr:colOff>
      <xdr:row>2336</xdr:row>
      <xdr:rowOff>66675</xdr:rowOff>
    </xdr:to>
    <xdr:cxnSp macro="">
      <xdr:nvCxnSpPr>
        <xdr:cNvPr id="2021" name="Straight Arrow Connector 2020">
          <a:extLst>
            <a:ext uri="{FF2B5EF4-FFF2-40B4-BE49-F238E27FC236}">
              <a16:creationId xmlns:a16="http://schemas.microsoft.com/office/drawing/2014/main" id="{DA9B0153-6C6A-4498-900A-F66177D85FEE}"/>
            </a:ext>
          </a:extLst>
        </xdr:cNvPr>
        <xdr:cNvCxnSpPr/>
      </xdr:nvCxnSpPr>
      <xdr:spPr>
        <a:xfrm>
          <a:off x="1676400" y="107061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2333</xdr:row>
      <xdr:rowOff>76200</xdr:rowOff>
    </xdr:from>
    <xdr:to>
      <xdr:col>7</xdr:col>
      <xdr:colOff>100012</xdr:colOff>
      <xdr:row>2333</xdr:row>
      <xdr:rowOff>76200</xdr:rowOff>
    </xdr:to>
    <xdr:cxnSp macro="">
      <xdr:nvCxnSpPr>
        <xdr:cNvPr id="2022" name="Straight Arrow Connector 2021">
          <a:extLst>
            <a:ext uri="{FF2B5EF4-FFF2-40B4-BE49-F238E27FC236}">
              <a16:creationId xmlns:a16="http://schemas.microsoft.com/office/drawing/2014/main" id="{6BB8EFC4-0B70-4232-88A1-597CB170CF0F}"/>
            </a:ext>
          </a:extLst>
        </xdr:cNvPr>
        <xdr:cNvCxnSpPr/>
      </xdr:nvCxnSpPr>
      <xdr:spPr>
        <a:xfrm>
          <a:off x="1019175" y="102870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57150</xdr:colOff>
      <xdr:row>2336</xdr:row>
      <xdr:rowOff>66675</xdr:rowOff>
    </xdr:from>
    <xdr:to>
      <xdr:col>39</xdr:col>
      <xdr:colOff>109537</xdr:colOff>
      <xdr:row>2336</xdr:row>
      <xdr:rowOff>66675</xdr:rowOff>
    </xdr:to>
    <xdr:cxnSp macro="">
      <xdr:nvCxnSpPr>
        <xdr:cNvPr id="2023" name="Straight Arrow Connector 2022">
          <a:extLst>
            <a:ext uri="{FF2B5EF4-FFF2-40B4-BE49-F238E27FC236}">
              <a16:creationId xmlns:a16="http://schemas.microsoft.com/office/drawing/2014/main" id="{60D68A99-7CE8-40ED-A374-BD038958F1AE}"/>
            </a:ext>
          </a:extLst>
        </xdr:cNvPr>
        <xdr:cNvCxnSpPr/>
      </xdr:nvCxnSpPr>
      <xdr:spPr>
        <a:xfrm>
          <a:off x="6210300" y="107061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2339</xdr:row>
      <xdr:rowOff>66675</xdr:rowOff>
    </xdr:from>
    <xdr:to>
      <xdr:col>11</xdr:col>
      <xdr:colOff>109537</xdr:colOff>
      <xdr:row>2339</xdr:row>
      <xdr:rowOff>66675</xdr:rowOff>
    </xdr:to>
    <xdr:cxnSp macro="">
      <xdr:nvCxnSpPr>
        <xdr:cNvPr id="2024" name="Straight Arrow Connector 2023">
          <a:extLst>
            <a:ext uri="{FF2B5EF4-FFF2-40B4-BE49-F238E27FC236}">
              <a16:creationId xmlns:a16="http://schemas.microsoft.com/office/drawing/2014/main" id="{9441781D-D16B-43FB-B343-5EF80F2FA13E}"/>
            </a:ext>
          </a:extLst>
        </xdr:cNvPr>
        <xdr:cNvCxnSpPr/>
      </xdr:nvCxnSpPr>
      <xdr:spPr>
        <a:xfrm>
          <a:off x="1676400" y="111347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57150</xdr:colOff>
      <xdr:row>2339</xdr:row>
      <xdr:rowOff>66675</xdr:rowOff>
    </xdr:from>
    <xdr:to>
      <xdr:col>36</xdr:col>
      <xdr:colOff>109537</xdr:colOff>
      <xdr:row>2339</xdr:row>
      <xdr:rowOff>66675</xdr:rowOff>
    </xdr:to>
    <xdr:cxnSp macro="">
      <xdr:nvCxnSpPr>
        <xdr:cNvPr id="2027" name="Straight Arrow Connector 2026">
          <a:extLst>
            <a:ext uri="{FF2B5EF4-FFF2-40B4-BE49-F238E27FC236}">
              <a16:creationId xmlns:a16="http://schemas.microsoft.com/office/drawing/2014/main" id="{917F690A-1E3A-4A9D-94BF-0E66348FD669}"/>
            </a:ext>
          </a:extLst>
        </xdr:cNvPr>
        <xdr:cNvCxnSpPr/>
      </xdr:nvCxnSpPr>
      <xdr:spPr>
        <a:xfrm>
          <a:off x="5724525" y="111347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2348</xdr:row>
      <xdr:rowOff>9526</xdr:rowOff>
    </xdr:from>
    <xdr:to>
      <xdr:col>7</xdr:col>
      <xdr:colOff>0</xdr:colOff>
      <xdr:row>2349</xdr:row>
      <xdr:rowOff>0</xdr:rowOff>
    </xdr:to>
    <xdr:sp macro="" textlink="">
      <xdr:nvSpPr>
        <xdr:cNvPr id="2028" name="Rectangle 2027">
          <a:extLst>
            <a:ext uri="{FF2B5EF4-FFF2-40B4-BE49-F238E27FC236}">
              <a16:creationId xmlns:a16="http://schemas.microsoft.com/office/drawing/2014/main" id="{B706CD33-6D24-42CA-938B-5CA9E4B95B43}"/>
            </a:ext>
          </a:extLst>
        </xdr:cNvPr>
        <xdr:cNvSpPr/>
      </xdr:nvSpPr>
      <xdr:spPr>
        <a:xfrm>
          <a:off x="809625" y="12363451"/>
          <a:ext cx="323850" cy="133349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25</xdr:col>
      <xdr:colOff>0</xdr:colOff>
      <xdr:row>2348</xdr:row>
      <xdr:rowOff>23813</xdr:rowOff>
    </xdr:from>
    <xdr:to>
      <xdr:col>27</xdr:col>
      <xdr:colOff>0</xdr:colOff>
      <xdr:row>2349</xdr:row>
      <xdr:rowOff>0</xdr:rowOff>
    </xdr:to>
    <xdr:sp macro="" textlink="">
      <xdr:nvSpPr>
        <xdr:cNvPr id="2029" name="Rectangle 2028">
          <a:extLst>
            <a:ext uri="{FF2B5EF4-FFF2-40B4-BE49-F238E27FC236}">
              <a16:creationId xmlns:a16="http://schemas.microsoft.com/office/drawing/2014/main" id="{8715D8E2-B494-48A1-9A1B-6C5D80EE6A1A}"/>
            </a:ext>
          </a:extLst>
        </xdr:cNvPr>
        <xdr:cNvSpPr/>
      </xdr:nvSpPr>
      <xdr:spPr>
        <a:xfrm>
          <a:off x="4048125" y="12377738"/>
          <a:ext cx="323850" cy="119062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0</xdr:colOff>
      <xdr:row>2346</xdr:row>
      <xdr:rowOff>71438</xdr:rowOff>
    </xdr:from>
    <xdr:to>
      <xdr:col>26</xdr:col>
      <xdr:colOff>4763</xdr:colOff>
      <xdr:row>2347</xdr:row>
      <xdr:rowOff>0</xdr:rowOff>
    </xdr:to>
    <xdr:sp macro="" textlink="">
      <xdr:nvSpPr>
        <xdr:cNvPr id="2030" name="Rectangle 2029">
          <a:extLst>
            <a:ext uri="{FF2B5EF4-FFF2-40B4-BE49-F238E27FC236}">
              <a16:creationId xmlns:a16="http://schemas.microsoft.com/office/drawing/2014/main" id="{E8858CA5-D8E5-40A4-AA52-F49C3415BC7C}"/>
            </a:ext>
          </a:extLst>
        </xdr:cNvPr>
        <xdr:cNvSpPr/>
      </xdr:nvSpPr>
      <xdr:spPr>
        <a:xfrm>
          <a:off x="971550" y="12139613"/>
          <a:ext cx="3243263" cy="71437"/>
        </a:xfrm>
        <a:prstGeom prst="rect">
          <a:avLst/>
        </a:prstGeom>
        <a:solidFill>
          <a:schemeClr val="bg1">
            <a:lumMod val="9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90487</xdr:colOff>
      <xdr:row>2347</xdr:row>
      <xdr:rowOff>4762</xdr:rowOff>
    </xdr:from>
    <xdr:to>
      <xdr:col>6</xdr:col>
      <xdr:colOff>76199</xdr:colOff>
      <xdr:row>2348</xdr:row>
      <xdr:rowOff>0</xdr:rowOff>
    </xdr:to>
    <xdr:sp macro="" textlink="">
      <xdr:nvSpPr>
        <xdr:cNvPr id="2031" name="Isosceles Triangle 2030">
          <a:extLst>
            <a:ext uri="{FF2B5EF4-FFF2-40B4-BE49-F238E27FC236}">
              <a16:creationId xmlns:a16="http://schemas.microsoft.com/office/drawing/2014/main" id="{3F3C084E-2C4B-45CD-A8C8-5EE338FA8112}"/>
            </a:ext>
          </a:extLst>
        </xdr:cNvPr>
        <xdr:cNvSpPr/>
      </xdr:nvSpPr>
      <xdr:spPr>
        <a:xfrm>
          <a:off x="900112" y="12215812"/>
          <a:ext cx="147637" cy="138113"/>
        </a:xfrm>
        <a:prstGeom prst="triangle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157163</xdr:colOff>
      <xdr:row>2348</xdr:row>
      <xdr:rowOff>0</xdr:rowOff>
    </xdr:from>
    <xdr:to>
      <xdr:col>7</xdr:col>
      <xdr:colOff>0</xdr:colOff>
      <xdr:row>2348</xdr:row>
      <xdr:rowOff>0</xdr:rowOff>
    </xdr:to>
    <xdr:cxnSp macro="">
      <xdr:nvCxnSpPr>
        <xdr:cNvPr id="2032" name="Straight Connector 2031">
          <a:extLst>
            <a:ext uri="{FF2B5EF4-FFF2-40B4-BE49-F238E27FC236}">
              <a16:creationId xmlns:a16="http://schemas.microsoft.com/office/drawing/2014/main" id="{A554B7E5-3FB6-4839-869F-A3CB6F6B9574}"/>
            </a:ext>
          </a:extLst>
        </xdr:cNvPr>
        <xdr:cNvCxnSpPr/>
      </xdr:nvCxnSpPr>
      <xdr:spPr>
        <a:xfrm>
          <a:off x="804863" y="12353925"/>
          <a:ext cx="32861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100012</xdr:colOff>
      <xdr:row>2347</xdr:row>
      <xdr:rowOff>14287</xdr:rowOff>
    </xdr:from>
    <xdr:to>
      <xdr:col>26</xdr:col>
      <xdr:colOff>85724</xdr:colOff>
      <xdr:row>2347</xdr:row>
      <xdr:rowOff>128588</xdr:rowOff>
    </xdr:to>
    <xdr:sp macro="" textlink="">
      <xdr:nvSpPr>
        <xdr:cNvPr id="2033" name="Isosceles Triangle 2032">
          <a:extLst>
            <a:ext uri="{FF2B5EF4-FFF2-40B4-BE49-F238E27FC236}">
              <a16:creationId xmlns:a16="http://schemas.microsoft.com/office/drawing/2014/main" id="{89F8CD23-3DDA-4AC1-A5D7-2A740C33742F}"/>
            </a:ext>
          </a:extLst>
        </xdr:cNvPr>
        <xdr:cNvSpPr/>
      </xdr:nvSpPr>
      <xdr:spPr>
        <a:xfrm>
          <a:off x="4148137" y="12225337"/>
          <a:ext cx="147637" cy="114301"/>
        </a:xfrm>
        <a:prstGeom prst="triangle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24</xdr:col>
      <xdr:colOff>157163</xdr:colOff>
      <xdr:row>2348</xdr:row>
      <xdr:rowOff>19052</xdr:rowOff>
    </xdr:from>
    <xdr:to>
      <xdr:col>27</xdr:col>
      <xdr:colOff>0</xdr:colOff>
      <xdr:row>2348</xdr:row>
      <xdr:rowOff>19052</xdr:rowOff>
    </xdr:to>
    <xdr:cxnSp macro="">
      <xdr:nvCxnSpPr>
        <xdr:cNvPr id="2034" name="Straight Connector 2033">
          <a:extLst>
            <a:ext uri="{FF2B5EF4-FFF2-40B4-BE49-F238E27FC236}">
              <a16:creationId xmlns:a16="http://schemas.microsoft.com/office/drawing/2014/main" id="{EDFB059E-8157-4E5F-8077-F3E8E704CD26}"/>
            </a:ext>
          </a:extLst>
        </xdr:cNvPr>
        <xdr:cNvCxnSpPr/>
      </xdr:nvCxnSpPr>
      <xdr:spPr>
        <a:xfrm>
          <a:off x="4043363" y="12372977"/>
          <a:ext cx="32861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2349</xdr:row>
      <xdr:rowOff>0</xdr:rowOff>
    </xdr:from>
    <xdr:to>
      <xdr:col>6</xdr:col>
      <xdr:colOff>0</xdr:colOff>
      <xdr:row>2350</xdr:row>
      <xdr:rowOff>138113</xdr:rowOff>
    </xdr:to>
    <xdr:cxnSp macro="">
      <xdr:nvCxnSpPr>
        <xdr:cNvPr id="2035" name="Straight Arrow Connector 2034">
          <a:extLst>
            <a:ext uri="{FF2B5EF4-FFF2-40B4-BE49-F238E27FC236}">
              <a16:creationId xmlns:a16="http://schemas.microsoft.com/office/drawing/2014/main" id="{E755C115-31F3-465D-95E4-EA05328B6510}"/>
            </a:ext>
          </a:extLst>
        </xdr:cNvPr>
        <xdr:cNvCxnSpPr/>
      </xdr:nvCxnSpPr>
      <xdr:spPr>
        <a:xfrm flipV="1">
          <a:off x="971550" y="12496800"/>
          <a:ext cx="0" cy="280988"/>
        </a:xfrm>
        <a:prstGeom prst="straightConnector1">
          <a:avLst/>
        </a:prstGeom>
        <a:ln w="1587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2349</xdr:row>
      <xdr:rowOff>0</xdr:rowOff>
    </xdr:from>
    <xdr:to>
      <xdr:col>26</xdr:col>
      <xdr:colOff>0</xdr:colOff>
      <xdr:row>2350</xdr:row>
      <xdr:rowOff>138113</xdr:rowOff>
    </xdr:to>
    <xdr:cxnSp macro="">
      <xdr:nvCxnSpPr>
        <xdr:cNvPr id="2036" name="Straight Arrow Connector 2035">
          <a:extLst>
            <a:ext uri="{FF2B5EF4-FFF2-40B4-BE49-F238E27FC236}">
              <a16:creationId xmlns:a16="http://schemas.microsoft.com/office/drawing/2014/main" id="{01A2E54D-6493-4A7E-89EA-3A5CDC9E641A}"/>
            </a:ext>
          </a:extLst>
        </xdr:cNvPr>
        <xdr:cNvCxnSpPr/>
      </xdr:nvCxnSpPr>
      <xdr:spPr>
        <a:xfrm flipV="1">
          <a:off x="4210050" y="12496800"/>
          <a:ext cx="0" cy="280988"/>
        </a:xfrm>
        <a:prstGeom prst="straightConnector1">
          <a:avLst/>
        </a:prstGeom>
        <a:ln w="1587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2352</xdr:row>
      <xdr:rowOff>42863</xdr:rowOff>
    </xdr:from>
    <xdr:to>
      <xdr:col>6</xdr:col>
      <xdr:colOff>1</xdr:colOff>
      <xdr:row>2355</xdr:row>
      <xdr:rowOff>76200</xdr:rowOff>
    </xdr:to>
    <xdr:cxnSp macro="">
      <xdr:nvCxnSpPr>
        <xdr:cNvPr id="2037" name="Straight Connector 2036">
          <a:extLst>
            <a:ext uri="{FF2B5EF4-FFF2-40B4-BE49-F238E27FC236}">
              <a16:creationId xmlns:a16="http://schemas.microsoft.com/office/drawing/2014/main" id="{F2CD40C8-5A90-4D86-B1BA-2F322E734CF1}"/>
            </a:ext>
          </a:extLst>
        </xdr:cNvPr>
        <xdr:cNvCxnSpPr/>
      </xdr:nvCxnSpPr>
      <xdr:spPr>
        <a:xfrm>
          <a:off x="971551" y="12968288"/>
          <a:ext cx="0" cy="461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2353</xdr:row>
      <xdr:rowOff>1</xdr:rowOff>
    </xdr:from>
    <xdr:to>
      <xdr:col>26</xdr:col>
      <xdr:colOff>66675</xdr:colOff>
      <xdr:row>2353</xdr:row>
      <xdr:rowOff>1</xdr:rowOff>
    </xdr:to>
    <xdr:cxnSp macro="">
      <xdr:nvCxnSpPr>
        <xdr:cNvPr id="2038" name="Straight Connector 2037">
          <a:extLst>
            <a:ext uri="{FF2B5EF4-FFF2-40B4-BE49-F238E27FC236}">
              <a16:creationId xmlns:a16="http://schemas.microsoft.com/office/drawing/2014/main" id="{B1E0D6DF-8EF6-4690-9FED-4930161F83EB}"/>
            </a:ext>
          </a:extLst>
        </xdr:cNvPr>
        <xdr:cNvCxnSpPr/>
      </xdr:nvCxnSpPr>
      <xdr:spPr>
        <a:xfrm>
          <a:off x="895350" y="13068301"/>
          <a:ext cx="3381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119062</xdr:colOff>
      <xdr:row>2352</xdr:row>
      <xdr:rowOff>104776</xdr:rowOff>
    </xdr:from>
    <xdr:to>
      <xdr:col>6</xdr:col>
      <xdr:colOff>38100</xdr:colOff>
      <xdr:row>2353</xdr:row>
      <xdr:rowOff>42864</xdr:rowOff>
    </xdr:to>
    <xdr:cxnSp macro="">
      <xdr:nvCxnSpPr>
        <xdr:cNvPr id="2039" name="Straight Connector 2038">
          <a:extLst>
            <a:ext uri="{FF2B5EF4-FFF2-40B4-BE49-F238E27FC236}">
              <a16:creationId xmlns:a16="http://schemas.microsoft.com/office/drawing/2014/main" id="{616BC6A6-E21D-45D7-BDC7-298F2D626130}"/>
            </a:ext>
          </a:extLst>
        </xdr:cNvPr>
        <xdr:cNvCxnSpPr/>
      </xdr:nvCxnSpPr>
      <xdr:spPr>
        <a:xfrm flipH="1">
          <a:off x="928687" y="13030201"/>
          <a:ext cx="80963" cy="809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157163</xdr:colOff>
      <xdr:row>2344</xdr:row>
      <xdr:rowOff>4763</xdr:rowOff>
    </xdr:from>
    <xdr:to>
      <xdr:col>15</xdr:col>
      <xdr:colOff>157163</xdr:colOff>
      <xdr:row>2346</xdr:row>
      <xdr:rowOff>71439</xdr:rowOff>
    </xdr:to>
    <xdr:cxnSp macro="">
      <xdr:nvCxnSpPr>
        <xdr:cNvPr id="2040" name="Straight Arrow Connector 2039">
          <a:extLst>
            <a:ext uri="{FF2B5EF4-FFF2-40B4-BE49-F238E27FC236}">
              <a16:creationId xmlns:a16="http://schemas.microsoft.com/office/drawing/2014/main" id="{D980EF6C-A586-4D4B-8A05-365A887D5112}"/>
            </a:ext>
          </a:extLst>
        </xdr:cNvPr>
        <xdr:cNvCxnSpPr/>
      </xdr:nvCxnSpPr>
      <xdr:spPr>
        <a:xfrm>
          <a:off x="2586038" y="11787188"/>
          <a:ext cx="0" cy="352426"/>
        </a:xfrm>
        <a:prstGeom prst="straightConnector1">
          <a:avLst/>
        </a:prstGeom>
        <a:ln w="1587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2355</xdr:row>
      <xdr:rowOff>2</xdr:rowOff>
    </xdr:from>
    <xdr:to>
      <xdr:col>26</xdr:col>
      <xdr:colOff>66675</xdr:colOff>
      <xdr:row>2355</xdr:row>
      <xdr:rowOff>2</xdr:rowOff>
    </xdr:to>
    <xdr:cxnSp macro="">
      <xdr:nvCxnSpPr>
        <xdr:cNvPr id="2041" name="Straight Connector 2040">
          <a:extLst>
            <a:ext uri="{FF2B5EF4-FFF2-40B4-BE49-F238E27FC236}">
              <a16:creationId xmlns:a16="http://schemas.microsoft.com/office/drawing/2014/main" id="{F85B8E25-CBBB-4F3D-9280-678F65D838FA}"/>
            </a:ext>
          </a:extLst>
        </xdr:cNvPr>
        <xdr:cNvCxnSpPr/>
      </xdr:nvCxnSpPr>
      <xdr:spPr>
        <a:xfrm>
          <a:off x="895350" y="13354052"/>
          <a:ext cx="3381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119062</xdr:colOff>
      <xdr:row>2354</xdr:row>
      <xdr:rowOff>104777</xdr:rowOff>
    </xdr:from>
    <xdr:to>
      <xdr:col>6</xdr:col>
      <xdr:colOff>38100</xdr:colOff>
      <xdr:row>2355</xdr:row>
      <xdr:rowOff>42865</xdr:rowOff>
    </xdr:to>
    <xdr:cxnSp macro="">
      <xdr:nvCxnSpPr>
        <xdr:cNvPr id="2042" name="Straight Connector 2041">
          <a:extLst>
            <a:ext uri="{FF2B5EF4-FFF2-40B4-BE49-F238E27FC236}">
              <a16:creationId xmlns:a16="http://schemas.microsoft.com/office/drawing/2014/main" id="{8189B771-46A5-4DDF-95F8-A3ED67D859BD}"/>
            </a:ext>
          </a:extLst>
        </xdr:cNvPr>
        <xdr:cNvCxnSpPr/>
      </xdr:nvCxnSpPr>
      <xdr:spPr>
        <a:xfrm flipH="1">
          <a:off x="928687" y="13315952"/>
          <a:ext cx="80963" cy="809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</xdr:colOff>
      <xdr:row>2350</xdr:row>
      <xdr:rowOff>38100</xdr:rowOff>
    </xdr:from>
    <xdr:to>
      <xdr:col>16</xdr:col>
      <xdr:colOff>2</xdr:colOff>
      <xdr:row>2353</xdr:row>
      <xdr:rowOff>71437</xdr:rowOff>
    </xdr:to>
    <xdr:cxnSp macro="">
      <xdr:nvCxnSpPr>
        <xdr:cNvPr id="2043" name="Straight Connector 2042">
          <a:extLst>
            <a:ext uri="{FF2B5EF4-FFF2-40B4-BE49-F238E27FC236}">
              <a16:creationId xmlns:a16="http://schemas.microsoft.com/office/drawing/2014/main" id="{3A197A7E-EB83-47EA-823F-0B4C109FB9ED}"/>
            </a:ext>
          </a:extLst>
        </xdr:cNvPr>
        <xdr:cNvCxnSpPr/>
      </xdr:nvCxnSpPr>
      <xdr:spPr>
        <a:xfrm>
          <a:off x="2590802" y="12677775"/>
          <a:ext cx="0" cy="461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119063</xdr:colOff>
      <xdr:row>2352</xdr:row>
      <xdr:rowOff>100014</xdr:rowOff>
    </xdr:from>
    <xdr:to>
      <xdr:col>16</xdr:col>
      <xdr:colOff>38101</xdr:colOff>
      <xdr:row>2353</xdr:row>
      <xdr:rowOff>38102</xdr:rowOff>
    </xdr:to>
    <xdr:cxnSp macro="">
      <xdr:nvCxnSpPr>
        <xdr:cNvPr id="2044" name="Straight Connector 2043">
          <a:extLst>
            <a:ext uri="{FF2B5EF4-FFF2-40B4-BE49-F238E27FC236}">
              <a16:creationId xmlns:a16="http://schemas.microsoft.com/office/drawing/2014/main" id="{DC71256C-E745-4243-8BB2-3AD479B83065}"/>
            </a:ext>
          </a:extLst>
        </xdr:cNvPr>
        <xdr:cNvCxnSpPr/>
      </xdr:nvCxnSpPr>
      <xdr:spPr>
        <a:xfrm flipH="1">
          <a:off x="2547938" y="13025439"/>
          <a:ext cx="80963" cy="809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</xdr:colOff>
      <xdr:row>2352</xdr:row>
      <xdr:rowOff>42863</xdr:rowOff>
    </xdr:from>
    <xdr:to>
      <xdr:col>26</xdr:col>
      <xdr:colOff>1</xdr:colOff>
      <xdr:row>2355</xdr:row>
      <xdr:rowOff>76200</xdr:rowOff>
    </xdr:to>
    <xdr:cxnSp macro="">
      <xdr:nvCxnSpPr>
        <xdr:cNvPr id="2045" name="Straight Connector 2044">
          <a:extLst>
            <a:ext uri="{FF2B5EF4-FFF2-40B4-BE49-F238E27FC236}">
              <a16:creationId xmlns:a16="http://schemas.microsoft.com/office/drawing/2014/main" id="{FCDCD415-5DA2-4401-9F4C-5CAA1ADC3F92}"/>
            </a:ext>
          </a:extLst>
        </xdr:cNvPr>
        <xdr:cNvCxnSpPr/>
      </xdr:nvCxnSpPr>
      <xdr:spPr>
        <a:xfrm>
          <a:off x="4210051" y="12968288"/>
          <a:ext cx="0" cy="461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119062</xdr:colOff>
      <xdr:row>2352</xdr:row>
      <xdr:rowOff>104776</xdr:rowOff>
    </xdr:from>
    <xdr:to>
      <xdr:col>26</xdr:col>
      <xdr:colOff>38100</xdr:colOff>
      <xdr:row>2353</xdr:row>
      <xdr:rowOff>42864</xdr:rowOff>
    </xdr:to>
    <xdr:cxnSp macro="">
      <xdr:nvCxnSpPr>
        <xdr:cNvPr id="2046" name="Straight Connector 2045">
          <a:extLst>
            <a:ext uri="{FF2B5EF4-FFF2-40B4-BE49-F238E27FC236}">
              <a16:creationId xmlns:a16="http://schemas.microsoft.com/office/drawing/2014/main" id="{57A9F798-4D42-47B6-B546-ABC001A63323}"/>
            </a:ext>
          </a:extLst>
        </xdr:cNvPr>
        <xdr:cNvCxnSpPr/>
      </xdr:nvCxnSpPr>
      <xdr:spPr>
        <a:xfrm flipH="1">
          <a:off x="4167187" y="13030201"/>
          <a:ext cx="80963" cy="809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119062</xdr:colOff>
      <xdr:row>2354</xdr:row>
      <xdr:rowOff>104777</xdr:rowOff>
    </xdr:from>
    <xdr:to>
      <xdr:col>26</xdr:col>
      <xdr:colOff>38100</xdr:colOff>
      <xdr:row>2355</xdr:row>
      <xdr:rowOff>42865</xdr:rowOff>
    </xdr:to>
    <xdr:cxnSp macro="">
      <xdr:nvCxnSpPr>
        <xdr:cNvPr id="2047" name="Straight Connector 2046">
          <a:extLst>
            <a:ext uri="{FF2B5EF4-FFF2-40B4-BE49-F238E27FC236}">
              <a16:creationId xmlns:a16="http://schemas.microsoft.com/office/drawing/2014/main" id="{65054156-CA11-4579-8B7D-095BDC94767C}"/>
            </a:ext>
          </a:extLst>
        </xdr:cNvPr>
        <xdr:cNvCxnSpPr/>
      </xdr:nvCxnSpPr>
      <xdr:spPr>
        <a:xfrm flipH="1">
          <a:off x="4167187" y="13315952"/>
          <a:ext cx="80963" cy="809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157163</xdr:colOff>
      <xdr:row>2305</xdr:row>
      <xdr:rowOff>138113</xdr:rowOff>
    </xdr:from>
    <xdr:to>
      <xdr:col>27</xdr:col>
      <xdr:colOff>0</xdr:colOff>
      <xdr:row>2317</xdr:row>
      <xdr:rowOff>76200</xdr:rowOff>
    </xdr:to>
    <xdr:grpSp>
      <xdr:nvGrpSpPr>
        <xdr:cNvPr id="2048" name="Group 2047">
          <a:extLst>
            <a:ext uri="{FF2B5EF4-FFF2-40B4-BE49-F238E27FC236}">
              <a16:creationId xmlns:a16="http://schemas.microsoft.com/office/drawing/2014/main" id="{AC2AB541-2900-4E0F-8CE8-A57D56D00BDA}"/>
            </a:ext>
          </a:extLst>
        </xdr:cNvPr>
        <xdr:cNvGrpSpPr/>
      </xdr:nvGrpSpPr>
      <xdr:grpSpPr>
        <a:xfrm>
          <a:off x="804863" y="346848113"/>
          <a:ext cx="3567112" cy="1652587"/>
          <a:chOff x="804863" y="6348413"/>
          <a:chExt cx="3567112" cy="1652587"/>
        </a:xfrm>
      </xdr:grpSpPr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8D964176-03AF-B5DD-2343-78A41F6B8D6B}"/>
              </a:ext>
            </a:extLst>
          </xdr:cNvPr>
          <xdr:cNvSpPr/>
        </xdr:nvSpPr>
        <xdr:spPr>
          <a:xfrm>
            <a:off x="809625" y="6934201"/>
            <a:ext cx="323850" cy="133349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CF1D1DC3-AEAA-EFC5-AA18-C561C18ECEC0}"/>
              </a:ext>
            </a:extLst>
          </xdr:cNvPr>
          <xdr:cNvSpPr/>
        </xdr:nvSpPr>
        <xdr:spPr>
          <a:xfrm>
            <a:off x="4048125" y="6948488"/>
            <a:ext cx="323850" cy="11906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2D664E3F-C496-E3F9-BA38-A598AEC220AD}"/>
              </a:ext>
            </a:extLst>
          </xdr:cNvPr>
          <xdr:cNvSpPr/>
        </xdr:nvSpPr>
        <xdr:spPr>
          <a:xfrm>
            <a:off x="971550" y="6710363"/>
            <a:ext cx="3243263" cy="71437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52" name="Isosceles Triangle 2051">
            <a:extLst>
              <a:ext uri="{FF2B5EF4-FFF2-40B4-BE49-F238E27FC236}">
                <a16:creationId xmlns:a16="http://schemas.microsoft.com/office/drawing/2014/main" id="{D5A21AA6-AC9D-A21E-FE04-5699D47842DE}"/>
              </a:ext>
            </a:extLst>
          </xdr:cNvPr>
          <xdr:cNvSpPr/>
        </xdr:nvSpPr>
        <xdr:spPr>
          <a:xfrm>
            <a:off x="900112" y="6786562"/>
            <a:ext cx="147637" cy="138113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53" name="Straight Connector 2052">
            <a:extLst>
              <a:ext uri="{FF2B5EF4-FFF2-40B4-BE49-F238E27FC236}">
                <a16:creationId xmlns:a16="http://schemas.microsoft.com/office/drawing/2014/main" id="{0AA5B24C-76D3-6734-E3BE-8B389308366D}"/>
              </a:ext>
            </a:extLst>
          </xdr:cNvPr>
          <xdr:cNvCxnSpPr/>
        </xdr:nvCxnSpPr>
        <xdr:spPr>
          <a:xfrm>
            <a:off x="966788" y="6638925"/>
            <a:ext cx="3243262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4" name="Straight Connector 2053">
            <a:extLst>
              <a:ext uri="{FF2B5EF4-FFF2-40B4-BE49-F238E27FC236}">
                <a16:creationId xmlns:a16="http://schemas.microsoft.com/office/drawing/2014/main" id="{5326518A-F466-0B18-3F0A-A3319D797482}"/>
              </a:ext>
            </a:extLst>
          </xdr:cNvPr>
          <xdr:cNvCxnSpPr/>
        </xdr:nvCxnSpPr>
        <xdr:spPr>
          <a:xfrm>
            <a:off x="971550" y="6434138"/>
            <a:ext cx="3243262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5" name="Straight Arrow Connector 2054">
            <a:extLst>
              <a:ext uri="{FF2B5EF4-FFF2-40B4-BE49-F238E27FC236}">
                <a16:creationId xmlns:a16="http://schemas.microsoft.com/office/drawing/2014/main" id="{5C20C9ED-D565-778C-8843-91AA396B8330}"/>
              </a:ext>
            </a:extLst>
          </xdr:cNvPr>
          <xdr:cNvCxnSpPr/>
        </xdr:nvCxnSpPr>
        <xdr:spPr>
          <a:xfrm>
            <a:off x="971550" y="6434138"/>
            <a:ext cx="0" cy="20478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6" name="Straight Arrow Connector 2055">
            <a:extLst>
              <a:ext uri="{FF2B5EF4-FFF2-40B4-BE49-F238E27FC236}">
                <a16:creationId xmlns:a16="http://schemas.microsoft.com/office/drawing/2014/main" id="{F71C3AC7-B65D-4F2D-110C-05A51A1E0F11}"/>
              </a:ext>
            </a:extLst>
          </xdr:cNvPr>
          <xdr:cNvCxnSpPr/>
        </xdr:nvCxnSpPr>
        <xdr:spPr>
          <a:xfrm>
            <a:off x="1295399" y="6434138"/>
            <a:ext cx="0" cy="20478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7" name="Straight Arrow Connector 2056">
            <a:extLst>
              <a:ext uri="{FF2B5EF4-FFF2-40B4-BE49-F238E27FC236}">
                <a16:creationId xmlns:a16="http://schemas.microsoft.com/office/drawing/2014/main" id="{4915A1CA-4F47-FB82-154A-6BC660F31899}"/>
              </a:ext>
            </a:extLst>
          </xdr:cNvPr>
          <xdr:cNvCxnSpPr/>
        </xdr:nvCxnSpPr>
        <xdr:spPr>
          <a:xfrm>
            <a:off x="1619250" y="6434138"/>
            <a:ext cx="0" cy="20478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8" name="Straight Arrow Connector 2057">
            <a:extLst>
              <a:ext uri="{FF2B5EF4-FFF2-40B4-BE49-F238E27FC236}">
                <a16:creationId xmlns:a16="http://schemas.microsoft.com/office/drawing/2014/main" id="{578F5D57-4BD2-9363-5632-DE380C821FFD}"/>
              </a:ext>
            </a:extLst>
          </xdr:cNvPr>
          <xdr:cNvCxnSpPr/>
        </xdr:nvCxnSpPr>
        <xdr:spPr>
          <a:xfrm>
            <a:off x="1943099" y="6434138"/>
            <a:ext cx="0" cy="20478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9" name="Straight Arrow Connector 2058">
            <a:extLst>
              <a:ext uri="{FF2B5EF4-FFF2-40B4-BE49-F238E27FC236}">
                <a16:creationId xmlns:a16="http://schemas.microsoft.com/office/drawing/2014/main" id="{E9DEDDB9-4AE7-D380-5B6F-80EF651F7EFB}"/>
              </a:ext>
            </a:extLst>
          </xdr:cNvPr>
          <xdr:cNvCxnSpPr/>
        </xdr:nvCxnSpPr>
        <xdr:spPr>
          <a:xfrm>
            <a:off x="2266949" y="6434138"/>
            <a:ext cx="0" cy="20478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0" name="Straight Arrow Connector 2059">
            <a:extLst>
              <a:ext uri="{FF2B5EF4-FFF2-40B4-BE49-F238E27FC236}">
                <a16:creationId xmlns:a16="http://schemas.microsoft.com/office/drawing/2014/main" id="{77512E63-6046-B5EC-4180-44E383E43B86}"/>
              </a:ext>
            </a:extLst>
          </xdr:cNvPr>
          <xdr:cNvCxnSpPr/>
        </xdr:nvCxnSpPr>
        <xdr:spPr>
          <a:xfrm>
            <a:off x="2590798" y="6434138"/>
            <a:ext cx="0" cy="20478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3" name="Straight Arrow Connector 2062">
            <a:extLst>
              <a:ext uri="{FF2B5EF4-FFF2-40B4-BE49-F238E27FC236}">
                <a16:creationId xmlns:a16="http://schemas.microsoft.com/office/drawing/2014/main" id="{E0533FF7-80CD-B0D4-8018-26CA54CE1C22}"/>
              </a:ext>
            </a:extLst>
          </xdr:cNvPr>
          <xdr:cNvCxnSpPr/>
        </xdr:nvCxnSpPr>
        <xdr:spPr>
          <a:xfrm>
            <a:off x="2914649" y="6434138"/>
            <a:ext cx="0" cy="20478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9" name="Straight Arrow Connector 2198">
            <a:extLst>
              <a:ext uri="{FF2B5EF4-FFF2-40B4-BE49-F238E27FC236}">
                <a16:creationId xmlns:a16="http://schemas.microsoft.com/office/drawing/2014/main" id="{6A96F2C1-B5F8-0ADF-BD08-E15A2D3C59E1}"/>
              </a:ext>
            </a:extLst>
          </xdr:cNvPr>
          <xdr:cNvCxnSpPr/>
        </xdr:nvCxnSpPr>
        <xdr:spPr>
          <a:xfrm>
            <a:off x="3238498" y="6434138"/>
            <a:ext cx="0" cy="20478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2" name="Straight Arrow Connector 2201">
            <a:extLst>
              <a:ext uri="{FF2B5EF4-FFF2-40B4-BE49-F238E27FC236}">
                <a16:creationId xmlns:a16="http://schemas.microsoft.com/office/drawing/2014/main" id="{8BEF35BD-0E0C-C6B1-EB3A-0936C0C04F57}"/>
              </a:ext>
            </a:extLst>
          </xdr:cNvPr>
          <xdr:cNvCxnSpPr/>
        </xdr:nvCxnSpPr>
        <xdr:spPr>
          <a:xfrm>
            <a:off x="3562349" y="6434139"/>
            <a:ext cx="0" cy="20478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3" name="Straight Arrow Connector 2202">
            <a:extLst>
              <a:ext uri="{FF2B5EF4-FFF2-40B4-BE49-F238E27FC236}">
                <a16:creationId xmlns:a16="http://schemas.microsoft.com/office/drawing/2014/main" id="{785F89A6-3BBF-44BE-7E9F-2946446E98E5}"/>
              </a:ext>
            </a:extLst>
          </xdr:cNvPr>
          <xdr:cNvCxnSpPr/>
        </xdr:nvCxnSpPr>
        <xdr:spPr>
          <a:xfrm>
            <a:off x="3886198" y="6434139"/>
            <a:ext cx="0" cy="20478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5" name="Straight Arrow Connector 2264">
            <a:extLst>
              <a:ext uri="{FF2B5EF4-FFF2-40B4-BE49-F238E27FC236}">
                <a16:creationId xmlns:a16="http://schemas.microsoft.com/office/drawing/2014/main" id="{5EF65708-23A9-5597-D7E6-C3320F9F2975}"/>
              </a:ext>
            </a:extLst>
          </xdr:cNvPr>
          <xdr:cNvCxnSpPr/>
        </xdr:nvCxnSpPr>
        <xdr:spPr>
          <a:xfrm>
            <a:off x="4210049" y="6434139"/>
            <a:ext cx="0" cy="20478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4" name="Straight Connector 2273">
            <a:extLst>
              <a:ext uri="{FF2B5EF4-FFF2-40B4-BE49-F238E27FC236}">
                <a16:creationId xmlns:a16="http://schemas.microsoft.com/office/drawing/2014/main" id="{6B157C9C-2DD9-E7F1-B8A4-1C1766A593B8}"/>
              </a:ext>
            </a:extLst>
          </xdr:cNvPr>
          <xdr:cNvCxnSpPr/>
        </xdr:nvCxnSpPr>
        <xdr:spPr>
          <a:xfrm>
            <a:off x="804863" y="6924675"/>
            <a:ext cx="3286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76" name="Isosceles Triangle 2275">
            <a:extLst>
              <a:ext uri="{FF2B5EF4-FFF2-40B4-BE49-F238E27FC236}">
                <a16:creationId xmlns:a16="http://schemas.microsoft.com/office/drawing/2014/main" id="{81ADFE25-DFFA-A36F-AC91-5319C79609C8}"/>
              </a:ext>
            </a:extLst>
          </xdr:cNvPr>
          <xdr:cNvSpPr/>
        </xdr:nvSpPr>
        <xdr:spPr>
          <a:xfrm>
            <a:off x="4148137" y="6796087"/>
            <a:ext cx="147637" cy="114301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77" name="Straight Connector 2276">
            <a:extLst>
              <a:ext uri="{FF2B5EF4-FFF2-40B4-BE49-F238E27FC236}">
                <a16:creationId xmlns:a16="http://schemas.microsoft.com/office/drawing/2014/main" id="{68419351-A966-B377-DC70-6B7525059634}"/>
              </a:ext>
            </a:extLst>
          </xdr:cNvPr>
          <xdr:cNvCxnSpPr/>
        </xdr:nvCxnSpPr>
        <xdr:spPr>
          <a:xfrm>
            <a:off x="4043363" y="6943727"/>
            <a:ext cx="3286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8" name="Straight Arrow Connector 2277">
            <a:extLst>
              <a:ext uri="{FF2B5EF4-FFF2-40B4-BE49-F238E27FC236}">
                <a16:creationId xmlns:a16="http://schemas.microsoft.com/office/drawing/2014/main" id="{32BCADDF-3712-6A4A-CC15-D3B80AC95DE2}"/>
              </a:ext>
            </a:extLst>
          </xdr:cNvPr>
          <xdr:cNvCxnSpPr/>
        </xdr:nvCxnSpPr>
        <xdr:spPr>
          <a:xfrm flipV="1">
            <a:off x="971550" y="7067550"/>
            <a:ext cx="0" cy="280988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9" name="Straight Arrow Connector 2278">
            <a:extLst>
              <a:ext uri="{FF2B5EF4-FFF2-40B4-BE49-F238E27FC236}">
                <a16:creationId xmlns:a16="http://schemas.microsoft.com/office/drawing/2014/main" id="{29838717-B100-010D-5E58-36833FB8809E}"/>
              </a:ext>
            </a:extLst>
          </xdr:cNvPr>
          <xdr:cNvCxnSpPr/>
        </xdr:nvCxnSpPr>
        <xdr:spPr>
          <a:xfrm flipV="1">
            <a:off x="4210050" y="7067550"/>
            <a:ext cx="0" cy="280988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0" name="Straight Connector 2279">
            <a:extLst>
              <a:ext uri="{FF2B5EF4-FFF2-40B4-BE49-F238E27FC236}">
                <a16:creationId xmlns:a16="http://schemas.microsoft.com/office/drawing/2014/main" id="{C579B2D3-0BD7-982A-E967-74FC1F760C58}"/>
              </a:ext>
            </a:extLst>
          </xdr:cNvPr>
          <xdr:cNvCxnSpPr/>
        </xdr:nvCxnSpPr>
        <xdr:spPr>
          <a:xfrm>
            <a:off x="971551" y="7500938"/>
            <a:ext cx="0" cy="500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1" name="Straight Connector 2280">
            <a:extLst>
              <a:ext uri="{FF2B5EF4-FFF2-40B4-BE49-F238E27FC236}">
                <a16:creationId xmlns:a16="http://schemas.microsoft.com/office/drawing/2014/main" id="{42957BDA-9E14-B31B-E06F-B780D6F94718}"/>
              </a:ext>
            </a:extLst>
          </xdr:cNvPr>
          <xdr:cNvCxnSpPr/>
        </xdr:nvCxnSpPr>
        <xdr:spPr>
          <a:xfrm>
            <a:off x="895350" y="7639051"/>
            <a:ext cx="3381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2" name="Straight Connector 2281">
            <a:extLst>
              <a:ext uri="{FF2B5EF4-FFF2-40B4-BE49-F238E27FC236}">
                <a16:creationId xmlns:a16="http://schemas.microsoft.com/office/drawing/2014/main" id="{797D7F52-7F3B-7FB4-9BF8-E62E8A01C55F}"/>
              </a:ext>
            </a:extLst>
          </xdr:cNvPr>
          <xdr:cNvCxnSpPr/>
        </xdr:nvCxnSpPr>
        <xdr:spPr>
          <a:xfrm flipH="1">
            <a:off x="928687" y="760095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4" name="Straight Arrow Connector 2283">
            <a:extLst>
              <a:ext uri="{FF2B5EF4-FFF2-40B4-BE49-F238E27FC236}">
                <a16:creationId xmlns:a16="http://schemas.microsoft.com/office/drawing/2014/main" id="{97E67B94-2E43-56EB-4BB4-879F62C443C7}"/>
              </a:ext>
            </a:extLst>
          </xdr:cNvPr>
          <xdr:cNvCxnSpPr/>
        </xdr:nvCxnSpPr>
        <xdr:spPr>
          <a:xfrm flipV="1">
            <a:off x="2595563" y="6781801"/>
            <a:ext cx="0" cy="280988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5" name="Straight Connector 2284">
            <a:extLst>
              <a:ext uri="{FF2B5EF4-FFF2-40B4-BE49-F238E27FC236}">
                <a16:creationId xmlns:a16="http://schemas.microsoft.com/office/drawing/2014/main" id="{AB28F00E-05F0-FB4F-A76F-02360982F4C7}"/>
              </a:ext>
            </a:extLst>
          </xdr:cNvPr>
          <xdr:cNvCxnSpPr/>
        </xdr:nvCxnSpPr>
        <xdr:spPr>
          <a:xfrm>
            <a:off x="895350" y="7924802"/>
            <a:ext cx="3381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6" name="Straight Connector 2285">
            <a:extLst>
              <a:ext uri="{FF2B5EF4-FFF2-40B4-BE49-F238E27FC236}">
                <a16:creationId xmlns:a16="http://schemas.microsoft.com/office/drawing/2014/main" id="{71291999-F387-D4F9-5E28-C96FB4EF9906}"/>
              </a:ext>
            </a:extLst>
          </xdr:cNvPr>
          <xdr:cNvCxnSpPr/>
        </xdr:nvCxnSpPr>
        <xdr:spPr>
          <a:xfrm flipH="1">
            <a:off x="928687" y="7886702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7" name="Straight Connector 2286">
            <a:extLst>
              <a:ext uri="{FF2B5EF4-FFF2-40B4-BE49-F238E27FC236}">
                <a16:creationId xmlns:a16="http://schemas.microsoft.com/office/drawing/2014/main" id="{54B587CE-422A-80B6-7A9B-F6870BEA9E96}"/>
              </a:ext>
            </a:extLst>
          </xdr:cNvPr>
          <xdr:cNvCxnSpPr/>
        </xdr:nvCxnSpPr>
        <xdr:spPr>
          <a:xfrm>
            <a:off x="2590802" y="7219950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8" name="Straight Connector 2287">
            <a:extLst>
              <a:ext uri="{FF2B5EF4-FFF2-40B4-BE49-F238E27FC236}">
                <a16:creationId xmlns:a16="http://schemas.microsoft.com/office/drawing/2014/main" id="{D97F45D3-A642-B0CF-112C-1A7B2A72CB67}"/>
              </a:ext>
            </a:extLst>
          </xdr:cNvPr>
          <xdr:cNvCxnSpPr/>
        </xdr:nvCxnSpPr>
        <xdr:spPr>
          <a:xfrm flipH="1">
            <a:off x="2547938" y="759618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9" name="Straight Connector 2288">
            <a:extLst>
              <a:ext uri="{FF2B5EF4-FFF2-40B4-BE49-F238E27FC236}">
                <a16:creationId xmlns:a16="http://schemas.microsoft.com/office/drawing/2014/main" id="{89D59FD4-945E-3004-4B7E-BB785245D6A4}"/>
              </a:ext>
            </a:extLst>
          </xdr:cNvPr>
          <xdr:cNvCxnSpPr/>
        </xdr:nvCxnSpPr>
        <xdr:spPr>
          <a:xfrm>
            <a:off x="4210051" y="7500938"/>
            <a:ext cx="0" cy="500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0" name="Straight Connector 2289">
            <a:extLst>
              <a:ext uri="{FF2B5EF4-FFF2-40B4-BE49-F238E27FC236}">
                <a16:creationId xmlns:a16="http://schemas.microsoft.com/office/drawing/2014/main" id="{752B9333-DE3C-8F60-BF82-A96149BD3831}"/>
              </a:ext>
            </a:extLst>
          </xdr:cNvPr>
          <xdr:cNvCxnSpPr/>
        </xdr:nvCxnSpPr>
        <xdr:spPr>
          <a:xfrm flipH="1">
            <a:off x="4167187" y="760095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2" name="Straight Connector 2291">
            <a:extLst>
              <a:ext uri="{FF2B5EF4-FFF2-40B4-BE49-F238E27FC236}">
                <a16:creationId xmlns:a16="http://schemas.microsoft.com/office/drawing/2014/main" id="{C447867F-4C3D-134A-BD45-DB65E292428F}"/>
              </a:ext>
            </a:extLst>
          </xdr:cNvPr>
          <xdr:cNvCxnSpPr/>
        </xdr:nvCxnSpPr>
        <xdr:spPr>
          <a:xfrm flipH="1">
            <a:off x="4167187" y="7886702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5" name="Straight Connector 2294">
            <a:extLst>
              <a:ext uri="{FF2B5EF4-FFF2-40B4-BE49-F238E27FC236}">
                <a16:creationId xmlns:a16="http://schemas.microsoft.com/office/drawing/2014/main" id="{48FC5C84-44E1-2CB6-9BB6-29C204503A3D}"/>
              </a:ext>
            </a:extLst>
          </xdr:cNvPr>
          <xdr:cNvCxnSpPr/>
        </xdr:nvCxnSpPr>
        <xdr:spPr>
          <a:xfrm flipH="1" flipV="1">
            <a:off x="2476500" y="6348413"/>
            <a:ext cx="114300" cy="157162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6" name="Straight Arrow Connector 2295">
            <a:extLst>
              <a:ext uri="{FF2B5EF4-FFF2-40B4-BE49-F238E27FC236}">
                <a16:creationId xmlns:a16="http://schemas.microsoft.com/office/drawing/2014/main" id="{237C1D91-E2CF-2244-F15F-C5138F38BCEB}"/>
              </a:ext>
            </a:extLst>
          </xdr:cNvPr>
          <xdr:cNvCxnSpPr/>
        </xdr:nvCxnSpPr>
        <xdr:spPr>
          <a:xfrm>
            <a:off x="971550" y="7277100"/>
            <a:ext cx="495300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7" name="Straight Arrow Connector 2296">
            <a:extLst>
              <a:ext uri="{FF2B5EF4-FFF2-40B4-BE49-F238E27FC236}">
                <a16:creationId xmlns:a16="http://schemas.microsoft.com/office/drawing/2014/main" id="{2445883A-7717-3AE9-3A15-4E1E04B37DF3}"/>
              </a:ext>
            </a:extLst>
          </xdr:cNvPr>
          <xdr:cNvCxnSpPr/>
        </xdr:nvCxnSpPr>
        <xdr:spPr>
          <a:xfrm>
            <a:off x="2590800" y="7277100"/>
            <a:ext cx="495300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28575</xdr:colOff>
      <xdr:row>2276</xdr:row>
      <xdr:rowOff>9525</xdr:rowOff>
    </xdr:from>
    <xdr:to>
      <xdr:col>23</xdr:col>
      <xdr:colOff>85725</xdr:colOff>
      <xdr:row>2278</xdr:row>
      <xdr:rowOff>114300</xdr:rowOff>
    </xdr:to>
    <xdr:cxnSp macro="">
      <xdr:nvCxnSpPr>
        <xdr:cNvPr id="2298" name="Straight Connector 2297">
          <a:extLst>
            <a:ext uri="{FF2B5EF4-FFF2-40B4-BE49-F238E27FC236}">
              <a16:creationId xmlns:a16="http://schemas.microsoft.com/office/drawing/2014/main" id="{A58330B1-8B77-4E3B-BB2F-4E3D412716F0}"/>
            </a:ext>
          </a:extLst>
        </xdr:cNvPr>
        <xdr:cNvCxnSpPr/>
      </xdr:nvCxnSpPr>
      <xdr:spPr>
        <a:xfrm flipH="1" flipV="1">
          <a:off x="3590925" y="2076450"/>
          <a:ext cx="219075" cy="390525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2270</xdr:row>
      <xdr:rowOff>19050</xdr:rowOff>
    </xdr:from>
    <xdr:to>
      <xdr:col>24</xdr:col>
      <xdr:colOff>152400</xdr:colOff>
      <xdr:row>2273</xdr:row>
      <xdr:rowOff>0</xdr:rowOff>
    </xdr:to>
    <xdr:cxnSp macro="">
      <xdr:nvCxnSpPr>
        <xdr:cNvPr id="2301" name="Straight Connector 2300">
          <a:extLst>
            <a:ext uri="{FF2B5EF4-FFF2-40B4-BE49-F238E27FC236}">
              <a16:creationId xmlns:a16="http://schemas.microsoft.com/office/drawing/2014/main" id="{A7DD9BEB-DA7E-49CA-8CE1-B23DC4B61BE2}"/>
            </a:ext>
          </a:extLst>
        </xdr:cNvPr>
        <xdr:cNvCxnSpPr/>
      </xdr:nvCxnSpPr>
      <xdr:spPr>
        <a:xfrm flipV="1">
          <a:off x="3990975" y="1228725"/>
          <a:ext cx="47625" cy="409575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157163</xdr:colOff>
      <xdr:row>2466</xdr:row>
      <xdr:rowOff>71438</xdr:rowOff>
    </xdr:from>
    <xdr:to>
      <xdr:col>28</xdr:col>
      <xdr:colOff>0</xdr:colOff>
      <xdr:row>2475</xdr:row>
      <xdr:rowOff>76200</xdr:rowOff>
    </xdr:to>
    <xdr:grpSp>
      <xdr:nvGrpSpPr>
        <xdr:cNvPr id="2302" name="Group 2301">
          <a:extLst>
            <a:ext uri="{FF2B5EF4-FFF2-40B4-BE49-F238E27FC236}">
              <a16:creationId xmlns:a16="http://schemas.microsoft.com/office/drawing/2014/main" id="{561888DA-A325-4508-B2D4-27346380161F}"/>
            </a:ext>
          </a:extLst>
        </xdr:cNvPr>
        <xdr:cNvGrpSpPr/>
      </xdr:nvGrpSpPr>
      <xdr:grpSpPr>
        <a:xfrm>
          <a:off x="966788" y="370270088"/>
          <a:ext cx="3567112" cy="1290637"/>
          <a:chOff x="966788" y="29770388"/>
          <a:chExt cx="3567112" cy="1290637"/>
        </a:xfrm>
      </xdr:grpSpPr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F88AF98B-5389-B80A-3876-00A17773D036}"/>
              </a:ext>
            </a:extLst>
          </xdr:cNvPr>
          <xdr:cNvSpPr/>
        </xdr:nvSpPr>
        <xdr:spPr>
          <a:xfrm>
            <a:off x="971550" y="29994226"/>
            <a:ext cx="323850" cy="133349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BDAE1C86-E1FF-2B94-016B-5648D228F641}"/>
              </a:ext>
            </a:extLst>
          </xdr:cNvPr>
          <xdr:cNvSpPr/>
        </xdr:nvSpPr>
        <xdr:spPr>
          <a:xfrm>
            <a:off x="4210050" y="30008513"/>
            <a:ext cx="323850" cy="11906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A8746746-A96D-2058-D294-D44BD0BE8C5C}"/>
              </a:ext>
            </a:extLst>
          </xdr:cNvPr>
          <xdr:cNvSpPr/>
        </xdr:nvSpPr>
        <xdr:spPr>
          <a:xfrm>
            <a:off x="1133475" y="29770388"/>
            <a:ext cx="3243263" cy="71437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8" name="Isosceles Triangle 2307">
            <a:extLst>
              <a:ext uri="{FF2B5EF4-FFF2-40B4-BE49-F238E27FC236}">
                <a16:creationId xmlns:a16="http://schemas.microsoft.com/office/drawing/2014/main" id="{0EE12EEF-65E5-33E8-D18F-7F5A1393E080}"/>
              </a:ext>
            </a:extLst>
          </xdr:cNvPr>
          <xdr:cNvSpPr/>
        </xdr:nvSpPr>
        <xdr:spPr>
          <a:xfrm>
            <a:off x="1062037" y="29846587"/>
            <a:ext cx="147637" cy="138113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09" name="Straight Connector 2308">
            <a:extLst>
              <a:ext uri="{FF2B5EF4-FFF2-40B4-BE49-F238E27FC236}">
                <a16:creationId xmlns:a16="http://schemas.microsoft.com/office/drawing/2014/main" id="{D4801867-EF1B-82D5-1A27-9354CD6A7C40}"/>
              </a:ext>
            </a:extLst>
          </xdr:cNvPr>
          <xdr:cNvCxnSpPr/>
        </xdr:nvCxnSpPr>
        <xdr:spPr>
          <a:xfrm>
            <a:off x="966788" y="29984700"/>
            <a:ext cx="3286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10" name="Isosceles Triangle 2309">
            <a:extLst>
              <a:ext uri="{FF2B5EF4-FFF2-40B4-BE49-F238E27FC236}">
                <a16:creationId xmlns:a16="http://schemas.microsoft.com/office/drawing/2014/main" id="{6E3E1472-86A9-6115-1869-5DB1115DDD66}"/>
              </a:ext>
            </a:extLst>
          </xdr:cNvPr>
          <xdr:cNvSpPr/>
        </xdr:nvSpPr>
        <xdr:spPr>
          <a:xfrm>
            <a:off x="4310062" y="29856112"/>
            <a:ext cx="147637" cy="114301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12" name="Straight Connector 2311">
            <a:extLst>
              <a:ext uri="{FF2B5EF4-FFF2-40B4-BE49-F238E27FC236}">
                <a16:creationId xmlns:a16="http://schemas.microsoft.com/office/drawing/2014/main" id="{802DC73A-6DDE-6F22-32BD-ED9AE8E11D51}"/>
              </a:ext>
            </a:extLst>
          </xdr:cNvPr>
          <xdr:cNvCxnSpPr/>
        </xdr:nvCxnSpPr>
        <xdr:spPr>
          <a:xfrm>
            <a:off x="4205288" y="30003752"/>
            <a:ext cx="3286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3" name="Straight Arrow Connector 2312">
            <a:extLst>
              <a:ext uri="{FF2B5EF4-FFF2-40B4-BE49-F238E27FC236}">
                <a16:creationId xmlns:a16="http://schemas.microsoft.com/office/drawing/2014/main" id="{E99083B5-5707-BE5C-CC3A-36C3E451D255}"/>
              </a:ext>
            </a:extLst>
          </xdr:cNvPr>
          <xdr:cNvCxnSpPr/>
        </xdr:nvCxnSpPr>
        <xdr:spPr>
          <a:xfrm flipV="1">
            <a:off x="1133475" y="30127575"/>
            <a:ext cx="0" cy="280988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5" name="Straight Arrow Connector 2314">
            <a:extLst>
              <a:ext uri="{FF2B5EF4-FFF2-40B4-BE49-F238E27FC236}">
                <a16:creationId xmlns:a16="http://schemas.microsoft.com/office/drawing/2014/main" id="{BE5A8FE3-83E8-10FC-504B-E4F79C4A5843}"/>
              </a:ext>
            </a:extLst>
          </xdr:cNvPr>
          <xdr:cNvCxnSpPr/>
        </xdr:nvCxnSpPr>
        <xdr:spPr>
          <a:xfrm flipV="1">
            <a:off x="4371975" y="30127575"/>
            <a:ext cx="0" cy="280988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9" name="Straight Connector 2318">
            <a:extLst>
              <a:ext uri="{FF2B5EF4-FFF2-40B4-BE49-F238E27FC236}">
                <a16:creationId xmlns:a16="http://schemas.microsoft.com/office/drawing/2014/main" id="{2D2EADD9-30B3-EB91-0696-9ED351056EFE}"/>
              </a:ext>
            </a:extLst>
          </xdr:cNvPr>
          <xdr:cNvCxnSpPr/>
        </xdr:nvCxnSpPr>
        <xdr:spPr>
          <a:xfrm>
            <a:off x="1133476" y="30599063"/>
            <a:ext cx="0" cy="461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3" name="Straight Connector 2322">
            <a:extLst>
              <a:ext uri="{FF2B5EF4-FFF2-40B4-BE49-F238E27FC236}">
                <a16:creationId xmlns:a16="http://schemas.microsoft.com/office/drawing/2014/main" id="{B7B1FEB3-0622-9D05-1F40-22977E23EF19}"/>
              </a:ext>
            </a:extLst>
          </xdr:cNvPr>
          <xdr:cNvCxnSpPr/>
        </xdr:nvCxnSpPr>
        <xdr:spPr>
          <a:xfrm>
            <a:off x="1057275" y="30699076"/>
            <a:ext cx="3381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5" name="Straight Connector 2324">
            <a:extLst>
              <a:ext uri="{FF2B5EF4-FFF2-40B4-BE49-F238E27FC236}">
                <a16:creationId xmlns:a16="http://schemas.microsoft.com/office/drawing/2014/main" id="{0511575C-1363-72F7-AB1F-5543BCFEE3DD}"/>
              </a:ext>
            </a:extLst>
          </xdr:cNvPr>
          <xdr:cNvCxnSpPr/>
        </xdr:nvCxnSpPr>
        <xdr:spPr>
          <a:xfrm flipH="1">
            <a:off x="1090612" y="3066097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7" name="Straight Arrow Connector 2326">
            <a:extLst>
              <a:ext uri="{FF2B5EF4-FFF2-40B4-BE49-F238E27FC236}">
                <a16:creationId xmlns:a16="http://schemas.microsoft.com/office/drawing/2014/main" id="{6EFCA130-8701-07BB-B830-87E3CCA53713}"/>
              </a:ext>
            </a:extLst>
          </xdr:cNvPr>
          <xdr:cNvCxnSpPr/>
        </xdr:nvCxnSpPr>
        <xdr:spPr>
          <a:xfrm flipV="1">
            <a:off x="2747963" y="29856114"/>
            <a:ext cx="0" cy="261936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9" name="Straight Connector 2328">
            <a:extLst>
              <a:ext uri="{FF2B5EF4-FFF2-40B4-BE49-F238E27FC236}">
                <a16:creationId xmlns:a16="http://schemas.microsoft.com/office/drawing/2014/main" id="{9398A3DF-E866-66DA-5E51-AA9F7BCB015F}"/>
              </a:ext>
            </a:extLst>
          </xdr:cNvPr>
          <xdr:cNvCxnSpPr/>
        </xdr:nvCxnSpPr>
        <xdr:spPr>
          <a:xfrm>
            <a:off x="1057275" y="30984827"/>
            <a:ext cx="3381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1" name="Straight Connector 2330">
            <a:extLst>
              <a:ext uri="{FF2B5EF4-FFF2-40B4-BE49-F238E27FC236}">
                <a16:creationId xmlns:a16="http://schemas.microsoft.com/office/drawing/2014/main" id="{264945F9-2ACD-5EEB-89AB-059903EDD4A3}"/>
              </a:ext>
            </a:extLst>
          </xdr:cNvPr>
          <xdr:cNvCxnSpPr/>
        </xdr:nvCxnSpPr>
        <xdr:spPr>
          <a:xfrm flipH="1">
            <a:off x="1090612" y="30946727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2" name="Straight Connector 2331">
            <a:extLst>
              <a:ext uri="{FF2B5EF4-FFF2-40B4-BE49-F238E27FC236}">
                <a16:creationId xmlns:a16="http://schemas.microsoft.com/office/drawing/2014/main" id="{58E33772-5FA7-0DDF-EF19-1C8349B148E0}"/>
              </a:ext>
            </a:extLst>
          </xdr:cNvPr>
          <xdr:cNvCxnSpPr/>
        </xdr:nvCxnSpPr>
        <xdr:spPr>
          <a:xfrm>
            <a:off x="2752727" y="30308550"/>
            <a:ext cx="0" cy="461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3" name="Straight Connector 2332">
            <a:extLst>
              <a:ext uri="{FF2B5EF4-FFF2-40B4-BE49-F238E27FC236}">
                <a16:creationId xmlns:a16="http://schemas.microsoft.com/office/drawing/2014/main" id="{094018F2-3DE0-EBC6-29B0-838DBB2D00AF}"/>
              </a:ext>
            </a:extLst>
          </xdr:cNvPr>
          <xdr:cNvCxnSpPr/>
        </xdr:nvCxnSpPr>
        <xdr:spPr>
          <a:xfrm flipH="1">
            <a:off x="2709863" y="3065621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4" name="Straight Connector 2333">
            <a:extLst>
              <a:ext uri="{FF2B5EF4-FFF2-40B4-BE49-F238E27FC236}">
                <a16:creationId xmlns:a16="http://schemas.microsoft.com/office/drawing/2014/main" id="{E1B50C73-5C18-CD48-F33D-3F60F7CC4521}"/>
              </a:ext>
            </a:extLst>
          </xdr:cNvPr>
          <xdr:cNvCxnSpPr/>
        </xdr:nvCxnSpPr>
        <xdr:spPr>
          <a:xfrm>
            <a:off x="4371976" y="30599063"/>
            <a:ext cx="0" cy="461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5" name="Straight Connector 2334">
            <a:extLst>
              <a:ext uri="{FF2B5EF4-FFF2-40B4-BE49-F238E27FC236}">
                <a16:creationId xmlns:a16="http://schemas.microsoft.com/office/drawing/2014/main" id="{E2D99ADC-06E5-86DC-C070-90DD40AA606D}"/>
              </a:ext>
            </a:extLst>
          </xdr:cNvPr>
          <xdr:cNvCxnSpPr/>
        </xdr:nvCxnSpPr>
        <xdr:spPr>
          <a:xfrm flipH="1">
            <a:off x="4329112" y="3066097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6" name="Straight Connector 2335">
            <a:extLst>
              <a:ext uri="{FF2B5EF4-FFF2-40B4-BE49-F238E27FC236}">
                <a16:creationId xmlns:a16="http://schemas.microsoft.com/office/drawing/2014/main" id="{8E59EF0A-658E-8B35-C152-25D97C7E1A99}"/>
              </a:ext>
            </a:extLst>
          </xdr:cNvPr>
          <xdr:cNvCxnSpPr/>
        </xdr:nvCxnSpPr>
        <xdr:spPr>
          <a:xfrm flipH="1">
            <a:off x="4329112" y="30946727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57150</xdr:colOff>
      <xdr:row>2444</xdr:row>
      <xdr:rowOff>66675</xdr:rowOff>
    </xdr:from>
    <xdr:to>
      <xdr:col>8</xdr:col>
      <xdr:colOff>109537</xdr:colOff>
      <xdr:row>2444</xdr:row>
      <xdr:rowOff>66675</xdr:rowOff>
    </xdr:to>
    <xdr:cxnSp macro="">
      <xdr:nvCxnSpPr>
        <xdr:cNvPr id="2337" name="Straight Arrow Connector 2336">
          <a:extLst>
            <a:ext uri="{FF2B5EF4-FFF2-40B4-BE49-F238E27FC236}">
              <a16:creationId xmlns:a16="http://schemas.microsoft.com/office/drawing/2014/main" id="{A4BDFF2B-681C-4E4A-B1E2-AED76CC0DD14}"/>
            </a:ext>
          </a:extLst>
        </xdr:cNvPr>
        <xdr:cNvCxnSpPr/>
      </xdr:nvCxnSpPr>
      <xdr:spPr>
        <a:xfrm>
          <a:off x="1190625" y="266223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57150</xdr:colOff>
      <xdr:row>2444</xdr:row>
      <xdr:rowOff>66675</xdr:rowOff>
    </xdr:from>
    <xdr:to>
      <xdr:col>31</xdr:col>
      <xdr:colOff>109537</xdr:colOff>
      <xdr:row>2444</xdr:row>
      <xdr:rowOff>66675</xdr:rowOff>
    </xdr:to>
    <xdr:cxnSp macro="">
      <xdr:nvCxnSpPr>
        <xdr:cNvPr id="2338" name="Straight Arrow Connector 2337">
          <a:extLst>
            <a:ext uri="{FF2B5EF4-FFF2-40B4-BE49-F238E27FC236}">
              <a16:creationId xmlns:a16="http://schemas.microsoft.com/office/drawing/2014/main" id="{79ECE796-4FAA-435C-B76C-83C653C44E60}"/>
            </a:ext>
          </a:extLst>
        </xdr:cNvPr>
        <xdr:cNvCxnSpPr/>
      </xdr:nvCxnSpPr>
      <xdr:spPr>
        <a:xfrm>
          <a:off x="4914900" y="266223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85723</xdr:colOff>
      <xdr:row>2414</xdr:row>
      <xdr:rowOff>4762</xdr:rowOff>
    </xdr:from>
    <xdr:to>
      <xdr:col>34</xdr:col>
      <xdr:colOff>85723</xdr:colOff>
      <xdr:row>2425</xdr:row>
      <xdr:rowOff>66675</xdr:rowOff>
    </xdr:to>
    <xdr:grpSp>
      <xdr:nvGrpSpPr>
        <xdr:cNvPr id="2339" name="Group 2338">
          <a:extLst>
            <a:ext uri="{FF2B5EF4-FFF2-40B4-BE49-F238E27FC236}">
              <a16:creationId xmlns:a16="http://schemas.microsoft.com/office/drawing/2014/main" id="{3591010B-2345-4BAE-9FB6-8C3AABE208F3}"/>
            </a:ext>
          </a:extLst>
        </xdr:cNvPr>
        <xdr:cNvGrpSpPr/>
      </xdr:nvGrpSpPr>
      <xdr:grpSpPr>
        <a:xfrm>
          <a:off x="895348" y="362773912"/>
          <a:ext cx="4695825" cy="1633538"/>
          <a:chOff x="895348" y="22274212"/>
          <a:chExt cx="4695825" cy="1633538"/>
        </a:xfrm>
      </xdr:grpSpPr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B87AB549-4F38-6291-90A8-8156D71DB633}"/>
              </a:ext>
            </a:extLst>
          </xdr:cNvPr>
          <xdr:cNvSpPr/>
        </xdr:nvSpPr>
        <xdr:spPr>
          <a:xfrm>
            <a:off x="3076581" y="23060023"/>
            <a:ext cx="323850" cy="12382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21338554-F8DD-539B-3188-09E99A6D4813}"/>
              </a:ext>
            </a:extLst>
          </xdr:cNvPr>
          <xdr:cNvSpPr/>
        </xdr:nvSpPr>
        <xdr:spPr>
          <a:xfrm>
            <a:off x="976319" y="22793321"/>
            <a:ext cx="4529137" cy="95254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2" name="Isosceles Triangle 2341">
            <a:extLst>
              <a:ext uri="{FF2B5EF4-FFF2-40B4-BE49-F238E27FC236}">
                <a16:creationId xmlns:a16="http://schemas.microsoft.com/office/drawing/2014/main" id="{C7AE1C1F-5EC2-21DA-F4E0-CB599C1B525B}"/>
              </a:ext>
            </a:extLst>
          </xdr:cNvPr>
          <xdr:cNvSpPr/>
        </xdr:nvSpPr>
        <xdr:spPr>
          <a:xfrm>
            <a:off x="3148019" y="22887424"/>
            <a:ext cx="190500" cy="1642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343" name="Straight Connector 2342">
            <a:extLst>
              <a:ext uri="{FF2B5EF4-FFF2-40B4-BE49-F238E27FC236}">
                <a16:creationId xmlns:a16="http://schemas.microsoft.com/office/drawing/2014/main" id="{F1FB73B4-159C-2577-46A8-B72681D60D95}"/>
              </a:ext>
            </a:extLst>
          </xdr:cNvPr>
          <xdr:cNvCxnSpPr/>
        </xdr:nvCxnSpPr>
        <xdr:spPr>
          <a:xfrm>
            <a:off x="3076584" y="23050498"/>
            <a:ext cx="32384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4" name="Straight Arrow Connector 2343">
            <a:extLst>
              <a:ext uri="{FF2B5EF4-FFF2-40B4-BE49-F238E27FC236}">
                <a16:creationId xmlns:a16="http://schemas.microsoft.com/office/drawing/2014/main" id="{3EC0D9F8-C8D8-641A-E727-6BB56D7B503A}"/>
              </a:ext>
            </a:extLst>
          </xdr:cNvPr>
          <xdr:cNvCxnSpPr/>
        </xdr:nvCxnSpPr>
        <xdr:spPr>
          <a:xfrm>
            <a:off x="3238507" y="22555200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6" name="Straight Arrow Connector 2345">
            <a:extLst>
              <a:ext uri="{FF2B5EF4-FFF2-40B4-BE49-F238E27FC236}">
                <a16:creationId xmlns:a16="http://schemas.microsoft.com/office/drawing/2014/main" id="{9D5BB970-7827-93B1-2681-4097E3BB3446}"/>
              </a:ext>
            </a:extLst>
          </xdr:cNvPr>
          <xdr:cNvCxnSpPr/>
        </xdr:nvCxnSpPr>
        <xdr:spPr>
          <a:xfrm>
            <a:off x="3562358" y="22559962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7" name="Straight Arrow Connector 2346">
            <a:extLst>
              <a:ext uri="{FF2B5EF4-FFF2-40B4-BE49-F238E27FC236}">
                <a16:creationId xmlns:a16="http://schemas.microsoft.com/office/drawing/2014/main" id="{9F5DE979-D6E1-5289-FBAA-5882C7B70CD8}"/>
              </a:ext>
            </a:extLst>
          </xdr:cNvPr>
          <xdr:cNvCxnSpPr/>
        </xdr:nvCxnSpPr>
        <xdr:spPr>
          <a:xfrm>
            <a:off x="3886207" y="22559962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9" name="Straight Arrow Connector 2348">
            <a:extLst>
              <a:ext uri="{FF2B5EF4-FFF2-40B4-BE49-F238E27FC236}">
                <a16:creationId xmlns:a16="http://schemas.microsoft.com/office/drawing/2014/main" id="{BD521F1A-AC79-1581-900A-34FA9307B453}"/>
              </a:ext>
            </a:extLst>
          </xdr:cNvPr>
          <xdr:cNvCxnSpPr/>
        </xdr:nvCxnSpPr>
        <xdr:spPr>
          <a:xfrm>
            <a:off x="4210058" y="22555199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1" name="Straight Arrow Connector 2350">
            <a:extLst>
              <a:ext uri="{FF2B5EF4-FFF2-40B4-BE49-F238E27FC236}">
                <a16:creationId xmlns:a16="http://schemas.microsoft.com/office/drawing/2014/main" id="{ECE3A11D-DC48-146B-9D13-735CB285FB4A}"/>
              </a:ext>
            </a:extLst>
          </xdr:cNvPr>
          <xdr:cNvCxnSpPr/>
        </xdr:nvCxnSpPr>
        <xdr:spPr>
          <a:xfrm>
            <a:off x="4533907" y="22555200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4" name="Straight Arrow Connector 2353">
            <a:extLst>
              <a:ext uri="{FF2B5EF4-FFF2-40B4-BE49-F238E27FC236}">
                <a16:creationId xmlns:a16="http://schemas.microsoft.com/office/drawing/2014/main" id="{44E607F1-4E35-20EC-8BBE-353AC25EA2CC}"/>
              </a:ext>
            </a:extLst>
          </xdr:cNvPr>
          <xdr:cNvCxnSpPr/>
        </xdr:nvCxnSpPr>
        <xdr:spPr>
          <a:xfrm>
            <a:off x="4857758" y="22559962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5" name="Straight Arrow Connector 2354">
            <a:extLst>
              <a:ext uri="{FF2B5EF4-FFF2-40B4-BE49-F238E27FC236}">
                <a16:creationId xmlns:a16="http://schemas.microsoft.com/office/drawing/2014/main" id="{D054F610-A293-0ECF-F1C1-2979588F3F52}"/>
              </a:ext>
            </a:extLst>
          </xdr:cNvPr>
          <xdr:cNvCxnSpPr/>
        </xdr:nvCxnSpPr>
        <xdr:spPr>
          <a:xfrm>
            <a:off x="5181607" y="22559962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6" name="Straight Arrow Connector 2355">
            <a:extLst>
              <a:ext uri="{FF2B5EF4-FFF2-40B4-BE49-F238E27FC236}">
                <a16:creationId xmlns:a16="http://schemas.microsoft.com/office/drawing/2014/main" id="{400BB9DC-76DD-44D0-740A-3D3C9B2EE7BA}"/>
              </a:ext>
            </a:extLst>
          </xdr:cNvPr>
          <xdr:cNvCxnSpPr/>
        </xdr:nvCxnSpPr>
        <xdr:spPr>
          <a:xfrm>
            <a:off x="5505458" y="22283738"/>
            <a:ext cx="0" cy="50482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7" name="Straight Connector 2356">
            <a:extLst>
              <a:ext uri="{FF2B5EF4-FFF2-40B4-BE49-F238E27FC236}">
                <a16:creationId xmlns:a16="http://schemas.microsoft.com/office/drawing/2014/main" id="{06A79051-6FBB-DDC0-224F-A934E0C18386}"/>
              </a:ext>
            </a:extLst>
          </xdr:cNvPr>
          <xdr:cNvCxnSpPr/>
        </xdr:nvCxnSpPr>
        <xdr:spPr>
          <a:xfrm flipH="1">
            <a:off x="976319" y="22555200"/>
            <a:ext cx="45291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8" name="Straight Arrow Connector 2357">
            <a:extLst>
              <a:ext uri="{FF2B5EF4-FFF2-40B4-BE49-F238E27FC236}">
                <a16:creationId xmlns:a16="http://schemas.microsoft.com/office/drawing/2014/main" id="{461AE035-DDEA-1D02-5A2B-FC076CA190FC}"/>
              </a:ext>
            </a:extLst>
          </xdr:cNvPr>
          <xdr:cNvCxnSpPr/>
        </xdr:nvCxnSpPr>
        <xdr:spPr>
          <a:xfrm>
            <a:off x="1290644" y="22550437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9" name="Straight Arrow Connector 2358">
            <a:extLst>
              <a:ext uri="{FF2B5EF4-FFF2-40B4-BE49-F238E27FC236}">
                <a16:creationId xmlns:a16="http://schemas.microsoft.com/office/drawing/2014/main" id="{3B4E621C-36CE-28A9-86EE-999AA9AAD05F}"/>
              </a:ext>
            </a:extLst>
          </xdr:cNvPr>
          <xdr:cNvCxnSpPr/>
        </xdr:nvCxnSpPr>
        <xdr:spPr>
          <a:xfrm>
            <a:off x="1614493" y="22559962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0" name="Straight Arrow Connector 2359">
            <a:extLst>
              <a:ext uri="{FF2B5EF4-FFF2-40B4-BE49-F238E27FC236}">
                <a16:creationId xmlns:a16="http://schemas.microsoft.com/office/drawing/2014/main" id="{4C9B1EBD-BE00-0319-BC54-2E8800C72BB3}"/>
              </a:ext>
            </a:extLst>
          </xdr:cNvPr>
          <xdr:cNvCxnSpPr/>
        </xdr:nvCxnSpPr>
        <xdr:spPr>
          <a:xfrm>
            <a:off x="1938344" y="22555199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1" name="Straight Arrow Connector 2360">
            <a:extLst>
              <a:ext uri="{FF2B5EF4-FFF2-40B4-BE49-F238E27FC236}">
                <a16:creationId xmlns:a16="http://schemas.microsoft.com/office/drawing/2014/main" id="{15A68B83-0CC6-A49D-6C54-5B1E54493298}"/>
              </a:ext>
            </a:extLst>
          </xdr:cNvPr>
          <xdr:cNvCxnSpPr/>
        </xdr:nvCxnSpPr>
        <xdr:spPr>
          <a:xfrm>
            <a:off x="2262193" y="22555200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2" name="Straight Arrow Connector 2361">
            <a:extLst>
              <a:ext uri="{FF2B5EF4-FFF2-40B4-BE49-F238E27FC236}">
                <a16:creationId xmlns:a16="http://schemas.microsoft.com/office/drawing/2014/main" id="{1A2B2B1E-3D42-B0DF-2699-CB6A89B1A13B}"/>
              </a:ext>
            </a:extLst>
          </xdr:cNvPr>
          <xdr:cNvCxnSpPr/>
        </xdr:nvCxnSpPr>
        <xdr:spPr>
          <a:xfrm>
            <a:off x="2586044" y="22559962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3" name="Straight Arrow Connector 2362">
            <a:extLst>
              <a:ext uri="{FF2B5EF4-FFF2-40B4-BE49-F238E27FC236}">
                <a16:creationId xmlns:a16="http://schemas.microsoft.com/office/drawing/2014/main" id="{59C6396D-A02D-9B50-CC1F-52ADB9EBDA25}"/>
              </a:ext>
            </a:extLst>
          </xdr:cNvPr>
          <xdr:cNvCxnSpPr/>
        </xdr:nvCxnSpPr>
        <xdr:spPr>
          <a:xfrm>
            <a:off x="2909893" y="22559962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4" name="Straight Connector 2363">
            <a:extLst>
              <a:ext uri="{FF2B5EF4-FFF2-40B4-BE49-F238E27FC236}">
                <a16:creationId xmlns:a16="http://schemas.microsoft.com/office/drawing/2014/main" id="{44B6D9B8-2F26-C6F7-8CFB-EECC411A5AD3}"/>
              </a:ext>
            </a:extLst>
          </xdr:cNvPr>
          <xdr:cNvCxnSpPr/>
        </xdr:nvCxnSpPr>
        <xdr:spPr>
          <a:xfrm flipH="1" flipV="1">
            <a:off x="4000500" y="22398038"/>
            <a:ext cx="209550" cy="22860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5" name="Straight Connector 2364">
            <a:extLst>
              <a:ext uri="{FF2B5EF4-FFF2-40B4-BE49-F238E27FC236}">
                <a16:creationId xmlns:a16="http://schemas.microsoft.com/office/drawing/2014/main" id="{A96D4412-027C-C57F-B6A1-395C9BC49C7E}"/>
              </a:ext>
            </a:extLst>
          </xdr:cNvPr>
          <xdr:cNvCxnSpPr/>
        </xdr:nvCxnSpPr>
        <xdr:spPr>
          <a:xfrm>
            <a:off x="971550" y="22960013"/>
            <a:ext cx="0" cy="947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6" name="Straight Connector 2365">
            <a:extLst>
              <a:ext uri="{FF2B5EF4-FFF2-40B4-BE49-F238E27FC236}">
                <a16:creationId xmlns:a16="http://schemas.microsoft.com/office/drawing/2014/main" id="{2BB0C647-18A1-3ABE-7FED-8ED5F54B407D}"/>
              </a:ext>
            </a:extLst>
          </xdr:cNvPr>
          <xdr:cNvCxnSpPr/>
        </xdr:nvCxnSpPr>
        <xdr:spPr>
          <a:xfrm>
            <a:off x="895348" y="23841074"/>
            <a:ext cx="4695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7" name="Straight Connector 2366">
            <a:extLst>
              <a:ext uri="{FF2B5EF4-FFF2-40B4-BE49-F238E27FC236}">
                <a16:creationId xmlns:a16="http://schemas.microsoft.com/office/drawing/2014/main" id="{04B565CC-89FE-F37B-B822-595F9D4EEB10}"/>
              </a:ext>
            </a:extLst>
          </xdr:cNvPr>
          <xdr:cNvCxnSpPr/>
        </xdr:nvCxnSpPr>
        <xdr:spPr>
          <a:xfrm flipH="1">
            <a:off x="933451" y="2380297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8" name="Straight Connector 2367">
            <a:extLst>
              <a:ext uri="{FF2B5EF4-FFF2-40B4-BE49-F238E27FC236}">
                <a16:creationId xmlns:a16="http://schemas.microsoft.com/office/drawing/2014/main" id="{9C0FF13B-12E3-F2FB-B28D-B06FE1367994}"/>
              </a:ext>
            </a:extLst>
          </xdr:cNvPr>
          <xdr:cNvCxnSpPr/>
        </xdr:nvCxnSpPr>
        <xdr:spPr>
          <a:xfrm>
            <a:off x="3238501" y="23569613"/>
            <a:ext cx="0" cy="3381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7" name="Straight Connector 2386">
            <a:extLst>
              <a:ext uri="{FF2B5EF4-FFF2-40B4-BE49-F238E27FC236}">
                <a16:creationId xmlns:a16="http://schemas.microsoft.com/office/drawing/2014/main" id="{D66CAC65-C6F0-7A79-E6CB-12D7F59A56FA}"/>
              </a:ext>
            </a:extLst>
          </xdr:cNvPr>
          <xdr:cNvCxnSpPr/>
        </xdr:nvCxnSpPr>
        <xdr:spPr>
          <a:xfrm flipH="1">
            <a:off x="3200402" y="2380297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8" name="Straight Connector 2387">
            <a:extLst>
              <a:ext uri="{FF2B5EF4-FFF2-40B4-BE49-F238E27FC236}">
                <a16:creationId xmlns:a16="http://schemas.microsoft.com/office/drawing/2014/main" id="{CF6E8F23-7AB8-3F34-3BEA-5E9A4F9BCA33}"/>
              </a:ext>
            </a:extLst>
          </xdr:cNvPr>
          <xdr:cNvCxnSpPr/>
        </xdr:nvCxnSpPr>
        <xdr:spPr>
          <a:xfrm>
            <a:off x="5505451" y="23021925"/>
            <a:ext cx="0" cy="885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9" name="Straight Connector 2388">
            <a:extLst>
              <a:ext uri="{FF2B5EF4-FFF2-40B4-BE49-F238E27FC236}">
                <a16:creationId xmlns:a16="http://schemas.microsoft.com/office/drawing/2014/main" id="{2D8EE9D0-91FC-D819-A84E-881251CA389D}"/>
              </a:ext>
            </a:extLst>
          </xdr:cNvPr>
          <xdr:cNvCxnSpPr/>
        </xdr:nvCxnSpPr>
        <xdr:spPr>
          <a:xfrm flipH="1">
            <a:off x="5467352" y="2380297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0" name="Straight Arrow Connector 2389">
            <a:extLst>
              <a:ext uri="{FF2B5EF4-FFF2-40B4-BE49-F238E27FC236}">
                <a16:creationId xmlns:a16="http://schemas.microsoft.com/office/drawing/2014/main" id="{FBCA2A56-4F1E-3ACD-A901-99D193ED28D9}"/>
              </a:ext>
            </a:extLst>
          </xdr:cNvPr>
          <xdr:cNvCxnSpPr/>
        </xdr:nvCxnSpPr>
        <xdr:spPr>
          <a:xfrm flipV="1">
            <a:off x="3238500" y="23183849"/>
            <a:ext cx="0" cy="223839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2" name="Straight Arrow Connector 2391">
            <a:extLst>
              <a:ext uri="{FF2B5EF4-FFF2-40B4-BE49-F238E27FC236}">
                <a16:creationId xmlns:a16="http://schemas.microsoft.com/office/drawing/2014/main" id="{771C913A-40BF-BF58-B99B-733B739A5ACF}"/>
              </a:ext>
            </a:extLst>
          </xdr:cNvPr>
          <xdr:cNvCxnSpPr/>
        </xdr:nvCxnSpPr>
        <xdr:spPr>
          <a:xfrm>
            <a:off x="971550" y="22274212"/>
            <a:ext cx="0" cy="50482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1" name="Straight Arrow Connector 2400">
            <a:extLst>
              <a:ext uri="{FF2B5EF4-FFF2-40B4-BE49-F238E27FC236}">
                <a16:creationId xmlns:a16="http://schemas.microsoft.com/office/drawing/2014/main" id="{B6E5F5F1-8378-96D1-2F5F-11467FF5FE52}"/>
              </a:ext>
            </a:extLst>
          </xdr:cNvPr>
          <xdr:cNvCxnSpPr/>
        </xdr:nvCxnSpPr>
        <xdr:spPr>
          <a:xfrm>
            <a:off x="3228975" y="23336250"/>
            <a:ext cx="590550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5" name="Straight Arrow Connector 2404">
            <a:extLst>
              <a:ext uri="{FF2B5EF4-FFF2-40B4-BE49-F238E27FC236}">
                <a16:creationId xmlns:a16="http://schemas.microsoft.com/office/drawing/2014/main" id="{47706B37-BACB-8C71-3490-499CB7830B08}"/>
              </a:ext>
            </a:extLst>
          </xdr:cNvPr>
          <xdr:cNvCxnSpPr/>
        </xdr:nvCxnSpPr>
        <xdr:spPr>
          <a:xfrm>
            <a:off x="962025" y="23336250"/>
            <a:ext cx="590550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57150</xdr:colOff>
      <xdr:row>2443</xdr:row>
      <xdr:rowOff>66675</xdr:rowOff>
    </xdr:from>
    <xdr:to>
      <xdr:col>8</xdr:col>
      <xdr:colOff>109537</xdr:colOff>
      <xdr:row>2443</xdr:row>
      <xdr:rowOff>66675</xdr:rowOff>
    </xdr:to>
    <xdr:cxnSp macro="">
      <xdr:nvCxnSpPr>
        <xdr:cNvPr id="2417" name="Straight Arrow Connector 2416">
          <a:extLst>
            <a:ext uri="{FF2B5EF4-FFF2-40B4-BE49-F238E27FC236}">
              <a16:creationId xmlns:a16="http://schemas.microsoft.com/office/drawing/2014/main" id="{370BC41F-41D8-422A-A00B-40712818FEC0}"/>
            </a:ext>
          </a:extLst>
        </xdr:cNvPr>
        <xdr:cNvCxnSpPr/>
      </xdr:nvCxnSpPr>
      <xdr:spPr>
        <a:xfrm>
          <a:off x="1190625" y="26479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57150</xdr:colOff>
      <xdr:row>2443</xdr:row>
      <xdr:rowOff>66675</xdr:rowOff>
    </xdr:from>
    <xdr:to>
      <xdr:col>36</xdr:col>
      <xdr:colOff>109537</xdr:colOff>
      <xdr:row>2443</xdr:row>
      <xdr:rowOff>66675</xdr:rowOff>
    </xdr:to>
    <xdr:cxnSp macro="">
      <xdr:nvCxnSpPr>
        <xdr:cNvPr id="2418" name="Straight Arrow Connector 2417">
          <a:extLst>
            <a:ext uri="{FF2B5EF4-FFF2-40B4-BE49-F238E27FC236}">
              <a16:creationId xmlns:a16="http://schemas.microsoft.com/office/drawing/2014/main" id="{3696DF33-4CA2-4765-AF5D-B46792EB2D0E}"/>
            </a:ext>
          </a:extLst>
        </xdr:cNvPr>
        <xdr:cNvCxnSpPr/>
      </xdr:nvCxnSpPr>
      <xdr:spPr>
        <a:xfrm>
          <a:off x="5724525" y="26479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2447</xdr:row>
      <xdr:rowOff>66675</xdr:rowOff>
    </xdr:from>
    <xdr:to>
      <xdr:col>12</xdr:col>
      <xdr:colOff>109537</xdr:colOff>
      <xdr:row>2447</xdr:row>
      <xdr:rowOff>66675</xdr:rowOff>
    </xdr:to>
    <xdr:cxnSp macro="">
      <xdr:nvCxnSpPr>
        <xdr:cNvPr id="2420" name="Straight Arrow Connector 2419">
          <a:extLst>
            <a:ext uri="{FF2B5EF4-FFF2-40B4-BE49-F238E27FC236}">
              <a16:creationId xmlns:a16="http://schemas.microsoft.com/office/drawing/2014/main" id="{85499FB0-615C-4033-A615-42136F2CAC54}"/>
            </a:ext>
          </a:extLst>
        </xdr:cNvPr>
        <xdr:cNvCxnSpPr/>
      </xdr:nvCxnSpPr>
      <xdr:spPr>
        <a:xfrm>
          <a:off x="1838325" y="270510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57150</xdr:colOff>
      <xdr:row>2447</xdr:row>
      <xdr:rowOff>66675</xdr:rowOff>
    </xdr:from>
    <xdr:to>
      <xdr:col>25</xdr:col>
      <xdr:colOff>109537</xdr:colOff>
      <xdr:row>2447</xdr:row>
      <xdr:rowOff>66675</xdr:rowOff>
    </xdr:to>
    <xdr:cxnSp macro="">
      <xdr:nvCxnSpPr>
        <xdr:cNvPr id="2422" name="Straight Arrow Connector 2421">
          <a:extLst>
            <a:ext uri="{FF2B5EF4-FFF2-40B4-BE49-F238E27FC236}">
              <a16:creationId xmlns:a16="http://schemas.microsoft.com/office/drawing/2014/main" id="{BBDC761D-D89A-4D1C-8194-4FE69EA98C97}"/>
            </a:ext>
          </a:extLst>
        </xdr:cNvPr>
        <xdr:cNvCxnSpPr/>
      </xdr:nvCxnSpPr>
      <xdr:spPr>
        <a:xfrm>
          <a:off x="3943350" y="270510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4763</xdr:colOff>
      <xdr:row>2382</xdr:row>
      <xdr:rowOff>23808</xdr:rowOff>
    </xdr:from>
    <xdr:to>
      <xdr:col>44</xdr:col>
      <xdr:colOff>85723</xdr:colOff>
      <xdr:row>2407</xdr:row>
      <xdr:rowOff>85041</xdr:rowOff>
    </xdr:to>
    <xdr:grpSp>
      <xdr:nvGrpSpPr>
        <xdr:cNvPr id="2423" name="Group 2422">
          <a:extLst>
            <a:ext uri="{FF2B5EF4-FFF2-40B4-BE49-F238E27FC236}">
              <a16:creationId xmlns:a16="http://schemas.microsoft.com/office/drawing/2014/main" id="{3AF4DA15-549B-4A01-8935-8CF15C4F9DAE}"/>
            </a:ext>
          </a:extLst>
        </xdr:cNvPr>
        <xdr:cNvGrpSpPr/>
      </xdr:nvGrpSpPr>
      <xdr:grpSpPr>
        <a:xfrm>
          <a:off x="652463" y="358220958"/>
          <a:ext cx="6557960" cy="3633108"/>
          <a:chOff x="652463" y="17721258"/>
          <a:chExt cx="6557960" cy="3633108"/>
        </a:xfrm>
      </xdr:grpSpPr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A6CE0F17-246F-BF29-0F16-18892EC4B2CC}"/>
              </a:ext>
            </a:extLst>
          </xdr:cNvPr>
          <xdr:cNvSpPr/>
        </xdr:nvSpPr>
        <xdr:spPr>
          <a:xfrm>
            <a:off x="4695831" y="20059648"/>
            <a:ext cx="323850" cy="12382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871799FD-9F37-3CA7-D3FD-06EE80F0F248}"/>
              </a:ext>
            </a:extLst>
          </xdr:cNvPr>
          <xdr:cNvSpPr/>
        </xdr:nvSpPr>
        <xdr:spPr>
          <a:xfrm>
            <a:off x="2595569" y="19792946"/>
            <a:ext cx="4529137" cy="95254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7" name="Isosceles Triangle 2426">
            <a:extLst>
              <a:ext uri="{FF2B5EF4-FFF2-40B4-BE49-F238E27FC236}">
                <a16:creationId xmlns:a16="http://schemas.microsoft.com/office/drawing/2014/main" id="{629BF630-37CE-0530-E9DE-86806291B790}"/>
              </a:ext>
            </a:extLst>
          </xdr:cNvPr>
          <xdr:cNvSpPr/>
        </xdr:nvSpPr>
        <xdr:spPr>
          <a:xfrm>
            <a:off x="4767269" y="19887049"/>
            <a:ext cx="190500" cy="16422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442" name="Straight Connector 2441">
            <a:extLst>
              <a:ext uri="{FF2B5EF4-FFF2-40B4-BE49-F238E27FC236}">
                <a16:creationId xmlns:a16="http://schemas.microsoft.com/office/drawing/2014/main" id="{F76C93D4-B123-F7FA-24E7-48138CB437BE}"/>
              </a:ext>
            </a:extLst>
          </xdr:cNvPr>
          <xdr:cNvCxnSpPr/>
        </xdr:nvCxnSpPr>
        <xdr:spPr>
          <a:xfrm>
            <a:off x="4695834" y="20050123"/>
            <a:ext cx="32384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3" name="Straight Arrow Connector 2442">
            <a:extLst>
              <a:ext uri="{FF2B5EF4-FFF2-40B4-BE49-F238E27FC236}">
                <a16:creationId xmlns:a16="http://schemas.microsoft.com/office/drawing/2014/main" id="{860A923E-E0C9-E8CA-0F9C-BCABA6D1002E}"/>
              </a:ext>
            </a:extLst>
          </xdr:cNvPr>
          <xdr:cNvCxnSpPr/>
        </xdr:nvCxnSpPr>
        <xdr:spPr>
          <a:xfrm>
            <a:off x="4857757" y="19554825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4" name="Straight Arrow Connector 2443">
            <a:extLst>
              <a:ext uri="{FF2B5EF4-FFF2-40B4-BE49-F238E27FC236}">
                <a16:creationId xmlns:a16="http://schemas.microsoft.com/office/drawing/2014/main" id="{8E33572C-DBB3-8C2E-9C08-E3B9BEB028C3}"/>
              </a:ext>
            </a:extLst>
          </xdr:cNvPr>
          <xdr:cNvCxnSpPr/>
        </xdr:nvCxnSpPr>
        <xdr:spPr>
          <a:xfrm>
            <a:off x="5181608" y="19550062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5" name="Straight Arrow Connector 2444">
            <a:extLst>
              <a:ext uri="{FF2B5EF4-FFF2-40B4-BE49-F238E27FC236}">
                <a16:creationId xmlns:a16="http://schemas.microsoft.com/office/drawing/2014/main" id="{BFF84E6C-B21A-6D45-0DA5-D12E30F2FAD2}"/>
              </a:ext>
            </a:extLst>
          </xdr:cNvPr>
          <xdr:cNvCxnSpPr/>
        </xdr:nvCxnSpPr>
        <xdr:spPr>
          <a:xfrm>
            <a:off x="5505457" y="19559587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6" name="Straight Arrow Connector 2445">
            <a:extLst>
              <a:ext uri="{FF2B5EF4-FFF2-40B4-BE49-F238E27FC236}">
                <a16:creationId xmlns:a16="http://schemas.microsoft.com/office/drawing/2014/main" id="{AC0D4CBC-F2A7-6B7D-2F6B-82BCC042605C}"/>
              </a:ext>
            </a:extLst>
          </xdr:cNvPr>
          <xdr:cNvCxnSpPr/>
        </xdr:nvCxnSpPr>
        <xdr:spPr>
          <a:xfrm>
            <a:off x="5829308" y="19554824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7" name="Straight Arrow Connector 2446">
            <a:extLst>
              <a:ext uri="{FF2B5EF4-FFF2-40B4-BE49-F238E27FC236}">
                <a16:creationId xmlns:a16="http://schemas.microsoft.com/office/drawing/2014/main" id="{3FB1B781-9428-28A7-907F-D166C9A05692}"/>
              </a:ext>
            </a:extLst>
          </xdr:cNvPr>
          <xdr:cNvCxnSpPr/>
        </xdr:nvCxnSpPr>
        <xdr:spPr>
          <a:xfrm>
            <a:off x="6153157" y="19554825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8" name="Straight Arrow Connector 2447">
            <a:extLst>
              <a:ext uri="{FF2B5EF4-FFF2-40B4-BE49-F238E27FC236}">
                <a16:creationId xmlns:a16="http://schemas.microsoft.com/office/drawing/2014/main" id="{EF200A01-6F60-3836-2BA3-A2452BC2A719}"/>
              </a:ext>
            </a:extLst>
          </xdr:cNvPr>
          <xdr:cNvCxnSpPr/>
        </xdr:nvCxnSpPr>
        <xdr:spPr>
          <a:xfrm>
            <a:off x="6477008" y="19550062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9" name="Straight Arrow Connector 2448">
            <a:extLst>
              <a:ext uri="{FF2B5EF4-FFF2-40B4-BE49-F238E27FC236}">
                <a16:creationId xmlns:a16="http://schemas.microsoft.com/office/drawing/2014/main" id="{9DDAC9A5-AC71-1A20-3837-FC09AD76D5D2}"/>
              </a:ext>
            </a:extLst>
          </xdr:cNvPr>
          <xdr:cNvCxnSpPr/>
        </xdr:nvCxnSpPr>
        <xdr:spPr>
          <a:xfrm>
            <a:off x="6800857" y="19559587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0" name="Straight Arrow Connector 2449">
            <a:extLst>
              <a:ext uri="{FF2B5EF4-FFF2-40B4-BE49-F238E27FC236}">
                <a16:creationId xmlns:a16="http://schemas.microsoft.com/office/drawing/2014/main" id="{8F57D1B1-215E-FCF8-B5D6-F1BC4129F65C}"/>
              </a:ext>
            </a:extLst>
          </xdr:cNvPr>
          <xdr:cNvCxnSpPr/>
        </xdr:nvCxnSpPr>
        <xdr:spPr>
          <a:xfrm>
            <a:off x="7124708" y="19283363"/>
            <a:ext cx="0" cy="50482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1" name="Straight Connector 2450">
            <a:extLst>
              <a:ext uri="{FF2B5EF4-FFF2-40B4-BE49-F238E27FC236}">
                <a16:creationId xmlns:a16="http://schemas.microsoft.com/office/drawing/2014/main" id="{B69ECC3E-5806-9C54-B8F9-C0070DC34DD1}"/>
              </a:ext>
            </a:extLst>
          </xdr:cNvPr>
          <xdr:cNvCxnSpPr/>
        </xdr:nvCxnSpPr>
        <xdr:spPr>
          <a:xfrm flipH="1">
            <a:off x="2595569" y="19554825"/>
            <a:ext cx="45291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2" name="Straight Arrow Connector 2451">
            <a:extLst>
              <a:ext uri="{FF2B5EF4-FFF2-40B4-BE49-F238E27FC236}">
                <a16:creationId xmlns:a16="http://schemas.microsoft.com/office/drawing/2014/main" id="{3CA32D36-618C-7105-BDF0-D3ED45D4B0A6}"/>
              </a:ext>
            </a:extLst>
          </xdr:cNvPr>
          <xdr:cNvCxnSpPr/>
        </xdr:nvCxnSpPr>
        <xdr:spPr>
          <a:xfrm>
            <a:off x="2590806" y="19554825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3" name="Straight Arrow Connector 2452">
            <a:extLst>
              <a:ext uri="{FF2B5EF4-FFF2-40B4-BE49-F238E27FC236}">
                <a16:creationId xmlns:a16="http://schemas.microsoft.com/office/drawing/2014/main" id="{CD55F09B-6509-8BD3-9FF6-73757B30C995}"/>
              </a:ext>
            </a:extLst>
          </xdr:cNvPr>
          <xdr:cNvCxnSpPr/>
        </xdr:nvCxnSpPr>
        <xdr:spPr>
          <a:xfrm>
            <a:off x="2909894" y="19550062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4" name="Straight Arrow Connector 2453">
            <a:extLst>
              <a:ext uri="{FF2B5EF4-FFF2-40B4-BE49-F238E27FC236}">
                <a16:creationId xmlns:a16="http://schemas.microsoft.com/office/drawing/2014/main" id="{1A89BFDA-6758-8C7A-4354-A944EC3E4631}"/>
              </a:ext>
            </a:extLst>
          </xdr:cNvPr>
          <xdr:cNvCxnSpPr/>
        </xdr:nvCxnSpPr>
        <xdr:spPr>
          <a:xfrm>
            <a:off x="3233743" y="19559587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5" name="Straight Arrow Connector 2454">
            <a:extLst>
              <a:ext uri="{FF2B5EF4-FFF2-40B4-BE49-F238E27FC236}">
                <a16:creationId xmlns:a16="http://schemas.microsoft.com/office/drawing/2014/main" id="{DF72E5C5-ECE8-32C0-C93E-8BB3B494D48E}"/>
              </a:ext>
            </a:extLst>
          </xdr:cNvPr>
          <xdr:cNvCxnSpPr/>
        </xdr:nvCxnSpPr>
        <xdr:spPr>
          <a:xfrm>
            <a:off x="3557594" y="19554824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6" name="Straight Arrow Connector 2455">
            <a:extLst>
              <a:ext uri="{FF2B5EF4-FFF2-40B4-BE49-F238E27FC236}">
                <a16:creationId xmlns:a16="http://schemas.microsoft.com/office/drawing/2014/main" id="{419341BB-DBBD-9CB0-E9FC-5EC27E60F7ED}"/>
              </a:ext>
            </a:extLst>
          </xdr:cNvPr>
          <xdr:cNvCxnSpPr/>
        </xdr:nvCxnSpPr>
        <xdr:spPr>
          <a:xfrm>
            <a:off x="3881443" y="19554825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7" name="Straight Arrow Connector 2456">
            <a:extLst>
              <a:ext uri="{FF2B5EF4-FFF2-40B4-BE49-F238E27FC236}">
                <a16:creationId xmlns:a16="http://schemas.microsoft.com/office/drawing/2014/main" id="{A18D2C00-581B-FDA8-D8EF-33C65DD9F147}"/>
              </a:ext>
            </a:extLst>
          </xdr:cNvPr>
          <xdr:cNvCxnSpPr/>
        </xdr:nvCxnSpPr>
        <xdr:spPr>
          <a:xfrm>
            <a:off x="4205294" y="19550062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8" name="Straight Arrow Connector 2457">
            <a:extLst>
              <a:ext uri="{FF2B5EF4-FFF2-40B4-BE49-F238E27FC236}">
                <a16:creationId xmlns:a16="http://schemas.microsoft.com/office/drawing/2014/main" id="{688C6B01-BFE3-6253-3D21-E2EBCB8627DB}"/>
              </a:ext>
            </a:extLst>
          </xdr:cNvPr>
          <xdr:cNvCxnSpPr/>
        </xdr:nvCxnSpPr>
        <xdr:spPr>
          <a:xfrm>
            <a:off x="4529143" y="19559587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9" name="Straight Connector 2458">
            <a:extLst>
              <a:ext uri="{FF2B5EF4-FFF2-40B4-BE49-F238E27FC236}">
                <a16:creationId xmlns:a16="http://schemas.microsoft.com/office/drawing/2014/main" id="{A5CA2252-3C52-B49C-61BD-6AB614247BFC}"/>
              </a:ext>
            </a:extLst>
          </xdr:cNvPr>
          <xdr:cNvCxnSpPr/>
        </xdr:nvCxnSpPr>
        <xdr:spPr>
          <a:xfrm flipH="1" flipV="1">
            <a:off x="5619750" y="19397663"/>
            <a:ext cx="209550" cy="22860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0" name="Straight Connector 2459">
            <a:extLst>
              <a:ext uri="{FF2B5EF4-FFF2-40B4-BE49-F238E27FC236}">
                <a16:creationId xmlns:a16="http://schemas.microsoft.com/office/drawing/2014/main" id="{4718A5F6-0BC5-8952-AF12-BFA3A6F7E013}"/>
              </a:ext>
            </a:extLst>
          </xdr:cNvPr>
          <xdr:cNvCxnSpPr/>
        </xdr:nvCxnSpPr>
        <xdr:spPr>
          <a:xfrm flipV="1">
            <a:off x="936362" y="17935575"/>
            <a:ext cx="2501916" cy="3276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1" name="Straight Connector 2460">
            <a:extLst>
              <a:ext uri="{FF2B5EF4-FFF2-40B4-BE49-F238E27FC236}">
                <a16:creationId xmlns:a16="http://schemas.microsoft.com/office/drawing/2014/main" id="{86B025C7-0ADD-5E44-73E9-0EA46BBBB56F}"/>
              </a:ext>
            </a:extLst>
          </xdr:cNvPr>
          <xdr:cNvCxnSpPr/>
        </xdr:nvCxnSpPr>
        <xdr:spPr>
          <a:xfrm flipH="1" flipV="1">
            <a:off x="652463" y="20879184"/>
            <a:ext cx="630586" cy="47518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2" name="Straight Connector 2461">
            <a:extLst>
              <a:ext uri="{FF2B5EF4-FFF2-40B4-BE49-F238E27FC236}">
                <a16:creationId xmlns:a16="http://schemas.microsoft.com/office/drawing/2014/main" id="{663C6B8D-43AD-5AF1-71DB-9716B45AD287}"/>
              </a:ext>
            </a:extLst>
          </xdr:cNvPr>
          <xdr:cNvCxnSpPr/>
        </xdr:nvCxnSpPr>
        <xdr:spPr>
          <a:xfrm>
            <a:off x="993198" y="21059776"/>
            <a:ext cx="6927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3" name="Straight Connector 2462">
            <a:extLst>
              <a:ext uri="{FF2B5EF4-FFF2-40B4-BE49-F238E27FC236}">
                <a16:creationId xmlns:a16="http://schemas.microsoft.com/office/drawing/2014/main" id="{B61F48B4-A41A-335C-36B3-AA2DCF82B537}"/>
              </a:ext>
            </a:extLst>
          </xdr:cNvPr>
          <xdr:cNvCxnSpPr/>
        </xdr:nvCxnSpPr>
        <xdr:spPr>
          <a:xfrm flipH="1" flipV="1">
            <a:off x="3055370" y="17749838"/>
            <a:ext cx="618453" cy="4660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4" name="Straight Connector 2463">
            <a:extLst>
              <a:ext uri="{FF2B5EF4-FFF2-40B4-BE49-F238E27FC236}">
                <a16:creationId xmlns:a16="http://schemas.microsoft.com/office/drawing/2014/main" id="{016C9507-CFAF-1599-827C-F109AF16721C}"/>
              </a:ext>
            </a:extLst>
          </xdr:cNvPr>
          <xdr:cNvCxnSpPr/>
        </xdr:nvCxnSpPr>
        <xdr:spPr>
          <a:xfrm>
            <a:off x="3383972" y="17921287"/>
            <a:ext cx="6927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5" name="Straight Connector 2464">
            <a:extLst>
              <a:ext uri="{FF2B5EF4-FFF2-40B4-BE49-F238E27FC236}">
                <a16:creationId xmlns:a16="http://schemas.microsoft.com/office/drawing/2014/main" id="{0AEDDEEF-4B68-2D8A-8F91-BD97ADF7506D}"/>
              </a:ext>
            </a:extLst>
          </xdr:cNvPr>
          <xdr:cNvCxnSpPr/>
        </xdr:nvCxnSpPr>
        <xdr:spPr>
          <a:xfrm flipH="1" flipV="1">
            <a:off x="2152648" y="19474023"/>
            <a:ext cx="359124" cy="2706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6" name="Straight Connector 2465">
            <a:extLst>
              <a:ext uri="{FF2B5EF4-FFF2-40B4-BE49-F238E27FC236}">
                <a16:creationId xmlns:a16="http://schemas.microsoft.com/office/drawing/2014/main" id="{09EA37D7-CF74-9805-C470-3EB84B515E00}"/>
              </a:ext>
            </a:extLst>
          </xdr:cNvPr>
          <xdr:cNvCxnSpPr/>
        </xdr:nvCxnSpPr>
        <xdr:spPr>
          <a:xfrm>
            <a:off x="2221921" y="19450053"/>
            <a:ext cx="6927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7" name="Straight Connector 2466">
            <a:extLst>
              <a:ext uri="{FF2B5EF4-FFF2-40B4-BE49-F238E27FC236}">
                <a16:creationId xmlns:a16="http://schemas.microsoft.com/office/drawing/2014/main" id="{6DB11972-CC74-A087-5D01-85A1C59D7281}"/>
              </a:ext>
            </a:extLst>
          </xdr:cNvPr>
          <xdr:cNvCxnSpPr/>
        </xdr:nvCxnSpPr>
        <xdr:spPr>
          <a:xfrm flipV="1">
            <a:off x="669659" y="17735546"/>
            <a:ext cx="2501916" cy="3276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8" name="Straight Connector 2467">
            <a:extLst>
              <a:ext uri="{FF2B5EF4-FFF2-40B4-BE49-F238E27FC236}">
                <a16:creationId xmlns:a16="http://schemas.microsoft.com/office/drawing/2014/main" id="{054366F0-D3DE-A308-251F-12481E52360B}"/>
              </a:ext>
            </a:extLst>
          </xdr:cNvPr>
          <xdr:cNvCxnSpPr/>
        </xdr:nvCxnSpPr>
        <xdr:spPr>
          <a:xfrm>
            <a:off x="726495" y="20859747"/>
            <a:ext cx="6927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9" name="Straight Connector 2468">
            <a:extLst>
              <a:ext uri="{FF2B5EF4-FFF2-40B4-BE49-F238E27FC236}">
                <a16:creationId xmlns:a16="http://schemas.microsoft.com/office/drawing/2014/main" id="{B279A645-57EC-B96B-4CF9-FE30928E3570}"/>
              </a:ext>
            </a:extLst>
          </xdr:cNvPr>
          <xdr:cNvCxnSpPr/>
        </xdr:nvCxnSpPr>
        <xdr:spPr>
          <a:xfrm>
            <a:off x="3117269" y="17721258"/>
            <a:ext cx="6927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0" name="Straight Connector 2469">
            <a:extLst>
              <a:ext uri="{FF2B5EF4-FFF2-40B4-BE49-F238E27FC236}">
                <a16:creationId xmlns:a16="http://schemas.microsoft.com/office/drawing/2014/main" id="{EA6DD338-EB56-5AF2-AEF5-445528BCF64B}"/>
              </a:ext>
            </a:extLst>
          </xdr:cNvPr>
          <xdr:cNvCxnSpPr/>
        </xdr:nvCxnSpPr>
        <xdr:spPr>
          <a:xfrm>
            <a:off x="2590800" y="19959638"/>
            <a:ext cx="0" cy="5191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1" name="Straight Connector 2470">
            <a:extLst>
              <a:ext uri="{FF2B5EF4-FFF2-40B4-BE49-F238E27FC236}">
                <a16:creationId xmlns:a16="http://schemas.microsoft.com/office/drawing/2014/main" id="{442FA3DB-CC1C-74CE-F2B0-96E8A1E7CD51}"/>
              </a:ext>
            </a:extLst>
          </xdr:cNvPr>
          <xdr:cNvCxnSpPr/>
        </xdr:nvCxnSpPr>
        <xdr:spPr>
          <a:xfrm>
            <a:off x="2514598" y="20412074"/>
            <a:ext cx="4695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2" name="Straight Connector 2471">
            <a:extLst>
              <a:ext uri="{FF2B5EF4-FFF2-40B4-BE49-F238E27FC236}">
                <a16:creationId xmlns:a16="http://schemas.microsoft.com/office/drawing/2014/main" id="{3D047AEF-66ED-E47F-3238-6FEB751BDDC3}"/>
              </a:ext>
            </a:extLst>
          </xdr:cNvPr>
          <xdr:cNvCxnSpPr/>
        </xdr:nvCxnSpPr>
        <xdr:spPr>
          <a:xfrm flipH="1">
            <a:off x="2552701" y="2037397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3" name="Straight Connector 2472">
            <a:extLst>
              <a:ext uri="{FF2B5EF4-FFF2-40B4-BE49-F238E27FC236}">
                <a16:creationId xmlns:a16="http://schemas.microsoft.com/office/drawing/2014/main" id="{93F9F84E-4AE6-0207-1599-28E9681E772E}"/>
              </a:ext>
            </a:extLst>
          </xdr:cNvPr>
          <xdr:cNvCxnSpPr/>
        </xdr:nvCxnSpPr>
        <xdr:spPr>
          <a:xfrm>
            <a:off x="4857751" y="20231100"/>
            <a:ext cx="0" cy="247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4" name="Straight Connector 2473">
            <a:extLst>
              <a:ext uri="{FF2B5EF4-FFF2-40B4-BE49-F238E27FC236}">
                <a16:creationId xmlns:a16="http://schemas.microsoft.com/office/drawing/2014/main" id="{D3BA0E26-0071-E254-AB31-0D620B356136}"/>
              </a:ext>
            </a:extLst>
          </xdr:cNvPr>
          <xdr:cNvCxnSpPr/>
        </xdr:nvCxnSpPr>
        <xdr:spPr>
          <a:xfrm flipH="1">
            <a:off x="4819652" y="2037397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5" name="Straight Connector 2474">
            <a:extLst>
              <a:ext uri="{FF2B5EF4-FFF2-40B4-BE49-F238E27FC236}">
                <a16:creationId xmlns:a16="http://schemas.microsoft.com/office/drawing/2014/main" id="{D45B9622-3562-F3B2-0559-458FE3C62871}"/>
              </a:ext>
            </a:extLst>
          </xdr:cNvPr>
          <xdr:cNvCxnSpPr/>
        </xdr:nvCxnSpPr>
        <xdr:spPr>
          <a:xfrm>
            <a:off x="7124701" y="20021550"/>
            <a:ext cx="0" cy="457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6" name="Straight Connector 2475">
            <a:extLst>
              <a:ext uri="{FF2B5EF4-FFF2-40B4-BE49-F238E27FC236}">
                <a16:creationId xmlns:a16="http://schemas.microsoft.com/office/drawing/2014/main" id="{D1FABE92-EAFA-9FF4-45D2-692F4BC57907}"/>
              </a:ext>
            </a:extLst>
          </xdr:cNvPr>
          <xdr:cNvCxnSpPr/>
        </xdr:nvCxnSpPr>
        <xdr:spPr>
          <a:xfrm flipH="1">
            <a:off x="7086602" y="2037397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7" name="Straight Connector 2476">
            <a:extLst>
              <a:ext uri="{FF2B5EF4-FFF2-40B4-BE49-F238E27FC236}">
                <a16:creationId xmlns:a16="http://schemas.microsoft.com/office/drawing/2014/main" id="{78592EAB-5926-A1CE-1790-9BD9E645CD9A}"/>
              </a:ext>
            </a:extLst>
          </xdr:cNvPr>
          <xdr:cNvCxnSpPr/>
        </xdr:nvCxnSpPr>
        <xdr:spPr>
          <a:xfrm flipV="1">
            <a:off x="3276600" y="18907125"/>
            <a:ext cx="590550" cy="4762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8" name="Straight Connector 2477">
            <a:extLst>
              <a:ext uri="{FF2B5EF4-FFF2-40B4-BE49-F238E27FC236}">
                <a16:creationId xmlns:a16="http://schemas.microsoft.com/office/drawing/2014/main" id="{16B0C5B7-CBFE-4D1C-FC26-2D0A7D8FD724}"/>
              </a:ext>
            </a:extLst>
          </xdr:cNvPr>
          <xdr:cNvCxnSpPr/>
        </xdr:nvCxnSpPr>
        <xdr:spPr>
          <a:xfrm flipH="1" flipV="1">
            <a:off x="4057650" y="19831050"/>
            <a:ext cx="438150" cy="7239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158837</xdr:colOff>
      <xdr:row>2383</xdr:row>
      <xdr:rowOff>50713</xdr:rowOff>
    </xdr:from>
    <xdr:to>
      <xdr:col>21</xdr:col>
      <xdr:colOff>130838</xdr:colOff>
      <xdr:row>2413</xdr:row>
      <xdr:rowOff>54638</xdr:rowOff>
    </xdr:to>
    <xdr:grpSp>
      <xdr:nvGrpSpPr>
        <xdr:cNvPr id="2479" name="Group 2478">
          <a:extLst>
            <a:ext uri="{FF2B5EF4-FFF2-40B4-BE49-F238E27FC236}">
              <a16:creationId xmlns:a16="http://schemas.microsoft.com/office/drawing/2014/main" id="{4BB1285B-620D-46D4-8B31-C75C95B9B3A7}"/>
            </a:ext>
          </a:extLst>
        </xdr:cNvPr>
        <xdr:cNvGrpSpPr/>
      </xdr:nvGrpSpPr>
      <xdr:grpSpPr>
        <a:xfrm rot="17335453">
          <a:off x="590550" y="359740200"/>
          <a:ext cx="4290175" cy="1591251"/>
          <a:chOff x="1476896" y="1839802"/>
          <a:chExt cx="4290175" cy="1591251"/>
        </a:xfrm>
      </xdr:grpSpPr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3BEC195C-E8EC-F915-A5E5-51DE50D07AD9}"/>
              </a:ext>
            </a:extLst>
          </xdr:cNvPr>
          <xdr:cNvSpPr/>
        </xdr:nvSpPr>
        <xdr:spPr>
          <a:xfrm rot="1080000">
            <a:off x="1476896" y="2025514"/>
            <a:ext cx="544655" cy="12113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F78E24EF-DE79-B793-AC09-AE38DD361AA9}"/>
              </a:ext>
            </a:extLst>
          </xdr:cNvPr>
          <xdr:cNvSpPr/>
        </xdr:nvSpPr>
        <xdr:spPr>
          <a:xfrm rot="1106405">
            <a:off x="1762125" y="2381250"/>
            <a:ext cx="3952875" cy="8572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82" name="Isosceles Triangle 2481">
            <a:extLst>
              <a:ext uri="{FF2B5EF4-FFF2-40B4-BE49-F238E27FC236}">
                <a16:creationId xmlns:a16="http://schemas.microsoft.com/office/drawing/2014/main" id="{93680283-8467-F2F2-E5EC-530ACED6FD73}"/>
              </a:ext>
            </a:extLst>
          </xdr:cNvPr>
          <xdr:cNvSpPr/>
        </xdr:nvSpPr>
        <xdr:spPr>
          <a:xfrm rot="1080000">
            <a:off x="1704975" y="1839802"/>
            <a:ext cx="228600" cy="19706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483" name="Straight Connector 2482">
            <a:extLst>
              <a:ext uri="{FF2B5EF4-FFF2-40B4-BE49-F238E27FC236}">
                <a16:creationId xmlns:a16="http://schemas.microsoft.com/office/drawing/2014/main" id="{947A60BC-5E55-24E2-49D0-B2A1EF57FC9A}"/>
              </a:ext>
            </a:extLst>
          </xdr:cNvPr>
          <xdr:cNvCxnSpPr/>
        </xdr:nvCxnSpPr>
        <xdr:spPr>
          <a:xfrm>
            <a:off x="1523794" y="1945243"/>
            <a:ext cx="510001" cy="16571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3ED02C28-F41C-17C8-4488-673F111EBC9D}"/>
              </a:ext>
            </a:extLst>
          </xdr:cNvPr>
          <xdr:cNvSpPr/>
        </xdr:nvSpPr>
        <xdr:spPr>
          <a:xfrm rot="1080000">
            <a:off x="5210172" y="3309918"/>
            <a:ext cx="544655" cy="12113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85" name="Isosceles Triangle 2484">
            <a:extLst>
              <a:ext uri="{FF2B5EF4-FFF2-40B4-BE49-F238E27FC236}">
                <a16:creationId xmlns:a16="http://schemas.microsoft.com/office/drawing/2014/main" id="{A4BD97C8-5164-4905-BA2E-FA1A1518D4C2}"/>
              </a:ext>
            </a:extLst>
          </xdr:cNvPr>
          <xdr:cNvSpPr/>
        </xdr:nvSpPr>
        <xdr:spPr>
          <a:xfrm rot="1080000">
            <a:off x="5452540" y="3090865"/>
            <a:ext cx="228600" cy="19706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486" name="Straight Connector 2485">
            <a:extLst>
              <a:ext uri="{FF2B5EF4-FFF2-40B4-BE49-F238E27FC236}">
                <a16:creationId xmlns:a16="http://schemas.microsoft.com/office/drawing/2014/main" id="{00F3E90B-8A08-92A8-D59D-304818EB62C8}"/>
              </a:ext>
            </a:extLst>
          </xdr:cNvPr>
          <xdr:cNvCxnSpPr/>
        </xdr:nvCxnSpPr>
        <xdr:spPr>
          <a:xfrm>
            <a:off x="5257070" y="3229647"/>
            <a:ext cx="510001" cy="16571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95255</xdr:colOff>
      <xdr:row>2277</xdr:row>
      <xdr:rowOff>66675</xdr:rowOff>
    </xdr:from>
    <xdr:to>
      <xdr:col>49</xdr:col>
      <xdr:colOff>61913</xdr:colOff>
      <xdr:row>2289</xdr:row>
      <xdr:rowOff>76194</xdr:rowOff>
    </xdr:to>
    <xdr:grpSp>
      <xdr:nvGrpSpPr>
        <xdr:cNvPr id="2534" name="Group 2533">
          <a:extLst>
            <a:ext uri="{FF2B5EF4-FFF2-40B4-BE49-F238E27FC236}">
              <a16:creationId xmlns:a16="http://schemas.microsoft.com/office/drawing/2014/main" id="{AC244C2F-100D-7A82-D0FD-7642F489B2C7}"/>
            </a:ext>
          </a:extLst>
        </xdr:cNvPr>
        <xdr:cNvGrpSpPr/>
      </xdr:nvGrpSpPr>
      <xdr:grpSpPr>
        <a:xfrm>
          <a:off x="6572255" y="342776175"/>
          <a:ext cx="1423983" cy="1724019"/>
          <a:chOff x="7705730" y="320421000"/>
          <a:chExt cx="1423983" cy="1724019"/>
        </a:xfrm>
      </xdr:grpSpPr>
      <xdr:cxnSp macro="">
        <xdr:nvCxnSpPr>
          <xdr:cNvPr id="2506" name="Straight Connector 2505">
            <a:extLst>
              <a:ext uri="{FF2B5EF4-FFF2-40B4-BE49-F238E27FC236}">
                <a16:creationId xmlns:a16="http://schemas.microsoft.com/office/drawing/2014/main" id="{EDD273CF-2DCF-3375-7384-3C9AF955BF43}"/>
              </a:ext>
            </a:extLst>
          </xdr:cNvPr>
          <xdr:cNvCxnSpPr/>
        </xdr:nvCxnSpPr>
        <xdr:spPr>
          <a:xfrm>
            <a:off x="8096250" y="320497202"/>
            <a:ext cx="9667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7" name="Straight Connector 2506">
            <a:extLst>
              <a:ext uri="{FF2B5EF4-FFF2-40B4-BE49-F238E27FC236}">
                <a16:creationId xmlns:a16="http://schemas.microsoft.com/office/drawing/2014/main" id="{27BCF1BF-F569-60CC-C41D-0EFA42EA5703}"/>
              </a:ext>
            </a:extLst>
          </xdr:cNvPr>
          <xdr:cNvCxnSpPr/>
        </xdr:nvCxnSpPr>
        <xdr:spPr>
          <a:xfrm>
            <a:off x="8096250" y="320640077"/>
            <a:ext cx="3571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8" name="Straight Connector 2507">
            <a:extLst>
              <a:ext uri="{FF2B5EF4-FFF2-40B4-BE49-F238E27FC236}">
                <a16:creationId xmlns:a16="http://schemas.microsoft.com/office/drawing/2014/main" id="{E9066177-5167-266A-E8EE-725C3957F10A}"/>
              </a:ext>
            </a:extLst>
          </xdr:cNvPr>
          <xdr:cNvCxnSpPr/>
        </xdr:nvCxnSpPr>
        <xdr:spPr>
          <a:xfrm>
            <a:off x="8534400" y="320735326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09" name="Arc 2508">
            <a:extLst>
              <a:ext uri="{FF2B5EF4-FFF2-40B4-BE49-F238E27FC236}">
                <a16:creationId xmlns:a16="http://schemas.microsoft.com/office/drawing/2014/main" id="{0754024D-5DCC-EAC6-0F33-9B9B5B5E7FB3}"/>
              </a:ext>
            </a:extLst>
          </xdr:cNvPr>
          <xdr:cNvSpPr/>
        </xdr:nvSpPr>
        <xdr:spPr>
          <a:xfrm>
            <a:off x="8324851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10" name="Straight Connector 2509">
            <a:extLst>
              <a:ext uri="{FF2B5EF4-FFF2-40B4-BE49-F238E27FC236}">
                <a16:creationId xmlns:a16="http://schemas.microsoft.com/office/drawing/2014/main" id="{6DF784BB-C4DC-8748-C449-527A03373D66}"/>
              </a:ext>
            </a:extLst>
          </xdr:cNvPr>
          <xdr:cNvCxnSpPr/>
        </xdr:nvCxnSpPr>
        <xdr:spPr>
          <a:xfrm>
            <a:off x="8629650" y="320730563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1" name="Straight Connector 2510">
            <a:extLst>
              <a:ext uri="{FF2B5EF4-FFF2-40B4-BE49-F238E27FC236}">
                <a16:creationId xmlns:a16="http://schemas.microsoft.com/office/drawing/2014/main" id="{7EA76C47-49EA-72C1-AE3A-A0747826CD5C}"/>
              </a:ext>
            </a:extLst>
          </xdr:cNvPr>
          <xdr:cNvCxnSpPr/>
        </xdr:nvCxnSpPr>
        <xdr:spPr>
          <a:xfrm>
            <a:off x="8734425" y="320640077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2" name="Straight Connector 2511">
            <a:extLst>
              <a:ext uri="{FF2B5EF4-FFF2-40B4-BE49-F238E27FC236}">
                <a16:creationId xmlns:a16="http://schemas.microsoft.com/office/drawing/2014/main" id="{09263C44-D040-DBA3-5AD3-81BB0ED09425}"/>
              </a:ext>
            </a:extLst>
          </xdr:cNvPr>
          <xdr:cNvCxnSpPr/>
        </xdr:nvCxnSpPr>
        <xdr:spPr>
          <a:xfrm>
            <a:off x="9063027" y="320497201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3" name="Straight Connector 2512">
            <a:extLst>
              <a:ext uri="{FF2B5EF4-FFF2-40B4-BE49-F238E27FC236}">
                <a16:creationId xmlns:a16="http://schemas.microsoft.com/office/drawing/2014/main" id="{18E55CA7-180B-28EE-D9AA-62C229C65068}"/>
              </a:ext>
            </a:extLst>
          </xdr:cNvPr>
          <xdr:cNvCxnSpPr/>
        </xdr:nvCxnSpPr>
        <xdr:spPr>
          <a:xfrm>
            <a:off x="8096258" y="320497202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14" name="Arc 2513">
            <a:extLst>
              <a:ext uri="{FF2B5EF4-FFF2-40B4-BE49-F238E27FC236}">
                <a16:creationId xmlns:a16="http://schemas.microsoft.com/office/drawing/2014/main" id="{8308B839-9040-4C5D-0A5D-737633D93572}"/>
              </a:ext>
            </a:extLst>
          </xdr:cNvPr>
          <xdr:cNvSpPr/>
        </xdr:nvSpPr>
        <xdr:spPr>
          <a:xfrm rot="16200000">
            <a:off x="8629650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15" name="Straight Connector 2514">
            <a:extLst>
              <a:ext uri="{FF2B5EF4-FFF2-40B4-BE49-F238E27FC236}">
                <a16:creationId xmlns:a16="http://schemas.microsoft.com/office/drawing/2014/main" id="{CB0CB8E8-58FC-0570-B31B-3DC0E7AE504F}"/>
              </a:ext>
            </a:extLst>
          </xdr:cNvPr>
          <xdr:cNvCxnSpPr/>
        </xdr:nvCxnSpPr>
        <xdr:spPr>
          <a:xfrm>
            <a:off x="8096250" y="321783070"/>
            <a:ext cx="971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6" name="Straight Connector 2515">
            <a:extLst>
              <a:ext uri="{FF2B5EF4-FFF2-40B4-BE49-F238E27FC236}">
                <a16:creationId xmlns:a16="http://schemas.microsoft.com/office/drawing/2014/main" id="{51464F26-8032-F0A5-A7E4-791B3A63E9DE}"/>
              </a:ext>
            </a:extLst>
          </xdr:cNvPr>
          <xdr:cNvCxnSpPr/>
        </xdr:nvCxnSpPr>
        <xdr:spPr>
          <a:xfrm>
            <a:off x="8101013" y="321640188"/>
            <a:ext cx="3571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7" name="Straight Connector 2516">
            <a:extLst>
              <a:ext uri="{FF2B5EF4-FFF2-40B4-BE49-F238E27FC236}">
                <a16:creationId xmlns:a16="http://schemas.microsoft.com/office/drawing/2014/main" id="{B03665C1-2FA8-4BDB-8482-EF774F7EE3B6}"/>
              </a:ext>
            </a:extLst>
          </xdr:cNvPr>
          <xdr:cNvCxnSpPr/>
        </xdr:nvCxnSpPr>
        <xdr:spPr>
          <a:xfrm>
            <a:off x="8739187" y="321640188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8" name="Straight Connector 2517">
            <a:extLst>
              <a:ext uri="{FF2B5EF4-FFF2-40B4-BE49-F238E27FC236}">
                <a16:creationId xmlns:a16="http://schemas.microsoft.com/office/drawing/2014/main" id="{E0079A97-EB06-94B8-2DCA-F3C19CB5E968}"/>
              </a:ext>
            </a:extLst>
          </xdr:cNvPr>
          <xdr:cNvCxnSpPr/>
        </xdr:nvCxnSpPr>
        <xdr:spPr>
          <a:xfrm>
            <a:off x="9067789" y="321640187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9" name="Straight Connector 2518">
            <a:extLst>
              <a:ext uri="{FF2B5EF4-FFF2-40B4-BE49-F238E27FC236}">
                <a16:creationId xmlns:a16="http://schemas.microsoft.com/office/drawing/2014/main" id="{FABEE138-1F95-CEE2-722F-9F0C78DE3184}"/>
              </a:ext>
            </a:extLst>
          </xdr:cNvPr>
          <xdr:cNvCxnSpPr/>
        </xdr:nvCxnSpPr>
        <xdr:spPr>
          <a:xfrm>
            <a:off x="8101020" y="321640188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20" name="Arc 2519">
            <a:extLst>
              <a:ext uri="{FF2B5EF4-FFF2-40B4-BE49-F238E27FC236}">
                <a16:creationId xmlns:a16="http://schemas.microsoft.com/office/drawing/2014/main" id="{325CE3EA-0B79-40A9-9EC1-20F3716C86DD}"/>
              </a:ext>
            </a:extLst>
          </xdr:cNvPr>
          <xdr:cNvSpPr/>
        </xdr:nvSpPr>
        <xdr:spPr>
          <a:xfrm rot="5400000">
            <a:off x="8324849" y="321430638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21" name="Arc 2520">
            <a:extLst>
              <a:ext uri="{FF2B5EF4-FFF2-40B4-BE49-F238E27FC236}">
                <a16:creationId xmlns:a16="http://schemas.microsoft.com/office/drawing/2014/main" id="{241B2C2C-7307-4301-4922-5E21BA8E7C59}"/>
              </a:ext>
            </a:extLst>
          </xdr:cNvPr>
          <xdr:cNvSpPr/>
        </xdr:nvSpPr>
        <xdr:spPr>
          <a:xfrm rot="10800000">
            <a:off x="8629651" y="321430637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89" name="Straight Connector 2488">
            <a:extLst>
              <a:ext uri="{FF2B5EF4-FFF2-40B4-BE49-F238E27FC236}">
                <a16:creationId xmlns:a16="http://schemas.microsoft.com/office/drawing/2014/main" id="{55242751-835F-B855-0B06-CD5B34375CCB}"/>
              </a:ext>
            </a:extLst>
          </xdr:cNvPr>
          <xdr:cNvCxnSpPr/>
        </xdr:nvCxnSpPr>
        <xdr:spPr>
          <a:xfrm>
            <a:off x="8472488" y="32121157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0" name="Straight Connector 2489">
            <a:extLst>
              <a:ext uri="{FF2B5EF4-FFF2-40B4-BE49-F238E27FC236}">
                <a16:creationId xmlns:a16="http://schemas.microsoft.com/office/drawing/2014/main" id="{8DBDFC76-0699-9667-8BF5-B945D89938D4}"/>
              </a:ext>
            </a:extLst>
          </xdr:cNvPr>
          <xdr:cNvCxnSpPr/>
        </xdr:nvCxnSpPr>
        <xdr:spPr>
          <a:xfrm flipH="1">
            <a:off x="8496302" y="3211782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1" name="Straight Connector 2490">
            <a:extLst>
              <a:ext uri="{FF2B5EF4-FFF2-40B4-BE49-F238E27FC236}">
                <a16:creationId xmlns:a16="http://schemas.microsoft.com/office/drawing/2014/main" id="{6C2FF16F-8E12-E86F-1F28-C8F7DDA594A1}"/>
              </a:ext>
            </a:extLst>
          </xdr:cNvPr>
          <xdr:cNvCxnSpPr/>
        </xdr:nvCxnSpPr>
        <xdr:spPr>
          <a:xfrm flipH="1">
            <a:off x="8591548" y="32117823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2" name="Straight Connector 2491">
            <a:extLst>
              <a:ext uri="{FF2B5EF4-FFF2-40B4-BE49-F238E27FC236}">
                <a16:creationId xmlns:a16="http://schemas.microsoft.com/office/drawing/2014/main" id="{C471AE46-1CD2-1D96-28A1-E5737970635F}"/>
              </a:ext>
            </a:extLst>
          </xdr:cNvPr>
          <xdr:cNvCxnSpPr/>
        </xdr:nvCxnSpPr>
        <xdr:spPr>
          <a:xfrm>
            <a:off x="8905876" y="321578275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3" name="Straight Connector 2492">
            <a:extLst>
              <a:ext uri="{FF2B5EF4-FFF2-40B4-BE49-F238E27FC236}">
                <a16:creationId xmlns:a16="http://schemas.microsoft.com/office/drawing/2014/main" id="{D15F0E10-2A29-D12E-D432-20A88C8842F5}"/>
              </a:ext>
            </a:extLst>
          </xdr:cNvPr>
          <xdr:cNvCxnSpPr/>
        </xdr:nvCxnSpPr>
        <xdr:spPr>
          <a:xfrm flipH="1">
            <a:off x="8867776" y="3216068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4" name="Straight Connector 2493">
            <a:extLst>
              <a:ext uri="{FF2B5EF4-FFF2-40B4-BE49-F238E27FC236}">
                <a16:creationId xmlns:a16="http://schemas.microsoft.com/office/drawing/2014/main" id="{82165042-6B85-DC8B-1785-E275BB215D1C}"/>
              </a:ext>
            </a:extLst>
          </xdr:cNvPr>
          <xdr:cNvCxnSpPr/>
        </xdr:nvCxnSpPr>
        <xdr:spPr>
          <a:xfrm flipH="1">
            <a:off x="8867774" y="32174972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5" name="Straight Connector 2494">
            <a:extLst>
              <a:ext uri="{FF2B5EF4-FFF2-40B4-BE49-F238E27FC236}">
                <a16:creationId xmlns:a16="http://schemas.microsoft.com/office/drawing/2014/main" id="{532DADB2-3682-EF2A-86FA-7FE4A36955DF}"/>
              </a:ext>
            </a:extLst>
          </xdr:cNvPr>
          <xdr:cNvCxnSpPr/>
        </xdr:nvCxnSpPr>
        <xdr:spPr>
          <a:xfrm>
            <a:off x="8096255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6" name="Straight Connector 2495">
            <a:extLst>
              <a:ext uri="{FF2B5EF4-FFF2-40B4-BE49-F238E27FC236}">
                <a16:creationId xmlns:a16="http://schemas.microsoft.com/office/drawing/2014/main" id="{2E57C7D0-791A-ACEB-B846-96A75F7DB78D}"/>
              </a:ext>
            </a:extLst>
          </xdr:cNvPr>
          <xdr:cNvCxnSpPr/>
        </xdr:nvCxnSpPr>
        <xdr:spPr>
          <a:xfrm>
            <a:off x="8034343" y="322068819"/>
            <a:ext cx="10953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7" name="Straight Connector 2496">
            <a:extLst>
              <a:ext uri="{FF2B5EF4-FFF2-40B4-BE49-F238E27FC236}">
                <a16:creationId xmlns:a16="http://schemas.microsoft.com/office/drawing/2014/main" id="{E29EA928-A705-34AE-CEB4-CFE8DF3497B2}"/>
              </a:ext>
            </a:extLst>
          </xdr:cNvPr>
          <xdr:cNvCxnSpPr/>
        </xdr:nvCxnSpPr>
        <xdr:spPr>
          <a:xfrm flipH="1">
            <a:off x="8058154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8" name="Straight Connector 2497">
            <a:extLst>
              <a:ext uri="{FF2B5EF4-FFF2-40B4-BE49-F238E27FC236}">
                <a16:creationId xmlns:a16="http://schemas.microsoft.com/office/drawing/2014/main" id="{F9E4FB78-AE25-500F-C3A3-64729CEC518A}"/>
              </a:ext>
            </a:extLst>
          </xdr:cNvPr>
          <xdr:cNvCxnSpPr/>
        </xdr:nvCxnSpPr>
        <xdr:spPr>
          <a:xfrm>
            <a:off x="9067798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9" name="Straight Connector 2498">
            <a:extLst>
              <a:ext uri="{FF2B5EF4-FFF2-40B4-BE49-F238E27FC236}">
                <a16:creationId xmlns:a16="http://schemas.microsoft.com/office/drawing/2014/main" id="{D68F7384-B4C5-740D-D55B-14E310F5381F}"/>
              </a:ext>
            </a:extLst>
          </xdr:cNvPr>
          <xdr:cNvCxnSpPr/>
        </xdr:nvCxnSpPr>
        <xdr:spPr>
          <a:xfrm flipH="1">
            <a:off x="9029697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0" name="Straight Connector 2499">
            <a:extLst>
              <a:ext uri="{FF2B5EF4-FFF2-40B4-BE49-F238E27FC236}">
                <a16:creationId xmlns:a16="http://schemas.microsoft.com/office/drawing/2014/main" id="{0B107FA5-8E8B-289D-0501-340DD582F838}"/>
              </a:ext>
            </a:extLst>
          </xdr:cNvPr>
          <xdr:cNvCxnSpPr/>
        </xdr:nvCxnSpPr>
        <xdr:spPr>
          <a:xfrm>
            <a:off x="7772406" y="320421000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1" name="Straight Connector 2500">
            <a:extLst>
              <a:ext uri="{FF2B5EF4-FFF2-40B4-BE49-F238E27FC236}">
                <a16:creationId xmlns:a16="http://schemas.microsoft.com/office/drawing/2014/main" id="{E9D1614A-7F57-CB7C-5A95-5830D56E72D5}"/>
              </a:ext>
            </a:extLst>
          </xdr:cNvPr>
          <xdr:cNvCxnSpPr/>
        </xdr:nvCxnSpPr>
        <xdr:spPr>
          <a:xfrm flipH="1">
            <a:off x="7734310" y="3204638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2" name="Straight Connector 2501">
            <a:extLst>
              <a:ext uri="{FF2B5EF4-FFF2-40B4-BE49-F238E27FC236}">
                <a16:creationId xmlns:a16="http://schemas.microsoft.com/office/drawing/2014/main" id="{5B389CD8-B8EC-3F7F-64D7-68336F018A43}"/>
              </a:ext>
            </a:extLst>
          </xdr:cNvPr>
          <xdr:cNvCxnSpPr/>
        </xdr:nvCxnSpPr>
        <xdr:spPr>
          <a:xfrm flipH="1">
            <a:off x="7734301" y="32174973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3" name="Straight Connector 2502">
            <a:extLst>
              <a:ext uri="{FF2B5EF4-FFF2-40B4-BE49-F238E27FC236}">
                <a16:creationId xmlns:a16="http://schemas.microsoft.com/office/drawing/2014/main" id="{0130FB41-2FB8-F173-F64A-9460F26D6ED2}"/>
              </a:ext>
            </a:extLst>
          </xdr:cNvPr>
          <xdr:cNvCxnSpPr/>
        </xdr:nvCxnSpPr>
        <xdr:spPr>
          <a:xfrm flipH="1">
            <a:off x="7705730" y="321783074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4" name="Straight Connector 2503">
            <a:extLst>
              <a:ext uri="{FF2B5EF4-FFF2-40B4-BE49-F238E27FC236}">
                <a16:creationId xmlns:a16="http://schemas.microsoft.com/office/drawing/2014/main" id="{D50DC332-69E5-563E-5B5E-59C6D3CE819C}"/>
              </a:ext>
            </a:extLst>
          </xdr:cNvPr>
          <xdr:cNvCxnSpPr/>
        </xdr:nvCxnSpPr>
        <xdr:spPr>
          <a:xfrm flipH="1">
            <a:off x="7705730" y="320497202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53</xdr:col>
      <xdr:colOff>95255</xdr:colOff>
      <xdr:row>2277</xdr:row>
      <xdr:rowOff>66675</xdr:rowOff>
    </xdr:from>
    <xdr:to>
      <xdr:col>62</xdr:col>
      <xdr:colOff>61913</xdr:colOff>
      <xdr:row>2289</xdr:row>
      <xdr:rowOff>76194</xdr:rowOff>
    </xdr:to>
    <xdr:grpSp>
      <xdr:nvGrpSpPr>
        <xdr:cNvPr id="2535" name="Group 2534">
          <a:extLst>
            <a:ext uri="{FF2B5EF4-FFF2-40B4-BE49-F238E27FC236}">
              <a16:creationId xmlns:a16="http://schemas.microsoft.com/office/drawing/2014/main" id="{E110DC17-7405-4692-9910-EF219388649B}"/>
            </a:ext>
          </a:extLst>
        </xdr:cNvPr>
        <xdr:cNvGrpSpPr/>
      </xdr:nvGrpSpPr>
      <xdr:grpSpPr>
        <a:xfrm>
          <a:off x="8677280" y="342776175"/>
          <a:ext cx="1423983" cy="1724019"/>
          <a:chOff x="7705730" y="320421000"/>
          <a:chExt cx="1423983" cy="1724019"/>
        </a:xfrm>
      </xdr:grpSpPr>
      <xdr:cxnSp macro="">
        <xdr:nvCxnSpPr>
          <xdr:cNvPr id="2536" name="Straight Connector 2535">
            <a:extLst>
              <a:ext uri="{FF2B5EF4-FFF2-40B4-BE49-F238E27FC236}">
                <a16:creationId xmlns:a16="http://schemas.microsoft.com/office/drawing/2014/main" id="{70D7A7C7-7F40-BB50-BA9F-AD09BE0AF23E}"/>
              </a:ext>
            </a:extLst>
          </xdr:cNvPr>
          <xdr:cNvCxnSpPr/>
        </xdr:nvCxnSpPr>
        <xdr:spPr>
          <a:xfrm>
            <a:off x="8096250" y="320497202"/>
            <a:ext cx="9667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7" name="Straight Connector 2536">
            <a:extLst>
              <a:ext uri="{FF2B5EF4-FFF2-40B4-BE49-F238E27FC236}">
                <a16:creationId xmlns:a16="http://schemas.microsoft.com/office/drawing/2014/main" id="{8773CF04-9D8D-2926-92D6-5FBF5A833F17}"/>
              </a:ext>
            </a:extLst>
          </xdr:cNvPr>
          <xdr:cNvCxnSpPr/>
        </xdr:nvCxnSpPr>
        <xdr:spPr>
          <a:xfrm>
            <a:off x="8096250" y="320640077"/>
            <a:ext cx="3571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8" name="Straight Connector 2537">
            <a:extLst>
              <a:ext uri="{FF2B5EF4-FFF2-40B4-BE49-F238E27FC236}">
                <a16:creationId xmlns:a16="http://schemas.microsoft.com/office/drawing/2014/main" id="{B9AB0DD5-6378-7043-1327-122222958844}"/>
              </a:ext>
            </a:extLst>
          </xdr:cNvPr>
          <xdr:cNvCxnSpPr/>
        </xdr:nvCxnSpPr>
        <xdr:spPr>
          <a:xfrm>
            <a:off x="8534400" y="320735326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39" name="Arc 2538">
            <a:extLst>
              <a:ext uri="{FF2B5EF4-FFF2-40B4-BE49-F238E27FC236}">
                <a16:creationId xmlns:a16="http://schemas.microsoft.com/office/drawing/2014/main" id="{5A2DDB8A-C597-F478-AD96-EC003CC282D6}"/>
              </a:ext>
            </a:extLst>
          </xdr:cNvPr>
          <xdr:cNvSpPr/>
        </xdr:nvSpPr>
        <xdr:spPr>
          <a:xfrm>
            <a:off x="8324851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40" name="Straight Connector 2539">
            <a:extLst>
              <a:ext uri="{FF2B5EF4-FFF2-40B4-BE49-F238E27FC236}">
                <a16:creationId xmlns:a16="http://schemas.microsoft.com/office/drawing/2014/main" id="{EBF3B04B-73F2-92F5-6439-E81392CEB096}"/>
              </a:ext>
            </a:extLst>
          </xdr:cNvPr>
          <xdr:cNvCxnSpPr/>
        </xdr:nvCxnSpPr>
        <xdr:spPr>
          <a:xfrm>
            <a:off x="8629650" y="320730563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1" name="Straight Connector 2540">
            <a:extLst>
              <a:ext uri="{FF2B5EF4-FFF2-40B4-BE49-F238E27FC236}">
                <a16:creationId xmlns:a16="http://schemas.microsoft.com/office/drawing/2014/main" id="{0FBA42AB-5906-A9D5-4621-083704A56B1F}"/>
              </a:ext>
            </a:extLst>
          </xdr:cNvPr>
          <xdr:cNvCxnSpPr/>
        </xdr:nvCxnSpPr>
        <xdr:spPr>
          <a:xfrm>
            <a:off x="8734425" y="320640077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2" name="Straight Connector 2541">
            <a:extLst>
              <a:ext uri="{FF2B5EF4-FFF2-40B4-BE49-F238E27FC236}">
                <a16:creationId xmlns:a16="http://schemas.microsoft.com/office/drawing/2014/main" id="{85C8B122-B307-582F-4418-656C6472446F}"/>
              </a:ext>
            </a:extLst>
          </xdr:cNvPr>
          <xdr:cNvCxnSpPr/>
        </xdr:nvCxnSpPr>
        <xdr:spPr>
          <a:xfrm>
            <a:off x="9063027" y="320497201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3" name="Straight Connector 2542">
            <a:extLst>
              <a:ext uri="{FF2B5EF4-FFF2-40B4-BE49-F238E27FC236}">
                <a16:creationId xmlns:a16="http://schemas.microsoft.com/office/drawing/2014/main" id="{D6786C1F-1B08-10F6-4DA5-5CCF3D5AF4E7}"/>
              </a:ext>
            </a:extLst>
          </xdr:cNvPr>
          <xdr:cNvCxnSpPr/>
        </xdr:nvCxnSpPr>
        <xdr:spPr>
          <a:xfrm>
            <a:off x="8096258" y="320497202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44" name="Arc 2543">
            <a:extLst>
              <a:ext uri="{FF2B5EF4-FFF2-40B4-BE49-F238E27FC236}">
                <a16:creationId xmlns:a16="http://schemas.microsoft.com/office/drawing/2014/main" id="{E8D4E8EB-1931-2EEE-1AF9-60E770F01D09}"/>
              </a:ext>
            </a:extLst>
          </xdr:cNvPr>
          <xdr:cNvSpPr/>
        </xdr:nvSpPr>
        <xdr:spPr>
          <a:xfrm rot="16200000">
            <a:off x="8629650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45" name="Straight Connector 2544">
            <a:extLst>
              <a:ext uri="{FF2B5EF4-FFF2-40B4-BE49-F238E27FC236}">
                <a16:creationId xmlns:a16="http://schemas.microsoft.com/office/drawing/2014/main" id="{3D68154E-3B98-6785-53A6-D22C0DB24D70}"/>
              </a:ext>
            </a:extLst>
          </xdr:cNvPr>
          <xdr:cNvCxnSpPr/>
        </xdr:nvCxnSpPr>
        <xdr:spPr>
          <a:xfrm>
            <a:off x="8096250" y="321783070"/>
            <a:ext cx="971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6" name="Straight Connector 2545">
            <a:extLst>
              <a:ext uri="{FF2B5EF4-FFF2-40B4-BE49-F238E27FC236}">
                <a16:creationId xmlns:a16="http://schemas.microsoft.com/office/drawing/2014/main" id="{39B3DBE8-CD69-703E-A99C-FFBA084A3DBB}"/>
              </a:ext>
            </a:extLst>
          </xdr:cNvPr>
          <xdr:cNvCxnSpPr/>
        </xdr:nvCxnSpPr>
        <xdr:spPr>
          <a:xfrm>
            <a:off x="8101013" y="321640188"/>
            <a:ext cx="3571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7" name="Straight Connector 2546">
            <a:extLst>
              <a:ext uri="{FF2B5EF4-FFF2-40B4-BE49-F238E27FC236}">
                <a16:creationId xmlns:a16="http://schemas.microsoft.com/office/drawing/2014/main" id="{F2D72D23-7FD0-87AB-A087-78704BEE9B2E}"/>
              </a:ext>
            </a:extLst>
          </xdr:cNvPr>
          <xdr:cNvCxnSpPr/>
        </xdr:nvCxnSpPr>
        <xdr:spPr>
          <a:xfrm>
            <a:off x="8739187" y="321640188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8" name="Straight Connector 2547">
            <a:extLst>
              <a:ext uri="{FF2B5EF4-FFF2-40B4-BE49-F238E27FC236}">
                <a16:creationId xmlns:a16="http://schemas.microsoft.com/office/drawing/2014/main" id="{0BE47011-B2ED-88C3-D028-F8E8A1A75A98}"/>
              </a:ext>
            </a:extLst>
          </xdr:cNvPr>
          <xdr:cNvCxnSpPr/>
        </xdr:nvCxnSpPr>
        <xdr:spPr>
          <a:xfrm>
            <a:off x="9067789" y="321640187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9" name="Straight Connector 2548">
            <a:extLst>
              <a:ext uri="{FF2B5EF4-FFF2-40B4-BE49-F238E27FC236}">
                <a16:creationId xmlns:a16="http://schemas.microsoft.com/office/drawing/2014/main" id="{CCD6392B-7B19-4B0F-110F-DDFFDE4AE5A7}"/>
              </a:ext>
            </a:extLst>
          </xdr:cNvPr>
          <xdr:cNvCxnSpPr/>
        </xdr:nvCxnSpPr>
        <xdr:spPr>
          <a:xfrm>
            <a:off x="8101020" y="321640188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50" name="Arc 2549">
            <a:extLst>
              <a:ext uri="{FF2B5EF4-FFF2-40B4-BE49-F238E27FC236}">
                <a16:creationId xmlns:a16="http://schemas.microsoft.com/office/drawing/2014/main" id="{A2AB4F4B-5722-023B-78AA-08EFA6054A91}"/>
              </a:ext>
            </a:extLst>
          </xdr:cNvPr>
          <xdr:cNvSpPr/>
        </xdr:nvSpPr>
        <xdr:spPr>
          <a:xfrm rot="5400000">
            <a:off x="8324849" y="321430638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51" name="Arc 2550">
            <a:extLst>
              <a:ext uri="{FF2B5EF4-FFF2-40B4-BE49-F238E27FC236}">
                <a16:creationId xmlns:a16="http://schemas.microsoft.com/office/drawing/2014/main" id="{0076FB8D-B6A9-184C-7CFE-689890CA1310}"/>
              </a:ext>
            </a:extLst>
          </xdr:cNvPr>
          <xdr:cNvSpPr/>
        </xdr:nvSpPr>
        <xdr:spPr>
          <a:xfrm rot="10800000">
            <a:off x="8629651" y="321430637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52" name="Straight Connector 2551">
            <a:extLst>
              <a:ext uri="{FF2B5EF4-FFF2-40B4-BE49-F238E27FC236}">
                <a16:creationId xmlns:a16="http://schemas.microsoft.com/office/drawing/2014/main" id="{7756D9E5-5B52-56A0-7877-047913C0C356}"/>
              </a:ext>
            </a:extLst>
          </xdr:cNvPr>
          <xdr:cNvCxnSpPr/>
        </xdr:nvCxnSpPr>
        <xdr:spPr>
          <a:xfrm>
            <a:off x="8472488" y="32121157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4" name="Straight Connector 2553">
            <a:extLst>
              <a:ext uri="{FF2B5EF4-FFF2-40B4-BE49-F238E27FC236}">
                <a16:creationId xmlns:a16="http://schemas.microsoft.com/office/drawing/2014/main" id="{3B94A606-A2F7-2A02-E06E-1DFF55D51E40}"/>
              </a:ext>
            </a:extLst>
          </xdr:cNvPr>
          <xdr:cNvCxnSpPr/>
        </xdr:nvCxnSpPr>
        <xdr:spPr>
          <a:xfrm flipH="1">
            <a:off x="8496302" y="3211782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5" name="Straight Connector 2554">
            <a:extLst>
              <a:ext uri="{FF2B5EF4-FFF2-40B4-BE49-F238E27FC236}">
                <a16:creationId xmlns:a16="http://schemas.microsoft.com/office/drawing/2014/main" id="{795D38B9-7912-F15B-A41D-E048F02D6DE4}"/>
              </a:ext>
            </a:extLst>
          </xdr:cNvPr>
          <xdr:cNvCxnSpPr/>
        </xdr:nvCxnSpPr>
        <xdr:spPr>
          <a:xfrm flipH="1">
            <a:off x="8591548" y="32117823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6" name="Straight Connector 2555">
            <a:extLst>
              <a:ext uri="{FF2B5EF4-FFF2-40B4-BE49-F238E27FC236}">
                <a16:creationId xmlns:a16="http://schemas.microsoft.com/office/drawing/2014/main" id="{B04DD792-53F3-3C2B-38A5-754A2FBFC270}"/>
              </a:ext>
            </a:extLst>
          </xdr:cNvPr>
          <xdr:cNvCxnSpPr/>
        </xdr:nvCxnSpPr>
        <xdr:spPr>
          <a:xfrm>
            <a:off x="8905876" y="321578275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7" name="Straight Connector 2556">
            <a:extLst>
              <a:ext uri="{FF2B5EF4-FFF2-40B4-BE49-F238E27FC236}">
                <a16:creationId xmlns:a16="http://schemas.microsoft.com/office/drawing/2014/main" id="{283A3185-B8F7-419D-4E80-17AF3998D628}"/>
              </a:ext>
            </a:extLst>
          </xdr:cNvPr>
          <xdr:cNvCxnSpPr/>
        </xdr:nvCxnSpPr>
        <xdr:spPr>
          <a:xfrm flipH="1">
            <a:off x="8867776" y="3216068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8" name="Straight Connector 2557">
            <a:extLst>
              <a:ext uri="{FF2B5EF4-FFF2-40B4-BE49-F238E27FC236}">
                <a16:creationId xmlns:a16="http://schemas.microsoft.com/office/drawing/2014/main" id="{69DF52E3-1C9C-1D9E-F440-45F181D837B3}"/>
              </a:ext>
            </a:extLst>
          </xdr:cNvPr>
          <xdr:cNvCxnSpPr/>
        </xdr:nvCxnSpPr>
        <xdr:spPr>
          <a:xfrm flipH="1">
            <a:off x="8867774" y="32174972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9" name="Straight Connector 2558">
            <a:extLst>
              <a:ext uri="{FF2B5EF4-FFF2-40B4-BE49-F238E27FC236}">
                <a16:creationId xmlns:a16="http://schemas.microsoft.com/office/drawing/2014/main" id="{F457B3F1-BD7E-D313-67DB-577A68DA4E40}"/>
              </a:ext>
            </a:extLst>
          </xdr:cNvPr>
          <xdr:cNvCxnSpPr/>
        </xdr:nvCxnSpPr>
        <xdr:spPr>
          <a:xfrm>
            <a:off x="8096255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0" name="Straight Connector 2559">
            <a:extLst>
              <a:ext uri="{FF2B5EF4-FFF2-40B4-BE49-F238E27FC236}">
                <a16:creationId xmlns:a16="http://schemas.microsoft.com/office/drawing/2014/main" id="{8FBA6476-4004-1EEE-7BCD-1E7519A25E42}"/>
              </a:ext>
            </a:extLst>
          </xdr:cNvPr>
          <xdr:cNvCxnSpPr/>
        </xdr:nvCxnSpPr>
        <xdr:spPr>
          <a:xfrm>
            <a:off x="8034343" y="322068819"/>
            <a:ext cx="10953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1" name="Straight Connector 2560">
            <a:extLst>
              <a:ext uri="{FF2B5EF4-FFF2-40B4-BE49-F238E27FC236}">
                <a16:creationId xmlns:a16="http://schemas.microsoft.com/office/drawing/2014/main" id="{8EA80E14-A538-EF1B-1C8C-87F6255AC4D9}"/>
              </a:ext>
            </a:extLst>
          </xdr:cNvPr>
          <xdr:cNvCxnSpPr/>
        </xdr:nvCxnSpPr>
        <xdr:spPr>
          <a:xfrm flipH="1">
            <a:off x="8058154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2" name="Straight Connector 2561">
            <a:extLst>
              <a:ext uri="{FF2B5EF4-FFF2-40B4-BE49-F238E27FC236}">
                <a16:creationId xmlns:a16="http://schemas.microsoft.com/office/drawing/2014/main" id="{1B792488-9F65-41B8-E2B0-BD8A1062A228}"/>
              </a:ext>
            </a:extLst>
          </xdr:cNvPr>
          <xdr:cNvCxnSpPr/>
        </xdr:nvCxnSpPr>
        <xdr:spPr>
          <a:xfrm>
            <a:off x="9067798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3" name="Straight Connector 2562">
            <a:extLst>
              <a:ext uri="{FF2B5EF4-FFF2-40B4-BE49-F238E27FC236}">
                <a16:creationId xmlns:a16="http://schemas.microsoft.com/office/drawing/2014/main" id="{F2C83688-C2AC-A9DA-2521-BF38723E5497}"/>
              </a:ext>
            </a:extLst>
          </xdr:cNvPr>
          <xdr:cNvCxnSpPr/>
        </xdr:nvCxnSpPr>
        <xdr:spPr>
          <a:xfrm flipH="1">
            <a:off x="9029697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6" name="Straight Connector 2565">
            <a:extLst>
              <a:ext uri="{FF2B5EF4-FFF2-40B4-BE49-F238E27FC236}">
                <a16:creationId xmlns:a16="http://schemas.microsoft.com/office/drawing/2014/main" id="{3C19F2CD-8D29-7B8C-D65B-CED8D83975C9}"/>
              </a:ext>
            </a:extLst>
          </xdr:cNvPr>
          <xdr:cNvCxnSpPr/>
        </xdr:nvCxnSpPr>
        <xdr:spPr>
          <a:xfrm>
            <a:off x="7772406" y="320421000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8" name="Straight Connector 2567">
            <a:extLst>
              <a:ext uri="{FF2B5EF4-FFF2-40B4-BE49-F238E27FC236}">
                <a16:creationId xmlns:a16="http://schemas.microsoft.com/office/drawing/2014/main" id="{28860EA4-124D-CD64-C7A5-73056924FB61}"/>
              </a:ext>
            </a:extLst>
          </xdr:cNvPr>
          <xdr:cNvCxnSpPr/>
        </xdr:nvCxnSpPr>
        <xdr:spPr>
          <a:xfrm flipH="1">
            <a:off x="7734310" y="3204638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9" name="Straight Connector 2568">
            <a:extLst>
              <a:ext uri="{FF2B5EF4-FFF2-40B4-BE49-F238E27FC236}">
                <a16:creationId xmlns:a16="http://schemas.microsoft.com/office/drawing/2014/main" id="{427906AA-80D3-F413-2D91-31E6D9A01CBB}"/>
              </a:ext>
            </a:extLst>
          </xdr:cNvPr>
          <xdr:cNvCxnSpPr/>
        </xdr:nvCxnSpPr>
        <xdr:spPr>
          <a:xfrm flipH="1">
            <a:off x="7734301" y="32174973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0" name="Straight Connector 2569">
            <a:extLst>
              <a:ext uri="{FF2B5EF4-FFF2-40B4-BE49-F238E27FC236}">
                <a16:creationId xmlns:a16="http://schemas.microsoft.com/office/drawing/2014/main" id="{357D9703-A70A-F3EA-6C7A-FA5B33ADCF3C}"/>
              </a:ext>
            </a:extLst>
          </xdr:cNvPr>
          <xdr:cNvCxnSpPr/>
        </xdr:nvCxnSpPr>
        <xdr:spPr>
          <a:xfrm flipH="1">
            <a:off x="7705730" y="321783074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6" name="Straight Connector 2575">
            <a:extLst>
              <a:ext uri="{FF2B5EF4-FFF2-40B4-BE49-F238E27FC236}">
                <a16:creationId xmlns:a16="http://schemas.microsoft.com/office/drawing/2014/main" id="{DE9AF2C7-D67C-C51C-255D-56631D617295}"/>
              </a:ext>
            </a:extLst>
          </xdr:cNvPr>
          <xdr:cNvCxnSpPr/>
        </xdr:nvCxnSpPr>
        <xdr:spPr>
          <a:xfrm flipH="1">
            <a:off x="7705730" y="320497202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48</xdr:col>
      <xdr:colOff>95255</xdr:colOff>
      <xdr:row>2385</xdr:row>
      <xdr:rowOff>66675</xdr:rowOff>
    </xdr:from>
    <xdr:to>
      <xdr:col>57</xdr:col>
      <xdr:colOff>61913</xdr:colOff>
      <xdr:row>2397</xdr:row>
      <xdr:rowOff>76194</xdr:rowOff>
    </xdr:to>
    <xdr:grpSp>
      <xdr:nvGrpSpPr>
        <xdr:cNvPr id="2487" name="Group 2486">
          <a:extLst>
            <a:ext uri="{FF2B5EF4-FFF2-40B4-BE49-F238E27FC236}">
              <a16:creationId xmlns:a16="http://schemas.microsoft.com/office/drawing/2014/main" id="{C9652C24-386B-499D-AD69-1BDA7A79D3BD}"/>
            </a:ext>
          </a:extLst>
        </xdr:cNvPr>
        <xdr:cNvGrpSpPr/>
      </xdr:nvGrpSpPr>
      <xdr:grpSpPr>
        <a:xfrm>
          <a:off x="7867655" y="358692450"/>
          <a:ext cx="1423983" cy="1724019"/>
          <a:chOff x="7705730" y="320421000"/>
          <a:chExt cx="1423983" cy="1724019"/>
        </a:xfrm>
      </xdr:grpSpPr>
      <xdr:cxnSp macro="">
        <xdr:nvCxnSpPr>
          <xdr:cNvPr id="2488" name="Straight Connector 2487">
            <a:extLst>
              <a:ext uri="{FF2B5EF4-FFF2-40B4-BE49-F238E27FC236}">
                <a16:creationId xmlns:a16="http://schemas.microsoft.com/office/drawing/2014/main" id="{29096C47-A0BD-1581-B45B-3CAC72FD5B65}"/>
              </a:ext>
            </a:extLst>
          </xdr:cNvPr>
          <xdr:cNvCxnSpPr/>
        </xdr:nvCxnSpPr>
        <xdr:spPr>
          <a:xfrm>
            <a:off x="8096250" y="320497202"/>
            <a:ext cx="9667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5" name="Straight Connector 2504">
            <a:extLst>
              <a:ext uri="{FF2B5EF4-FFF2-40B4-BE49-F238E27FC236}">
                <a16:creationId xmlns:a16="http://schemas.microsoft.com/office/drawing/2014/main" id="{20465177-82A2-025E-BD88-BD8F206C7A1C}"/>
              </a:ext>
            </a:extLst>
          </xdr:cNvPr>
          <xdr:cNvCxnSpPr/>
        </xdr:nvCxnSpPr>
        <xdr:spPr>
          <a:xfrm>
            <a:off x="8096250" y="320640077"/>
            <a:ext cx="3571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2" name="Straight Connector 2521">
            <a:extLst>
              <a:ext uri="{FF2B5EF4-FFF2-40B4-BE49-F238E27FC236}">
                <a16:creationId xmlns:a16="http://schemas.microsoft.com/office/drawing/2014/main" id="{154162EE-53C3-4EA6-8132-357D53CCEA44}"/>
              </a:ext>
            </a:extLst>
          </xdr:cNvPr>
          <xdr:cNvCxnSpPr/>
        </xdr:nvCxnSpPr>
        <xdr:spPr>
          <a:xfrm>
            <a:off x="8534400" y="320735326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23" name="Arc 2522">
            <a:extLst>
              <a:ext uri="{FF2B5EF4-FFF2-40B4-BE49-F238E27FC236}">
                <a16:creationId xmlns:a16="http://schemas.microsoft.com/office/drawing/2014/main" id="{C8CEF8B0-291E-F083-D502-57A1EAF4FEEB}"/>
              </a:ext>
            </a:extLst>
          </xdr:cNvPr>
          <xdr:cNvSpPr/>
        </xdr:nvSpPr>
        <xdr:spPr>
          <a:xfrm>
            <a:off x="8324851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24" name="Straight Connector 2523">
            <a:extLst>
              <a:ext uri="{FF2B5EF4-FFF2-40B4-BE49-F238E27FC236}">
                <a16:creationId xmlns:a16="http://schemas.microsoft.com/office/drawing/2014/main" id="{2FE80782-A17E-B0F3-CB8F-00791BD0A60C}"/>
              </a:ext>
            </a:extLst>
          </xdr:cNvPr>
          <xdr:cNvCxnSpPr/>
        </xdr:nvCxnSpPr>
        <xdr:spPr>
          <a:xfrm>
            <a:off x="8629650" y="320730563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5" name="Straight Connector 2524">
            <a:extLst>
              <a:ext uri="{FF2B5EF4-FFF2-40B4-BE49-F238E27FC236}">
                <a16:creationId xmlns:a16="http://schemas.microsoft.com/office/drawing/2014/main" id="{CE860F0A-7BA2-1F74-3035-C1BA2A5A1171}"/>
              </a:ext>
            </a:extLst>
          </xdr:cNvPr>
          <xdr:cNvCxnSpPr/>
        </xdr:nvCxnSpPr>
        <xdr:spPr>
          <a:xfrm>
            <a:off x="8734425" y="320640077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6" name="Straight Connector 2525">
            <a:extLst>
              <a:ext uri="{FF2B5EF4-FFF2-40B4-BE49-F238E27FC236}">
                <a16:creationId xmlns:a16="http://schemas.microsoft.com/office/drawing/2014/main" id="{A5B4182F-430B-6098-1391-0102FFD11191}"/>
              </a:ext>
            </a:extLst>
          </xdr:cNvPr>
          <xdr:cNvCxnSpPr/>
        </xdr:nvCxnSpPr>
        <xdr:spPr>
          <a:xfrm>
            <a:off x="9063027" y="320497201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7" name="Straight Connector 2526">
            <a:extLst>
              <a:ext uri="{FF2B5EF4-FFF2-40B4-BE49-F238E27FC236}">
                <a16:creationId xmlns:a16="http://schemas.microsoft.com/office/drawing/2014/main" id="{8B4B939A-E5C1-6B0F-6358-4D18ECEADA19}"/>
              </a:ext>
            </a:extLst>
          </xdr:cNvPr>
          <xdr:cNvCxnSpPr/>
        </xdr:nvCxnSpPr>
        <xdr:spPr>
          <a:xfrm>
            <a:off x="8096258" y="320497202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28" name="Arc 2527">
            <a:extLst>
              <a:ext uri="{FF2B5EF4-FFF2-40B4-BE49-F238E27FC236}">
                <a16:creationId xmlns:a16="http://schemas.microsoft.com/office/drawing/2014/main" id="{BB677CB8-DDEB-1B5D-951A-CE8907E09B55}"/>
              </a:ext>
            </a:extLst>
          </xdr:cNvPr>
          <xdr:cNvSpPr/>
        </xdr:nvSpPr>
        <xdr:spPr>
          <a:xfrm rot="16200000">
            <a:off x="8629650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29" name="Straight Connector 2528">
            <a:extLst>
              <a:ext uri="{FF2B5EF4-FFF2-40B4-BE49-F238E27FC236}">
                <a16:creationId xmlns:a16="http://schemas.microsoft.com/office/drawing/2014/main" id="{00CA019E-32BE-31AD-F246-82958669B3C7}"/>
              </a:ext>
            </a:extLst>
          </xdr:cNvPr>
          <xdr:cNvCxnSpPr/>
        </xdr:nvCxnSpPr>
        <xdr:spPr>
          <a:xfrm>
            <a:off x="8096250" y="321783070"/>
            <a:ext cx="971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0" name="Straight Connector 2529">
            <a:extLst>
              <a:ext uri="{FF2B5EF4-FFF2-40B4-BE49-F238E27FC236}">
                <a16:creationId xmlns:a16="http://schemas.microsoft.com/office/drawing/2014/main" id="{FBE0F03C-A0C1-3451-36E1-6A1E9464EF19}"/>
              </a:ext>
            </a:extLst>
          </xdr:cNvPr>
          <xdr:cNvCxnSpPr/>
        </xdr:nvCxnSpPr>
        <xdr:spPr>
          <a:xfrm>
            <a:off x="8101013" y="321640188"/>
            <a:ext cx="3571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1" name="Straight Connector 2530">
            <a:extLst>
              <a:ext uri="{FF2B5EF4-FFF2-40B4-BE49-F238E27FC236}">
                <a16:creationId xmlns:a16="http://schemas.microsoft.com/office/drawing/2014/main" id="{860596E5-6DEC-86C3-DF5F-8489D6CDB896}"/>
              </a:ext>
            </a:extLst>
          </xdr:cNvPr>
          <xdr:cNvCxnSpPr/>
        </xdr:nvCxnSpPr>
        <xdr:spPr>
          <a:xfrm>
            <a:off x="8739187" y="321640188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2" name="Straight Connector 2531">
            <a:extLst>
              <a:ext uri="{FF2B5EF4-FFF2-40B4-BE49-F238E27FC236}">
                <a16:creationId xmlns:a16="http://schemas.microsoft.com/office/drawing/2014/main" id="{B2FE5042-B79C-21F0-473A-C415C1DBA236}"/>
              </a:ext>
            </a:extLst>
          </xdr:cNvPr>
          <xdr:cNvCxnSpPr/>
        </xdr:nvCxnSpPr>
        <xdr:spPr>
          <a:xfrm>
            <a:off x="9067789" y="321640187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3" name="Straight Connector 2532">
            <a:extLst>
              <a:ext uri="{FF2B5EF4-FFF2-40B4-BE49-F238E27FC236}">
                <a16:creationId xmlns:a16="http://schemas.microsoft.com/office/drawing/2014/main" id="{B5A31620-1D95-A9AF-09F5-1F54A17C0FF2}"/>
              </a:ext>
            </a:extLst>
          </xdr:cNvPr>
          <xdr:cNvCxnSpPr/>
        </xdr:nvCxnSpPr>
        <xdr:spPr>
          <a:xfrm>
            <a:off x="8101020" y="321640188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81" name="Arc 2580">
            <a:extLst>
              <a:ext uri="{FF2B5EF4-FFF2-40B4-BE49-F238E27FC236}">
                <a16:creationId xmlns:a16="http://schemas.microsoft.com/office/drawing/2014/main" id="{15F8ACDB-BA2C-374D-1E84-2D17EF7441A5}"/>
              </a:ext>
            </a:extLst>
          </xdr:cNvPr>
          <xdr:cNvSpPr/>
        </xdr:nvSpPr>
        <xdr:spPr>
          <a:xfrm rot="5400000">
            <a:off x="8324849" y="321430638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98" name="Arc 2597">
            <a:extLst>
              <a:ext uri="{FF2B5EF4-FFF2-40B4-BE49-F238E27FC236}">
                <a16:creationId xmlns:a16="http://schemas.microsoft.com/office/drawing/2014/main" id="{6A9C0F17-A5F7-CD7D-1613-A468A50D60D3}"/>
              </a:ext>
            </a:extLst>
          </xdr:cNvPr>
          <xdr:cNvSpPr/>
        </xdr:nvSpPr>
        <xdr:spPr>
          <a:xfrm rot="10800000">
            <a:off x="8629651" y="321430637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01" name="Straight Connector 2600">
            <a:extLst>
              <a:ext uri="{FF2B5EF4-FFF2-40B4-BE49-F238E27FC236}">
                <a16:creationId xmlns:a16="http://schemas.microsoft.com/office/drawing/2014/main" id="{50C5B298-0AC8-8183-B3B4-6F1F03F0145A}"/>
              </a:ext>
            </a:extLst>
          </xdr:cNvPr>
          <xdr:cNvCxnSpPr/>
        </xdr:nvCxnSpPr>
        <xdr:spPr>
          <a:xfrm>
            <a:off x="8472488" y="32121157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2" name="Straight Connector 2601">
            <a:extLst>
              <a:ext uri="{FF2B5EF4-FFF2-40B4-BE49-F238E27FC236}">
                <a16:creationId xmlns:a16="http://schemas.microsoft.com/office/drawing/2014/main" id="{3E21856A-5BD4-EA7F-72A1-1DAA588D196E}"/>
              </a:ext>
            </a:extLst>
          </xdr:cNvPr>
          <xdr:cNvCxnSpPr/>
        </xdr:nvCxnSpPr>
        <xdr:spPr>
          <a:xfrm flipH="1">
            <a:off x="8496302" y="3211782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3" name="Straight Connector 2602">
            <a:extLst>
              <a:ext uri="{FF2B5EF4-FFF2-40B4-BE49-F238E27FC236}">
                <a16:creationId xmlns:a16="http://schemas.microsoft.com/office/drawing/2014/main" id="{CEE6DA5E-3312-A0B9-DA2E-CA7D6C86586D}"/>
              </a:ext>
            </a:extLst>
          </xdr:cNvPr>
          <xdr:cNvCxnSpPr/>
        </xdr:nvCxnSpPr>
        <xdr:spPr>
          <a:xfrm flipH="1">
            <a:off x="8591548" y="32117823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4" name="Straight Connector 2603">
            <a:extLst>
              <a:ext uri="{FF2B5EF4-FFF2-40B4-BE49-F238E27FC236}">
                <a16:creationId xmlns:a16="http://schemas.microsoft.com/office/drawing/2014/main" id="{43C98BA4-C562-1932-D255-1C72B5E2DBF0}"/>
              </a:ext>
            </a:extLst>
          </xdr:cNvPr>
          <xdr:cNvCxnSpPr/>
        </xdr:nvCxnSpPr>
        <xdr:spPr>
          <a:xfrm>
            <a:off x="8905876" y="321578275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5" name="Straight Connector 2604">
            <a:extLst>
              <a:ext uri="{FF2B5EF4-FFF2-40B4-BE49-F238E27FC236}">
                <a16:creationId xmlns:a16="http://schemas.microsoft.com/office/drawing/2014/main" id="{46D4F72D-6791-429A-25DE-2098DF66EF3C}"/>
              </a:ext>
            </a:extLst>
          </xdr:cNvPr>
          <xdr:cNvCxnSpPr/>
        </xdr:nvCxnSpPr>
        <xdr:spPr>
          <a:xfrm flipH="1">
            <a:off x="8867776" y="3216068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6" name="Straight Connector 2605">
            <a:extLst>
              <a:ext uri="{FF2B5EF4-FFF2-40B4-BE49-F238E27FC236}">
                <a16:creationId xmlns:a16="http://schemas.microsoft.com/office/drawing/2014/main" id="{9F19A859-30CA-810D-C41E-795C57FEFF71}"/>
              </a:ext>
            </a:extLst>
          </xdr:cNvPr>
          <xdr:cNvCxnSpPr/>
        </xdr:nvCxnSpPr>
        <xdr:spPr>
          <a:xfrm flipH="1">
            <a:off x="8867774" y="32174972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7" name="Straight Connector 2606">
            <a:extLst>
              <a:ext uri="{FF2B5EF4-FFF2-40B4-BE49-F238E27FC236}">
                <a16:creationId xmlns:a16="http://schemas.microsoft.com/office/drawing/2014/main" id="{1CE5FC9C-4E79-2EF2-6437-5AEDB60E7A27}"/>
              </a:ext>
            </a:extLst>
          </xdr:cNvPr>
          <xdr:cNvCxnSpPr/>
        </xdr:nvCxnSpPr>
        <xdr:spPr>
          <a:xfrm>
            <a:off x="8096255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8" name="Straight Connector 2607">
            <a:extLst>
              <a:ext uri="{FF2B5EF4-FFF2-40B4-BE49-F238E27FC236}">
                <a16:creationId xmlns:a16="http://schemas.microsoft.com/office/drawing/2014/main" id="{F9783EB7-7A18-34E3-1C00-6183BD4E49A5}"/>
              </a:ext>
            </a:extLst>
          </xdr:cNvPr>
          <xdr:cNvCxnSpPr/>
        </xdr:nvCxnSpPr>
        <xdr:spPr>
          <a:xfrm>
            <a:off x="8034343" y="322068819"/>
            <a:ext cx="10953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9" name="Straight Connector 2608">
            <a:extLst>
              <a:ext uri="{FF2B5EF4-FFF2-40B4-BE49-F238E27FC236}">
                <a16:creationId xmlns:a16="http://schemas.microsoft.com/office/drawing/2014/main" id="{0527DAF7-3FDB-D01C-5A1C-CA4B2CC62CFD}"/>
              </a:ext>
            </a:extLst>
          </xdr:cNvPr>
          <xdr:cNvCxnSpPr/>
        </xdr:nvCxnSpPr>
        <xdr:spPr>
          <a:xfrm flipH="1">
            <a:off x="8058154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0" name="Straight Connector 2609">
            <a:extLst>
              <a:ext uri="{FF2B5EF4-FFF2-40B4-BE49-F238E27FC236}">
                <a16:creationId xmlns:a16="http://schemas.microsoft.com/office/drawing/2014/main" id="{526E30F9-971E-925C-B930-1B060504216C}"/>
              </a:ext>
            </a:extLst>
          </xdr:cNvPr>
          <xdr:cNvCxnSpPr/>
        </xdr:nvCxnSpPr>
        <xdr:spPr>
          <a:xfrm>
            <a:off x="9067798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1" name="Straight Connector 2610">
            <a:extLst>
              <a:ext uri="{FF2B5EF4-FFF2-40B4-BE49-F238E27FC236}">
                <a16:creationId xmlns:a16="http://schemas.microsoft.com/office/drawing/2014/main" id="{F472533D-8A69-2286-D371-6638008A5AA2}"/>
              </a:ext>
            </a:extLst>
          </xdr:cNvPr>
          <xdr:cNvCxnSpPr/>
        </xdr:nvCxnSpPr>
        <xdr:spPr>
          <a:xfrm flipH="1">
            <a:off x="9029697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2" name="Straight Connector 2611">
            <a:extLst>
              <a:ext uri="{FF2B5EF4-FFF2-40B4-BE49-F238E27FC236}">
                <a16:creationId xmlns:a16="http://schemas.microsoft.com/office/drawing/2014/main" id="{1B6F9557-5F95-8066-4A4F-58FA0C95C83B}"/>
              </a:ext>
            </a:extLst>
          </xdr:cNvPr>
          <xdr:cNvCxnSpPr/>
        </xdr:nvCxnSpPr>
        <xdr:spPr>
          <a:xfrm>
            <a:off x="7772406" y="320421000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3" name="Straight Connector 2612">
            <a:extLst>
              <a:ext uri="{FF2B5EF4-FFF2-40B4-BE49-F238E27FC236}">
                <a16:creationId xmlns:a16="http://schemas.microsoft.com/office/drawing/2014/main" id="{8DE5C3A5-FF57-9992-251B-72F2DE8A1C60}"/>
              </a:ext>
            </a:extLst>
          </xdr:cNvPr>
          <xdr:cNvCxnSpPr/>
        </xdr:nvCxnSpPr>
        <xdr:spPr>
          <a:xfrm flipH="1">
            <a:off x="7734310" y="3204638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4" name="Straight Connector 2613">
            <a:extLst>
              <a:ext uri="{FF2B5EF4-FFF2-40B4-BE49-F238E27FC236}">
                <a16:creationId xmlns:a16="http://schemas.microsoft.com/office/drawing/2014/main" id="{05D794D8-7616-DCF4-7F57-43977D59D92B}"/>
              </a:ext>
            </a:extLst>
          </xdr:cNvPr>
          <xdr:cNvCxnSpPr/>
        </xdr:nvCxnSpPr>
        <xdr:spPr>
          <a:xfrm flipH="1">
            <a:off x="7734301" y="32174973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5" name="Straight Connector 2614">
            <a:extLst>
              <a:ext uri="{FF2B5EF4-FFF2-40B4-BE49-F238E27FC236}">
                <a16:creationId xmlns:a16="http://schemas.microsoft.com/office/drawing/2014/main" id="{C514AA8E-C462-EC43-7C5E-CDDE4C1357E4}"/>
              </a:ext>
            </a:extLst>
          </xdr:cNvPr>
          <xdr:cNvCxnSpPr/>
        </xdr:nvCxnSpPr>
        <xdr:spPr>
          <a:xfrm flipH="1">
            <a:off x="7705730" y="321783074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6" name="Straight Connector 2615">
            <a:extLst>
              <a:ext uri="{FF2B5EF4-FFF2-40B4-BE49-F238E27FC236}">
                <a16:creationId xmlns:a16="http://schemas.microsoft.com/office/drawing/2014/main" id="{D1139E7F-B876-F204-2A21-CD13CF33DF64}"/>
              </a:ext>
            </a:extLst>
          </xdr:cNvPr>
          <xdr:cNvCxnSpPr/>
        </xdr:nvCxnSpPr>
        <xdr:spPr>
          <a:xfrm flipH="1">
            <a:off x="7705730" y="320497202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61</xdr:col>
      <xdr:colOff>95255</xdr:colOff>
      <xdr:row>2385</xdr:row>
      <xdr:rowOff>66675</xdr:rowOff>
    </xdr:from>
    <xdr:to>
      <xdr:col>70</xdr:col>
      <xdr:colOff>61913</xdr:colOff>
      <xdr:row>2397</xdr:row>
      <xdr:rowOff>76194</xdr:rowOff>
    </xdr:to>
    <xdr:grpSp>
      <xdr:nvGrpSpPr>
        <xdr:cNvPr id="2617" name="Group 2616">
          <a:extLst>
            <a:ext uri="{FF2B5EF4-FFF2-40B4-BE49-F238E27FC236}">
              <a16:creationId xmlns:a16="http://schemas.microsoft.com/office/drawing/2014/main" id="{99EE9C5F-7388-4609-96FB-8FBD65D86EC3}"/>
            </a:ext>
          </a:extLst>
        </xdr:cNvPr>
        <xdr:cNvGrpSpPr/>
      </xdr:nvGrpSpPr>
      <xdr:grpSpPr>
        <a:xfrm>
          <a:off x="9972680" y="358692450"/>
          <a:ext cx="1423983" cy="1724019"/>
          <a:chOff x="7705730" y="320421000"/>
          <a:chExt cx="1423983" cy="1724019"/>
        </a:xfrm>
      </xdr:grpSpPr>
      <xdr:cxnSp macro="">
        <xdr:nvCxnSpPr>
          <xdr:cNvPr id="2618" name="Straight Connector 2617">
            <a:extLst>
              <a:ext uri="{FF2B5EF4-FFF2-40B4-BE49-F238E27FC236}">
                <a16:creationId xmlns:a16="http://schemas.microsoft.com/office/drawing/2014/main" id="{10A9A06D-E69C-A05E-1F48-C00161B7416D}"/>
              </a:ext>
            </a:extLst>
          </xdr:cNvPr>
          <xdr:cNvCxnSpPr/>
        </xdr:nvCxnSpPr>
        <xdr:spPr>
          <a:xfrm>
            <a:off x="8096250" y="320497202"/>
            <a:ext cx="9667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9" name="Straight Connector 2618">
            <a:extLst>
              <a:ext uri="{FF2B5EF4-FFF2-40B4-BE49-F238E27FC236}">
                <a16:creationId xmlns:a16="http://schemas.microsoft.com/office/drawing/2014/main" id="{58DD2B0B-A14D-4B39-0181-5AC097BE10EC}"/>
              </a:ext>
            </a:extLst>
          </xdr:cNvPr>
          <xdr:cNvCxnSpPr/>
        </xdr:nvCxnSpPr>
        <xdr:spPr>
          <a:xfrm>
            <a:off x="8096250" y="320640077"/>
            <a:ext cx="3571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0" name="Straight Connector 2619">
            <a:extLst>
              <a:ext uri="{FF2B5EF4-FFF2-40B4-BE49-F238E27FC236}">
                <a16:creationId xmlns:a16="http://schemas.microsoft.com/office/drawing/2014/main" id="{333D984A-2258-45E1-2E7E-7B01047DFD28}"/>
              </a:ext>
            </a:extLst>
          </xdr:cNvPr>
          <xdr:cNvCxnSpPr/>
        </xdr:nvCxnSpPr>
        <xdr:spPr>
          <a:xfrm>
            <a:off x="8534400" y="320735326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21" name="Arc 2620">
            <a:extLst>
              <a:ext uri="{FF2B5EF4-FFF2-40B4-BE49-F238E27FC236}">
                <a16:creationId xmlns:a16="http://schemas.microsoft.com/office/drawing/2014/main" id="{9076F05F-D1EA-FFAA-6631-D15C8CFC1290}"/>
              </a:ext>
            </a:extLst>
          </xdr:cNvPr>
          <xdr:cNvSpPr/>
        </xdr:nvSpPr>
        <xdr:spPr>
          <a:xfrm>
            <a:off x="8324851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22" name="Straight Connector 2621">
            <a:extLst>
              <a:ext uri="{FF2B5EF4-FFF2-40B4-BE49-F238E27FC236}">
                <a16:creationId xmlns:a16="http://schemas.microsoft.com/office/drawing/2014/main" id="{5956A406-35DE-961A-F484-D4C8040DE0FC}"/>
              </a:ext>
            </a:extLst>
          </xdr:cNvPr>
          <xdr:cNvCxnSpPr/>
        </xdr:nvCxnSpPr>
        <xdr:spPr>
          <a:xfrm>
            <a:off x="8629650" y="320730563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3" name="Straight Connector 2622">
            <a:extLst>
              <a:ext uri="{FF2B5EF4-FFF2-40B4-BE49-F238E27FC236}">
                <a16:creationId xmlns:a16="http://schemas.microsoft.com/office/drawing/2014/main" id="{3364B633-FB3E-80E0-CAE9-3FA775B701F4}"/>
              </a:ext>
            </a:extLst>
          </xdr:cNvPr>
          <xdr:cNvCxnSpPr/>
        </xdr:nvCxnSpPr>
        <xdr:spPr>
          <a:xfrm>
            <a:off x="8734425" y="320640077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4" name="Straight Connector 2623">
            <a:extLst>
              <a:ext uri="{FF2B5EF4-FFF2-40B4-BE49-F238E27FC236}">
                <a16:creationId xmlns:a16="http://schemas.microsoft.com/office/drawing/2014/main" id="{8447C932-11CF-0BCF-AF01-BF488EFE5900}"/>
              </a:ext>
            </a:extLst>
          </xdr:cNvPr>
          <xdr:cNvCxnSpPr/>
        </xdr:nvCxnSpPr>
        <xdr:spPr>
          <a:xfrm>
            <a:off x="9063027" y="320497201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5" name="Straight Connector 2624">
            <a:extLst>
              <a:ext uri="{FF2B5EF4-FFF2-40B4-BE49-F238E27FC236}">
                <a16:creationId xmlns:a16="http://schemas.microsoft.com/office/drawing/2014/main" id="{E29033FE-E7C1-0F90-2A13-E5E1E3A205B8}"/>
              </a:ext>
            </a:extLst>
          </xdr:cNvPr>
          <xdr:cNvCxnSpPr/>
        </xdr:nvCxnSpPr>
        <xdr:spPr>
          <a:xfrm>
            <a:off x="8096258" y="320497202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26" name="Arc 2625">
            <a:extLst>
              <a:ext uri="{FF2B5EF4-FFF2-40B4-BE49-F238E27FC236}">
                <a16:creationId xmlns:a16="http://schemas.microsoft.com/office/drawing/2014/main" id="{69509A87-B9E9-EA6F-FC74-860A1CA4B8F6}"/>
              </a:ext>
            </a:extLst>
          </xdr:cNvPr>
          <xdr:cNvSpPr/>
        </xdr:nvSpPr>
        <xdr:spPr>
          <a:xfrm rot="16200000">
            <a:off x="8629650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27" name="Straight Connector 2626">
            <a:extLst>
              <a:ext uri="{FF2B5EF4-FFF2-40B4-BE49-F238E27FC236}">
                <a16:creationId xmlns:a16="http://schemas.microsoft.com/office/drawing/2014/main" id="{81DC817A-7C5F-27D5-BBD9-EDBED700108B}"/>
              </a:ext>
            </a:extLst>
          </xdr:cNvPr>
          <xdr:cNvCxnSpPr/>
        </xdr:nvCxnSpPr>
        <xdr:spPr>
          <a:xfrm>
            <a:off x="8096250" y="321783070"/>
            <a:ext cx="971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8" name="Straight Connector 2627">
            <a:extLst>
              <a:ext uri="{FF2B5EF4-FFF2-40B4-BE49-F238E27FC236}">
                <a16:creationId xmlns:a16="http://schemas.microsoft.com/office/drawing/2014/main" id="{6711FC29-04D0-A93C-89B5-3E6F1242AB00}"/>
              </a:ext>
            </a:extLst>
          </xdr:cNvPr>
          <xdr:cNvCxnSpPr/>
        </xdr:nvCxnSpPr>
        <xdr:spPr>
          <a:xfrm>
            <a:off x="8101013" y="321640188"/>
            <a:ext cx="3571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9" name="Straight Connector 2628">
            <a:extLst>
              <a:ext uri="{FF2B5EF4-FFF2-40B4-BE49-F238E27FC236}">
                <a16:creationId xmlns:a16="http://schemas.microsoft.com/office/drawing/2014/main" id="{564EF5EC-3F65-E029-90ED-AD4BAE3A73E3}"/>
              </a:ext>
            </a:extLst>
          </xdr:cNvPr>
          <xdr:cNvCxnSpPr/>
        </xdr:nvCxnSpPr>
        <xdr:spPr>
          <a:xfrm>
            <a:off x="8739187" y="321640188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0" name="Straight Connector 2629">
            <a:extLst>
              <a:ext uri="{FF2B5EF4-FFF2-40B4-BE49-F238E27FC236}">
                <a16:creationId xmlns:a16="http://schemas.microsoft.com/office/drawing/2014/main" id="{9DFA94FF-6B78-FF38-3535-DA14B53CC04A}"/>
              </a:ext>
            </a:extLst>
          </xdr:cNvPr>
          <xdr:cNvCxnSpPr/>
        </xdr:nvCxnSpPr>
        <xdr:spPr>
          <a:xfrm>
            <a:off x="9067789" y="321640187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2" name="Straight Connector 2631">
            <a:extLst>
              <a:ext uri="{FF2B5EF4-FFF2-40B4-BE49-F238E27FC236}">
                <a16:creationId xmlns:a16="http://schemas.microsoft.com/office/drawing/2014/main" id="{669551EF-435D-C537-F741-204AAA9F8DD7}"/>
              </a:ext>
            </a:extLst>
          </xdr:cNvPr>
          <xdr:cNvCxnSpPr/>
        </xdr:nvCxnSpPr>
        <xdr:spPr>
          <a:xfrm>
            <a:off x="8101020" y="321640188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33" name="Arc 2632">
            <a:extLst>
              <a:ext uri="{FF2B5EF4-FFF2-40B4-BE49-F238E27FC236}">
                <a16:creationId xmlns:a16="http://schemas.microsoft.com/office/drawing/2014/main" id="{88D113AE-BF00-677F-F673-9576DB53016B}"/>
              </a:ext>
            </a:extLst>
          </xdr:cNvPr>
          <xdr:cNvSpPr/>
        </xdr:nvSpPr>
        <xdr:spPr>
          <a:xfrm rot="5400000">
            <a:off x="8324849" y="321430638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34" name="Arc 2633">
            <a:extLst>
              <a:ext uri="{FF2B5EF4-FFF2-40B4-BE49-F238E27FC236}">
                <a16:creationId xmlns:a16="http://schemas.microsoft.com/office/drawing/2014/main" id="{90A51133-5554-BD46-69CD-EA7E200A4875}"/>
              </a:ext>
            </a:extLst>
          </xdr:cNvPr>
          <xdr:cNvSpPr/>
        </xdr:nvSpPr>
        <xdr:spPr>
          <a:xfrm rot="10800000">
            <a:off x="8629651" y="321430637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35" name="Straight Connector 2634">
            <a:extLst>
              <a:ext uri="{FF2B5EF4-FFF2-40B4-BE49-F238E27FC236}">
                <a16:creationId xmlns:a16="http://schemas.microsoft.com/office/drawing/2014/main" id="{74AEB0D1-6705-C5CC-7538-A2FB56BF0D6A}"/>
              </a:ext>
            </a:extLst>
          </xdr:cNvPr>
          <xdr:cNvCxnSpPr/>
        </xdr:nvCxnSpPr>
        <xdr:spPr>
          <a:xfrm>
            <a:off x="8472488" y="32121157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6" name="Straight Connector 2635">
            <a:extLst>
              <a:ext uri="{FF2B5EF4-FFF2-40B4-BE49-F238E27FC236}">
                <a16:creationId xmlns:a16="http://schemas.microsoft.com/office/drawing/2014/main" id="{923D0C4C-9AF5-338E-35BD-230B0F74CF6E}"/>
              </a:ext>
            </a:extLst>
          </xdr:cNvPr>
          <xdr:cNvCxnSpPr/>
        </xdr:nvCxnSpPr>
        <xdr:spPr>
          <a:xfrm flipH="1">
            <a:off x="8496302" y="3211782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7" name="Straight Connector 2636">
            <a:extLst>
              <a:ext uri="{FF2B5EF4-FFF2-40B4-BE49-F238E27FC236}">
                <a16:creationId xmlns:a16="http://schemas.microsoft.com/office/drawing/2014/main" id="{3709FA73-792C-62A1-3C67-D36E49AA8DBB}"/>
              </a:ext>
            </a:extLst>
          </xdr:cNvPr>
          <xdr:cNvCxnSpPr/>
        </xdr:nvCxnSpPr>
        <xdr:spPr>
          <a:xfrm flipH="1">
            <a:off x="8591548" y="32117823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8" name="Straight Connector 2637">
            <a:extLst>
              <a:ext uri="{FF2B5EF4-FFF2-40B4-BE49-F238E27FC236}">
                <a16:creationId xmlns:a16="http://schemas.microsoft.com/office/drawing/2014/main" id="{0060D33F-100F-36F4-8B05-A0A352264B07}"/>
              </a:ext>
            </a:extLst>
          </xdr:cNvPr>
          <xdr:cNvCxnSpPr/>
        </xdr:nvCxnSpPr>
        <xdr:spPr>
          <a:xfrm>
            <a:off x="8905876" y="321578275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9" name="Straight Connector 2638">
            <a:extLst>
              <a:ext uri="{FF2B5EF4-FFF2-40B4-BE49-F238E27FC236}">
                <a16:creationId xmlns:a16="http://schemas.microsoft.com/office/drawing/2014/main" id="{F7356972-A1AD-1E4D-CC36-EF006A450909}"/>
              </a:ext>
            </a:extLst>
          </xdr:cNvPr>
          <xdr:cNvCxnSpPr/>
        </xdr:nvCxnSpPr>
        <xdr:spPr>
          <a:xfrm flipH="1">
            <a:off x="8867776" y="3216068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0" name="Straight Connector 2639">
            <a:extLst>
              <a:ext uri="{FF2B5EF4-FFF2-40B4-BE49-F238E27FC236}">
                <a16:creationId xmlns:a16="http://schemas.microsoft.com/office/drawing/2014/main" id="{CCBED031-2ABA-7C2B-FD2D-C151E5524DDA}"/>
              </a:ext>
            </a:extLst>
          </xdr:cNvPr>
          <xdr:cNvCxnSpPr/>
        </xdr:nvCxnSpPr>
        <xdr:spPr>
          <a:xfrm flipH="1">
            <a:off x="8867774" y="32174972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1" name="Straight Connector 2640">
            <a:extLst>
              <a:ext uri="{FF2B5EF4-FFF2-40B4-BE49-F238E27FC236}">
                <a16:creationId xmlns:a16="http://schemas.microsoft.com/office/drawing/2014/main" id="{0F1D4E00-14A3-CFEC-E3DC-B54F3CE149A1}"/>
              </a:ext>
            </a:extLst>
          </xdr:cNvPr>
          <xdr:cNvCxnSpPr/>
        </xdr:nvCxnSpPr>
        <xdr:spPr>
          <a:xfrm>
            <a:off x="8096255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2" name="Straight Connector 2641">
            <a:extLst>
              <a:ext uri="{FF2B5EF4-FFF2-40B4-BE49-F238E27FC236}">
                <a16:creationId xmlns:a16="http://schemas.microsoft.com/office/drawing/2014/main" id="{0D1513C0-F6D0-6E04-E49F-EFA94A2D258B}"/>
              </a:ext>
            </a:extLst>
          </xdr:cNvPr>
          <xdr:cNvCxnSpPr/>
        </xdr:nvCxnSpPr>
        <xdr:spPr>
          <a:xfrm>
            <a:off x="8034343" y="322068819"/>
            <a:ext cx="10953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3" name="Straight Connector 2642">
            <a:extLst>
              <a:ext uri="{FF2B5EF4-FFF2-40B4-BE49-F238E27FC236}">
                <a16:creationId xmlns:a16="http://schemas.microsoft.com/office/drawing/2014/main" id="{F63AB470-1977-B4BE-78C3-DC6F53E0DE40}"/>
              </a:ext>
            </a:extLst>
          </xdr:cNvPr>
          <xdr:cNvCxnSpPr/>
        </xdr:nvCxnSpPr>
        <xdr:spPr>
          <a:xfrm flipH="1">
            <a:off x="8058154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4" name="Straight Connector 2643">
            <a:extLst>
              <a:ext uri="{FF2B5EF4-FFF2-40B4-BE49-F238E27FC236}">
                <a16:creationId xmlns:a16="http://schemas.microsoft.com/office/drawing/2014/main" id="{989CBE31-1082-A94B-11E4-6459DD9508B3}"/>
              </a:ext>
            </a:extLst>
          </xdr:cNvPr>
          <xdr:cNvCxnSpPr/>
        </xdr:nvCxnSpPr>
        <xdr:spPr>
          <a:xfrm>
            <a:off x="9067798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5" name="Straight Connector 2644">
            <a:extLst>
              <a:ext uri="{FF2B5EF4-FFF2-40B4-BE49-F238E27FC236}">
                <a16:creationId xmlns:a16="http://schemas.microsoft.com/office/drawing/2014/main" id="{5A19A903-A6AD-858C-DD2C-EDC8D2EB3E3C}"/>
              </a:ext>
            </a:extLst>
          </xdr:cNvPr>
          <xdr:cNvCxnSpPr/>
        </xdr:nvCxnSpPr>
        <xdr:spPr>
          <a:xfrm flipH="1">
            <a:off x="9029697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6" name="Straight Connector 2645">
            <a:extLst>
              <a:ext uri="{FF2B5EF4-FFF2-40B4-BE49-F238E27FC236}">
                <a16:creationId xmlns:a16="http://schemas.microsoft.com/office/drawing/2014/main" id="{2CEFE2FD-A9E5-B60D-C17C-FCFA22A05C52}"/>
              </a:ext>
            </a:extLst>
          </xdr:cNvPr>
          <xdr:cNvCxnSpPr/>
        </xdr:nvCxnSpPr>
        <xdr:spPr>
          <a:xfrm>
            <a:off x="7772406" y="320421000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7" name="Straight Connector 2646">
            <a:extLst>
              <a:ext uri="{FF2B5EF4-FFF2-40B4-BE49-F238E27FC236}">
                <a16:creationId xmlns:a16="http://schemas.microsoft.com/office/drawing/2014/main" id="{1437C6A9-908C-4024-6D72-82B401F1F8DB}"/>
              </a:ext>
            </a:extLst>
          </xdr:cNvPr>
          <xdr:cNvCxnSpPr/>
        </xdr:nvCxnSpPr>
        <xdr:spPr>
          <a:xfrm flipH="1">
            <a:off x="7734310" y="3204638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8" name="Straight Connector 2647">
            <a:extLst>
              <a:ext uri="{FF2B5EF4-FFF2-40B4-BE49-F238E27FC236}">
                <a16:creationId xmlns:a16="http://schemas.microsoft.com/office/drawing/2014/main" id="{E87596D8-494B-1F41-0F6F-2BE61A4D31C8}"/>
              </a:ext>
            </a:extLst>
          </xdr:cNvPr>
          <xdr:cNvCxnSpPr/>
        </xdr:nvCxnSpPr>
        <xdr:spPr>
          <a:xfrm flipH="1">
            <a:off x="7734301" y="32174973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9" name="Straight Connector 2648">
            <a:extLst>
              <a:ext uri="{FF2B5EF4-FFF2-40B4-BE49-F238E27FC236}">
                <a16:creationId xmlns:a16="http://schemas.microsoft.com/office/drawing/2014/main" id="{9C6AD861-CD8D-5E37-3BFD-9E06D91F656B}"/>
              </a:ext>
            </a:extLst>
          </xdr:cNvPr>
          <xdr:cNvCxnSpPr/>
        </xdr:nvCxnSpPr>
        <xdr:spPr>
          <a:xfrm flipH="1">
            <a:off x="7705730" y="321783074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0" name="Straight Connector 2649">
            <a:extLst>
              <a:ext uri="{FF2B5EF4-FFF2-40B4-BE49-F238E27FC236}">
                <a16:creationId xmlns:a16="http://schemas.microsoft.com/office/drawing/2014/main" id="{61FF8F75-1D25-2033-8678-C857695BE4DB}"/>
              </a:ext>
            </a:extLst>
          </xdr:cNvPr>
          <xdr:cNvCxnSpPr/>
        </xdr:nvCxnSpPr>
        <xdr:spPr>
          <a:xfrm flipH="1">
            <a:off x="7705730" y="320497202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4763</xdr:colOff>
      <xdr:row>2770</xdr:row>
      <xdr:rowOff>142874</xdr:rowOff>
    </xdr:from>
    <xdr:to>
      <xdr:col>28</xdr:col>
      <xdr:colOff>66681</xdr:colOff>
      <xdr:row>2778</xdr:row>
      <xdr:rowOff>85726</xdr:rowOff>
    </xdr:to>
    <xdr:grpSp>
      <xdr:nvGrpSpPr>
        <xdr:cNvPr id="3201" name="Group 3200">
          <a:extLst>
            <a:ext uri="{FF2B5EF4-FFF2-40B4-BE49-F238E27FC236}">
              <a16:creationId xmlns:a16="http://schemas.microsoft.com/office/drawing/2014/main" id="{A2F9D670-2F0C-4B7A-B957-83F93D6C1440}"/>
            </a:ext>
          </a:extLst>
        </xdr:cNvPr>
        <xdr:cNvGrpSpPr/>
      </xdr:nvGrpSpPr>
      <xdr:grpSpPr>
        <a:xfrm>
          <a:off x="976313" y="415575749"/>
          <a:ext cx="3624268" cy="1085852"/>
          <a:chOff x="1138238" y="35137724"/>
          <a:chExt cx="3624268" cy="1085852"/>
        </a:xfrm>
      </xdr:grpSpPr>
      <xdr:cxnSp macro="">
        <xdr:nvCxnSpPr>
          <xdr:cNvPr id="3202" name="Straight Connector 3201">
            <a:extLst>
              <a:ext uri="{FF2B5EF4-FFF2-40B4-BE49-F238E27FC236}">
                <a16:creationId xmlns:a16="http://schemas.microsoft.com/office/drawing/2014/main" id="{452060E8-4338-C2FD-D196-C96DAF9A4E5A}"/>
              </a:ext>
            </a:extLst>
          </xdr:cNvPr>
          <xdr:cNvCxnSpPr/>
        </xdr:nvCxnSpPr>
        <xdr:spPr>
          <a:xfrm>
            <a:off x="1452563" y="35566350"/>
            <a:ext cx="32480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3" name="Straight Arrow Connector 3202">
            <a:extLst>
              <a:ext uri="{FF2B5EF4-FFF2-40B4-BE49-F238E27FC236}">
                <a16:creationId xmlns:a16="http://schemas.microsoft.com/office/drawing/2014/main" id="{D9F55AD0-1BF0-9177-E23A-0B5DED8FF84B}"/>
              </a:ext>
            </a:extLst>
          </xdr:cNvPr>
          <xdr:cNvCxnSpPr/>
        </xdr:nvCxnSpPr>
        <xdr:spPr>
          <a:xfrm>
            <a:off x="3890962" y="35137724"/>
            <a:ext cx="0" cy="433389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4" name="Straight Arrow Connector 3203">
            <a:extLst>
              <a:ext uri="{FF2B5EF4-FFF2-40B4-BE49-F238E27FC236}">
                <a16:creationId xmlns:a16="http://schemas.microsoft.com/office/drawing/2014/main" id="{FF308F04-967A-9FA9-611A-E48E95034D2F}"/>
              </a:ext>
            </a:extLst>
          </xdr:cNvPr>
          <xdr:cNvCxnSpPr/>
        </xdr:nvCxnSpPr>
        <xdr:spPr>
          <a:xfrm flipV="1">
            <a:off x="4695825" y="35142488"/>
            <a:ext cx="0" cy="433386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5" name="Straight Arrow Connector 3204">
            <a:extLst>
              <a:ext uri="{FF2B5EF4-FFF2-40B4-BE49-F238E27FC236}">
                <a16:creationId xmlns:a16="http://schemas.microsoft.com/office/drawing/2014/main" id="{BAA81586-D26A-8E1D-5233-C8BF0D7C6155}"/>
              </a:ext>
            </a:extLst>
          </xdr:cNvPr>
          <xdr:cNvCxnSpPr/>
        </xdr:nvCxnSpPr>
        <xdr:spPr>
          <a:xfrm>
            <a:off x="3400425" y="35328228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6" name="Straight Arrow Connector 3205">
            <a:extLst>
              <a:ext uri="{FF2B5EF4-FFF2-40B4-BE49-F238E27FC236}">
                <a16:creationId xmlns:a16="http://schemas.microsoft.com/office/drawing/2014/main" id="{DCA585A6-B6A1-1496-8A87-B9D1B89E5DE5}"/>
              </a:ext>
            </a:extLst>
          </xdr:cNvPr>
          <xdr:cNvCxnSpPr/>
        </xdr:nvCxnSpPr>
        <xdr:spPr>
          <a:xfrm>
            <a:off x="3724276" y="35332990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7" name="Straight Arrow Connector 3206">
            <a:extLst>
              <a:ext uri="{FF2B5EF4-FFF2-40B4-BE49-F238E27FC236}">
                <a16:creationId xmlns:a16="http://schemas.microsoft.com/office/drawing/2014/main" id="{C6183FC8-6C9E-B90B-425F-C2BCE725440F}"/>
              </a:ext>
            </a:extLst>
          </xdr:cNvPr>
          <xdr:cNvCxnSpPr/>
        </xdr:nvCxnSpPr>
        <xdr:spPr>
          <a:xfrm>
            <a:off x="4048125" y="35332990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8" name="Straight Arrow Connector 3207">
            <a:extLst>
              <a:ext uri="{FF2B5EF4-FFF2-40B4-BE49-F238E27FC236}">
                <a16:creationId xmlns:a16="http://schemas.microsoft.com/office/drawing/2014/main" id="{277A8C2D-AC1D-9FD3-4B27-54132213FF18}"/>
              </a:ext>
            </a:extLst>
          </xdr:cNvPr>
          <xdr:cNvCxnSpPr/>
        </xdr:nvCxnSpPr>
        <xdr:spPr>
          <a:xfrm>
            <a:off x="4371976" y="35328227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9" name="Straight Arrow Connector 3208">
            <a:extLst>
              <a:ext uri="{FF2B5EF4-FFF2-40B4-BE49-F238E27FC236}">
                <a16:creationId xmlns:a16="http://schemas.microsoft.com/office/drawing/2014/main" id="{F57D7507-E695-1C24-A055-1EF72FDF9687}"/>
              </a:ext>
            </a:extLst>
          </xdr:cNvPr>
          <xdr:cNvCxnSpPr/>
        </xdr:nvCxnSpPr>
        <xdr:spPr>
          <a:xfrm>
            <a:off x="1457325" y="35323465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0" name="Straight Arrow Connector 3209">
            <a:extLst>
              <a:ext uri="{FF2B5EF4-FFF2-40B4-BE49-F238E27FC236}">
                <a16:creationId xmlns:a16="http://schemas.microsoft.com/office/drawing/2014/main" id="{94600EB6-CB0C-DC4F-0E02-07E964943A77}"/>
              </a:ext>
            </a:extLst>
          </xdr:cNvPr>
          <xdr:cNvCxnSpPr/>
        </xdr:nvCxnSpPr>
        <xdr:spPr>
          <a:xfrm>
            <a:off x="1781174" y="35332990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1" name="Straight Arrow Connector 3210">
            <a:extLst>
              <a:ext uri="{FF2B5EF4-FFF2-40B4-BE49-F238E27FC236}">
                <a16:creationId xmlns:a16="http://schemas.microsoft.com/office/drawing/2014/main" id="{A839458D-7C11-151E-E3ED-DBD31A27EF3C}"/>
              </a:ext>
            </a:extLst>
          </xdr:cNvPr>
          <xdr:cNvCxnSpPr/>
        </xdr:nvCxnSpPr>
        <xdr:spPr>
          <a:xfrm>
            <a:off x="2105025" y="35328227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2" name="Straight Arrow Connector 3211">
            <a:extLst>
              <a:ext uri="{FF2B5EF4-FFF2-40B4-BE49-F238E27FC236}">
                <a16:creationId xmlns:a16="http://schemas.microsoft.com/office/drawing/2014/main" id="{A1A2AF87-C2F7-B895-D42E-AC4B4280F3F7}"/>
              </a:ext>
            </a:extLst>
          </xdr:cNvPr>
          <xdr:cNvCxnSpPr/>
        </xdr:nvCxnSpPr>
        <xdr:spPr>
          <a:xfrm>
            <a:off x="2428874" y="35328228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3" name="Straight Arrow Connector 3212">
            <a:extLst>
              <a:ext uri="{FF2B5EF4-FFF2-40B4-BE49-F238E27FC236}">
                <a16:creationId xmlns:a16="http://schemas.microsoft.com/office/drawing/2014/main" id="{7DB19752-C3FF-920E-A083-A6BE481FC7EB}"/>
              </a:ext>
            </a:extLst>
          </xdr:cNvPr>
          <xdr:cNvCxnSpPr/>
        </xdr:nvCxnSpPr>
        <xdr:spPr>
          <a:xfrm>
            <a:off x="2752725" y="35332990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4" name="Straight Arrow Connector 3213">
            <a:extLst>
              <a:ext uri="{FF2B5EF4-FFF2-40B4-BE49-F238E27FC236}">
                <a16:creationId xmlns:a16="http://schemas.microsoft.com/office/drawing/2014/main" id="{91C1FA3D-01EF-9683-0431-3C1FD604519B}"/>
              </a:ext>
            </a:extLst>
          </xdr:cNvPr>
          <xdr:cNvCxnSpPr/>
        </xdr:nvCxnSpPr>
        <xdr:spPr>
          <a:xfrm>
            <a:off x="3076574" y="35332990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5" name="Straight Connector 3214">
            <a:extLst>
              <a:ext uri="{FF2B5EF4-FFF2-40B4-BE49-F238E27FC236}">
                <a16:creationId xmlns:a16="http://schemas.microsoft.com/office/drawing/2014/main" id="{89B2783F-644B-A20A-C9D6-0F43BD31C745}"/>
              </a:ext>
            </a:extLst>
          </xdr:cNvPr>
          <xdr:cNvCxnSpPr/>
        </xdr:nvCxnSpPr>
        <xdr:spPr>
          <a:xfrm flipH="1">
            <a:off x="1457325" y="35328227"/>
            <a:ext cx="32385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6" name="Straight Arrow Connector 3215">
            <a:extLst>
              <a:ext uri="{FF2B5EF4-FFF2-40B4-BE49-F238E27FC236}">
                <a16:creationId xmlns:a16="http://schemas.microsoft.com/office/drawing/2014/main" id="{A45E3DCA-E6C4-AA61-4729-4BED49160FA7}"/>
              </a:ext>
            </a:extLst>
          </xdr:cNvPr>
          <xdr:cNvCxnSpPr/>
        </xdr:nvCxnSpPr>
        <xdr:spPr>
          <a:xfrm>
            <a:off x="1457324" y="35590167"/>
            <a:ext cx="0" cy="261933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7" name="Straight Arrow Connector 3216">
            <a:extLst>
              <a:ext uri="{FF2B5EF4-FFF2-40B4-BE49-F238E27FC236}">
                <a16:creationId xmlns:a16="http://schemas.microsoft.com/office/drawing/2014/main" id="{8464268D-8361-C37B-7F06-F2C9C70880A5}"/>
              </a:ext>
            </a:extLst>
          </xdr:cNvPr>
          <xdr:cNvCxnSpPr/>
        </xdr:nvCxnSpPr>
        <xdr:spPr>
          <a:xfrm flipH="1">
            <a:off x="1138238" y="35571113"/>
            <a:ext cx="285751" cy="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8" name="Straight Connector 3217">
            <a:extLst>
              <a:ext uri="{FF2B5EF4-FFF2-40B4-BE49-F238E27FC236}">
                <a16:creationId xmlns:a16="http://schemas.microsoft.com/office/drawing/2014/main" id="{05499B13-61EE-CBC3-E92F-B0AF749EAF3F}"/>
              </a:ext>
            </a:extLst>
          </xdr:cNvPr>
          <xdr:cNvCxnSpPr/>
        </xdr:nvCxnSpPr>
        <xdr:spPr>
          <a:xfrm>
            <a:off x="1457332" y="36009269"/>
            <a:ext cx="0" cy="20001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9" name="Straight Connector 3218">
            <a:extLst>
              <a:ext uri="{FF2B5EF4-FFF2-40B4-BE49-F238E27FC236}">
                <a16:creationId xmlns:a16="http://schemas.microsoft.com/office/drawing/2014/main" id="{AC245528-14C2-9F4F-17D4-317EF8D6C5DB}"/>
              </a:ext>
            </a:extLst>
          </xdr:cNvPr>
          <xdr:cNvCxnSpPr/>
        </xdr:nvCxnSpPr>
        <xdr:spPr>
          <a:xfrm>
            <a:off x="1381131" y="36137857"/>
            <a:ext cx="3381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0" name="Straight Connector 3219">
            <a:extLst>
              <a:ext uri="{FF2B5EF4-FFF2-40B4-BE49-F238E27FC236}">
                <a16:creationId xmlns:a16="http://schemas.microsoft.com/office/drawing/2014/main" id="{ECC08079-1CDC-DA49-0C17-3C0B6D9854A9}"/>
              </a:ext>
            </a:extLst>
          </xdr:cNvPr>
          <xdr:cNvCxnSpPr/>
        </xdr:nvCxnSpPr>
        <xdr:spPr>
          <a:xfrm flipH="1">
            <a:off x="1419231" y="36099758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1" name="Straight Connector 3220">
            <a:extLst>
              <a:ext uri="{FF2B5EF4-FFF2-40B4-BE49-F238E27FC236}">
                <a16:creationId xmlns:a16="http://schemas.microsoft.com/office/drawing/2014/main" id="{5034C429-8008-F54B-6EB9-BB800D60457E}"/>
              </a:ext>
            </a:extLst>
          </xdr:cNvPr>
          <xdr:cNvCxnSpPr/>
        </xdr:nvCxnSpPr>
        <xdr:spPr>
          <a:xfrm>
            <a:off x="3886205" y="35699700"/>
            <a:ext cx="0" cy="5238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2" name="Straight Connector 3221">
            <a:extLst>
              <a:ext uri="{FF2B5EF4-FFF2-40B4-BE49-F238E27FC236}">
                <a16:creationId xmlns:a16="http://schemas.microsoft.com/office/drawing/2014/main" id="{0798BB7A-91B6-4322-E5CE-C7E51096DF97}"/>
              </a:ext>
            </a:extLst>
          </xdr:cNvPr>
          <xdr:cNvCxnSpPr/>
        </xdr:nvCxnSpPr>
        <xdr:spPr>
          <a:xfrm flipH="1">
            <a:off x="3843342" y="36099752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3" name="Straight Connector 3222">
            <a:extLst>
              <a:ext uri="{FF2B5EF4-FFF2-40B4-BE49-F238E27FC236}">
                <a16:creationId xmlns:a16="http://schemas.microsoft.com/office/drawing/2014/main" id="{780BD43E-C427-4F4D-62F9-2C042A7D6DBC}"/>
              </a:ext>
            </a:extLst>
          </xdr:cNvPr>
          <xdr:cNvCxnSpPr/>
        </xdr:nvCxnSpPr>
        <xdr:spPr>
          <a:xfrm>
            <a:off x="4695832" y="35690182"/>
            <a:ext cx="0" cy="5238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4" name="Straight Connector 3223">
            <a:extLst>
              <a:ext uri="{FF2B5EF4-FFF2-40B4-BE49-F238E27FC236}">
                <a16:creationId xmlns:a16="http://schemas.microsoft.com/office/drawing/2014/main" id="{CD450C27-273B-2308-442B-48081383BF55}"/>
              </a:ext>
            </a:extLst>
          </xdr:cNvPr>
          <xdr:cNvCxnSpPr/>
        </xdr:nvCxnSpPr>
        <xdr:spPr>
          <a:xfrm flipH="1">
            <a:off x="4657731" y="36099758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5" name="Straight Connector 3224">
            <a:extLst>
              <a:ext uri="{FF2B5EF4-FFF2-40B4-BE49-F238E27FC236}">
                <a16:creationId xmlns:a16="http://schemas.microsoft.com/office/drawing/2014/main" id="{09D72028-9C09-D5A3-61F2-7ED12A9B9C08}"/>
              </a:ext>
            </a:extLst>
          </xdr:cNvPr>
          <xdr:cNvCxnSpPr/>
        </xdr:nvCxnSpPr>
        <xdr:spPr>
          <a:xfrm flipH="1" flipV="1">
            <a:off x="2828925" y="35261550"/>
            <a:ext cx="247650" cy="171449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6" name="Straight Arrow Connector 3225">
            <a:extLst>
              <a:ext uri="{FF2B5EF4-FFF2-40B4-BE49-F238E27FC236}">
                <a16:creationId xmlns:a16="http://schemas.microsoft.com/office/drawing/2014/main" id="{0104C449-BC05-98B6-8784-25DE1358E760}"/>
              </a:ext>
            </a:extLst>
          </xdr:cNvPr>
          <xdr:cNvCxnSpPr/>
        </xdr:nvCxnSpPr>
        <xdr:spPr>
          <a:xfrm>
            <a:off x="3886200" y="35771137"/>
            <a:ext cx="428625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7" name="Straight Arrow Connector 3226">
            <a:extLst>
              <a:ext uri="{FF2B5EF4-FFF2-40B4-BE49-F238E27FC236}">
                <a16:creationId xmlns:a16="http://schemas.microsoft.com/office/drawing/2014/main" id="{28DC8EE7-A4FE-ED37-B245-D1EEAEB1A4AD}"/>
              </a:ext>
            </a:extLst>
          </xdr:cNvPr>
          <xdr:cNvCxnSpPr/>
        </xdr:nvCxnSpPr>
        <xdr:spPr>
          <a:xfrm>
            <a:off x="1457325" y="35771137"/>
            <a:ext cx="590550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57150</xdr:colOff>
      <xdr:row>2796</xdr:row>
      <xdr:rowOff>66675</xdr:rowOff>
    </xdr:from>
    <xdr:to>
      <xdr:col>9</xdr:col>
      <xdr:colOff>109537</xdr:colOff>
      <xdr:row>2796</xdr:row>
      <xdr:rowOff>66675</xdr:rowOff>
    </xdr:to>
    <xdr:cxnSp macro="">
      <xdr:nvCxnSpPr>
        <xdr:cNvPr id="3228" name="Straight Arrow Connector 3227">
          <a:extLst>
            <a:ext uri="{FF2B5EF4-FFF2-40B4-BE49-F238E27FC236}">
              <a16:creationId xmlns:a16="http://schemas.microsoft.com/office/drawing/2014/main" id="{3A625548-9988-481F-8491-CFFBD6DCBA45}"/>
            </a:ext>
          </a:extLst>
        </xdr:cNvPr>
        <xdr:cNvCxnSpPr/>
      </xdr:nvCxnSpPr>
      <xdr:spPr>
        <a:xfrm>
          <a:off x="1514475" y="386334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2799</xdr:row>
      <xdr:rowOff>66675</xdr:rowOff>
    </xdr:from>
    <xdr:to>
      <xdr:col>13</xdr:col>
      <xdr:colOff>109537</xdr:colOff>
      <xdr:row>2799</xdr:row>
      <xdr:rowOff>66675</xdr:rowOff>
    </xdr:to>
    <xdr:cxnSp macro="">
      <xdr:nvCxnSpPr>
        <xdr:cNvPr id="3229" name="Straight Arrow Connector 3228">
          <a:extLst>
            <a:ext uri="{FF2B5EF4-FFF2-40B4-BE49-F238E27FC236}">
              <a16:creationId xmlns:a16="http://schemas.microsoft.com/office/drawing/2014/main" id="{924A7596-1136-455C-A998-472B6F62F274}"/>
            </a:ext>
          </a:extLst>
        </xdr:cNvPr>
        <xdr:cNvCxnSpPr/>
      </xdr:nvCxnSpPr>
      <xdr:spPr>
        <a:xfrm>
          <a:off x="2162175" y="390620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57150</xdr:colOff>
      <xdr:row>2799</xdr:row>
      <xdr:rowOff>66675</xdr:rowOff>
    </xdr:from>
    <xdr:to>
      <xdr:col>29</xdr:col>
      <xdr:colOff>109537</xdr:colOff>
      <xdr:row>2799</xdr:row>
      <xdr:rowOff>66675</xdr:rowOff>
    </xdr:to>
    <xdr:cxnSp macro="">
      <xdr:nvCxnSpPr>
        <xdr:cNvPr id="3230" name="Straight Arrow Connector 3229">
          <a:extLst>
            <a:ext uri="{FF2B5EF4-FFF2-40B4-BE49-F238E27FC236}">
              <a16:creationId xmlns:a16="http://schemas.microsoft.com/office/drawing/2014/main" id="{91FDBA97-F24B-4837-A517-4A896876DFE0}"/>
            </a:ext>
          </a:extLst>
        </xdr:cNvPr>
        <xdr:cNvCxnSpPr/>
      </xdr:nvCxnSpPr>
      <xdr:spPr>
        <a:xfrm>
          <a:off x="4752975" y="390620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2802</xdr:row>
      <xdr:rowOff>66675</xdr:rowOff>
    </xdr:from>
    <xdr:to>
      <xdr:col>13</xdr:col>
      <xdr:colOff>109537</xdr:colOff>
      <xdr:row>2802</xdr:row>
      <xdr:rowOff>66675</xdr:rowOff>
    </xdr:to>
    <xdr:cxnSp macro="">
      <xdr:nvCxnSpPr>
        <xdr:cNvPr id="3231" name="Straight Arrow Connector 3230">
          <a:extLst>
            <a:ext uri="{FF2B5EF4-FFF2-40B4-BE49-F238E27FC236}">
              <a16:creationId xmlns:a16="http://schemas.microsoft.com/office/drawing/2014/main" id="{A03317AA-21FE-4B5F-9172-5A3A089E0DDE}"/>
            </a:ext>
          </a:extLst>
        </xdr:cNvPr>
        <xdr:cNvCxnSpPr/>
      </xdr:nvCxnSpPr>
      <xdr:spPr>
        <a:xfrm>
          <a:off x="2162175" y="394906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47625</xdr:colOff>
      <xdr:row>2802</xdr:row>
      <xdr:rowOff>66675</xdr:rowOff>
    </xdr:from>
    <xdr:to>
      <xdr:col>26</xdr:col>
      <xdr:colOff>100012</xdr:colOff>
      <xdr:row>2802</xdr:row>
      <xdr:rowOff>66675</xdr:rowOff>
    </xdr:to>
    <xdr:cxnSp macro="">
      <xdr:nvCxnSpPr>
        <xdr:cNvPr id="3232" name="Straight Arrow Connector 3231">
          <a:extLst>
            <a:ext uri="{FF2B5EF4-FFF2-40B4-BE49-F238E27FC236}">
              <a16:creationId xmlns:a16="http://schemas.microsoft.com/office/drawing/2014/main" id="{5002279E-E194-46AB-BD44-C3E2E37A7F2F}"/>
            </a:ext>
          </a:extLst>
        </xdr:cNvPr>
        <xdr:cNvCxnSpPr/>
      </xdr:nvCxnSpPr>
      <xdr:spPr>
        <a:xfrm>
          <a:off x="4257675" y="394906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95255</xdr:colOff>
      <xdr:row>2755</xdr:row>
      <xdr:rowOff>66675</xdr:rowOff>
    </xdr:from>
    <xdr:to>
      <xdr:col>58</xdr:col>
      <xdr:colOff>61913</xdr:colOff>
      <xdr:row>2767</xdr:row>
      <xdr:rowOff>76194</xdr:rowOff>
    </xdr:to>
    <xdr:grpSp>
      <xdr:nvGrpSpPr>
        <xdr:cNvPr id="3234" name="Group 3233">
          <a:extLst>
            <a:ext uri="{FF2B5EF4-FFF2-40B4-BE49-F238E27FC236}">
              <a16:creationId xmlns:a16="http://schemas.microsoft.com/office/drawing/2014/main" id="{9D952DC4-324A-457D-835D-1CABB6A2B7A1}"/>
            </a:ext>
          </a:extLst>
        </xdr:cNvPr>
        <xdr:cNvGrpSpPr/>
      </xdr:nvGrpSpPr>
      <xdr:grpSpPr>
        <a:xfrm>
          <a:off x="8029580" y="413356425"/>
          <a:ext cx="1423983" cy="1724019"/>
          <a:chOff x="7705730" y="320421000"/>
          <a:chExt cx="1423983" cy="1724019"/>
        </a:xfrm>
      </xdr:grpSpPr>
      <xdr:cxnSp macro="">
        <xdr:nvCxnSpPr>
          <xdr:cNvPr id="3235" name="Straight Connector 3234">
            <a:extLst>
              <a:ext uri="{FF2B5EF4-FFF2-40B4-BE49-F238E27FC236}">
                <a16:creationId xmlns:a16="http://schemas.microsoft.com/office/drawing/2014/main" id="{43C47A47-C1C8-294D-EE60-529DCCE34360}"/>
              </a:ext>
            </a:extLst>
          </xdr:cNvPr>
          <xdr:cNvCxnSpPr/>
        </xdr:nvCxnSpPr>
        <xdr:spPr>
          <a:xfrm>
            <a:off x="8096250" y="320497202"/>
            <a:ext cx="9667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6" name="Straight Connector 3235">
            <a:extLst>
              <a:ext uri="{FF2B5EF4-FFF2-40B4-BE49-F238E27FC236}">
                <a16:creationId xmlns:a16="http://schemas.microsoft.com/office/drawing/2014/main" id="{7F8413FA-E3F0-0BD5-E3A6-C1046E8CF6A8}"/>
              </a:ext>
            </a:extLst>
          </xdr:cNvPr>
          <xdr:cNvCxnSpPr/>
        </xdr:nvCxnSpPr>
        <xdr:spPr>
          <a:xfrm>
            <a:off x="8096250" y="320640077"/>
            <a:ext cx="3571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7" name="Straight Connector 3236">
            <a:extLst>
              <a:ext uri="{FF2B5EF4-FFF2-40B4-BE49-F238E27FC236}">
                <a16:creationId xmlns:a16="http://schemas.microsoft.com/office/drawing/2014/main" id="{29CB5A5C-C9AF-1F70-3696-E2E44B6F4120}"/>
              </a:ext>
            </a:extLst>
          </xdr:cNvPr>
          <xdr:cNvCxnSpPr/>
        </xdr:nvCxnSpPr>
        <xdr:spPr>
          <a:xfrm>
            <a:off x="8534400" y="320735326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38" name="Arc 3237">
            <a:extLst>
              <a:ext uri="{FF2B5EF4-FFF2-40B4-BE49-F238E27FC236}">
                <a16:creationId xmlns:a16="http://schemas.microsoft.com/office/drawing/2014/main" id="{861A2FB3-2D23-9F28-F71C-6CCE9D5ECAF6}"/>
              </a:ext>
            </a:extLst>
          </xdr:cNvPr>
          <xdr:cNvSpPr/>
        </xdr:nvSpPr>
        <xdr:spPr>
          <a:xfrm>
            <a:off x="8324851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39" name="Straight Connector 3238">
            <a:extLst>
              <a:ext uri="{FF2B5EF4-FFF2-40B4-BE49-F238E27FC236}">
                <a16:creationId xmlns:a16="http://schemas.microsoft.com/office/drawing/2014/main" id="{98A740B7-4A8B-6532-A4B0-F9CC503B1E1F}"/>
              </a:ext>
            </a:extLst>
          </xdr:cNvPr>
          <xdr:cNvCxnSpPr/>
        </xdr:nvCxnSpPr>
        <xdr:spPr>
          <a:xfrm>
            <a:off x="8629650" y="320730563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0" name="Straight Connector 3239">
            <a:extLst>
              <a:ext uri="{FF2B5EF4-FFF2-40B4-BE49-F238E27FC236}">
                <a16:creationId xmlns:a16="http://schemas.microsoft.com/office/drawing/2014/main" id="{8721413E-B86D-AFB9-6096-B1BCC097D95A}"/>
              </a:ext>
            </a:extLst>
          </xdr:cNvPr>
          <xdr:cNvCxnSpPr/>
        </xdr:nvCxnSpPr>
        <xdr:spPr>
          <a:xfrm>
            <a:off x="8734425" y="320640077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1" name="Straight Connector 3240">
            <a:extLst>
              <a:ext uri="{FF2B5EF4-FFF2-40B4-BE49-F238E27FC236}">
                <a16:creationId xmlns:a16="http://schemas.microsoft.com/office/drawing/2014/main" id="{7907196B-50ED-1A9A-71E8-D2ED508340AD}"/>
              </a:ext>
            </a:extLst>
          </xdr:cNvPr>
          <xdr:cNvCxnSpPr/>
        </xdr:nvCxnSpPr>
        <xdr:spPr>
          <a:xfrm>
            <a:off x="9063027" y="320497201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2" name="Straight Connector 3241">
            <a:extLst>
              <a:ext uri="{FF2B5EF4-FFF2-40B4-BE49-F238E27FC236}">
                <a16:creationId xmlns:a16="http://schemas.microsoft.com/office/drawing/2014/main" id="{D76E7943-BEFD-C7B8-20E0-12AF69EF9D52}"/>
              </a:ext>
            </a:extLst>
          </xdr:cNvPr>
          <xdr:cNvCxnSpPr/>
        </xdr:nvCxnSpPr>
        <xdr:spPr>
          <a:xfrm>
            <a:off x="8096258" y="320497202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43" name="Arc 3242">
            <a:extLst>
              <a:ext uri="{FF2B5EF4-FFF2-40B4-BE49-F238E27FC236}">
                <a16:creationId xmlns:a16="http://schemas.microsoft.com/office/drawing/2014/main" id="{DA9C1386-10BA-8A9D-23F9-51C338635316}"/>
              </a:ext>
            </a:extLst>
          </xdr:cNvPr>
          <xdr:cNvSpPr/>
        </xdr:nvSpPr>
        <xdr:spPr>
          <a:xfrm rot="16200000">
            <a:off x="8629650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44" name="Straight Connector 3243">
            <a:extLst>
              <a:ext uri="{FF2B5EF4-FFF2-40B4-BE49-F238E27FC236}">
                <a16:creationId xmlns:a16="http://schemas.microsoft.com/office/drawing/2014/main" id="{A78E49FC-8112-EDCC-9E73-E504AE58C64C}"/>
              </a:ext>
            </a:extLst>
          </xdr:cNvPr>
          <xdr:cNvCxnSpPr/>
        </xdr:nvCxnSpPr>
        <xdr:spPr>
          <a:xfrm>
            <a:off x="8096250" y="321783070"/>
            <a:ext cx="971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5" name="Straight Connector 3244">
            <a:extLst>
              <a:ext uri="{FF2B5EF4-FFF2-40B4-BE49-F238E27FC236}">
                <a16:creationId xmlns:a16="http://schemas.microsoft.com/office/drawing/2014/main" id="{F41C2E40-8073-325C-205E-977569A6E1BE}"/>
              </a:ext>
            </a:extLst>
          </xdr:cNvPr>
          <xdr:cNvCxnSpPr/>
        </xdr:nvCxnSpPr>
        <xdr:spPr>
          <a:xfrm>
            <a:off x="8101013" y="321640188"/>
            <a:ext cx="3571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6" name="Straight Connector 3245">
            <a:extLst>
              <a:ext uri="{FF2B5EF4-FFF2-40B4-BE49-F238E27FC236}">
                <a16:creationId xmlns:a16="http://schemas.microsoft.com/office/drawing/2014/main" id="{0C826E36-E2DE-C28C-E995-6127CA9B277B}"/>
              </a:ext>
            </a:extLst>
          </xdr:cNvPr>
          <xdr:cNvCxnSpPr/>
        </xdr:nvCxnSpPr>
        <xdr:spPr>
          <a:xfrm>
            <a:off x="8739187" y="321640188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7" name="Straight Connector 3246">
            <a:extLst>
              <a:ext uri="{FF2B5EF4-FFF2-40B4-BE49-F238E27FC236}">
                <a16:creationId xmlns:a16="http://schemas.microsoft.com/office/drawing/2014/main" id="{B9AD05DF-1714-FF04-A536-7A86E0ABA6A3}"/>
              </a:ext>
            </a:extLst>
          </xdr:cNvPr>
          <xdr:cNvCxnSpPr/>
        </xdr:nvCxnSpPr>
        <xdr:spPr>
          <a:xfrm>
            <a:off x="9067789" y="321640187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8" name="Straight Connector 3247">
            <a:extLst>
              <a:ext uri="{FF2B5EF4-FFF2-40B4-BE49-F238E27FC236}">
                <a16:creationId xmlns:a16="http://schemas.microsoft.com/office/drawing/2014/main" id="{A8987DAF-7949-72E8-F1CE-061C8C684C44}"/>
              </a:ext>
            </a:extLst>
          </xdr:cNvPr>
          <xdr:cNvCxnSpPr/>
        </xdr:nvCxnSpPr>
        <xdr:spPr>
          <a:xfrm>
            <a:off x="8101020" y="321640188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49" name="Arc 3248">
            <a:extLst>
              <a:ext uri="{FF2B5EF4-FFF2-40B4-BE49-F238E27FC236}">
                <a16:creationId xmlns:a16="http://schemas.microsoft.com/office/drawing/2014/main" id="{9B5734F8-EF5B-A017-10F6-81AB3EC14A3F}"/>
              </a:ext>
            </a:extLst>
          </xdr:cNvPr>
          <xdr:cNvSpPr/>
        </xdr:nvSpPr>
        <xdr:spPr>
          <a:xfrm rot="5400000">
            <a:off x="8324849" y="321430638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50" name="Arc 3249">
            <a:extLst>
              <a:ext uri="{FF2B5EF4-FFF2-40B4-BE49-F238E27FC236}">
                <a16:creationId xmlns:a16="http://schemas.microsoft.com/office/drawing/2014/main" id="{2F9AE0C5-65FA-44F7-4858-EBC4CF7B0915}"/>
              </a:ext>
            </a:extLst>
          </xdr:cNvPr>
          <xdr:cNvSpPr/>
        </xdr:nvSpPr>
        <xdr:spPr>
          <a:xfrm rot="10800000">
            <a:off x="8629651" y="321430637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51" name="Straight Connector 3250">
            <a:extLst>
              <a:ext uri="{FF2B5EF4-FFF2-40B4-BE49-F238E27FC236}">
                <a16:creationId xmlns:a16="http://schemas.microsoft.com/office/drawing/2014/main" id="{42EBB10B-9E4F-12D7-BA49-623DE6FBDD8B}"/>
              </a:ext>
            </a:extLst>
          </xdr:cNvPr>
          <xdr:cNvCxnSpPr/>
        </xdr:nvCxnSpPr>
        <xdr:spPr>
          <a:xfrm>
            <a:off x="8472488" y="32121157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2" name="Straight Connector 3251">
            <a:extLst>
              <a:ext uri="{FF2B5EF4-FFF2-40B4-BE49-F238E27FC236}">
                <a16:creationId xmlns:a16="http://schemas.microsoft.com/office/drawing/2014/main" id="{12936FD7-BB39-40D0-8068-5F6C8E2390BE}"/>
              </a:ext>
            </a:extLst>
          </xdr:cNvPr>
          <xdr:cNvCxnSpPr/>
        </xdr:nvCxnSpPr>
        <xdr:spPr>
          <a:xfrm flipH="1">
            <a:off x="8496302" y="3211782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3" name="Straight Connector 3252">
            <a:extLst>
              <a:ext uri="{FF2B5EF4-FFF2-40B4-BE49-F238E27FC236}">
                <a16:creationId xmlns:a16="http://schemas.microsoft.com/office/drawing/2014/main" id="{E1B4A80A-26C7-9A88-3865-B8EAB281EFD3}"/>
              </a:ext>
            </a:extLst>
          </xdr:cNvPr>
          <xdr:cNvCxnSpPr/>
        </xdr:nvCxnSpPr>
        <xdr:spPr>
          <a:xfrm flipH="1">
            <a:off x="8591548" y="32117823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4" name="Straight Connector 3253">
            <a:extLst>
              <a:ext uri="{FF2B5EF4-FFF2-40B4-BE49-F238E27FC236}">
                <a16:creationId xmlns:a16="http://schemas.microsoft.com/office/drawing/2014/main" id="{F107CFF1-69E4-F376-CC9C-6A9FC71A4B53}"/>
              </a:ext>
            </a:extLst>
          </xdr:cNvPr>
          <xdr:cNvCxnSpPr/>
        </xdr:nvCxnSpPr>
        <xdr:spPr>
          <a:xfrm>
            <a:off x="8905876" y="321578275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5" name="Straight Connector 3254">
            <a:extLst>
              <a:ext uri="{FF2B5EF4-FFF2-40B4-BE49-F238E27FC236}">
                <a16:creationId xmlns:a16="http://schemas.microsoft.com/office/drawing/2014/main" id="{6655FC4A-AB78-2CC2-1A81-3AECBE7EB118}"/>
              </a:ext>
            </a:extLst>
          </xdr:cNvPr>
          <xdr:cNvCxnSpPr/>
        </xdr:nvCxnSpPr>
        <xdr:spPr>
          <a:xfrm flipH="1">
            <a:off x="8867776" y="3216068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6" name="Straight Connector 3255">
            <a:extLst>
              <a:ext uri="{FF2B5EF4-FFF2-40B4-BE49-F238E27FC236}">
                <a16:creationId xmlns:a16="http://schemas.microsoft.com/office/drawing/2014/main" id="{627EF3E3-F230-EDC4-2F16-620FF2D3410B}"/>
              </a:ext>
            </a:extLst>
          </xdr:cNvPr>
          <xdr:cNvCxnSpPr/>
        </xdr:nvCxnSpPr>
        <xdr:spPr>
          <a:xfrm flipH="1">
            <a:off x="8867774" y="32174972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7" name="Straight Connector 3256">
            <a:extLst>
              <a:ext uri="{FF2B5EF4-FFF2-40B4-BE49-F238E27FC236}">
                <a16:creationId xmlns:a16="http://schemas.microsoft.com/office/drawing/2014/main" id="{1878E452-90E6-AC54-9933-77D7D52D5A64}"/>
              </a:ext>
            </a:extLst>
          </xdr:cNvPr>
          <xdr:cNvCxnSpPr/>
        </xdr:nvCxnSpPr>
        <xdr:spPr>
          <a:xfrm>
            <a:off x="8096255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8" name="Straight Connector 3257">
            <a:extLst>
              <a:ext uri="{FF2B5EF4-FFF2-40B4-BE49-F238E27FC236}">
                <a16:creationId xmlns:a16="http://schemas.microsoft.com/office/drawing/2014/main" id="{1D64C766-BB48-F809-EE71-1FCDF545E4B9}"/>
              </a:ext>
            </a:extLst>
          </xdr:cNvPr>
          <xdr:cNvCxnSpPr/>
        </xdr:nvCxnSpPr>
        <xdr:spPr>
          <a:xfrm>
            <a:off x="8034343" y="322068819"/>
            <a:ext cx="10953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9" name="Straight Connector 3258">
            <a:extLst>
              <a:ext uri="{FF2B5EF4-FFF2-40B4-BE49-F238E27FC236}">
                <a16:creationId xmlns:a16="http://schemas.microsoft.com/office/drawing/2014/main" id="{CA6669FB-5D6E-66D2-BAEC-4542C5BBEB88}"/>
              </a:ext>
            </a:extLst>
          </xdr:cNvPr>
          <xdr:cNvCxnSpPr/>
        </xdr:nvCxnSpPr>
        <xdr:spPr>
          <a:xfrm flipH="1">
            <a:off x="8058154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0" name="Straight Connector 3259">
            <a:extLst>
              <a:ext uri="{FF2B5EF4-FFF2-40B4-BE49-F238E27FC236}">
                <a16:creationId xmlns:a16="http://schemas.microsoft.com/office/drawing/2014/main" id="{EE242DF8-C853-AC4D-47BA-256309C7444A}"/>
              </a:ext>
            </a:extLst>
          </xdr:cNvPr>
          <xdr:cNvCxnSpPr/>
        </xdr:nvCxnSpPr>
        <xdr:spPr>
          <a:xfrm>
            <a:off x="9067798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1" name="Straight Connector 3260">
            <a:extLst>
              <a:ext uri="{FF2B5EF4-FFF2-40B4-BE49-F238E27FC236}">
                <a16:creationId xmlns:a16="http://schemas.microsoft.com/office/drawing/2014/main" id="{F6B2587C-64F3-1A42-3FF5-EBC3844236A7}"/>
              </a:ext>
            </a:extLst>
          </xdr:cNvPr>
          <xdr:cNvCxnSpPr/>
        </xdr:nvCxnSpPr>
        <xdr:spPr>
          <a:xfrm flipH="1">
            <a:off x="9029697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2" name="Straight Connector 3261">
            <a:extLst>
              <a:ext uri="{FF2B5EF4-FFF2-40B4-BE49-F238E27FC236}">
                <a16:creationId xmlns:a16="http://schemas.microsoft.com/office/drawing/2014/main" id="{A3EBD155-BA8E-CA29-502B-3903F6792E19}"/>
              </a:ext>
            </a:extLst>
          </xdr:cNvPr>
          <xdr:cNvCxnSpPr/>
        </xdr:nvCxnSpPr>
        <xdr:spPr>
          <a:xfrm>
            <a:off x="7772406" y="320421000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3" name="Straight Connector 3262">
            <a:extLst>
              <a:ext uri="{FF2B5EF4-FFF2-40B4-BE49-F238E27FC236}">
                <a16:creationId xmlns:a16="http://schemas.microsoft.com/office/drawing/2014/main" id="{5F3A7DA5-C71F-7ECF-A636-FC0C1EFCD677}"/>
              </a:ext>
            </a:extLst>
          </xdr:cNvPr>
          <xdr:cNvCxnSpPr/>
        </xdr:nvCxnSpPr>
        <xdr:spPr>
          <a:xfrm flipH="1">
            <a:off x="7734310" y="3204638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4" name="Straight Connector 3263">
            <a:extLst>
              <a:ext uri="{FF2B5EF4-FFF2-40B4-BE49-F238E27FC236}">
                <a16:creationId xmlns:a16="http://schemas.microsoft.com/office/drawing/2014/main" id="{5112CD69-EACF-E31C-9D4C-63F75C0F8A4D}"/>
              </a:ext>
            </a:extLst>
          </xdr:cNvPr>
          <xdr:cNvCxnSpPr/>
        </xdr:nvCxnSpPr>
        <xdr:spPr>
          <a:xfrm flipH="1">
            <a:off x="7734301" y="32174973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5" name="Straight Connector 3264">
            <a:extLst>
              <a:ext uri="{FF2B5EF4-FFF2-40B4-BE49-F238E27FC236}">
                <a16:creationId xmlns:a16="http://schemas.microsoft.com/office/drawing/2014/main" id="{D89D3AC9-26C2-5B89-D946-11450872A08A}"/>
              </a:ext>
            </a:extLst>
          </xdr:cNvPr>
          <xdr:cNvCxnSpPr/>
        </xdr:nvCxnSpPr>
        <xdr:spPr>
          <a:xfrm flipH="1">
            <a:off x="7705730" y="321783074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6" name="Straight Connector 3265">
            <a:extLst>
              <a:ext uri="{FF2B5EF4-FFF2-40B4-BE49-F238E27FC236}">
                <a16:creationId xmlns:a16="http://schemas.microsoft.com/office/drawing/2014/main" id="{078A1574-DDEA-15DF-A8F9-40ADE5BAA7F3}"/>
              </a:ext>
            </a:extLst>
          </xdr:cNvPr>
          <xdr:cNvCxnSpPr/>
        </xdr:nvCxnSpPr>
        <xdr:spPr>
          <a:xfrm flipH="1">
            <a:off x="7705730" y="320497202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62</xdr:col>
      <xdr:colOff>95255</xdr:colOff>
      <xdr:row>2755</xdr:row>
      <xdr:rowOff>66675</xdr:rowOff>
    </xdr:from>
    <xdr:to>
      <xdr:col>71</xdr:col>
      <xdr:colOff>61913</xdr:colOff>
      <xdr:row>2767</xdr:row>
      <xdr:rowOff>76194</xdr:rowOff>
    </xdr:to>
    <xdr:grpSp>
      <xdr:nvGrpSpPr>
        <xdr:cNvPr id="3269" name="Group 3268">
          <a:extLst>
            <a:ext uri="{FF2B5EF4-FFF2-40B4-BE49-F238E27FC236}">
              <a16:creationId xmlns:a16="http://schemas.microsoft.com/office/drawing/2014/main" id="{E73CF175-C442-442B-BA6D-6BA875DC2130}"/>
            </a:ext>
          </a:extLst>
        </xdr:cNvPr>
        <xdr:cNvGrpSpPr/>
      </xdr:nvGrpSpPr>
      <xdr:grpSpPr>
        <a:xfrm>
          <a:off x="10134605" y="413356425"/>
          <a:ext cx="1423983" cy="1724019"/>
          <a:chOff x="7705730" y="320421000"/>
          <a:chExt cx="1423983" cy="1724019"/>
        </a:xfrm>
      </xdr:grpSpPr>
      <xdr:cxnSp macro="">
        <xdr:nvCxnSpPr>
          <xdr:cNvPr id="3270" name="Straight Connector 3269">
            <a:extLst>
              <a:ext uri="{FF2B5EF4-FFF2-40B4-BE49-F238E27FC236}">
                <a16:creationId xmlns:a16="http://schemas.microsoft.com/office/drawing/2014/main" id="{CA409952-4259-C7CA-2C27-79C81208524A}"/>
              </a:ext>
            </a:extLst>
          </xdr:cNvPr>
          <xdr:cNvCxnSpPr/>
        </xdr:nvCxnSpPr>
        <xdr:spPr>
          <a:xfrm>
            <a:off x="8096250" y="320497202"/>
            <a:ext cx="9667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1" name="Straight Connector 3270">
            <a:extLst>
              <a:ext uri="{FF2B5EF4-FFF2-40B4-BE49-F238E27FC236}">
                <a16:creationId xmlns:a16="http://schemas.microsoft.com/office/drawing/2014/main" id="{A13A409D-B1AA-4026-95DE-CD8BF12C9263}"/>
              </a:ext>
            </a:extLst>
          </xdr:cNvPr>
          <xdr:cNvCxnSpPr/>
        </xdr:nvCxnSpPr>
        <xdr:spPr>
          <a:xfrm>
            <a:off x="8096250" y="320640077"/>
            <a:ext cx="3571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2" name="Straight Connector 3271">
            <a:extLst>
              <a:ext uri="{FF2B5EF4-FFF2-40B4-BE49-F238E27FC236}">
                <a16:creationId xmlns:a16="http://schemas.microsoft.com/office/drawing/2014/main" id="{9ED2083D-A467-8324-2E83-5E95368B7CF7}"/>
              </a:ext>
            </a:extLst>
          </xdr:cNvPr>
          <xdr:cNvCxnSpPr/>
        </xdr:nvCxnSpPr>
        <xdr:spPr>
          <a:xfrm>
            <a:off x="8534400" y="320735326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73" name="Arc 3272">
            <a:extLst>
              <a:ext uri="{FF2B5EF4-FFF2-40B4-BE49-F238E27FC236}">
                <a16:creationId xmlns:a16="http://schemas.microsoft.com/office/drawing/2014/main" id="{6013FC25-A75D-2039-7B8C-2829E6164596}"/>
              </a:ext>
            </a:extLst>
          </xdr:cNvPr>
          <xdr:cNvSpPr/>
        </xdr:nvSpPr>
        <xdr:spPr>
          <a:xfrm>
            <a:off x="8324851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74" name="Straight Connector 3273">
            <a:extLst>
              <a:ext uri="{FF2B5EF4-FFF2-40B4-BE49-F238E27FC236}">
                <a16:creationId xmlns:a16="http://schemas.microsoft.com/office/drawing/2014/main" id="{81034007-FA37-55D5-CD6E-6F230047A12A}"/>
              </a:ext>
            </a:extLst>
          </xdr:cNvPr>
          <xdr:cNvCxnSpPr/>
        </xdr:nvCxnSpPr>
        <xdr:spPr>
          <a:xfrm>
            <a:off x="8629650" y="320730563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5" name="Straight Connector 3274">
            <a:extLst>
              <a:ext uri="{FF2B5EF4-FFF2-40B4-BE49-F238E27FC236}">
                <a16:creationId xmlns:a16="http://schemas.microsoft.com/office/drawing/2014/main" id="{814CDD49-98B5-8838-CBA5-61CFACB71D6F}"/>
              </a:ext>
            </a:extLst>
          </xdr:cNvPr>
          <xdr:cNvCxnSpPr/>
        </xdr:nvCxnSpPr>
        <xdr:spPr>
          <a:xfrm>
            <a:off x="8734425" y="320640077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6" name="Straight Connector 3275">
            <a:extLst>
              <a:ext uri="{FF2B5EF4-FFF2-40B4-BE49-F238E27FC236}">
                <a16:creationId xmlns:a16="http://schemas.microsoft.com/office/drawing/2014/main" id="{A7E8DD9C-20CD-0F0E-3383-D290B440C9B6}"/>
              </a:ext>
            </a:extLst>
          </xdr:cNvPr>
          <xdr:cNvCxnSpPr/>
        </xdr:nvCxnSpPr>
        <xdr:spPr>
          <a:xfrm>
            <a:off x="9063027" y="320497201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7" name="Straight Connector 3276">
            <a:extLst>
              <a:ext uri="{FF2B5EF4-FFF2-40B4-BE49-F238E27FC236}">
                <a16:creationId xmlns:a16="http://schemas.microsoft.com/office/drawing/2014/main" id="{EDE67BA5-379E-DEDB-BFF3-FA6A9F7F453E}"/>
              </a:ext>
            </a:extLst>
          </xdr:cNvPr>
          <xdr:cNvCxnSpPr/>
        </xdr:nvCxnSpPr>
        <xdr:spPr>
          <a:xfrm>
            <a:off x="8096258" y="320497202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78" name="Arc 3277">
            <a:extLst>
              <a:ext uri="{FF2B5EF4-FFF2-40B4-BE49-F238E27FC236}">
                <a16:creationId xmlns:a16="http://schemas.microsoft.com/office/drawing/2014/main" id="{6729ACA9-C373-6DBF-1306-4FFC3E8119EA}"/>
              </a:ext>
            </a:extLst>
          </xdr:cNvPr>
          <xdr:cNvSpPr/>
        </xdr:nvSpPr>
        <xdr:spPr>
          <a:xfrm rot="16200000">
            <a:off x="8629650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79" name="Straight Connector 3278">
            <a:extLst>
              <a:ext uri="{FF2B5EF4-FFF2-40B4-BE49-F238E27FC236}">
                <a16:creationId xmlns:a16="http://schemas.microsoft.com/office/drawing/2014/main" id="{1DC24515-724E-8CD3-511F-7B23AEA28071}"/>
              </a:ext>
            </a:extLst>
          </xdr:cNvPr>
          <xdr:cNvCxnSpPr/>
        </xdr:nvCxnSpPr>
        <xdr:spPr>
          <a:xfrm>
            <a:off x="8096250" y="321783070"/>
            <a:ext cx="971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0" name="Straight Connector 3279">
            <a:extLst>
              <a:ext uri="{FF2B5EF4-FFF2-40B4-BE49-F238E27FC236}">
                <a16:creationId xmlns:a16="http://schemas.microsoft.com/office/drawing/2014/main" id="{4DE3F5E8-9F22-D6A7-D4E8-1B4F615446FA}"/>
              </a:ext>
            </a:extLst>
          </xdr:cNvPr>
          <xdr:cNvCxnSpPr/>
        </xdr:nvCxnSpPr>
        <xdr:spPr>
          <a:xfrm>
            <a:off x="8101013" y="321640188"/>
            <a:ext cx="3571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1" name="Straight Connector 3280">
            <a:extLst>
              <a:ext uri="{FF2B5EF4-FFF2-40B4-BE49-F238E27FC236}">
                <a16:creationId xmlns:a16="http://schemas.microsoft.com/office/drawing/2014/main" id="{026726A7-2720-BCD4-E82A-53A4CC2FD054}"/>
              </a:ext>
            </a:extLst>
          </xdr:cNvPr>
          <xdr:cNvCxnSpPr/>
        </xdr:nvCxnSpPr>
        <xdr:spPr>
          <a:xfrm>
            <a:off x="8739187" y="321640188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2" name="Straight Connector 3281">
            <a:extLst>
              <a:ext uri="{FF2B5EF4-FFF2-40B4-BE49-F238E27FC236}">
                <a16:creationId xmlns:a16="http://schemas.microsoft.com/office/drawing/2014/main" id="{15EE7A6B-F1C1-9FA4-3D6C-FA2660FB0862}"/>
              </a:ext>
            </a:extLst>
          </xdr:cNvPr>
          <xdr:cNvCxnSpPr/>
        </xdr:nvCxnSpPr>
        <xdr:spPr>
          <a:xfrm>
            <a:off x="9067789" y="321640187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3" name="Straight Connector 3282">
            <a:extLst>
              <a:ext uri="{FF2B5EF4-FFF2-40B4-BE49-F238E27FC236}">
                <a16:creationId xmlns:a16="http://schemas.microsoft.com/office/drawing/2014/main" id="{786519D6-A45E-A9C9-7FD1-7936AFE5492F}"/>
              </a:ext>
            </a:extLst>
          </xdr:cNvPr>
          <xdr:cNvCxnSpPr/>
        </xdr:nvCxnSpPr>
        <xdr:spPr>
          <a:xfrm>
            <a:off x="8101020" y="321640188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84" name="Arc 3283">
            <a:extLst>
              <a:ext uri="{FF2B5EF4-FFF2-40B4-BE49-F238E27FC236}">
                <a16:creationId xmlns:a16="http://schemas.microsoft.com/office/drawing/2014/main" id="{70B3599F-3A13-6F5E-2FE3-2B3E32DC125A}"/>
              </a:ext>
            </a:extLst>
          </xdr:cNvPr>
          <xdr:cNvSpPr/>
        </xdr:nvSpPr>
        <xdr:spPr>
          <a:xfrm rot="5400000">
            <a:off x="8324849" y="321430638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85" name="Arc 3284">
            <a:extLst>
              <a:ext uri="{FF2B5EF4-FFF2-40B4-BE49-F238E27FC236}">
                <a16:creationId xmlns:a16="http://schemas.microsoft.com/office/drawing/2014/main" id="{880C8F7A-2197-973C-9895-BED5C2FDD081}"/>
              </a:ext>
            </a:extLst>
          </xdr:cNvPr>
          <xdr:cNvSpPr/>
        </xdr:nvSpPr>
        <xdr:spPr>
          <a:xfrm rot="10800000">
            <a:off x="8629651" y="321430637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86" name="Straight Connector 3285">
            <a:extLst>
              <a:ext uri="{FF2B5EF4-FFF2-40B4-BE49-F238E27FC236}">
                <a16:creationId xmlns:a16="http://schemas.microsoft.com/office/drawing/2014/main" id="{D0362BA5-0057-3BB9-B517-D8515B329C9F}"/>
              </a:ext>
            </a:extLst>
          </xdr:cNvPr>
          <xdr:cNvCxnSpPr/>
        </xdr:nvCxnSpPr>
        <xdr:spPr>
          <a:xfrm>
            <a:off x="8472488" y="32121157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7" name="Straight Connector 3286">
            <a:extLst>
              <a:ext uri="{FF2B5EF4-FFF2-40B4-BE49-F238E27FC236}">
                <a16:creationId xmlns:a16="http://schemas.microsoft.com/office/drawing/2014/main" id="{2B51D224-464D-5050-0867-B0595CC33C51}"/>
              </a:ext>
            </a:extLst>
          </xdr:cNvPr>
          <xdr:cNvCxnSpPr/>
        </xdr:nvCxnSpPr>
        <xdr:spPr>
          <a:xfrm flipH="1">
            <a:off x="8496302" y="3211782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8" name="Straight Connector 3287">
            <a:extLst>
              <a:ext uri="{FF2B5EF4-FFF2-40B4-BE49-F238E27FC236}">
                <a16:creationId xmlns:a16="http://schemas.microsoft.com/office/drawing/2014/main" id="{E001F1AD-1DB4-4269-3AB9-154A83F94A5D}"/>
              </a:ext>
            </a:extLst>
          </xdr:cNvPr>
          <xdr:cNvCxnSpPr/>
        </xdr:nvCxnSpPr>
        <xdr:spPr>
          <a:xfrm flipH="1">
            <a:off x="8591548" y="32117823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9" name="Straight Connector 3288">
            <a:extLst>
              <a:ext uri="{FF2B5EF4-FFF2-40B4-BE49-F238E27FC236}">
                <a16:creationId xmlns:a16="http://schemas.microsoft.com/office/drawing/2014/main" id="{95336788-B2D5-3E2B-294E-719BAFAC6DBE}"/>
              </a:ext>
            </a:extLst>
          </xdr:cNvPr>
          <xdr:cNvCxnSpPr/>
        </xdr:nvCxnSpPr>
        <xdr:spPr>
          <a:xfrm>
            <a:off x="8905876" y="321578275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0" name="Straight Connector 3289">
            <a:extLst>
              <a:ext uri="{FF2B5EF4-FFF2-40B4-BE49-F238E27FC236}">
                <a16:creationId xmlns:a16="http://schemas.microsoft.com/office/drawing/2014/main" id="{C836A9B2-31DD-4AA6-9650-8FCD78F86FAE}"/>
              </a:ext>
            </a:extLst>
          </xdr:cNvPr>
          <xdr:cNvCxnSpPr/>
        </xdr:nvCxnSpPr>
        <xdr:spPr>
          <a:xfrm flipH="1">
            <a:off x="8867776" y="3216068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1" name="Straight Connector 3290">
            <a:extLst>
              <a:ext uri="{FF2B5EF4-FFF2-40B4-BE49-F238E27FC236}">
                <a16:creationId xmlns:a16="http://schemas.microsoft.com/office/drawing/2014/main" id="{57E8C4E0-8687-7576-D139-4C81F3AEFCFE}"/>
              </a:ext>
            </a:extLst>
          </xdr:cNvPr>
          <xdr:cNvCxnSpPr/>
        </xdr:nvCxnSpPr>
        <xdr:spPr>
          <a:xfrm flipH="1">
            <a:off x="8867774" y="32174972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2" name="Straight Connector 3291">
            <a:extLst>
              <a:ext uri="{FF2B5EF4-FFF2-40B4-BE49-F238E27FC236}">
                <a16:creationId xmlns:a16="http://schemas.microsoft.com/office/drawing/2014/main" id="{B2DD2EE9-232B-7E4D-0DDD-3AEDFED239C9}"/>
              </a:ext>
            </a:extLst>
          </xdr:cNvPr>
          <xdr:cNvCxnSpPr/>
        </xdr:nvCxnSpPr>
        <xdr:spPr>
          <a:xfrm>
            <a:off x="8096255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3" name="Straight Connector 3292">
            <a:extLst>
              <a:ext uri="{FF2B5EF4-FFF2-40B4-BE49-F238E27FC236}">
                <a16:creationId xmlns:a16="http://schemas.microsoft.com/office/drawing/2014/main" id="{96AABF95-6A91-E641-C26C-D11BB7A0F674}"/>
              </a:ext>
            </a:extLst>
          </xdr:cNvPr>
          <xdr:cNvCxnSpPr/>
        </xdr:nvCxnSpPr>
        <xdr:spPr>
          <a:xfrm>
            <a:off x="8034343" y="322068819"/>
            <a:ext cx="10953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4" name="Straight Connector 3293">
            <a:extLst>
              <a:ext uri="{FF2B5EF4-FFF2-40B4-BE49-F238E27FC236}">
                <a16:creationId xmlns:a16="http://schemas.microsoft.com/office/drawing/2014/main" id="{0299A787-D9BD-EFB3-2653-A4EE7A68FDD0}"/>
              </a:ext>
            </a:extLst>
          </xdr:cNvPr>
          <xdr:cNvCxnSpPr/>
        </xdr:nvCxnSpPr>
        <xdr:spPr>
          <a:xfrm flipH="1">
            <a:off x="8058154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5" name="Straight Connector 3294">
            <a:extLst>
              <a:ext uri="{FF2B5EF4-FFF2-40B4-BE49-F238E27FC236}">
                <a16:creationId xmlns:a16="http://schemas.microsoft.com/office/drawing/2014/main" id="{1D4947E9-1B03-571D-4E7F-46C399B41FC9}"/>
              </a:ext>
            </a:extLst>
          </xdr:cNvPr>
          <xdr:cNvCxnSpPr/>
        </xdr:nvCxnSpPr>
        <xdr:spPr>
          <a:xfrm>
            <a:off x="9067798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6" name="Straight Connector 3295">
            <a:extLst>
              <a:ext uri="{FF2B5EF4-FFF2-40B4-BE49-F238E27FC236}">
                <a16:creationId xmlns:a16="http://schemas.microsoft.com/office/drawing/2014/main" id="{4416220D-2876-A80B-C4F3-2251860B6990}"/>
              </a:ext>
            </a:extLst>
          </xdr:cNvPr>
          <xdr:cNvCxnSpPr/>
        </xdr:nvCxnSpPr>
        <xdr:spPr>
          <a:xfrm flipH="1">
            <a:off x="9029697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7" name="Straight Connector 3296">
            <a:extLst>
              <a:ext uri="{FF2B5EF4-FFF2-40B4-BE49-F238E27FC236}">
                <a16:creationId xmlns:a16="http://schemas.microsoft.com/office/drawing/2014/main" id="{366B2174-0149-30D3-0633-2BFD51868BFB}"/>
              </a:ext>
            </a:extLst>
          </xdr:cNvPr>
          <xdr:cNvCxnSpPr/>
        </xdr:nvCxnSpPr>
        <xdr:spPr>
          <a:xfrm>
            <a:off x="7772406" y="320421000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8" name="Straight Connector 3297">
            <a:extLst>
              <a:ext uri="{FF2B5EF4-FFF2-40B4-BE49-F238E27FC236}">
                <a16:creationId xmlns:a16="http://schemas.microsoft.com/office/drawing/2014/main" id="{26F60F59-11E9-73B4-6C47-383D144F5E49}"/>
              </a:ext>
            </a:extLst>
          </xdr:cNvPr>
          <xdr:cNvCxnSpPr/>
        </xdr:nvCxnSpPr>
        <xdr:spPr>
          <a:xfrm flipH="1">
            <a:off x="7734310" y="3204638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9" name="Straight Connector 3298">
            <a:extLst>
              <a:ext uri="{FF2B5EF4-FFF2-40B4-BE49-F238E27FC236}">
                <a16:creationId xmlns:a16="http://schemas.microsoft.com/office/drawing/2014/main" id="{6D7B8228-1E4F-7E47-2A65-AAD9A28D33B7}"/>
              </a:ext>
            </a:extLst>
          </xdr:cNvPr>
          <xdr:cNvCxnSpPr/>
        </xdr:nvCxnSpPr>
        <xdr:spPr>
          <a:xfrm flipH="1">
            <a:off x="7734301" y="32174973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0" name="Straight Connector 3299">
            <a:extLst>
              <a:ext uri="{FF2B5EF4-FFF2-40B4-BE49-F238E27FC236}">
                <a16:creationId xmlns:a16="http://schemas.microsoft.com/office/drawing/2014/main" id="{FB9EAA0A-212C-5A27-AEDD-8F3CC28C57F8}"/>
              </a:ext>
            </a:extLst>
          </xdr:cNvPr>
          <xdr:cNvCxnSpPr/>
        </xdr:nvCxnSpPr>
        <xdr:spPr>
          <a:xfrm flipH="1">
            <a:off x="7705730" y="321783074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1" name="Straight Connector 3300">
            <a:extLst>
              <a:ext uri="{FF2B5EF4-FFF2-40B4-BE49-F238E27FC236}">
                <a16:creationId xmlns:a16="http://schemas.microsoft.com/office/drawing/2014/main" id="{A3FD48FF-8DEE-92D9-4498-BDBC4FEE997C}"/>
              </a:ext>
            </a:extLst>
          </xdr:cNvPr>
          <xdr:cNvCxnSpPr/>
        </xdr:nvCxnSpPr>
        <xdr:spPr>
          <a:xfrm flipH="1">
            <a:off x="7705730" y="320497202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23808</xdr:colOff>
      <xdr:row>2751</xdr:row>
      <xdr:rowOff>109541</xdr:rowOff>
    </xdr:from>
    <xdr:to>
      <xdr:col>32</xdr:col>
      <xdr:colOff>100013</xdr:colOff>
      <xdr:row>2768</xdr:row>
      <xdr:rowOff>85725</xdr:rowOff>
    </xdr:to>
    <xdr:grpSp>
      <xdr:nvGrpSpPr>
        <xdr:cNvPr id="3304" name="Group 3303">
          <a:extLst>
            <a:ext uri="{FF2B5EF4-FFF2-40B4-BE49-F238E27FC236}">
              <a16:creationId xmlns:a16="http://schemas.microsoft.com/office/drawing/2014/main" id="{56D64EB5-634F-D2ED-9B21-C1C98E0728E4}"/>
            </a:ext>
          </a:extLst>
        </xdr:cNvPr>
        <xdr:cNvGrpSpPr/>
      </xdr:nvGrpSpPr>
      <xdr:grpSpPr>
        <a:xfrm>
          <a:off x="995358" y="412827791"/>
          <a:ext cx="4286255" cy="2405059"/>
          <a:chOff x="995358" y="350724791"/>
          <a:chExt cx="4286255" cy="2405059"/>
        </a:xfrm>
      </xdr:grpSpPr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7F3F9CDC-8F13-4EEA-859E-56C4FEF953D0}"/>
              </a:ext>
            </a:extLst>
          </xdr:cNvPr>
          <xdr:cNvSpPr/>
        </xdr:nvSpPr>
        <xdr:spPr>
          <a:xfrm rot="16200000">
            <a:off x="3114677" y="351529656"/>
            <a:ext cx="1209674" cy="66674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AB84786C-57A5-425D-9000-8CC797097AAD}"/>
              </a:ext>
            </a:extLst>
          </xdr:cNvPr>
          <xdr:cNvSpPr/>
        </xdr:nvSpPr>
        <xdr:spPr>
          <a:xfrm rot="5400000">
            <a:off x="900108" y="352115444"/>
            <a:ext cx="323850" cy="133349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A73102CF-AA16-4D3E-BDF9-6AB2BB0ED028}"/>
              </a:ext>
            </a:extLst>
          </xdr:cNvPr>
          <xdr:cNvSpPr/>
        </xdr:nvSpPr>
        <xdr:spPr>
          <a:xfrm>
            <a:off x="3562350" y="350724791"/>
            <a:ext cx="323850" cy="11906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4EBD8C9E-605B-4FC6-B59C-40C9710CE3C4}"/>
              </a:ext>
            </a:extLst>
          </xdr:cNvPr>
          <xdr:cNvSpPr/>
        </xdr:nvSpPr>
        <xdr:spPr>
          <a:xfrm>
            <a:off x="1276350" y="352153541"/>
            <a:ext cx="3267075" cy="71438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55" name="Isosceles Triangle 2654">
            <a:extLst>
              <a:ext uri="{FF2B5EF4-FFF2-40B4-BE49-F238E27FC236}">
                <a16:creationId xmlns:a16="http://schemas.microsoft.com/office/drawing/2014/main" id="{7553A7F3-7AD5-4503-8AAC-22BD73DD344E}"/>
              </a:ext>
            </a:extLst>
          </xdr:cNvPr>
          <xdr:cNvSpPr/>
        </xdr:nvSpPr>
        <xdr:spPr>
          <a:xfrm rot="5400000">
            <a:off x="1133472" y="352120202"/>
            <a:ext cx="147637" cy="138113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56" name="Straight Connector 2655">
            <a:extLst>
              <a:ext uri="{FF2B5EF4-FFF2-40B4-BE49-F238E27FC236}">
                <a16:creationId xmlns:a16="http://schemas.microsoft.com/office/drawing/2014/main" id="{36DDED2F-3E6F-4D31-813C-0D39407B3AAE}"/>
              </a:ext>
            </a:extLst>
          </xdr:cNvPr>
          <xdr:cNvCxnSpPr/>
        </xdr:nvCxnSpPr>
        <xdr:spPr>
          <a:xfrm rot="5400000">
            <a:off x="971548" y="352186877"/>
            <a:ext cx="3286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57" name="Isosceles Triangle 2656">
            <a:extLst>
              <a:ext uri="{FF2B5EF4-FFF2-40B4-BE49-F238E27FC236}">
                <a16:creationId xmlns:a16="http://schemas.microsoft.com/office/drawing/2014/main" id="{F163D42F-AD35-49F2-80DF-9EF57758A9E2}"/>
              </a:ext>
            </a:extLst>
          </xdr:cNvPr>
          <xdr:cNvSpPr/>
        </xdr:nvSpPr>
        <xdr:spPr>
          <a:xfrm rot="10800000">
            <a:off x="3648074" y="350843852"/>
            <a:ext cx="147637" cy="114301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58" name="Straight Connector 2657">
            <a:extLst>
              <a:ext uri="{FF2B5EF4-FFF2-40B4-BE49-F238E27FC236}">
                <a16:creationId xmlns:a16="http://schemas.microsoft.com/office/drawing/2014/main" id="{F56D1F19-318F-4F60-8E32-FF1DC709F8D1}"/>
              </a:ext>
            </a:extLst>
          </xdr:cNvPr>
          <xdr:cNvCxnSpPr/>
        </xdr:nvCxnSpPr>
        <xdr:spPr>
          <a:xfrm>
            <a:off x="3557588" y="350843855"/>
            <a:ext cx="3286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9" name="Straight Arrow Connector 2658">
            <a:extLst>
              <a:ext uri="{FF2B5EF4-FFF2-40B4-BE49-F238E27FC236}">
                <a16:creationId xmlns:a16="http://schemas.microsoft.com/office/drawing/2014/main" id="{9BC93DF7-9578-4FCC-9450-CF2797C2DDD2}"/>
              </a:ext>
            </a:extLst>
          </xdr:cNvPr>
          <xdr:cNvCxnSpPr/>
        </xdr:nvCxnSpPr>
        <xdr:spPr>
          <a:xfrm flipV="1">
            <a:off x="4533898" y="351786829"/>
            <a:ext cx="0" cy="361949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0" name="Straight Arrow Connector 2659">
            <a:extLst>
              <a:ext uri="{FF2B5EF4-FFF2-40B4-BE49-F238E27FC236}">
                <a16:creationId xmlns:a16="http://schemas.microsoft.com/office/drawing/2014/main" id="{44373896-89D8-4731-BFD5-4E9C3B3D2646}"/>
              </a:ext>
            </a:extLst>
          </xdr:cNvPr>
          <xdr:cNvCxnSpPr/>
        </xdr:nvCxnSpPr>
        <xdr:spPr>
          <a:xfrm>
            <a:off x="3238500" y="351920179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1" name="Straight Arrow Connector 2660">
            <a:extLst>
              <a:ext uri="{FF2B5EF4-FFF2-40B4-BE49-F238E27FC236}">
                <a16:creationId xmlns:a16="http://schemas.microsoft.com/office/drawing/2014/main" id="{20C8AAC5-B8D1-42F1-A000-79D61BBC1FAD}"/>
              </a:ext>
            </a:extLst>
          </xdr:cNvPr>
          <xdr:cNvCxnSpPr/>
        </xdr:nvCxnSpPr>
        <xdr:spPr>
          <a:xfrm>
            <a:off x="3562351" y="351924941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2" name="Straight Arrow Connector 2661">
            <a:extLst>
              <a:ext uri="{FF2B5EF4-FFF2-40B4-BE49-F238E27FC236}">
                <a16:creationId xmlns:a16="http://schemas.microsoft.com/office/drawing/2014/main" id="{DA8D881E-8128-4A23-A5A2-47580C4A4A9A}"/>
              </a:ext>
            </a:extLst>
          </xdr:cNvPr>
          <xdr:cNvCxnSpPr/>
        </xdr:nvCxnSpPr>
        <xdr:spPr>
          <a:xfrm>
            <a:off x="3886200" y="351924941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3" name="Straight Arrow Connector 2662">
            <a:extLst>
              <a:ext uri="{FF2B5EF4-FFF2-40B4-BE49-F238E27FC236}">
                <a16:creationId xmlns:a16="http://schemas.microsoft.com/office/drawing/2014/main" id="{78E981A8-CB9D-4D87-970C-483D17DF062B}"/>
              </a:ext>
            </a:extLst>
          </xdr:cNvPr>
          <xdr:cNvCxnSpPr/>
        </xdr:nvCxnSpPr>
        <xdr:spPr>
          <a:xfrm>
            <a:off x="4210051" y="351920178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4" name="Straight Arrow Connector 2663">
            <a:extLst>
              <a:ext uri="{FF2B5EF4-FFF2-40B4-BE49-F238E27FC236}">
                <a16:creationId xmlns:a16="http://schemas.microsoft.com/office/drawing/2014/main" id="{FF2F69BD-7471-4278-BC0E-29C5777E37A2}"/>
              </a:ext>
            </a:extLst>
          </xdr:cNvPr>
          <xdr:cNvCxnSpPr/>
        </xdr:nvCxnSpPr>
        <xdr:spPr>
          <a:xfrm>
            <a:off x="1295400" y="351915416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5" name="Straight Arrow Connector 2664">
            <a:extLst>
              <a:ext uri="{FF2B5EF4-FFF2-40B4-BE49-F238E27FC236}">
                <a16:creationId xmlns:a16="http://schemas.microsoft.com/office/drawing/2014/main" id="{BB653F4A-3A2D-4EB4-BBD0-6EC68D845A8F}"/>
              </a:ext>
            </a:extLst>
          </xdr:cNvPr>
          <xdr:cNvCxnSpPr/>
        </xdr:nvCxnSpPr>
        <xdr:spPr>
          <a:xfrm>
            <a:off x="1619249" y="351924941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6" name="Straight Arrow Connector 2665">
            <a:extLst>
              <a:ext uri="{FF2B5EF4-FFF2-40B4-BE49-F238E27FC236}">
                <a16:creationId xmlns:a16="http://schemas.microsoft.com/office/drawing/2014/main" id="{BA80C9B2-8E54-4E3A-9087-2BED1EB10683}"/>
              </a:ext>
            </a:extLst>
          </xdr:cNvPr>
          <xdr:cNvCxnSpPr/>
        </xdr:nvCxnSpPr>
        <xdr:spPr>
          <a:xfrm>
            <a:off x="1943100" y="351920178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7" name="Straight Arrow Connector 2666">
            <a:extLst>
              <a:ext uri="{FF2B5EF4-FFF2-40B4-BE49-F238E27FC236}">
                <a16:creationId xmlns:a16="http://schemas.microsoft.com/office/drawing/2014/main" id="{BBAFDD4D-C0CC-4E02-B4AA-F4101DE79C7C}"/>
              </a:ext>
            </a:extLst>
          </xdr:cNvPr>
          <xdr:cNvCxnSpPr/>
        </xdr:nvCxnSpPr>
        <xdr:spPr>
          <a:xfrm>
            <a:off x="2266949" y="351920179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8" name="Straight Arrow Connector 2667">
            <a:extLst>
              <a:ext uri="{FF2B5EF4-FFF2-40B4-BE49-F238E27FC236}">
                <a16:creationId xmlns:a16="http://schemas.microsoft.com/office/drawing/2014/main" id="{D82D1050-81C9-44B0-BA27-9EBD05622288}"/>
              </a:ext>
            </a:extLst>
          </xdr:cNvPr>
          <xdr:cNvCxnSpPr/>
        </xdr:nvCxnSpPr>
        <xdr:spPr>
          <a:xfrm>
            <a:off x="2590800" y="351924941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9" name="Straight Arrow Connector 2668">
            <a:extLst>
              <a:ext uri="{FF2B5EF4-FFF2-40B4-BE49-F238E27FC236}">
                <a16:creationId xmlns:a16="http://schemas.microsoft.com/office/drawing/2014/main" id="{D3CC24DE-7604-4CAD-B035-8A12FCE1B04C}"/>
              </a:ext>
            </a:extLst>
          </xdr:cNvPr>
          <xdr:cNvCxnSpPr/>
        </xdr:nvCxnSpPr>
        <xdr:spPr>
          <a:xfrm>
            <a:off x="2914649" y="351924941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0" name="Straight Connector 2669">
            <a:extLst>
              <a:ext uri="{FF2B5EF4-FFF2-40B4-BE49-F238E27FC236}">
                <a16:creationId xmlns:a16="http://schemas.microsoft.com/office/drawing/2014/main" id="{178B2C02-A30F-4304-80BC-2605401D94F7}"/>
              </a:ext>
            </a:extLst>
          </xdr:cNvPr>
          <xdr:cNvCxnSpPr/>
        </xdr:nvCxnSpPr>
        <xdr:spPr>
          <a:xfrm flipH="1">
            <a:off x="1295400" y="351920178"/>
            <a:ext cx="32385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1" name="Straight Connector 2670">
            <a:extLst>
              <a:ext uri="{FF2B5EF4-FFF2-40B4-BE49-F238E27FC236}">
                <a16:creationId xmlns:a16="http://schemas.microsoft.com/office/drawing/2014/main" id="{D6BBDEE7-88D4-4D27-A3E9-001C3147BAC3}"/>
              </a:ext>
            </a:extLst>
          </xdr:cNvPr>
          <xdr:cNvCxnSpPr/>
        </xdr:nvCxnSpPr>
        <xdr:spPr>
          <a:xfrm>
            <a:off x="1295401" y="352348800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2" name="Straight Connector 2671">
            <a:extLst>
              <a:ext uri="{FF2B5EF4-FFF2-40B4-BE49-F238E27FC236}">
                <a16:creationId xmlns:a16="http://schemas.microsoft.com/office/drawing/2014/main" id="{4844457C-0260-4F73-9860-C622EF12038B}"/>
              </a:ext>
            </a:extLst>
          </xdr:cNvPr>
          <xdr:cNvCxnSpPr/>
        </xdr:nvCxnSpPr>
        <xdr:spPr>
          <a:xfrm>
            <a:off x="1219200" y="352758375"/>
            <a:ext cx="3381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3" name="Straight Connector 2672">
            <a:extLst>
              <a:ext uri="{FF2B5EF4-FFF2-40B4-BE49-F238E27FC236}">
                <a16:creationId xmlns:a16="http://schemas.microsoft.com/office/drawing/2014/main" id="{1F077619-7EE2-4EE6-9D5C-E4B3FD87AE34}"/>
              </a:ext>
            </a:extLst>
          </xdr:cNvPr>
          <xdr:cNvCxnSpPr/>
        </xdr:nvCxnSpPr>
        <xdr:spPr>
          <a:xfrm flipH="1">
            <a:off x="1257300" y="352720276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4" name="Straight Connector 2673">
            <a:extLst>
              <a:ext uri="{FF2B5EF4-FFF2-40B4-BE49-F238E27FC236}">
                <a16:creationId xmlns:a16="http://schemas.microsoft.com/office/drawing/2014/main" id="{27675B84-0214-424F-B68A-FBC6F2F04ADF}"/>
              </a:ext>
            </a:extLst>
          </xdr:cNvPr>
          <xdr:cNvCxnSpPr/>
        </xdr:nvCxnSpPr>
        <xdr:spPr>
          <a:xfrm>
            <a:off x="1214438" y="353044125"/>
            <a:ext cx="33718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5" name="Straight Connector 2674">
            <a:extLst>
              <a:ext uri="{FF2B5EF4-FFF2-40B4-BE49-F238E27FC236}">
                <a16:creationId xmlns:a16="http://schemas.microsoft.com/office/drawing/2014/main" id="{157785FA-C80F-4C82-A31A-A91D470AAEF1}"/>
              </a:ext>
            </a:extLst>
          </xdr:cNvPr>
          <xdr:cNvCxnSpPr/>
        </xdr:nvCxnSpPr>
        <xdr:spPr>
          <a:xfrm flipH="1">
            <a:off x="1252538" y="353006026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6" name="Straight Connector 2675">
            <a:extLst>
              <a:ext uri="{FF2B5EF4-FFF2-40B4-BE49-F238E27FC236}">
                <a16:creationId xmlns:a16="http://schemas.microsoft.com/office/drawing/2014/main" id="{618126E0-0E47-4ED9-A42E-172DC0B3A831}"/>
              </a:ext>
            </a:extLst>
          </xdr:cNvPr>
          <xdr:cNvCxnSpPr/>
        </xdr:nvCxnSpPr>
        <xdr:spPr>
          <a:xfrm>
            <a:off x="3724274" y="352472625"/>
            <a:ext cx="0" cy="3714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7" name="Straight Connector 2676">
            <a:extLst>
              <a:ext uri="{FF2B5EF4-FFF2-40B4-BE49-F238E27FC236}">
                <a16:creationId xmlns:a16="http://schemas.microsoft.com/office/drawing/2014/main" id="{934FF75C-FBDF-4D0B-9F60-4BA043D75831}"/>
              </a:ext>
            </a:extLst>
          </xdr:cNvPr>
          <xdr:cNvCxnSpPr/>
        </xdr:nvCxnSpPr>
        <xdr:spPr>
          <a:xfrm flipH="1">
            <a:off x="3681411" y="35272027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8" name="Straight Connector 2677">
            <a:extLst>
              <a:ext uri="{FF2B5EF4-FFF2-40B4-BE49-F238E27FC236}">
                <a16:creationId xmlns:a16="http://schemas.microsoft.com/office/drawing/2014/main" id="{BD06E2AD-A351-4F8D-A6CC-2E862438C9B2}"/>
              </a:ext>
            </a:extLst>
          </xdr:cNvPr>
          <xdr:cNvCxnSpPr/>
        </xdr:nvCxnSpPr>
        <xdr:spPr>
          <a:xfrm>
            <a:off x="4533901" y="352310700"/>
            <a:ext cx="0" cy="819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9" name="Straight Connector 2678">
            <a:extLst>
              <a:ext uri="{FF2B5EF4-FFF2-40B4-BE49-F238E27FC236}">
                <a16:creationId xmlns:a16="http://schemas.microsoft.com/office/drawing/2014/main" id="{ED300E9E-924D-44D7-9F76-FB3416FC043F}"/>
              </a:ext>
            </a:extLst>
          </xdr:cNvPr>
          <xdr:cNvCxnSpPr/>
        </xdr:nvCxnSpPr>
        <xdr:spPr>
          <a:xfrm flipH="1">
            <a:off x="4495800" y="352720276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0" name="Straight Connector 2679">
            <a:extLst>
              <a:ext uri="{FF2B5EF4-FFF2-40B4-BE49-F238E27FC236}">
                <a16:creationId xmlns:a16="http://schemas.microsoft.com/office/drawing/2014/main" id="{165379C7-9FBD-480B-A181-7865539318AC}"/>
              </a:ext>
            </a:extLst>
          </xdr:cNvPr>
          <xdr:cNvCxnSpPr/>
        </xdr:nvCxnSpPr>
        <xdr:spPr>
          <a:xfrm flipH="1">
            <a:off x="4491038" y="353006026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1" name="Straight Connector 2680">
            <a:extLst>
              <a:ext uri="{FF2B5EF4-FFF2-40B4-BE49-F238E27FC236}">
                <a16:creationId xmlns:a16="http://schemas.microsoft.com/office/drawing/2014/main" id="{3A4BCBEC-8155-4C58-BD90-EAB5222F26C1}"/>
              </a:ext>
            </a:extLst>
          </xdr:cNvPr>
          <xdr:cNvCxnSpPr/>
        </xdr:nvCxnSpPr>
        <xdr:spPr>
          <a:xfrm>
            <a:off x="4614863" y="352186875"/>
            <a:ext cx="6286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1" name="Straight Connector 2710">
            <a:extLst>
              <a:ext uri="{FF2B5EF4-FFF2-40B4-BE49-F238E27FC236}">
                <a16:creationId xmlns:a16="http://schemas.microsoft.com/office/drawing/2014/main" id="{42F6F0CF-DEB8-45FF-B618-7F003617442B}"/>
              </a:ext>
            </a:extLst>
          </xdr:cNvPr>
          <xdr:cNvCxnSpPr/>
        </xdr:nvCxnSpPr>
        <xdr:spPr>
          <a:xfrm>
            <a:off x="3810000" y="350953388"/>
            <a:ext cx="1471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2" name="Straight Connector 2711">
            <a:extLst>
              <a:ext uri="{FF2B5EF4-FFF2-40B4-BE49-F238E27FC236}">
                <a16:creationId xmlns:a16="http://schemas.microsoft.com/office/drawing/2014/main" id="{18DE0069-5DD0-45A3-9361-2CAC20C46493}"/>
              </a:ext>
            </a:extLst>
          </xdr:cNvPr>
          <xdr:cNvCxnSpPr/>
        </xdr:nvCxnSpPr>
        <xdr:spPr>
          <a:xfrm>
            <a:off x="5181600" y="350872427"/>
            <a:ext cx="0" cy="13858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4" name="Straight Connector 2713">
            <a:extLst>
              <a:ext uri="{FF2B5EF4-FFF2-40B4-BE49-F238E27FC236}">
                <a16:creationId xmlns:a16="http://schemas.microsoft.com/office/drawing/2014/main" id="{FD5F4063-80FC-43F3-B981-67E2A25E0465}"/>
              </a:ext>
            </a:extLst>
          </xdr:cNvPr>
          <xdr:cNvCxnSpPr/>
        </xdr:nvCxnSpPr>
        <xdr:spPr>
          <a:xfrm flipH="1">
            <a:off x="5138737" y="350915287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3" name="Straight Connector 2742">
            <a:extLst>
              <a:ext uri="{FF2B5EF4-FFF2-40B4-BE49-F238E27FC236}">
                <a16:creationId xmlns:a16="http://schemas.microsoft.com/office/drawing/2014/main" id="{907C3E6D-F5E5-49C7-A35A-FDA1734A2092}"/>
              </a:ext>
            </a:extLst>
          </xdr:cNvPr>
          <xdr:cNvCxnSpPr/>
        </xdr:nvCxnSpPr>
        <xdr:spPr>
          <a:xfrm flipH="1">
            <a:off x="5138737" y="352148776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0" name="Straight Connector 3199">
            <a:extLst>
              <a:ext uri="{FF2B5EF4-FFF2-40B4-BE49-F238E27FC236}">
                <a16:creationId xmlns:a16="http://schemas.microsoft.com/office/drawing/2014/main" id="{CF829528-08B7-4750-98B2-1161373079E2}"/>
              </a:ext>
            </a:extLst>
          </xdr:cNvPr>
          <xdr:cNvCxnSpPr/>
        </xdr:nvCxnSpPr>
        <xdr:spPr>
          <a:xfrm flipH="1" flipV="1">
            <a:off x="2443163" y="351753488"/>
            <a:ext cx="147637" cy="242887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7" name="Straight Connector 3266">
            <a:extLst>
              <a:ext uri="{FF2B5EF4-FFF2-40B4-BE49-F238E27FC236}">
                <a16:creationId xmlns:a16="http://schemas.microsoft.com/office/drawing/2014/main" id="{BA2819A4-605F-4C81-B927-7DA2515DB8F5}"/>
              </a:ext>
            </a:extLst>
          </xdr:cNvPr>
          <xdr:cNvCxnSpPr/>
        </xdr:nvCxnSpPr>
        <xdr:spPr>
          <a:xfrm flipV="1">
            <a:off x="2533650" y="352177350"/>
            <a:ext cx="400050" cy="20955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2" name="Straight Connector 3301">
            <a:extLst>
              <a:ext uri="{FF2B5EF4-FFF2-40B4-BE49-F238E27FC236}">
                <a16:creationId xmlns:a16="http://schemas.microsoft.com/office/drawing/2014/main" id="{49F68BF1-C05F-472C-8897-F4DA4174AFC0}"/>
              </a:ext>
            </a:extLst>
          </xdr:cNvPr>
          <xdr:cNvCxnSpPr/>
        </xdr:nvCxnSpPr>
        <xdr:spPr>
          <a:xfrm>
            <a:off x="3124200" y="351015300"/>
            <a:ext cx="600075" cy="38100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4763</xdr:colOff>
      <xdr:row>2856</xdr:row>
      <xdr:rowOff>142874</xdr:rowOff>
    </xdr:from>
    <xdr:to>
      <xdr:col>30</xdr:col>
      <xdr:colOff>38100</xdr:colOff>
      <xdr:row>2864</xdr:row>
      <xdr:rowOff>85726</xdr:rowOff>
    </xdr:to>
    <xdr:grpSp>
      <xdr:nvGrpSpPr>
        <xdr:cNvPr id="3445" name="Group 3444">
          <a:extLst>
            <a:ext uri="{FF2B5EF4-FFF2-40B4-BE49-F238E27FC236}">
              <a16:creationId xmlns:a16="http://schemas.microsoft.com/office/drawing/2014/main" id="{A7B9A413-696B-DF68-7D93-5C63DC46223F}"/>
            </a:ext>
          </a:extLst>
        </xdr:cNvPr>
        <xdr:cNvGrpSpPr/>
      </xdr:nvGrpSpPr>
      <xdr:grpSpPr>
        <a:xfrm>
          <a:off x="976313" y="428348774"/>
          <a:ext cx="3919537" cy="1085852"/>
          <a:chOff x="976313" y="363816899"/>
          <a:chExt cx="3919537" cy="1085852"/>
        </a:xfrm>
      </xdr:grpSpPr>
      <xdr:cxnSp macro="">
        <xdr:nvCxnSpPr>
          <xdr:cNvPr id="3337" name="Straight Connector 3336">
            <a:extLst>
              <a:ext uri="{FF2B5EF4-FFF2-40B4-BE49-F238E27FC236}">
                <a16:creationId xmlns:a16="http://schemas.microsoft.com/office/drawing/2014/main" id="{05CF11E6-37D1-4B7D-A1A0-2BF5E7F6F312}"/>
              </a:ext>
            </a:extLst>
          </xdr:cNvPr>
          <xdr:cNvCxnSpPr/>
        </xdr:nvCxnSpPr>
        <xdr:spPr>
          <a:xfrm>
            <a:off x="1290638" y="364245525"/>
            <a:ext cx="32480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8" name="Straight Arrow Connector 3337">
            <a:extLst>
              <a:ext uri="{FF2B5EF4-FFF2-40B4-BE49-F238E27FC236}">
                <a16:creationId xmlns:a16="http://schemas.microsoft.com/office/drawing/2014/main" id="{FCA77C55-99DA-41E3-A24C-D6E284C2BFF1}"/>
              </a:ext>
            </a:extLst>
          </xdr:cNvPr>
          <xdr:cNvCxnSpPr/>
        </xdr:nvCxnSpPr>
        <xdr:spPr>
          <a:xfrm>
            <a:off x="3729037" y="363816899"/>
            <a:ext cx="0" cy="433389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9" name="Straight Arrow Connector 3338">
            <a:extLst>
              <a:ext uri="{FF2B5EF4-FFF2-40B4-BE49-F238E27FC236}">
                <a16:creationId xmlns:a16="http://schemas.microsoft.com/office/drawing/2014/main" id="{3CFFA702-377C-4EBC-A91A-165969C41900}"/>
              </a:ext>
            </a:extLst>
          </xdr:cNvPr>
          <xdr:cNvCxnSpPr/>
        </xdr:nvCxnSpPr>
        <xdr:spPr>
          <a:xfrm>
            <a:off x="3238500" y="364007403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0" name="Straight Arrow Connector 3339">
            <a:extLst>
              <a:ext uri="{FF2B5EF4-FFF2-40B4-BE49-F238E27FC236}">
                <a16:creationId xmlns:a16="http://schemas.microsoft.com/office/drawing/2014/main" id="{519E926B-0708-4591-95E2-96547F2EA1DD}"/>
              </a:ext>
            </a:extLst>
          </xdr:cNvPr>
          <xdr:cNvCxnSpPr/>
        </xdr:nvCxnSpPr>
        <xdr:spPr>
          <a:xfrm>
            <a:off x="3562351" y="364012165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1" name="Straight Arrow Connector 3340">
            <a:extLst>
              <a:ext uri="{FF2B5EF4-FFF2-40B4-BE49-F238E27FC236}">
                <a16:creationId xmlns:a16="http://schemas.microsoft.com/office/drawing/2014/main" id="{50CC9FDD-D566-4980-AB61-B60400A06C54}"/>
              </a:ext>
            </a:extLst>
          </xdr:cNvPr>
          <xdr:cNvCxnSpPr/>
        </xdr:nvCxnSpPr>
        <xdr:spPr>
          <a:xfrm>
            <a:off x="3886200" y="364012165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2" name="Straight Arrow Connector 3341">
            <a:extLst>
              <a:ext uri="{FF2B5EF4-FFF2-40B4-BE49-F238E27FC236}">
                <a16:creationId xmlns:a16="http://schemas.microsoft.com/office/drawing/2014/main" id="{5FC30436-AA18-4D2F-B0AC-C73E3317BDB3}"/>
              </a:ext>
            </a:extLst>
          </xdr:cNvPr>
          <xdr:cNvCxnSpPr/>
        </xdr:nvCxnSpPr>
        <xdr:spPr>
          <a:xfrm>
            <a:off x="4210051" y="364007402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3" name="Straight Arrow Connector 3342">
            <a:extLst>
              <a:ext uri="{FF2B5EF4-FFF2-40B4-BE49-F238E27FC236}">
                <a16:creationId xmlns:a16="http://schemas.microsoft.com/office/drawing/2014/main" id="{73F22F7F-1D2D-47CF-86E5-50D47CC3D884}"/>
              </a:ext>
            </a:extLst>
          </xdr:cNvPr>
          <xdr:cNvCxnSpPr/>
        </xdr:nvCxnSpPr>
        <xdr:spPr>
          <a:xfrm>
            <a:off x="1295400" y="364002640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4" name="Straight Arrow Connector 3343">
            <a:extLst>
              <a:ext uri="{FF2B5EF4-FFF2-40B4-BE49-F238E27FC236}">
                <a16:creationId xmlns:a16="http://schemas.microsoft.com/office/drawing/2014/main" id="{BA005628-BED5-44AA-9618-D3B78998F311}"/>
              </a:ext>
            </a:extLst>
          </xdr:cNvPr>
          <xdr:cNvCxnSpPr/>
        </xdr:nvCxnSpPr>
        <xdr:spPr>
          <a:xfrm>
            <a:off x="1619249" y="364012165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5" name="Straight Arrow Connector 3344">
            <a:extLst>
              <a:ext uri="{FF2B5EF4-FFF2-40B4-BE49-F238E27FC236}">
                <a16:creationId xmlns:a16="http://schemas.microsoft.com/office/drawing/2014/main" id="{408FD70F-04D6-4001-A7BD-4DF7EA20EBBA}"/>
              </a:ext>
            </a:extLst>
          </xdr:cNvPr>
          <xdr:cNvCxnSpPr/>
        </xdr:nvCxnSpPr>
        <xdr:spPr>
          <a:xfrm>
            <a:off x="1943100" y="364007402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6" name="Straight Arrow Connector 3345">
            <a:extLst>
              <a:ext uri="{FF2B5EF4-FFF2-40B4-BE49-F238E27FC236}">
                <a16:creationId xmlns:a16="http://schemas.microsoft.com/office/drawing/2014/main" id="{A400BC73-C7A3-4245-9ADE-2F2EC4BAEEE3}"/>
              </a:ext>
            </a:extLst>
          </xdr:cNvPr>
          <xdr:cNvCxnSpPr/>
        </xdr:nvCxnSpPr>
        <xdr:spPr>
          <a:xfrm>
            <a:off x="2266949" y="364007403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7" name="Straight Arrow Connector 3346">
            <a:extLst>
              <a:ext uri="{FF2B5EF4-FFF2-40B4-BE49-F238E27FC236}">
                <a16:creationId xmlns:a16="http://schemas.microsoft.com/office/drawing/2014/main" id="{F9D20D18-FC7B-4CEF-AD1D-A99872AF6813}"/>
              </a:ext>
            </a:extLst>
          </xdr:cNvPr>
          <xdr:cNvCxnSpPr/>
        </xdr:nvCxnSpPr>
        <xdr:spPr>
          <a:xfrm>
            <a:off x="2590800" y="364012165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8" name="Straight Arrow Connector 3347">
            <a:extLst>
              <a:ext uri="{FF2B5EF4-FFF2-40B4-BE49-F238E27FC236}">
                <a16:creationId xmlns:a16="http://schemas.microsoft.com/office/drawing/2014/main" id="{98175D9F-08DC-4AF2-B077-5626C748C31B}"/>
              </a:ext>
            </a:extLst>
          </xdr:cNvPr>
          <xdr:cNvCxnSpPr/>
        </xdr:nvCxnSpPr>
        <xdr:spPr>
          <a:xfrm>
            <a:off x="2914649" y="364012165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9" name="Straight Connector 3348">
            <a:extLst>
              <a:ext uri="{FF2B5EF4-FFF2-40B4-BE49-F238E27FC236}">
                <a16:creationId xmlns:a16="http://schemas.microsoft.com/office/drawing/2014/main" id="{D638ABBC-AB90-4123-87EA-C5679B033688}"/>
              </a:ext>
            </a:extLst>
          </xdr:cNvPr>
          <xdr:cNvCxnSpPr/>
        </xdr:nvCxnSpPr>
        <xdr:spPr>
          <a:xfrm flipH="1">
            <a:off x="1295400" y="364007402"/>
            <a:ext cx="32385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0" name="Straight Arrow Connector 3349">
            <a:extLst>
              <a:ext uri="{FF2B5EF4-FFF2-40B4-BE49-F238E27FC236}">
                <a16:creationId xmlns:a16="http://schemas.microsoft.com/office/drawing/2014/main" id="{90DFC1DE-C502-46E8-B16F-732B69FB2B6C}"/>
              </a:ext>
            </a:extLst>
          </xdr:cNvPr>
          <xdr:cNvCxnSpPr/>
        </xdr:nvCxnSpPr>
        <xdr:spPr>
          <a:xfrm>
            <a:off x="1295399" y="364269342"/>
            <a:ext cx="0" cy="261933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1" name="Straight Arrow Connector 3350">
            <a:extLst>
              <a:ext uri="{FF2B5EF4-FFF2-40B4-BE49-F238E27FC236}">
                <a16:creationId xmlns:a16="http://schemas.microsoft.com/office/drawing/2014/main" id="{DEE2042C-E928-43D8-971C-18D1FB0CE62D}"/>
              </a:ext>
            </a:extLst>
          </xdr:cNvPr>
          <xdr:cNvCxnSpPr/>
        </xdr:nvCxnSpPr>
        <xdr:spPr>
          <a:xfrm flipH="1">
            <a:off x="976313" y="364250288"/>
            <a:ext cx="285751" cy="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2" name="Straight Connector 3351">
            <a:extLst>
              <a:ext uri="{FF2B5EF4-FFF2-40B4-BE49-F238E27FC236}">
                <a16:creationId xmlns:a16="http://schemas.microsoft.com/office/drawing/2014/main" id="{3FF2BB47-5ACB-4FAE-94AE-B3A2A3D6AF65}"/>
              </a:ext>
            </a:extLst>
          </xdr:cNvPr>
          <xdr:cNvCxnSpPr/>
        </xdr:nvCxnSpPr>
        <xdr:spPr>
          <a:xfrm>
            <a:off x="1295407" y="364688444"/>
            <a:ext cx="0" cy="20001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3" name="Straight Connector 3352">
            <a:extLst>
              <a:ext uri="{FF2B5EF4-FFF2-40B4-BE49-F238E27FC236}">
                <a16:creationId xmlns:a16="http://schemas.microsoft.com/office/drawing/2014/main" id="{79EFA087-124C-42E2-952D-B77106E0C61D}"/>
              </a:ext>
            </a:extLst>
          </xdr:cNvPr>
          <xdr:cNvCxnSpPr/>
        </xdr:nvCxnSpPr>
        <xdr:spPr>
          <a:xfrm>
            <a:off x="1219206" y="364817032"/>
            <a:ext cx="3381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4" name="Straight Connector 3353">
            <a:extLst>
              <a:ext uri="{FF2B5EF4-FFF2-40B4-BE49-F238E27FC236}">
                <a16:creationId xmlns:a16="http://schemas.microsoft.com/office/drawing/2014/main" id="{159ADC05-6770-440B-A537-19112CF46713}"/>
              </a:ext>
            </a:extLst>
          </xdr:cNvPr>
          <xdr:cNvCxnSpPr/>
        </xdr:nvCxnSpPr>
        <xdr:spPr>
          <a:xfrm flipH="1">
            <a:off x="1257306" y="364778933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5" name="Straight Connector 3354">
            <a:extLst>
              <a:ext uri="{FF2B5EF4-FFF2-40B4-BE49-F238E27FC236}">
                <a16:creationId xmlns:a16="http://schemas.microsoft.com/office/drawing/2014/main" id="{1AE40FDF-A9E8-4E1C-822B-6FA5F0ACB89F}"/>
              </a:ext>
            </a:extLst>
          </xdr:cNvPr>
          <xdr:cNvCxnSpPr/>
        </xdr:nvCxnSpPr>
        <xdr:spPr>
          <a:xfrm>
            <a:off x="3724280" y="364378875"/>
            <a:ext cx="0" cy="5238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6" name="Straight Connector 3355">
            <a:extLst>
              <a:ext uri="{FF2B5EF4-FFF2-40B4-BE49-F238E27FC236}">
                <a16:creationId xmlns:a16="http://schemas.microsoft.com/office/drawing/2014/main" id="{44EE21BD-EFE5-46A2-86DA-D396D7ECC821}"/>
              </a:ext>
            </a:extLst>
          </xdr:cNvPr>
          <xdr:cNvCxnSpPr/>
        </xdr:nvCxnSpPr>
        <xdr:spPr>
          <a:xfrm flipH="1">
            <a:off x="3681417" y="364778927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7" name="Straight Connector 3356">
            <a:extLst>
              <a:ext uri="{FF2B5EF4-FFF2-40B4-BE49-F238E27FC236}">
                <a16:creationId xmlns:a16="http://schemas.microsoft.com/office/drawing/2014/main" id="{CCFA5549-A551-4E41-B5CB-8D8F628BA427}"/>
              </a:ext>
            </a:extLst>
          </xdr:cNvPr>
          <xdr:cNvCxnSpPr/>
        </xdr:nvCxnSpPr>
        <xdr:spPr>
          <a:xfrm>
            <a:off x="4533907" y="364688438"/>
            <a:ext cx="0" cy="204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8" name="Straight Connector 3357">
            <a:extLst>
              <a:ext uri="{FF2B5EF4-FFF2-40B4-BE49-F238E27FC236}">
                <a16:creationId xmlns:a16="http://schemas.microsoft.com/office/drawing/2014/main" id="{9ECE75EB-9CEE-4CC2-B10A-AEBBA9AF8CD1}"/>
              </a:ext>
            </a:extLst>
          </xdr:cNvPr>
          <xdr:cNvCxnSpPr/>
        </xdr:nvCxnSpPr>
        <xdr:spPr>
          <a:xfrm flipH="1">
            <a:off x="4495806" y="364778933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9" name="Straight Connector 3358">
            <a:extLst>
              <a:ext uri="{FF2B5EF4-FFF2-40B4-BE49-F238E27FC236}">
                <a16:creationId xmlns:a16="http://schemas.microsoft.com/office/drawing/2014/main" id="{C5BAE4CC-A4FE-4CBD-A3EF-2F25F91B4A9E}"/>
              </a:ext>
            </a:extLst>
          </xdr:cNvPr>
          <xdr:cNvCxnSpPr/>
        </xdr:nvCxnSpPr>
        <xdr:spPr>
          <a:xfrm flipH="1" flipV="1">
            <a:off x="2667000" y="363940725"/>
            <a:ext cx="247650" cy="171449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0" name="Straight Arrow Connector 3359">
            <a:extLst>
              <a:ext uri="{FF2B5EF4-FFF2-40B4-BE49-F238E27FC236}">
                <a16:creationId xmlns:a16="http://schemas.microsoft.com/office/drawing/2014/main" id="{BB412D0B-4429-4841-BE37-6C065A66BD6F}"/>
              </a:ext>
            </a:extLst>
          </xdr:cNvPr>
          <xdr:cNvCxnSpPr/>
        </xdr:nvCxnSpPr>
        <xdr:spPr>
          <a:xfrm>
            <a:off x="3724275" y="364450312"/>
            <a:ext cx="428625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1" name="Straight Arrow Connector 3360">
            <a:extLst>
              <a:ext uri="{FF2B5EF4-FFF2-40B4-BE49-F238E27FC236}">
                <a16:creationId xmlns:a16="http://schemas.microsoft.com/office/drawing/2014/main" id="{C39F4E04-D10B-4B4F-B5F8-64A0F07F4756}"/>
              </a:ext>
            </a:extLst>
          </xdr:cNvPr>
          <xdr:cNvCxnSpPr/>
        </xdr:nvCxnSpPr>
        <xdr:spPr>
          <a:xfrm>
            <a:off x="1295400" y="364450312"/>
            <a:ext cx="590550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5" name="Straight Arrow Connector 3364">
            <a:extLst>
              <a:ext uri="{FF2B5EF4-FFF2-40B4-BE49-F238E27FC236}">
                <a16:creationId xmlns:a16="http://schemas.microsoft.com/office/drawing/2014/main" id="{016AA945-DA52-4DC6-B380-F34DE242362B}"/>
              </a:ext>
            </a:extLst>
          </xdr:cNvPr>
          <xdr:cNvCxnSpPr/>
        </xdr:nvCxnSpPr>
        <xdr:spPr>
          <a:xfrm>
            <a:off x="4557713" y="364245525"/>
            <a:ext cx="338137" cy="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6" name="Straight Arrow Connector 3365">
            <a:extLst>
              <a:ext uri="{FF2B5EF4-FFF2-40B4-BE49-F238E27FC236}">
                <a16:creationId xmlns:a16="http://schemas.microsoft.com/office/drawing/2014/main" id="{70B6181D-D5C2-4704-AAC7-2C43C90371C3}"/>
              </a:ext>
            </a:extLst>
          </xdr:cNvPr>
          <xdr:cNvCxnSpPr/>
        </xdr:nvCxnSpPr>
        <xdr:spPr>
          <a:xfrm>
            <a:off x="4533900" y="364269338"/>
            <a:ext cx="0" cy="261933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8" name="Straight Arrow Connector 3367">
            <a:extLst>
              <a:ext uri="{FF2B5EF4-FFF2-40B4-BE49-F238E27FC236}">
                <a16:creationId xmlns:a16="http://schemas.microsoft.com/office/drawing/2014/main" id="{38BA4E67-E897-42A0-B22A-179E963328C3}"/>
              </a:ext>
            </a:extLst>
          </xdr:cNvPr>
          <xdr:cNvCxnSpPr/>
        </xdr:nvCxnSpPr>
        <xdr:spPr>
          <a:xfrm>
            <a:off x="4533900" y="364007401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57150</xdr:colOff>
      <xdr:row>2879</xdr:row>
      <xdr:rowOff>66675</xdr:rowOff>
    </xdr:from>
    <xdr:to>
      <xdr:col>10</xdr:col>
      <xdr:colOff>109537</xdr:colOff>
      <xdr:row>2879</xdr:row>
      <xdr:rowOff>66675</xdr:rowOff>
    </xdr:to>
    <xdr:cxnSp macro="">
      <xdr:nvCxnSpPr>
        <xdr:cNvPr id="3369" name="Straight Arrow Connector 3368">
          <a:extLst>
            <a:ext uri="{FF2B5EF4-FFF2-40B4-BE49-F238E27FC236}">
              <a16:creationId xmlns:a16="http://schemas.microsoft.com/office/drawing/2014/main" id="{6DC18D84-F4D3-4246-8B26-AC2E61E518A8}"/>
            </a:ext>
          </a:extLst>
        </xdr:cNvPr>
        <xdr:cNvCxnSpPr/>
      </xdr:nvCxnSpPr>
      <xdr:spPr>
        <a:xfrm>
          <a:off x="1676400" y="480631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2880</xdr:row>
      <xdr:rowOff>66675</xdr:rowOff>
    </xdr:from>
    <xdr:to>
      <xdr:col>10</xdr:col>
      <xdr:colOff>109537</xdr:colOff>
      <xdr:row>2880</xdr:row>
      <xdr:rowOff>66675</xdr:rowOff>
    </xdr:to>
    <xdr:cxnSp macro="">
      <xdr:nvCxnSpPr>
        <xdr:cNvPr id="3370" name="Straight Arrow Connector 3369">
          <a:extLst>
            <a:ext uri="{FF2B5EF4-FFF2-40B4-BE49-F238E27FC236}">
              <a16:creationId xmlns:a16="http://schemas.microsoft.com/office/drawing/2014/main" id="{A19CDF68-85A8-41CF-8F9D-54E8D868C538}"/>
            </a:ext>
          </a:extLst>
        </xdr:cNvPr>
        <xdr:cNvCxnSpPr/>
      </xdr:nvCxnSpPr>
      <xdr:spPr>
        <a:xfrm>
          <a:off x="1676400" y="482060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2885</xdr:row>
      <xdr:rowOff>66675</xdr:rowOff>
    </xdr:from>
    <xdr:to>
      <xdr:col>14</xdr:col>
      <xdr:colOff>109537</xdr:colOff>
      <xdr:row>2885</xdr:row>
      <xdr:rowOff>66675</xdr:rowOff>
    </xdr:to>
    <xdr:cxnSp macro="">
      <xdr:nvCxnSpPr>
        <xdr:cNvPr id="3371" name="Straight Arrow Connector 3370">
          <a:extLst>
            <a:ext uri="{FF2B5EF4-FFF2-40B4-BE49-F238E27FC236}">
              <a16:creationId xmlns:a16="http://schemas.microsoft.com/office/drawing/2014/main" id="{E1406F6C-935E-43E2-A738-9D9B474897CF}"/>
            </a:ext>
          </a:extLst>
        </xdr:cNvPr>
        <xdr:cNvCxnSpPr/>
      </xdr:nvCxnSpPr>
      <xdr:spPr>
        <a:xfrm>
          <a:off x="2324100" y="489204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57150</xdr:colOff>
      <xdr:row>2885</xdr:row>
      <xdr:rowOff>66675</xdr:rowOff>
    </xdr:from>
    <xdr:to>
      <xdr:col>40</xdr:col>
      <xdr:colOff>109537</xdr:colOff>
      <xdr:row>2885</xdr:row>
      <xdr:rowOff>66675</xdr:rowOff>
    </xdr:to>
    <xdr:cxnSp macro="">
      <xdr:nvCxnSpPr>
        <xdr:cNvPr id="3372" name="Straight Arrow Connector 3371">
          <a:extLst>
            <a:ext uri="{FF2B5EF4-FFF2-40B4-BE49-F238E27FC236}">
              <a16:creationId xmlns:a16="http://schemas.microsoft.com/office/drawing/2014/main" id="{A5F19231-C8B9-4E6A-8921-D264EA1B32E0}"/>
            </a:ext>
          </a:extLst>
        </xdr:cNvPr>
        <xdr:cNvCxnSpPr/>
      </xdr:nvCxnSpPr>
      <xdr:spPr>
        <a:xfrm>
          <a:off x="6534150" y="489204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2888</xdr:row>
      <xdr:rowOff>66675</xdr:rowOff>
    </xdr:from>
    <xdr:to>
      <xdr:col>14</xdr:col>
      <xdr:colOff>109537</xdr:colOff>
      <xdr:row>2888</xdr:row>
      <xdr:rowOff>66675</xdr:rowOff>
    </xdr:to>
    <xdr:cxnSp macro="">
      <xdr:nvCxnSpPr>
        <xdr:cNvPr id="3373" name="Straight Arrow Connector 3372">
          <a:extLst>
            <a:ext uri="{FF2B5EF4-FFF2-40B4-BE49-F238E27FC236}">
              <a16:creationId xmlns:a16="http://schemas.microsoft.com/office/drawing/2014/main" id="{F44337D8-408C-42B0-B035-4025403C0BAE}"/>
            </a:ext>
          </a:extLst>
        </xdr:cNvPr>
        <xdr:cNvCxnSpPr/>
      </xdr:nvCxnSpPr>
      <xdr:spPr>
        <a:xfrm>
          <a:off x="2324100" y="493490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57150</xdr:colOff>
      <xdr:row>2888</xdr:row>
      <xdr:rowOff>66675</xdr:rowOff>
    </xdr:from>
    <xdr:to>
      <xdr:col>37</xdr:col>
      <xdr:colOff>109537</xdr:colOff>
      <xdr:row>2888</xdr:row>
      <xdr:rowOff>66675</xdr:rowOff>
    </xdr:to>
    <xdr:cxnSp macro="">
      <xdr:nvCxnSpPr>
        <xdr:cNvPr id="3374" name="Straight Arrow Connector 3373">
          <a:extLst>
            <a:ext uri="{FF2B5EF4-FFF2-40B4-BE49-F238E27FC236}">
              <a16:creationId xmlns:a16="http://schemas.microsoft.com/office/drawing/2014/main" id="{9A18CE38-CF1B-4B99-991F-A3FBD4990D57}"/>
            </a:ext>
          </a:extLst>
        </xdr:cNvPr>
        <xdr:cNvCxnSpPr/>
      </xdr:nvCxnSpPr>
      <xdr:spPr>
        <a:xfrm>
          <a:off x="6048375" y="493490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95255</xdr:colOff>
      <xdr:row>2842</xdr:row>
      <xdr:rowOff>66675</xdr:rowOff>
    </xdr:from>
    <xdr:to>
      <xdr:col>58</xdr:col>
      <xdr:colOff>61913</xdr:colOff>
      <xdr:row>2854</xdr:row>
      <xdr:rowOff>76194</xdr:rowOff>
    </xdr:to>
    <xdr:grpSp>
      <xdr:nvGrpSpPr>
        <xdr:cNvPr id="3375" name="Group 3374">
          <a:extLst>
            <a:ext uri="{FF2B5EF4-FFF2-40B4-BE49-F238E27FC236}">
              <a16:creationId xmlns:a16="http://schemas.microsoft.com/office/drawing/2014/main" id="{13A9EB64-A214-442E-B82E-BF352560ECD2}"/>
            </a:ext>
          </a:extLst>
        </xdr:cNvPr>
        <xdr:cNvGrpSpPr/>
      </xdr:nvGrpSpPr>
      <xdr:grpSpPr>
        <a:xfrm>
          <a:off x="8029580" y="426272325"/>
          <a:ext cx="1423983" cy="1724019"/>
          <a:chOff x="7705730" y="320421000"/>
          <a:chExt cx="1423983" cy="1724019"/>
        </a:xfrm>
      </xdr:grpSpPr>
      <xdr:cxnSp macro="">
        <xdr:nvCxnSpPr>
          <xdr:cNvPr id="3376" name="Straight Connector 3375">
            <a:extLst>
              <a:ext uri="{FF2B5EF4-FFF2-40B4-BE49-F238E27FC236}">
                <a16:creationId xmlns:a16="http://schemas.microsoft.com/office/drawing/2014/main" id="{44AE2D71-8954-5E8E-2FA6-D047B4B75C7E}"/>
              </a:ext>
            </a:extLst>
          </xdr:cNvPr>
          <xdr:cNvCxnSpPr/>
        </xdr:nvCxnSpPr>
        <xdr:spPr>
          <a:xfrm>
            <a:off x="8096250" y="320497202"/>
            <a:ext cx="9667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7" name="Straight Connector 3376">
            <a:extLst>
              <a:ext uri="{FF2B5EF4-FFF2-40B4-BE49-F238E27FC236}">
                <a16:creationId xmlns:a16="http://schemas.microsoft.com/office/drawing/2014/main" id="{ED140C6A-A7CC-BE2B-42C5-DF81E0EBED3B}"/>
              </a:ext>
            </a:extLst>
          </xdr:cNvPr>
          <xdr:cNvCxnSpPr/>
        </xdr:nvCxnSpPr>
        <xdr:spPr>
          <a:xfrm>
            <a:off x="8096250" y="320640077"/>
            <a:ext cx="3571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8" name="Straight Connector 3377">
            <a:extLst>
              <a:ext uri="{FF2B5EF4-FFF2-40B4-BE49-F238E27FC236}">
                <a16:creationId xmlns:a16="http://schemas.microsoft.com/office/drawing/2014/main" id="{65C21C99-51A9-74D8-21D2-2F7361AC84E3}"/>
              </a:ext>
            </a:extLst>
          </xdr:cNvPr>
          <xdr:cNvCxnSpPr/>
        </xdr:nvCxnSpPr>
        <xdr:spPr>
          <a:xfrm>
            <a:off x="8534400" y="320735326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79" name="Arc 3378">
            <a:extLst>
              <a:ext uri="{FF2B5EF4-FFF2-40B4-BE49-F238E27FC236}">
                <a16:creationId xmlns:a16="http://schemas.microsoft.com/office/drawing/2014/main" id="{F392AFB8-D3B9-2A56-9A5A-089F349C5007}"/>
              </a:ext>
            </a:extLst>
          </xdr:cNvPr>
          <xdr:cNvSpPr/>
        </xdr:nvSpPr>
        <xdr:spPr>
          <a:xfrm>
            <a:off x="8324851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80" name="Straight Connector 3379">
            <a:extLst>
              <a:ext uri="{FF2B5EF4-FFF2-40B4-BE49-F238E27FC236}">
                <a16:creationId xmlns:a16="http://schemas.microsoft.com/office/drawing/2014/main" id="{016ACED8-999A-E7B5-9CCC-88E8D2723DF9}"/>
              </a:ext>
            </a:extLst>
          </xdr:cNvPr>
          <xdr:cNvCxnSpPr/>
        </xdr:nvCxnSpPr>
        <xdr:spPr>
          <a:xfrm>
            <a:off x="8629650" y="320730563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1" name="Straight Connector 3380">
            <a:extLst>
              <a:ext uri="{FF2B5EF4-FFF2-40B4-BE49-F238E27FC236}">
                <a16:creationId xmlns:a16="http://schemas.microsoft.com/office/drawing/2014/main" id="{08BC9F4D-6C91-2A0D-9DE3-A70439D62F02}"/>
              </a:ext>
            </a:extLst>
          </xdr:cNvPr>
          <xdr:cNvCxnSpPr/>
        </xdr:nvCxnSpPr>
        <xdr:spPr>
          <a:xfrm>
            <a:off x="8734425" y="320640077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2" name="Straight Connector 3381">
            <a:extLst>
              <a:ext uri="{FF2B5EF4-FFF2-40B4-BE49-F238E27FC236}">
                <a16:creationId xmlns:a16="http://schemas.microsoft.com/office/drawing/2014/main" id="{63254BC5-938C-9E8C-B95A-2F701FB8439F}"/>
              </a:ext>
            </a:extLst>
          </xdr:cNvPr>
          <xdr:cNvCxnSpPr/>
        </xdr:nvCxnSpPr>
        <xdr:spPr>
          <a:xfrm>
            <a:off x="9063027" y="320497201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3" name="Straight Connector 3382">
            <a:extLst>
              <a:ext uri="{FF2B5EF4-FFF2-40B4-BE49-F238E27FC236}">
                <a16:creationId xmlns:a16="http://schemas.microsoft.com/office/drawing/2014/main" id="{E0D9B234-6140-E883-CC46-DE835B8B2620}"/>
              </a:ext>
            </a:extLst>
          </xdr:cNvPr>
          <xdr:cNvCxnSpPr/>
        </xdr:nvCxnSpPr>
        <xdr:spPr>
          <a:xfrm>
            <a:off x="8096258" y="320497202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84" name="Arc 3383">
            <a:extLst>
              <a:ext uri="{FF2B5EF4-FFF2-40B4-BE49-F238E27FC236}">
                <a16:creationId xmlns:a16="http://schemas.microsoft.com/office/drawing/2014/main" id="{4E119F87-B6A0-586A-4903-C3FDCC62CCCA}"/>
              </a:ext>
            </a:extLst>
          </xdr:cNvPr>
          <xdr:cNvSpPr/>
        </xdr:nvSpPr>
        <xdr:spPr>
          <a:xfrm rot="16200000">
            <a:off x="8629650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85" name="Straight Connector 3384">
            <a:extLst>
              <a:ext uri="{FF2B5EF4-FFF2-40B4-BE49-F238E27FC236}">
                <a16:creationId xmlns:a16="http://schemas.microsoft.com/office/drawing/2014/main" id="{6AEA8118-33F1-E9E8-328D-2B2B91B0EE1D}"/>
              </a:ext>
            </a:extLst>
          </xdr:cNvPr>
          <xdr:cNvCxnSpPr/>
        </xdr:nvCxnSpPr>
        <xdr:spPr>
          <a:xfrm>
            <a:off x="8096250" y="321783070"/>
            <a:ext cx="971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6" name="Straight Connector 3385">
            <a:extLst>
              <a:ext uri="{FF2B5EF4-FFF2-40B4-BE49-F238E27FC236}">
                <a16:creationId xmlns:a16="http://schemas.microsoft.com/office/drawing/2014/main" id="{BC0A2260-C731-5B71-F823-43F3F8FE92D8}"/>
              </a:ext>
            </a:extLst>
          </xdr:cNvPr>
          <xdr:cNvCxnSpPr/>
        </xdr:nvCxnSpPr>
        <xdr:spPr>
          <a:xfrm>
            <a:off x="8101013" y="321640188"/>
            <a:ext cx="3571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7" name="Straight Connector 3386">
            <a:extLst>
              <a:ext uri="{FF2B5EF4-FFF2-40B4-BE49-F238E27FC236}">
                <a16:creationId xmlns:a16="http://schemas.microsoft.com/office/drawing/2014/main" id="{A432DFCB-9091-0D2B-054D-CCD1D90D424F}"/>
              </a:ext>
            </a:extLst>
          </xdr:cNvPr>
          <xdr:cNvCxnSpPr/>
        </xdr:nvCxnSpPr>
        <xdr:spPr>
          <a:xfrm>
            <a:off x="8739187" y="321640188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8" name="Straight Connector 3387">
            <a:extLst>
              <a:ext uri="{FF2B5EF4-FFF2-40B4-BE49-F238E27FC236}">
                <a16:creationId xmlns:a16="http://schemas.microsoft.com/office/drawing/2014/main" id="{753EC27B-9181-E5AF-D6E5-697DAAFF9569}"/>
              </a:ext>
            </a:extLst>
          </xdr:cNvPr>
          <xdr:cNvCxnSpPr/>
        </xdr:nvCxnSpPr>
        <xdr:spPr>
          <a:xfrm>
            <a:off x="9067789" y="321640187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9" name="Straight Connector 3388">
            <a:extLst>
              <a:ext uri="{FF2B5EF4-FFF2-40B4-BE49-F238E27FC236}">
                <a16:creationId xmlns:a16="http://schemas.microsoft.com/office/drawing/2014/main" id="{7830D584-E0E9-EC84-D00E-9277B6F58912}"/>
              </a:ext>
            </a:extLst>
          </xdr:cNvPr>
          <xdr:cNvCxnSpPr/>
        </xdr:nvCxnSpPr>
        <xdr:spPr>
          <a:xfrm>
            <a:off x="8101020" y="321640188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90" name="Arc 3389">
            <a:extLst>
              <a:ext uri="{FF2B5EF4-FFF2-40B4-BE49-F238E27FC236}">
                <a16:creationId xmlns:a16="http://schemas.microsoft.com/office/drawing/2014/main" id="{AE3E3E04-3B32-F57B-3E75-85121E2E2787}"/>
              </a:ext>
            </a:extLst>
          </xdr:cNvPr>
          <xdr:cNvSpPr/>
        </xdr:nvSpPr>
        <xdr:spPr>
          <a:xfrm rot="5400000">
            <a:off x="8324849" y="321430638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91" name="Arc 3390">
            <a:extLst>
              <a:ext uri="{FF2B5EF4-FFF2-40B4-BE49-F238E27FC236}">
                <a16:creationId xmlns:a16="http://schemas.microsoft.com/office/drawing/2014/main" id="{2E587CBC-2D0A-59D4-C768-875F85D4BBE7}"/>
              </a:ext>
            </a:extLst>
          </xdr:cNvPr>
          <xdr:cNvSpPr/>
        </xdr:nvSpPr>
        <xdr:spPr>
          <a:xfrm rot="10800000">
            <a:off x="8629651" y="321430637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92" name="Straight Connector 3391">
            <a:extLst>
              <a:ext uri="{FF2B5EF4-FFF2-40B4-BE49-F238E27FC236}">
                <a16:creationId xmlns:a16="http://schemas.microsoft.com/office/drawing/2014/main" id="{2123723F-6C88-0419-53F7-0A4E8EC92540}"/>
              </a:ext>
            </a:extLst>
          </xdr:cNvPr>
          <xdr:cNvCxnSpPr/>
        </xdr:nvCxnSpPr>
        <xdr:spPr>
          <a:xfrm>
            <a:off x="8472488" y="32121157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3" name="Straight Connector 3392">
            <a:extLst>
              <a:ext uri="{FF2B5EF4-FFF2-40B4-BE49-F238E27FC236}">
                <a16:creationId xmlns:a16="http://schemas.microsoft.com/office/drawing/2014/main" id="{E0DB2378-0B6E-79DC-9FC8-FF234315F60B}"/>
              </a:ext>
            </a:extLst>
          </xdr:cNvPr>
          <xdr:cNvCxnSpPr/>
        </xdr:nvCxnSpPr>
        <xdr:spPr>
          <a:xfrm flipH="1">
            <a:off x="8496302" y="3211782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4" name="Straight Connector 3393">
            <a:extLst>
              <a:ext uri="{FF2B5EF4-FFF2-40B4-BE49-F238E27FC236}">
                <a16:creationId xmlns:a16="http://schemas.microsoft.com/office/drawing/2014/main" id="{EE5977EE-1A6B-C7B9-3A40-FCD7181ED1A1}"/>
              </a:ext>
            </a:extLst>
          </xdr:cNvPr>
          <xdr:cNvCxnSpPr/>
        </xdr:nvCxnSpPr>
        <xdr:spPr>
          <a:xfrm flipH="1">
            <a:off x="8591548" y="32117823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5" name="Straight Connector 3394">
            <a:extLst>
              <a:ext uri="{FF2B5EF4-FFF2-40B4-BE49-F238E27FC236}">
                <a16:creationId xmlns:a16="http://schemas.microsoft.com/office/drawing/2014/main" id="{5E04038A-25BD-685A-AEEE-AF8798A80928}"/>
              </a:ext>
            </a:extLst>
          </xdr:cNvPr>
          <xdr:cNvCxnSpPr/>
        </xdr:nvCxnSpPr>
        <xdr:spPr>
          <a:xfrm>
            <a:off x="8905876" y="321578275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6" name="Straight Connector 3395">
            <a:extLst>
              <a:ext uri="{FF2B5EF4-FFF2-40B4-BE49-F238E27FC236}">
                <a16:creationId xmlns:a16="http://schemas.microsoft.com/office/drawing/2014/main" id="{A86B5807-A434-A418-EAB7-8A68F8A78774}"/>
              </a:ext>
            </a:extLst>
          </xdr:cNvPr>
          <xdr:cNvCxnSpPr/>
        </xdr:nvCxnSpPr>
        <xdr:spPr>
          <a:xfrm flipH="1">
            <a:off x="8867776" y="3216068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7" name="Straight Connector 3396">
            <a:extLst>
              <a:ext uri="{FF2B5EF4-FFF2-40B4-BE49-F238E27FC236}">
                <a16:creationId xmlns:a16="http://schemas.microsoft.com/office/drawing/2014/main" id="{D07DCE6E-03F2-F373-BBD4-16438CD16670}"/>
              </a:ext>
            </a:extLst>
          </xdr:cNvPr>
          <xdr:cNvCxnSpPr/>
        </xdr:nvCxnSpPr>
        <xdr:spPr>
          <a:xfrm flipH="1">
            <a:off x="8867774" y="32174972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8" name="Straight Connector 3397">
            <a:extLst>
              <a:ext uri="{FF2B5EF4-FFF2-40B4-BE49-F238E27FC236}">
                <a16:creationId xmlns:a16="http://schemas.microsoft.com/office/drawing/2014/main" id="{1B4F8233-2649-664F-5A98-C70E78BBEF1C}"/>
              </a:ext>
            </a:extLst>
          </xdr:cNvPr>
          <xdr:cNvCxnSpPr/>
        </xdr:nvCxnSpPr>
        <xdr:spPr>
          <a:xfrm>
            <a:off x="8096255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9" name="Straight Connector 3398">
            <a:extLst>
              <a:ext uri="{FF2B5EF4-FFF2-40B4-BE49-F238E27FC236}">
                <a16:creationId xmlns:a16="http://schemas.microsoft.com/office/drawing/2014/main" id="{01079C98-A92D-F8F5-BF5F-54289B2155E4}"/>
              </a:ext>
            </a:extLst>
          </xdr:cNvPr>
          <xdr:cNvCxnSpPr/>
        </xdr:nvCxnSpPr>
        <xdr:spPr>
          <a:xfrm>
            <a:off x="8034343" y="322068819"/>
            <a:ext cx="10953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0" name="Straight Connector 3399">
            <a:extLst>
              <a:ext uri="{FF2B5EF4-FFF2-40B4-BE49-F238E27FC236}">
                <a16:creationId xmlns:a16="http://schemas.microsoft.com/office/drawing/2014/main" id="{B10BD7D0-1051-7A5B-0B68-5847899EED35}"/>
              </a:ext>
            </a:extLst>
          </xdr:cNvPr>
          <xdr:cNvCxnSpPr/>
        </xdr:nvCxnSpPr>
        <xdr:spPr>
          <a:xfrm flipH="1">
            <a:off x="8058154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1" name="Straight Connector 3400">
            <a:extLst>
              <a:ext uri="{FF2B5EF4-FFF2-40B4-BE49-F238E27FC236}">
                <a16:creationId xmlns:a16="http://schemas.microsoft.com/office/drawing/2014/main" id="{EB0340AD-467F-A187-147D-234AB001A56B}"/>
              </a:ext>
            </a:extLst>
          </xdr:cNvPr>
          <xdr:cNvCxnSpPr/>
        </xdr:nvCxnSpPr>
        <xdr:spPr>
          <a:xfrm>
            <a:off x="9067798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2" name="Straight Connector 3401">
            <a:extLst>
              <a:ext uri="{FF2B5EF4-FFF2-40B4-BE49-F238E27FC236}">
                <a16:creationId xmlns:a16="http://schemas.microsoft.com/office/drawing/2014/main" id="{7FA2151A-7E28-D1CB-FB57-903C37422895}"/>
              </a:ext>
            </a:extLst>
          </xdr:cNvPr>
          <xdr:cNvCxnSpPr/>
        </xdr:nvCxnSpPr>
        <xdr:spPr>
          <a:xfrm flipH="1">
            <a:off x="9029697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3" name="Straight Connector 3402">
            <a:extLst>
              <a:ext uri="{FF2B5EF4-FFF2-40B4-BE49-F238E27FC236}">
                <a16:creationId xmlns:a16="http://schemas.microsoft.com/office/drawing/2014/main" id="{413A5EBD-EA95-DB88-EE63-002D08D5A1D7}"/>
              </a:ext>
            </a:extLst>
          </xdr:cNvPr>
          <xdr:cNvCxnSpPr/>
        </xdr:nvCxnSpPr>
        <xdr:spPr>
          <a:xfrm>
            <a:off x="7772406" y="320421000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4" name="Straight Connector 3403">
            <a:extLst>
              <a:ext uri="{FF2B5EF4-FFF2-40B4-BE49-F238E27FC236}">
                <a16:creationId xmlns:a16="http://schemas.microsoft.com/office/drawing/2014/main" id="{9FB1D30C-9064-641F-4B54-1CF56C5FEFBB}"/>
              </a:ext>
            </a:extLst>
          </xdr:cNvPr>
          <xdr:cNvCxnSpPr/>
        </xdr:nvCxnSpPr>
        <xdr:spPr>
          <a:xfrm flipH="1">
            <a:off x="7734310" y="3204638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5" name="Straight Connector 3404">
            <a:extLst>
              <a:ext uri="{FF2B5EF4-FFF2-40B4-BE49-F238E27FC236}">
                <a16:creationId xmlns:a16="http://schemas.microsoft.com/office/drawing/2014/main" id="{04EC032A-A4A3-01E0-6692-30246BA3B090}"/>
              </a:ext>
            </a:extLst>
          </xdr:cNvPr>
          <xdr:cNvCxnSpPr/>
        </xdr:nvCxnSpPr>
        <xdr:spPr>
          <a:xfrm flipH="1">
            <a:off x="7734301" y="32174973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6" name="Straight Connector 3405">
            <a:extLst>
              <a:ext uri="{FF2B5EF4-FFF2-40B4-BE49-F238E27FC236}">
                <a16:creationId xmlns:a16="http://schemas.microsoft.com/office/drawing/2014/main" id="{5AA53628-3A6F-529B-1123-8D9343973E43}"/>
              </a:ext>
            </a:extLst>
          </xdr:cNvPr>
          <xdr:cNvCxnSpPr/>
        </xdr:nvCxnSpPr>
        <xdr:spPr>
          <a:xfrm flipH="1">
            <a:off x="7705730" y="321783074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7" name="Straight Connector 3406">
            <a:extLst>
              <a:ext uri="{FF2B5EF4-FFF2-40B4-BE49-F238E27FC236}">
                <a16:creationId xmlns:a16="http://schemas.microsoft.com/office/drawing/2014/main" id="{8A752184-FC68-4983-30C2-FB462C9D35EF}"/>
              </a:ext>
            </a:extLst>
          </xdr:cNvPr>
          <xdr:cNvCxnSpPr/>
        </xdr:nvCxnSpPr>
        <xdr:spPr>
          <a:xfrm flipH="1">
            <a:off x="7705730" y="320497202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62</xdr:col>
      <xdr:colOff>95255</xdr:colOff>
      <xdr:row>2842</xdr:row>
      <xdr:rowOff>66675</xdr:rowOff>
    </xdr:from>
    <xdr:to>
      <xdr:col>71</xdr:col>
      <xdr:colOff>61913</xdr:colOff>
      <xdr:row>2854</xdr:row>
      <xdr:rowOff>76194</xdr:rowOff>
    </xdr:to>
    <xdr:grpSp>
      <xdr:nvGrpSpPr>
        <xdr:cNvPr id="3408" name="Group 3407">
          <a:extLst>
            <a:ext uri="{FF2B5EF4-FFF2-40B4-BE49-F238E27FC236}">
              <a16:creationId xmlns:a16="http://schemas.microsoft.com/office/drawing/2014/main" id="{C7F67764-BEC3-4D9D-821C-A29DA5BAF29A}"/>
            </a:ext>
          </a:extLst>
        </xdr:cNvPr>
        <xdr:cNvGrpSpPr/>
      </xdr:nvGrpSpPr>
      <xdr:grpSpPr>
        <a:xfrm>
          <a:off x="10134605" y="426272325"/>
          <a:ext cx="1423983" cy="1724019"/>
          <a:chOff x="7705730" y="320421000"/>
          <a:chExt cx="1423983" cy="1724019"/>
        </a:xfrm>
      </xdr:grpSpPr>
      <xdr:cxnSp macro="">
        <xdr:nvCxnSpPr>
          <xdr:cNvPr id="3409" name="Straight Connector 3408">
            <a:extLst>
              <a:ext uri="{FF2B5EF4-FFF2-40B4-BE49-F238E27FC236}">
                <a16:creationId xmlns:a16="http://schemas.microsoft.com/office/drawing/2014/main" id="{E3463878-DEF8-0204-E6D2-DFFA286961F1}"/>
              </a:ext>
            </a:extLst>
          </xdr:cNvPr>
          <xdr:cNvCxnSpPr/>
        </xdr:nvCxnSpPr>
        <xdr:spPr>
          <a:xfrm>
            <a:off x="8096250" y="320497202"/>
            <a:ext cx="9667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0" name="Straight Connector 3409">
            <a:extLst>
              <a:ext uri="{FF2B5EF4-FFF2-40B4-BE49-F238E27FC236}">
                <a16:creationId xmlns:a16="http://schemas.microsoft.com/office/drawing/2014/main" id="{E83421DD-16E9-3705-AB36-50FA82F6D7C1}"/>
              </a:ext>
            </a:extLst>
          </xdr:cNvPr>
          <xdr:cNvCxnSpPr/>
        </xdr:nvCxnSpPr>
        <xdr:spPr>
          <a:xfrm>
            <a:off x="8096250" y="320640077"/>
            <a:ext cx="3571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1" name="Straight Connector 3410">
            <a:extLst>
              <a:ext uri="{FF2B5EF4-FFF2-40B4-BE49-F238E27FC236}">
                <a16:creationId xmlns:a16="http://schemas.microsoft.com/office/drawing/2014/main" id="{C5EED1E6-24A0-798B-EE34-F59156A5B2A4}"/>
              </a:ext>
            </a:extLst>
          </xdr:cNvPr>
          <xdr:cNvCxnSpPr/>
        </xdr:nvCxnSpPr>
        <xdr:spPr>
          <a:xfrm>
            <a:off x="8534400" y="320735326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12" name="Arc 3411">
            <a:extLst>
              <a:ext uri="{FF2B5EF4-FFF2-40B4-BE49-F238E27FC236}">
                <a16:creationId xmlns:a16="http://schemas.microsoft.com/office/drawing/2014/main" id="{37AC7CA0-13D4-0073-9B74-90914AC29F66}"/>
              </a:ext>
            </a:extLst>
          </xdr:cNvPr>
          <xdr:cNvSpPr/>
        </xdr:nvSpPr>
        <xdr:spPr>
          <a:xfrm>
            <a:off x="8324851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13" name="Straight Connector 3412">
            <a:extLst>
              <a:ext uri="{FF2B5EF4-FFF2-40B4-BE49-F238E27FC236}">
                <a16:creationId xmlns:a16="http://schemas.microsoft.com/office/drawing/2014/main" id="{88FDE911-90B0-A8FA-8246-13E6333D06D1}"/>
              </a:ext>
            </a:extLst>
          </xdr:cNvPr>
          <xdr:cNvCxnSpPr/>
        </xdr:nvCxnSpPr>
        <xdr:spPr>
          <a:xfrm>
            <a:off x="8629650" y="320730563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4" name="Straight Connector 3413">
            <a:extLst>
              <a:ext uri="{FF2B5EF4-FFF2-40B4-BE49-F238E27FC236}">
                <a16:creationId xmlns:a16="http://schemas.microsoft.com/office/drawing/2014/main" id="{4B83E719-66D2-A1BE-931D-7F6C4D2480AF}"/>
              </a:ext>
            </a:extLst>
          </xdr:cNvPr>
          <xdr:cNvCxnSpPr/>
        </xdr:nvCxnSpPr>
        <xdr:spPr>
          <a:xfrm>
            <a:off x="8734425" y="320640077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5" name="Straight Connector 3414">
            <a:extLst>
              <a:ext uri="{FF2B5EF4-FFF2-40B4-BE49-F238E27FC236}">
                <a16:creationId xmlns:a16="http://schemas.microsoft.com/office/drawing/2014/main" id="{811A0B73-2D1B-2463-F91E-2CDA0A5C4D05}"/>
              </a:ext>
            </a:extLst>
          </xdr:cNvPr>
          <xdr:cNvCxnSpPr/>
        </xdr:nvCxnSpPr>
        <xdr:spPr>
          <a:xfrm>
            <a:off x="9063027" y="320497201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6" name="Straight Connector 3415">
            <a:extLst>
              <a:ext uri="{FF2B5EF4-FFF2-40B4-BE49-F238E27FC236}">
                <a16:creationId xmlns:a16="http://schemas.microsoft.com/office/drawing/2014/main" id="{110C6DD0-6077-4C10-A93A-F27DAED4C1E4}"/>
              </a:ext>
            </a:extLst>
          </xdr:cNvPr>
          <xdr:cNvCxnSpPr/>
        </xdr:nvCxnSpPr>
        <xdr:spPr>
          <a:xfrm>
            <a:off x="8096258" y="320497202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17" name="Arc 3416">
            <a:extLst>
              <a:ext uri="{FF2B5EF4-FFF2-40B4-BE49-F238E27FC236}">
                <a16:creationId xmlns:a16="http://schemas.microsoft.com/office/drawing/2014/main" id="{2E70FE77-CAD0-C7ED-14BA-1E72F61E741D}"/>
              </a:ext>
            </a:extLst>
          </xdr:cNvPr>
          <xdr:cNvSpPr/>
        </xdr:nvSpPr>
        <xdr:spPr>
          <a:xfrm rot="16200000">
            <a:off x="8629650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18" name="Straight Connector 3417">
            <a:extLst>
              <a:ext uri="{FF2B5EF4-FFF2-40B4-BE49-F238E27FC236}">
                <a16:creationId xmlns:a16="http://schemas.microsoft.com/office/drawing/2014/main" id="{1531E6AA-02F1-CF25-D870-51517EDAC78B}"/>
              </a:ext>
            </a:extLst>
          </xdr:cNvPr>
          <xdr:cNvCxnSpPr/>
        </xdr:nvCxnSpPr>
        <xdr:spPr>
          <a:xfrm>
            <a:off x="8096250" y="321783070"/>
            <a:ext cx="971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9" name="Straight Connector 3418">
            <a:extLst>
              <a:ext uri="{FF2B5EF4-FFF2-40B4-BE49-F238E27FC236}">
                <a16:creationId xmlns:a16="http://schemas.microsoft.com/office/drawing/2014/main" id="{A72BC380-570D-6B6D-047D-CBD92071B75D}"/>
              </a:ext>
            </a:extLst>
          </xdr:cNvPr>
          <xdr:cNvCxnSpPr/>
        </xdr:nvCxnSpPr>
        <xdr:spPr>
          <a:xfrm>
            <a:off x="8101013" y="321640188"/>
            <a:ext cx="3571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0" name="Straight Connector 3419">
            <a:extLst>
              <a:ext uri="{FF2B5EF4-FFF2-40B4-BE49-F238E27FC236}">
                <a16:creationId xmlns:a16="http://schemas.microsoft.com/office/drawing/2014/main" id="{A9C5935D-B80C-8CC8-92D7-7942AFC2A1D2}"/>
              </a:ext>
            </a:extLst>
          </xdr:cNvPr>
          <xdr:cNvCxnSpPr/>
        </xdr:nvCxnSpPr>
        <xdr:spPr>
          <a:xfrm>
            <a:off x="8739187" y="321640188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1" name="Straight Connector 3420">
            <a:extLst>
              <a:ext uri="{FF2B5EF4-FFF2-40B4-BE49-F238E27FC236}">
                <a16:creationId xmlns:a16="http://schemas.microsoft.com/office/drawing/2014/main" id="{A476E4B7-5C69-F158-D26E-787B337D5F59}"/>
              </a:ext>
            </a:extLst>
          </xdr:cNvPr>
          <xdr:cNvCxnSpPr/>
        </xdr:nvCxnSpPr>
        <xdr:spPr>
          <a:xfrm>
            <a:off x="9067789" y="321640187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2" name="Straight Connector 3421">
            <a:extLst>
              <a:ext uri="{FF2B5EF4-FFF2-40B4-BE49-F238E27FC236}">
                <a16:creationId xmlns:a16="http://schemas.microsoft.com/office/drawing/2014/main" id="{76453DD1-F086-BCC7-7896-54008ED8A0CB}"/>
              </a:ext>
            </a:extLst>
          </xdr:cNvPr>
          <xdr:cNvCxnSpPr/>
        </xdr:nvCxnSpPr>
        <xdr:spPr>
          <a:xfrm>
            <a:off x="8101020" y="321640188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23" name="Arc 3422">
            <a:extLst>
              <a:ext uri="{FF2B5EF4-FFF2-40B4-BE49-F238E27FC236}">
                <a16:creationId xmlns:a16="http://schemas.microsoft.com/office/drawing/2014/main" id="{A7D1C4AE-BB28-6938-FF32-3574E7A4C039}"/>
              </a:ext>
            </a:extLst>
          </xdr:cNvPr>
          <xdr:cNvSpPr/>
        </xdr:nvSpPr>
        <xdr:spPr>
          <a:xfrm rot="5400000">
            <a:off x="8324849" y="321430638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24" name="Arc 3423">
            <a:extLst>
              <a:ext uri="{FF2B5EF4-FFF2-40B4-BE49-F238E27FC236}">
                <a16:creationId xmlns:a16="http://schemas.microsoft.com/office/drawing/2014/main" id="{B7DF5D38-E61C-91F8-A572-C3185762E1CC}"/>
              </a:ext>
            </a:extLst>
          </xdr:cNvPr>
          <xdr:cNvSpPr/>
        </xdr:nvSpPr>
        <xdr:spPr>
          <a:xfrm rot="10800000">
            <a:off x="8629651" y="321430637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25" name="Straight Connector 3424">
            <a:extLst>
              <a:ext uri="{FF2B5EF4-FFF2-40B4-BE49-F238E27FC236}">
                <a16:creationId xmlns:a16="http://schemas.microsoft.com/office/drawing/2014/main" id="{BBE46415-C9D5-1B1F-EED5-53BF6AE87993}"/>
              </a:ext>
            </a:extLst>
          </xdr:cNvPr>
          <xdr:cNvCxnSpPr/>
        </xdr:nvCxnSpPr>
        <xdr:spPr>
          <a:xfrm>
            <a:off x="8472488" y="32121157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6" name="Straight Connector 3425">
            <a:extLst>
              <a:ext uri="{FF2B5EF4-FFF2-40B4-BE49-F238E27FC236}">
                <a16:creationId xmlns:a16="http://schemas.microsoft.com/office/drawing/2014/main" id="{F5BDE22F-E993-6798-FD53-B04E7A4ED15E}"/>
              </a:ext>
            </a:extLst>
          </xdr:cNvPr>
          <xdr:cNvCxnSpPr/>
        </xdr:nvCxnSpPr>
        <xdr:spPr>
          <a:xfrm flipH="1">
            <a:off x="8496302" y="3211782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7" name="Straight Connector 3426">
            <a:extLst>
              <a:ext uri="{FF2B5EF4-FFF2-40B4-BE49-F238E27FC236}">
                <a16:creationId xmlns:a16="http://schemas.microsoft.com/office/drawing/2014/main" id="{D964EA1C-3128-39F8-6F4A-65DDB53358D0}"/>
              </a:ext>
            </a:extLst>
          </xdr:cNvPr>
          <xdr:cNvCxnSpPr/>
        </xdr:nvCxnSpPr>
        <xdr:spPr>
          <a:xfrm flipH="1">
            <a:off x="8591548" y="32117823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8" name="Straight Connector 3427">
            <a:extLst>
              <a:ext uri="{FF2B5EF4-FFF2-40B4-BE49-F238E27FC236}">
                <a16:creationId xmlns:a16="http://schemas.microsoft.com/office/drawing/2014/main" id="{9A04060D-0A3E-1192-1143-74AE444C8485}"/>
              </a:ext>
            </a:extLst>
          </xdr:cNvPr>
          <xdr:cNvCxnSpPr/>
        </xdr:nvCxnSpPr>
        <xdr:spPr>
          <a:xfrm>
            <a:off x="8905876" y="321578275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9" name="Straight Connector 3428">
            <a:extLst>
              <a:ext uri="{FF2B5EF4-FFF2-40B4-BE49-F238E27FC236}">
                <a16:creationId xmlns:a16="http://schemas.microsoft.com/office/drawing/2014/main" id="{5E4401A4-462A-9885-1821-829112BCAE6A}"/>
              </a:ext>
            </a:extLst>
          </xdr:cNvPr>
          <xdr:cNvCxnSpPr/>
        </xdr:nvCxnSpPr>
        <xdr:spPr>
          <a:xfrm flipH="1">
            <a:off x="8867776" y="3216068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0" name="Straight Connector 3429">
            <a:extLst>
              <a:ext uri="{FF2B5EF4-FFF2-40B4-BE49-F238E27FC236}">
                <a16:creationId xmlns:a16="http://schemas.microsoft.com/office/drawing/2014/main" id="{76256F84-1842-0801-81BC-58A84FDE3434}"/>
              </a:ext>
            </a:extLst>
          </xdr:cNvPr>
          <xdr:cNvCxnSpPr/>
        </xdr:nvCxnSpPr>
        <xdr:spPr>
          <a:xfrm flipH="1">
            <a:off x="8867774" y="32174972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1" name="Straight Connector 3430">
            <a:extLst>
              <a:ext uri="{FF2B5EF4-FFF2-40B4-BE49-F238E27FC236}">
                <a16:creationId xmlns:a16="http://schemas.microsoft.com/office/drawing/2014/main" id="{13D96EF5-9BEB-112B-FADA-0F870F26F2F7}"/>
              </a:ext>
            </a:extLst>
          </xdr:cNvPr>
          <xdr:cNvCxnSpPr/>
        </xdr:nvCxnSpPr>
        <xdr:spPr>
          <a:xfrm>
            <a:off x="8096255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2" name="Straight Connector 3431">
            <a:extLst>
              <a:ext uri="{FF2B5EF4-FFF2-40B4-BE49-F238E27FC236}">
                <a16:creationId xmlns:a16="http://schemas.microsoft.com/office/drawing/2014/main" id="{1AC3EF07-A2B2-CAE7-A45D-CF70B15A5DBD}"/>
              </a:ext>
            </a:extLst>
          </xdr:cNvPr>
          <xdr:cNvCxnSpPr/>
        </xdr:nvCxnSpPr>
        <xdr:spPr>
          <a:xfrm>
            <a:off x="8034343" y="322068819"/>
            <a:ext cx="10953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3" name="Straight Connector 3432">
            <a:extLst>
              <a:ext uri="{FF2B5EF4-FFF2-40B4-BE49-F238E27FC236}">
                <a16:creationId xmlns:a16="http://schemas.microsoft.com/office/drawing/2014/main" id="{3A35A0A1-F1AA-7724-AB62-AF58C13D6BC7}"/>
              </a:ext>
            </a:extLst>
          </xdr:cNvPr>
          <xdr:cNvCxnSpPr/>
        </xdr:nvCxnSpPr>
        <xdr:spPr>
          <a:xfrm flipH="1">
            <a:off x="8058154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4" name="Straight Connector 3433">
            <a:extLst>
              <a:ext uri="{FF2B5EF4-FFF2-40B4-BE49-F238E27FC236}">
                <a16:creationId xmlns:a16="http://schemas.microsoft.com/office/drawing/2014/main" id="{41BE660D-1672-AA65-327F-FBD2ABBDA090}"/>
              </a:ext>
            </a:extLst>
          </xdr:cNvPr>
          <xdr:cNvCxnSpPr/>
        </xdr:nvCxnSpPr>
        <xdr:spPr>
          <a:xfrm>
            <a:off x="9067798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5" name="Straight Connector 3434">
            <a:extLst>
              <a:ext uri="{FF2B5EF4-FFF2-40B4-BE49-F238E27FC236}">
                <a16:creationId xmlns:a16="http://schemas.microsoft.com/office/drawing/2014/main" id="{F60EE0C8-511A-D6B6-2C79-091658113151}"/>
              </a:ext>
            </a:extLst>
          </xdr:cNvPr>
          <xdr:cNvCxnSpPr/>
        </xdr:nvCxnSpPr>
        <xdr:spPr>
          <a:xfrm flipH="1">
            <a:off x="9029697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6" name="Straight Connector 3435">
            <a:extLst>
              <a:ext uri="{FF2B5EF4-FFF2-40B4-BE49-F238E27FC236}">
                <a16:creationId xmlns:a16="http://schemas.microsoft.com/office/drawing/2014/main" id="{E959AB5E-6713-176C-7A39-B5C36E6885DF}"/>
              </a:ext>
            </a:extLst>
          </xdr:cNvPr>
          <xdr:cNvCxnSpPr/>
        </xdr:nvCxnSpPr>
        <xdr:spPr>
          <a:xfrm>
            <a:off x="7772406" y="320421000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7" name="Straight Connector 3436">
            <a:extLst>
              <a:ext uri="{FF2B5EF4-FFF2-40B4-BE49-F238E27FC236}">
                <a16:creationId xmlns:a16="http://schemas.microsoft.com/office/drawing/2014/main" id="{C34E8E36-A280-334D-EB31-A60674840D47}"/>
              </a:ext>
            </a:extLst>
          </xdr:cNvPr>
          <xdr:cNvCxnSpPr/>
        </xdr:nvCxnSpPr>
        <xdr:spPr>
          <a:xfrm flipH="1">
            <a:off x="7734310" y="3204638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8" name="Straight Connector 3437">
            <a:extLst>
              <a:ext uri="{FF2B5EF4-FFF2-40B4-BE49-F238E27FC236}">
                <a16:creationId xmlns:a16="http://schemas.microsoft.com/office/drawing/2014/main" id="{35096830-E78C-A9A5-2D4B-3BBA4B255A72}"/>
              </a:ext>
            </a:extLst>
          </xdr:cNvPr>
          <xdr:cNvCxnSpPr/>
        </xdr:nvCxnSpPr>
        <xdr:spPr>
          <a:xfrm flipH="1">
            <a:off x="7734301" y="32174973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9" name="Straight Connector 3438">
            <a:extLst>
              <a:ext uri="{FF2B5EF4-FFF2-40B4-BE49-F238E27FC236}">
                <a16:creationId xmlns:a16="http://schemas.microsoft.com/office/drawing/2014/main" id="{ACAE784F-FE0F-6A1D-0ADD-8B5BC31EDEA8}"/>
              </a:ext>
            </a:extLst>
          </xdr:cNvPr>
          <xdr:cNvCxnSpPr/>
        </xdr:nvCxnSpPr>
        <xdr:spPr>
          <a:xfrm flipH="1">
            <a:off x="7705730" y="321783074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0" name="Straight Connector 3439">
            <a:extLst>
              <a:ext uri="{FF2B5EF4-FFF2-40B4-BE49-F238E27FC236}">
                <a16:creationId xmlns:a16="http://schemas.microsoft.com/office/drawing/2014/main" id="{A53623DF-9280-62F9-241D-1801DDD4DBA0}"/>
              </a:ext>
            </a:extLst>
          </xdr:cNvPr>
          <xdr:cNvCxnSpPr/>
        </xdr:nvCxnSpPr>
        <xdr:spPr>
          <a:xfrm flipH="1">
            <a:off x="7705730" y="320497202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23808</xdr:colOff>
      <xdr:row>2838</xdr:row>
      <xdr:rowOff>109541</xdr:rowOff>
    </xdr:from>
    <xdr:to>
      <xdr:col>32</xdr:col>
      <xdr:colOff>100013</xdr:colOff>
      <xdr:row>2855</xdr:row>
      <xdr:rowOff>85725</xdr:rowOff>
    </xdr:to>
    <xdr:grpSp>
      <xdr:nvGrpSpPr>
        <xdr:cNvPr id="3444" name="Group 3443">
          <a:extLst>
            <a:ext uri="{FF2B5EF4-FFF2-40B4-BE49-F238E27FC236}">
              <a16:creationId xmlns:a16="http://schemas.microsoft.com/office/drawing/2014/main" id="{E907E544-29FB-60C6-58E6-7184D79DDC23}"/>
            </a:ext>
          </a:extLst>
        </xdr:cNvPr>
        <xdr:cNvGrpSpPr/>
      </xdr:nvGrpSpPr>
      <xdr:grpSpPr>
        <a:xfrm>
          <a:off x="995358" y="425743691"/>
          <a:ext cx="4286255" cy="2405059"/>
          <a:chOff x="995358" y="361211816"/>
          <a:chExt cx="4286255" cy="2405059"/>
        </a:xfrm>
      </xdr:grpSpPr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951CC537-E954-4369-8207-2C9BEC071E04}"/>
              </a:ext>
            </a:extLst>
          </xdr:cNvPr>
          <xdr:cNvSpPr/>
        </xdr:nvSpPr>
        <xdr:spPr>
          <a:xfrm rot="16200000">
            <a:off x="3114677" y="362016681"/>
            <a:ext cx="1209674" cy="66674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EC12B036-36FD-420E-BF06-C78B5ECD4D36}"/>
              </a:ext>
            </a:extLst>
          </xdr:cNvPr>
          <xdr:cNvSpPr/>
        </xdr:nvSpPr>
        <xdr:spPr>
          <a:xfrm rot="5400000">
            <a:off x="900108" y="362602469"/>
            <a:ext cx="323850" cy="133349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B097338B-487B-4BAC-B53F-BEA39F07C157}"/>
              </a:ext>
            </a:extLst>
          </xdr:cNvPr>
          <xdr:cNvSpPr/>
        </xdr:nvSpPr>
        <xdr:spPr>
          <a:xfrm>
            <a:off x="3562350" y="361211816"/>
            <a:ext cx="323850" cy="11906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4AA60276-5895-4164-8710-7A9A279FF7DC}"/>
              </a:ext>
            </a:extLst>
          </xdr:cNvPr>
          <xdr:cNvSpPr/>
        </xdr:nvSpPr>
        <xdr:spPr>
          <a:xfrm>
            <a:off x="1276350" y="362640566"/>
            <a:ext cx="3267075" cy="71438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06" name="Isosceles Triangle 3305">
            <a:extLst>
              <a:ext uri="{FF2B5EF4-FFF2-40B4-BE49-F238E27FC236}">
                <a16:creationId xmlns:a16="http://schemas.microsoft.com/office/drawing/2014/main" id="{5DBB7A16-5721-4D70-8063-2D78CFD2C9DE}"/>
              </a:ext>
            </a:extLst>
          </xdr:cNvPr>
          <xdr:cNvSpPr/>
        </xdr:nvSpPr>
        <xdr:spPr>
          <a:xfrm rot="5400000">
            <a:off x="1133472" y="362607227"/>
            <a:ext cx="147637" cy="138113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07" name="Straight Connector 3306">
            <a:extLst>
              <a:ext uri="{FF2B5EF4-FFF2-40B4-BE49-F238E27FC236}">
                <a16:creationId xmlns:a16="http://schemas.microsoft.com/office/drawing/2014/main" id="{BD56E9FE-91B9-4096-BAFA-E8CF4B745E16}"/>
              </a:ext>
            </a:extLst>
          </xdr:cNvPr>
          <xdr:cNvCxnSpPr/>
        </xdr:nvCxnSpPr>
        <xdr:spPr>
          <a:xfrm rot="5400000">
            <a:off x="971548" y="362673902"/>
            <a:ext cx="3286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08" name="Isosceles Triangle 3307">
            <a:extLst>
              <a:ext uri="{FF2B5EF4-FFF2-40B4-BE49-F238E27FC236}">
                <a16:creationId xmlns:a16="http://schemas.microsoft.com/office/drawing/2014/main" id="{0E4FAF9C-1734-4D76-A8C0-A9F50CE2BACA}"/>
              </a:ext>
            </a:extLst>
          </xdr:cNvPr>
          <xdr:cNvSpPr/>
        </xdr:nvSpPr>
        <xdr:spPr>
          <a:xfrm rot="10800000">
            <a:off x="3648074" y="361330877"/>
            <a:ext cx="147637" cy="114301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09" name="Straight Connector 3308">
            <a:extLst>
              <a:ext uri="{FF2B5EF4-FFF2-40B4-BE49-F238E27FC236}">
                <a16:creationId xmlns:a16="http://schemas.microsoft.com/office/drawing/2014/main" id="{240294D5-5E8A-4637-8EE7-775A676DA5F7}"/>
              </a:ext>
            </a:extLst>
          </xdr:cNvPr>
          <xdr:cNvCxnSpPr/>
        </xdr:nvCxnSpPr>
        <xdr:spPr>
          <a:xfrm>
            <a:off x="3557588" y="361330880"/>
            <a:ext cx="3286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0" name="Straight Arrow Connector 3309">
            <a:extLst>
              <a:ext uri="{FF2B5EF4-FFF2-40B4-BE49-F238E27FC236}">
                <a16:creationId xmlns:a16="http://schemas.microsoft.com/office/drawing/2014/main" id="{B1ED94E1-7445-4569-B3B2-AE7559336308}"/>
              </a:ext>
            </a:extLst>
          </xdr:cNvPr>
          <xdr:cNvCxnSpPr/>
        </xdr:nvCxnSpPr>
        <xdr:spPr>
          <a:xfrm>
            <a:off x="3238500" y="362407204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1" name="Straight Arrow Connector 3310">
            <a:extLst>
              <a:ext uri="{FF2B5EF4-FFF2-40B4-BE49-F238E27FC236}">
                <a16:creationId xmlns:a16="http://schemas.microsoft.com/office/drawing/2014/main" id="{98761C79-D56B-47B7-91CD-9D2FDF61D4BB}"/>
              </a:ext>
            </a:extLst>
          </xdr:cNvPr>
          <xdr:cNvCxnSpPr/>
        </xdr:nvCxnSpPr>
        <xdr:spPr>
          <a:xfrm>
            <a:off x="3562351" y="362411966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2" name="Straight Arrow Connector 3311">
            <a:extLst>
              <a:ext uri="{FF2B5EF4-FFF2-40B4-BE49-F238E27FC236}">
                <a16:creationId xmlns:a16="http://schemas.microsoft.com/office/drawing/2014/main" id="{888F1672-0968-47ED-BC06-EE29F80A33A1}"/>
              </a:ext>
            </a:extLst>
          </xdr:cNvPr>
          <xdr:cNvCxnSpPr/>
        </xdr:nvCxnSpPr>
        <xdr:spPr>
          <a:xfrm>
            <a:off x="3886200" y="362411966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3" name="Straight Arrow Connector 3312">
            <a:extLst>
              <a:ext uri="{FF2B5EF4-FFF2-40B4-BE49-F238E27FC236}">
                <a16:creationId xmlns:a16="http://schemas.microsoft.com/office/drawing/2014/main" id="{B2134352-E008-4F92-9042-3A7052CB2097}"/>
              </a:ext>
            </a:extLst>
          </xdr:cNvPr>
          <xdr:cNvCxnSpPr/>
        </xdr:nvCxnSpPr>
        <xdr:spPr>
          <a:xfrm>
            <a:off x="4210051" y="362407203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4" name="Straight Arrow Connector 3313">
            <a:extLst>
              <a:ext uri="{FF2B5EF4-FFF2-40B4-BE49-F238E27FC236}">
                <a16:creationId xmlns:a16="http://schemas.microsoft.com/office/drawing/2014/main" id="{F148647F-055E-4D21-93E4-5DD57F16B984}"/>
              </a:ext>
            </a:extLst>
          </xdr:cNvPr>
          <xdr:cNvCxnSpPr/>
        </xdr:nvCxnSpPr>
        <xdr:spPr>
          <a:xfrm>
            <a:off x="1295400" y="362402441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5" name="Straight Arrow Connector 3314">
            <a:extLst>
              <a:ext uri="{FF2B5EF4-FFF2-40B4-BE49-F238E27FC236}">
                <a16:creationId xmlns:a16="http://schemas.microsoft.com/office/drawing/2014/main" id="{177759A7-B234-4A04-88E6-D5CD8FCB12E3}"/>
              </a:ext>
            </a:extLst>
          </xdr:cNvPr>
          <xdr:cNvCxnSpPr/>
        </xdr:nvCxnSpPr>
        <xdr:spPr>
          <a:xfrm>
            <a:off x="1619249" y="362411966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6" name="Straight Arrow Connector 3315">
            <a:extLst>
              <a:ext uri="{FF2B5EF4-FFF2-40B4-BE49-F238E27FC236}">
                <a16:creationId xmlns:a16="http://schemas.microsoft.com/office/drawing/2014/main" id="{ACD9C21E-0575-4A8C-874D-041CE94D943C}"/>
              </a:ext>
            </a:extLst>
          </xdr:cNvPr>
          <xdr:cNvCxnSpPr/>
        </xdr:nvCxnSpPr>
        <xdr:spPr>
          <a:xfrm>
            <a:off x="1943100" y="362407203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7" name="Straight Arrow Connector 3316">
            <a:extLst>
              <a:ext uri="{FF2B5EF4-FFF2-40B4-BE49-F238E27FC236}">
                <a16:creationId xmlns:a16="http://schemas.microsoft.com/office/drawing/2014/main" id="{37AF33D2-2586-4BBF-8FFD-9CB30D5618AF}"/>
              </a:ext>
            </a:extLst>
          </xdr:cNvPr>
          <xdr:cNvCxnSpPr/>
        </xdr:nvCxnSpPr>
        <xdr:spPr>
          <a:xfrm>
            <a:off x="2266949" y="362407204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8" name="Straight Arrow Connector 3317">
            <a:extLst>
              <a:ext uri="{FF2B5EF4-FFF2-40B4-BE49-F238E27FC236}">
                <a16:creationId xmlns:a16="http://schemas.microsoft.com/office/drawing/2014/main" id="{CE65AC3F-969C-4EA9-A846-D6A067A75FA4}"/>
              </a:ext>
            </a:extLst>
          </xdr:cNvPr>
          <xdr:cNvCxnSpPr/>
        </xdr:nvCxnSpPr>
        <xdr:spPr>
          <a:xfrm>
            <a:off x="2590800" y="362411966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9" name="Straight Arrow Connector 3318">
            <a:extLst>
              <a:ext uri="{FF2B5EF4-FFF2-40B4-BE49-F238E27FC236}">
                <a16:creationId xmlns:a16="http://schemas.microsoft.com/office/drawing/2014/main" id="{4D3473EB-359A-4C10-A1C8-45775B56DE90}"/>
              </a:ext>
            </a:extLst>
          </xdr:cNvPr>
          <xdr:cNvCxnSpPr/>
        </xdr:nvCxnSpPr>
        <xdr:spPr>
          <a:xfrm>
            <a:off x="2914649" y="362411966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0" name="Straight Connector 3319">
            <a:extLst>
              <a:ext uri="{FF2B5EF4-FFF2-40B4-BE49-F238E27FC236}">
                <a16:creationId xmlns:a16="http://schemas.microsoft.com/office/drawing/2014/main" id="{6645EBEC-E3D3-4C44-BD9A-025F985FF044}"/>
              </a:ext>
            </a:extLst>
          </xdr:cNvPr>
          <xdr:cNvCxnSpPr/>
        </xdr:nvCxnSpPr>
        <xdr:spPr>
          <a:xfrm flipH="1">
            <a:off x="1295400" y="362407203"/>
            <a:ext cx="32385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1" name="Straight Connector 3320">
            <a:extLst>
              <a:ext uri="{FF2B5EF4-FFF2-40B4-BE49-F238E27FC236}">
                <a16:creationId xmlns:a16="http://schemas.microsoft.com/office/drawing/2014/main" id="{98B09BE8-CDE9-4C78-B8E2-870E4372C7A0}"/>
              </a:ext>
            </a:extLst>
          </xdr:cNvPr>
          <xdr:cNvCxnSpPr/>
        </xdr:nvCxnSpPr>
        <xdr:spPr>
          <a:xfrm>
            <a:off x="1295401" y="362773913"/>
            <a:ext cx="0" cy="842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2" name="Straight Connector 3321">
            <a:extLst>
              <a:ext uri="{FF2B5EF4-FFF2-40B4-BE49-F238E27FC236}">
                <a16:creationId xmlns:a16="http://schemas.microsoft.com/office/drawing/2014/main" id="{F5F29152-5167-48B2-91E1-B9BDD4E6771F}"/>
              </a:ext>
            </a:extLst>
          </xdr:cNvPr>
          <xdr:cNvCxnSpPr/>
        </xdr:nvCxnSpPr>
        <xdr:spPr>
          <a:xfrm>
            <a:off x="1219200" y="363245400"/>
            <a:ext cx="3381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3" name="Straight Connector 3322">
            <a:extLst>
              <a:ext uri="{FF2B5EF4-FFF2-40B4-BE49-F238E27FC236}">
                <a16:creationId xmlns:a16="http://schemas.microsoft.com/office/drawing/2014/main" id="{99AD502B-6B8F-4ECB-9934-A9BD00645D8F}"/>
              </a:ext>
            </a:extLst>
          </xdr:cNvPr>
          <xdr:cNvCxnSpPr/>
        </xdr:nvCxnSpPr>
        <xdr:spPr>
          <a:xfrm flipH="1">
            <a:off x="1257300" y="36320730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4" name="Straight Connector 3323">
            <a:extLst>
              <a:ext uri="{FF2B5EF4-FFF2-40B4-BE49-F238E27FC236}">
                <a16:creationId xmlns:a16="http://schemas.microsoft.com/office/drawing/2014/main" id="{7CFF036B-80A3-4B45-860C-900658BBE750}"/>
              </a:ext>
            </a:extLst>
          </xdr:cNvPr>
          <xdr:cNvCxnSpPr/>
        </xdr:nvCxnSpPr>
        <xdr:spPr>
          <a:xfrm>
            <a:off x="1214438" y="363531150"/>
            <a:ext cx="33718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5" name="Straight Connector 3324">
            <a:extLst>
              <a:ext uri="{FF2B5EF4-FFF2-40B4-BE49-F238E27FC236}">
                <a16:creationId xmlns:a16="http://schemas.microsoft.com/office/drawing/2014/main" id="{7F200035-88DE-45E0-AE04-62785F1BB58F}"/>
              </a:ext>
            </a:extLst>
          </xdr:cNvPr>
          <xdr:cNvCxnSpPr/>
        </xdr:nvCxnSpPr>
        <xdr:spPr>
          <a:xfrm flipH="1">
            <a:off x="1252538" y="36349305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6" name="Straight Connector 3325">
            <a:extLst>
              <a:ext uri="{FF2B5EF4-FFF2-40B4-BE49-F238E27FC236}">
                <a16:creationId xmlns:a16="http://schemas.microsoft.com/office/drawing/2014/main" id="{AE3397F1-0918-4079-A7B9-1C3D89853D14}"/>
              </a:ext>
            </a:extLst>
          </xdr:cNvPr>
          <xdr:cNvCxnSpPr/>
        </xdr:nvCxnSpPr>
        <xdr:spPr>
          <a:xfrm>
            <a:off x="3724274" y="362959650"/>
            <a:ext cx="0" cy="3714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7" name="Straight Connector 3326">
            <a:extLst>
              <a:ext uri="{FF2B5EF4-FFF2-40B4-BE49-F238E27FC236}">
                <a16:creationId xmlns:a16="http://schemas.microsoft.com/office/drawing/2014/main" id="{62253CEC-E1AE-4AFB-A788-E7BBAAD77576}"/>
              </a:ext>
            </a:extLst>
          </xdr:cNvPr>
          <xdr:cNvCxnSpPr/>
        </xdr:nvCxnSpPr>
        <xdr:spPr>
          <a:xfrm flipH="1">
            <a:off x="3681411" y="363207295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8" name="Straight Connector 3327">
            <a:extLst>
              <a:ext uri="{FF2B5EF4-FFF2-40B4-BE49-F238E27FC236}">
                <a16:creationId xmlns:a16="http://schemas.microsoft.com/office/drawing/2014/main" id="{53B15ACC-5C8A-423F-AD92-6E813B7C0F81}"/>
              </a:ext>
            </a:extLst>
          </xdr:cNvPr>
          <xdr:cNvCxnSpPr/>
        </xdr:nvCxnSpPr>
        <xdr:spPr>
          <a:xfrm>
            <a:off x="4533901" y="362797725"/>
            <a:ext cx="0" cy="819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9" name="Straight Connector 3328">
            <a:extLst>
              <a:ext uri="{FF2B5EF4-FFF2-40B4-BE49-F238E27FC236}">
                <a16:creationId xmlns:a16="http://schemas.microsoft.com/office/drawing/2014/main" id="{0CBE1235-A8E5-4ACA-925C-7951EDBA6F5C}"/>
              </a:ext>
            </a:extLst>
          </xdr:cNvPr>
          <xdr:cNvCxnSpPr/>
        </xdr:nvCxnSpPr>
        <xdr:spPr>
          <a:xfrm flipH="1">
            <a:off x="4495800" y="36320730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0" name="Straight Connector 3329">
            <a:extLst>
              <a:ext uri="{FF2B5EF4-FFF2-40B4-BE49-F238E27FC236}">
                <a16:creationId xmlns:a16="http://schemas.microsoft.com/office/drawing/2014/main" id="{DE85A18C-1C66-44C7-BBE2-39EB0AE08A60}"/>
              </a:ext>
            </a:extLst>
          </xdr:cNvPr>
          <xdr:cNvCxnSpPr/>
        </xdr:nvCxnSpPr>
        <xdr:spPr>
          <a:xfrm flipH="1">
            <a:off x="4491038" y="36349305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1" name="Straight Connector 3330">
            <a:extLst>
              <a:ext uri="{FF2B5EF4-FFF2-40B4-BE49-F238E27FC236}">
                <a16:creationId xmlns:a16="http://schemas.microsoft.com/office/drawing/2014/main" id="{56037648-F2EF-4761-BFEF-A0828B591804}"/>
              </a:ext>
            </a:extLst>
          </xdr:cNvPr>
          <xdr:cNvCxnSpPr/>
        </xdr:nvCxnSpPr>
        <xdr:spPr>
          <a:xfrm>
            <a:off x="4833938" y="362673900"/>
            <a:ext cx="4048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2" name="Straight Connector 3331">
            <a:extLst>
              <a:ext uri="{FF2B5EF4-FFF2-40B4-BE49-F238E27FC236}">
                <a16:creationId xmlns:a16="http://schemas.microsoft.com/office/drawing/2014/main" id="{B8AAC812-BB4C-48DF-95C9-54D8C4BCD01D}"/>
              </a:ext>
            </a:extLst>
          </xdr:cNvPr>
          <xdr:cNvCxnSpPr/>
        </xdr:nvCxnSpPr>
        <xdr:spPr>
          <a:xfrm>
            <a:off x="3810000" y="361440413"/>
            <a:ext cx="1471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3" name="Straight Connector 3332">
            <a:extLst>
              <a:ext uri="{FF2B5EF4-FFF2-40B4-BE49-F238E27FC236}">
                <a16:creationId xmlns:a16="http://schemas.microsoft.com/office/drawing/2014/main" id="{11FC49E1-D440-4D48-BAEA-66834753E2E3}"/>
              </a:ext>
            </a:extLst>
          </xdr:cNvPr>
          <xdr:cNvCxnSpPr/>
        </xdr:nvCxnSpPr>
        <xdr:spPr>
          <a:xfrm>
            <a:off x="5181600" y="361359452"/>
            <a:ext cx="0" cy="13858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4" name="Straight Connector 3333">
            <a:extLst>
              <a:ext uri="{FF2B5EF4-FFF2-40B4-BE49-F238E27FC236}">
                <a16:creationId xmlns:a16="http://schemas.microsoft.com/office/drawing/2014/main" id="{7C3476EA-CB85-408E-AD5E-E735D31B646C}"/>
              </a:ext>
            </a:extLst>
          </xdr:cNvPr>
          <xdr:cNvCxnSpPr/>
        </xdr:nvCxnSpPr>
        <xdr:spPr>
          <a:xfrm flipH="1">
            <a:off x="5138737" y="361402312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5" name="Straight Connector 3334">
            <a:extLst>
              <a:ext uri="{FF2B5EF4-FFF2-40B4-BE49-F238E27FC236}">
                <a16:creationId xmlns:a16="http://schemas.microsoft.com/office/drawing/2014/main" id="{10A9A4E6-1852-4156-A209-DE3F1BB1D05F}"/>
              </a:ext>
            </a:extLst>
          </xdr:cNvPr>
          <xdr:cNvCxnSpPr/>
        </xdr:nvCxnSpPr>
        <xdr:spPr>
          <a:xfrm flipH="1">
            <a:off x="5138737" y="36263580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6" name="Straight Connector 3335">
            <a:extLst>
              <a:ext uri="{FF2B5EF4-FFF2-40B4-BE49-F238E27FC236}">
                <a16:creationId xmlns:a16="http://schemas.microsoft.com/office/drawing/2014/main" id="{2865035C-2270-445D-8A65-55D290789229}"/>
              </a:ext>
            </a:extLst>
          </xdr:cNvPr>
          <xdr:cNvCxnSpPr/>
        </xdr:nvCxnSpPr>
        <xdr:spPr>
          <a:xfrm flipH="1" flipV="1">
            <a:off x="2443163" y="362240513"/>
            <a:ext cx="147637" cy="242887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0E09D08D-7EB8-46A4-96BC-E39927ADAB69}"/>
              </a:ext>
            </a:extLst>
          </xdr:cNvPr>
          <xdr:cNvSpPr/>
        </xdr:nvSpPr>
        <xdr:spPr>
          <a:xfrm rot="5400000">
            <a:off x="4600563" y="362602469"/>
            <a:ext cx="323850" cy="133349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63" name="Isosceles Triangle 3362">
            <a:extLst>
              <a:ext uri="{FF2B5EF4-FFF2-40B4-BE49-F238E27FC236}">
                <a16:creationId xmlns:a16="http://schemas.microsoft.com/office/drawing/2014/main" id="{84DB143E-6C7C-414C-A13D-F0462E847F51}"/>
              </a:ext>
            </a:extLst>
          </xdr:cNvPr>
          <xdr:cNvSpPr/>
        </xdr:nvSpPr>
        <xdr:spPr>
          <a:xfrm rot="16200000">
            <a:off x="4543422" y="362607227"/>
            <a:ext cx="147637" cy="138113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64" name="Straight Connector 3363">
            <a:extLst>
              <a:ext uri="{FF2B5EF4-FFF2-40B4-BE49-F238E27FC236}">
                <a16:creationId xmlns:a16="http://schemas.microsoft.com/office/drawing/2014/main" id="{5EDDE6CC-7560-495E-A66E-6BDB0C53FC12}"/>
              </a:ext>
            </a:extLst>
          </xdr:cNvPr>
          <xdr:cNvCxnSpPr/>
        </xdr:nvCxnSpPr>
        <xdr:spPr>
          <a:xfrm rot="5400000">
            <a:off x="4524368" y="362673902"/>
            <a:ext cx="3286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7" name="Straight Arrow Connector 3366">
            <a:extLst>
              <a:ext uri="{FF2B5EF4-FFF2-40B4-BE49-F238E27FC236}">
                <a16:creationId xmlns:a16="http://schemas.microsoft.com/office/drawing/2014/main" id="{8A8F7561-859E-4113-A78F-CEB8FF723A1B}"/>
              </a:ext>
            </a:extLst>
          </xdr:cNvPr>
          <xdr:cNvCxnSpPr/>
        </xdr:nvCxnSpPr>
        <xdr:spPr>
          <a:xfrm>
            <a:off x="4533900" y="362411963"/>
            <a:ext cx="0" cy="2333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1" name="Straight Connector 3440">
            <a:extLst>
              <a:ext uri="{FF2B5EF4-FFF2-40B4-BE49-F238E27FC236}">
                <a16:creationId xmlns:a16="http://schemas.microsoft.com/office/drawing/2014/main" id="{95A9C7B4-07F6-45A1-B23D-D1F4277AA268}"/>
              </a:ext>
            </a:extLst>
          </xdr:cNvPr>
          <xdr:cNvCxnSpPr/>
        </xdr:nvCxnSpPr>
        <xdr:spPr>
          <a:xfrm flipV="1">
            <a:off x="2562225" y="362673900"/>
            <a:ext cx="400050" cy="20955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2" name="Straight Connector 3441">
            <a:extLst>
              <a:ext uri="{FF2B5EF4-FFF2-40B4-BE49-F238E27FC236}">
                <a16:creationId xmlns:a16="http://schemas.microsoft.com/office/drawing/2014/main" id="{C7E84E78-10F2-4A12-81F6-3F2F5C10F3FD}"/>
              </a:ext>
            </a:extLst>
          </xdr:cNvPr>
          <xdr:cNvCxnSpPr/>
        </xdr:nvCxnSpPr>
        <xdr:spPr>
          <a:xfrm flipH="1" flipV="1">
            <a:off x="3124200" y="361511850"/>
            <a:ext cx="585787" cy="414337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95250</xdr:colOff>
      <xdr:row>1162</xdr:row>
      <xdr:rowOff>66674</xdr:rowOff>
    </xdr:from>
    <xdr:to>
      <xdr:col>15</xdr:col>
      <xdr:colOff>57150</xdr:colOff>
      <xdr:row>1176</xdr:row>
      <xdr:rowOff>76200</xdr:rowOff>
    </xdr:to>
    <xdr:grpSp>
      <xdr:nvGrpSpPr>
        <xdr:cNvPr id="3443" name="Group 3442">
          <a:extLst>
            <a:ext uri="{FF2B5EF4-FFF2-40B4-BE49-F238E27FC236}">
              <a16:creationId xmlns:a16="http://schemas.microsoft.com/office/drawing/2014/main" id="{DCE4573F-02BD-4CCA-BFEB-CCB269E7191A}"/>
            </a:ext>
          </a:extLst>
        </xdr:cNvPr>
        <xdr:cNvGrpSpPr/>
      </xdr:nvGrpSpPr>
      <xdr:grpSpPr>
        <a:xfrm>
          <a:off x="419100" y="175307624"/>
          <a:ext cx="2066925" cy="2009776"/>
          <a:chOff x="1066800" y="495299"/>
          <a:chExt cx="2066925" cy="2009776"/>
        </a:xfrm>
      </xdr:grpSpPr>
      <xdr:grpSp>
        <xdr:nvGrpSpPr>
          <xdr:cNvPr id="3446" name="Group 3445">
            <a:extLst>
              <a:ext uri="{FF2B5EF4-FFF2-40B4-BE49-F238E27FC236}">
                <a16:creationId xmlns:a16="http://schemas.microsoft.com/office/drawing/2014/main" id="{57047342-9ECA-581F-E6D9-C431F44C2A71}"/>
              </a:ext>
            </a:extLst>
          </xdr:cNvPr>
          <xdr:cNvGrpSpPr/>
        </xdr:nvGrpSpPr>
        <xdr:grpSpPr>
          <a:xfrm>
            <a:off x="1452563" y="571500"/>
            <a:ext cx="1304924" cy="1571633"/>
            <a:chOff x="1290638" y="5572125"/>
            <a:chExt cx="1304924" cy="1571633"/>
          </a:xfrm>
        </xdr:grpSpPr>
        <xdr:cxnSp macro="">
          <xdr:nvCxnSpPr>
            <xdr:cNvPr id="3464" name="Straight Connector 3463">
              <a:extLst>
                <a:ext uri="{FF2B5EF4-FFF2-40B4-BE49-F238E27FC236}">
                  <a16:creationId xmlns:a16="http://schemas.microsoft.com/office/drawing/2014/main" id="{95DBC0BA-3D5A-E24E-E4BC-0A0FE7C44C7B}"/>
                </a:ext>
              </a:extLst>
            </xdr:cNvPr>
            <xdr:cNvCxnSpPr/>
          </xdr:nvCxnSpPr>
          <xdr:spPr>
            <a:xfrm>
              <a:off x="1290638" y="5572126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65" name="Straight Connector 3464">
              <a:extLst>
                <a:ext uri="{FF2B5EF4-FFF2-40B4-BE49-F238E27FC236}">
                  <a16:creationId xmlns:a16="http://schemas.microsoft.com/office/drawing/2014/main" id="{C09DFC8C-D07F-2ED1-5A23-86886E6FA736}"/>
                </a:ext>
              </a:extLst>
            </xdr:cNvPr>
            <xdr:cNvCxnSpPr/>
          </xdr:nvCxnSpPr>
          <xdr:spPr>
            <a:xfrm>
              <a:off x="1295400" y="5715001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66" name="Straight Connector 3465">
              <a:extLst>
                <a:ext uri="{FF2B5EF4-FFF2-40B4-BE49-F238E27FC236}">
                  <a16:creationId xmlns:a16="http://schemas.microsoft.com/office/drawing/2014/main" id="{761115F2-EAC0-4DF4-0670-0C4305DD147F}"/>
                </a:ext>
              </a:extLst>
            </xdr:cNvPr>
            <xdr:cNvCxnSpPr/>
          </xdr:nvCxnSpPr>
          <xdr:spPr>
            <a:xfrm>
              <a:off x="1895475" y="5810250"/>
              <a:ext cx="0" cy="109061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467" name="Arc 3466">
              <a:extLst>
                <a:ext uri="{FF2B5EF4-FFF2-40B4-BE49-F238E27FC236}">
                  <a16:creationId xmlns:a16="http://schemas.microsoft.com/office/drawing/2014/main" id="{8A1363AB-37C6-009A-C688-9CAA9FDD51E0}"/>
                </a:ext>
              </a:extLst>
            </xdr:cNvPr>
            <xdr:cNvSpPr/>
          </xdr:nvSpPr>
          <xdr:spPr>
            <a:xfrm>
              <a:off x="1685926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468" name="Straight Connector 3467">
              <a:extLst>
                <a:ext uri="{FF2B5EF4-FFF2-40B4-BE49-F238E27FC236}">
                  <a16:creationId xmlns:a16="http://schemas.microsoft.com/office/drawing/2014/main" id="{9DF6E5D9-E9A9-E0F1-2947-E664843627E3}"/>
                </a:ext>
              </a:extLst>
            </xdr:cNvPr>
            <xdr:cNvCxnSpPr/>
          </xdr:nvCxnSpPr>
          <xdr:spPr>
            <a:xfrm>
              <a:off x="1990725" y="5805487"/>
              <a:ext cx="0" cy="1114426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69" name="Straight Connector 3468">
              <a:extLst>
                <a:ext uri="{FF2B5EF4-FFF2-40B4-BE49-F238E27FC236}">
                  <a16:creationId xmlns:a16="http://schemas.microsoft.com/office/drawing/2014/main" id="{DC65EBFB-8596-C075-A500-95782FE2A7BC}"/>
                </a:ext>
              </a:extLst>
            </xdr:cNvPr>
            <xdr:cNvCxnSpPr/>
          </xdr:nvCxnSpPr>
          <xdr:spPr>
            <a:xfrm>
              <a:off x="2095500" y="5715001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70" name="Straight Connector 3469">
              <a:extLst>
                <a:ext uri="{FF2B5EF4-FFF2-40B4-BE49-F238E27FC236}">
                  <a16:creationId xmlns:a16="http://schemas.microsoft.com/office/drawing/2014/main" id="{5A8E8386-1858-B3AC-5C9B-F1A0AF3C351F}"/>
                </a:ext>
              </a:extLst>
            </xdr:cNvPr>
            <xdr:cNvCxnSpPr/>
          </xdr:nvCxnSpPr>
          <xdr:spPr>
            <a:xfrm>
              <a:off x="2586038" y="557212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71" name="Straight Connector 3470">
              <a:extLst>
                <a:ext uri="{FF2B5EF4-FFF2-40B4-BE49-F238E27FC236}">
                  <a16:creationId xmlns:a16="http://schemas.microsoft.com/office/drawing/2014/main" id="{076E0C7C-F3D2-1DD8-CEE2-550BCA2C3992}"/>
                </a:ext>
              </a:extLst>
            </xdr:cNvPr>
            <xdr:cNvCxnSpPr/>
          </xdr:nvCxnSpPr>
          <xdr:spPr>
            <a:xfrm>
              <a:off x="1295400" y="557212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472" name="Arc 3471">
              <a:extLst>
                <a:ext uri="{FF2B5EF4-FFF2-40B4-BE49-F238E27FC236}">
                  <a16:creationId xmlns:a16="http://schemas.microsoft.com/office/drawing/2014/main" id="{5907EC2A-9959-0EFB-F84A-0DCEDEDDB7D7}"/>
                </a:ext>
              </a:extLst>
            </xdr:cNvPr>
            <xdr:cNvSpPr/>
          </xdr:nvSpPr>
          <xdr:spPr>
            <a:xfrm rot="16200000">
              <a:off x="1990725" y="5715000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473" name="Straight Connector 3472">
              <a:extLst>
                <a:ext uri="{FF2B5EF4-FFF2-40B4-BE49-F238E27FC236}">
                  <a16:creationId xmlns:a16="http://schemas.microsoft.com/office/drawing/2014/main" id="{A7EF2FB7-E23A-0C1F-E291-0A47DB7CA2D2}"/>
                </a:ext>
              </a:extLst>
            </xdr:cNvPr>
            <xdr:cNvCxnSpPr/>
          </xdr:nvCxnSpPr>
          <xdr:spPr>
            <a:xfrm>
              <a:off x="1295400" y="7143758"/>
              <a:ext cx="12954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74" name="Straight Connector 3473">
              <a:extLst>
                <a:ext uri="{FF2B5EF4-FFF2-40B4-BE49-F238E27FC236}">
                  <a16:creationId xmlns:a16="http://schemas.microsoft.com/office/drawing/2014/main" id="{08D43B0A-C7D4-E358-223B-82E25CB6D626}"/>
                </a:ext>
              </a:extLst>
            </xdr:cNvPr>
            <xdr:cNvCxnSpPr/>
          </xdr:nvCxnSpPr>
          <xdr:spPr>
            <a:xfrm>
              <a:off x="1300162" y="7000876"/>
              <a:ext cx="519113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75" name="Straight Connector 3474">
              <a:extLst>
                <a:ext uri="{FF2B5EF4-FFF2-40B4-BE49-F238E27FC236}">
                  <a16:creationId xmlns:a16="http://schemas.microsoft.com/office/drawing/2014/main" id="{011F97C8-9FEE-B225-4316-DC0896B2D1FD}"/>
                </a:ext>
              </a:extLst>
            </xdr:cNvPr>
            <xdr:cNvCxnSpPr/>
          </xdr:nvCxnSpPr>
          <xdr:spPr>
            <a:xfrm>
              <a:off x="2100262" y="7000876"/>
              <a:ext cx="49530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76" name="Straight Connector 3475">
              <a:extLst>
                <a:ext uri="{FF2B5EF4-FFF2-40B4-BE49-F238E27FC236}">
                  <a16:creationId xmlns:a16="http://schemas.microsoft.com/office/drawing/2014/main" id="{6E8769AE-CEED-0DBF-18EF-EA6B32E567EF}"/>
                </a:ext>
              </a:extLst>
            </xdr:cNvPr>
            <xdr:cNvCxnSpPr/>
          </xdr:nvCxnSpPr>
          <xdr:spPr>
            <a:xfrm>
              <a:off x="2590800" y="7000875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77" name="Straight Connector 3476">
              <a:extLst>
                <a:ext uri="{FF2B5EF4-FFF2-40B4-BE49-F238E27FC236}">
                  <a16:creationId xmlns:a16="http://schemas.microsoft.com/office/drawing/2014/main" id="{1BA47985-4B47-CEC6-FA4C-211357C7652B}"/>
                </a:ext>
              </a:extLst>
            </xdr:cNvPr>
            <xdr:cNvCxnSpPr/>
          </xdr:nvCxnSpPr>
          <xdr:spPr>
            <a:xfrm>
              <a:off x="1300162" y="7000876"/>
              <a:ext cx="0" cy="1428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478" name="Arc 3477">
              <a:extLst>
                <a:ext uri="{FF2B5EF4-FFF2-40B4-BE49-F238E27FC236}">
                  <a16:creationId xmlns:a16="http://schemas.microsoft.com/office/drawing/2014/main" id="{F27AA06C-06ED-A984-B50D-EA3DD79AE208}"/>
                </a:ext>
              </a:extLst>
            </xdr:cNvPr>
            <xdr:cNvSpPr/>
          </xdr:nvSpPr>
          <xdr:spPr>
            <a:xfrm rot="5400000">
              <a:off x="1685924" y="6791326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479" name="Arc 3478">
              <a:extLst>
                <a:ext uri="{FF2B5EF4-FFF2-40B4-BE49-F238E27FC236}">
                  <a16:creationId xmlns:a16="http://schemas.microsoft.com/office/drawing/2014/main" id="{7FFD0ECC-1346-09FD-EA9F-0C341ADBF15D}"/>
                </a:ext>
              </a:extLst>
            </xdr:cNvPr>
            <xdr:cNvSpPr/>
          </xdr:nvSpPr>
          <xdr:spPr>
            <a:xfrm rot="10800000">
              <a:off x="1990726" y="6791325"/>
              <a:ext cx="209550" cy="209550"/>
            </a:xfrm>
            <a:prstGeom prst="arc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cxnSp macro="">
        <xdr:nvCxnSpPr>
          <xdr:cNvPr id="3447" name="Straight Connector 3446">
            <a:extLst>
              <a:ext uri="{FF2B5EF4-FFF2-40B4-BE49-F238E27FC236}">
                <a16:creationId xmlns:a16="http://schemas.microsoft.com/office/drawing/2014/main" id="{A7CE39E1-5C90-E801-27D2-2C3D186F9F58}"/>
              </a:ext>
            </a:extLst>
          </xdr:cNvPr>
          <xdr:cNvCxnSpPr/>
        </xdr:nvCxnSpPr>
        <xdr:spPr>
          <a:xfrm>
            <a:off x="1995488" y="1571625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8" name="Straight Connector 3447">
            <a:extLst>
              <a:ext uri="{FF2B5EF4-FFF2-40B4-BE49-F238E27FC236}">
                <a16:creationId xmlns:a16="http://schemas.microsoft.com/office/drawing/2014/main" id="{E41BF478-58EA-7727-069A-D9DA517EB2C3}"/>
              </a:ext>
            </a:extLst>
          </xdr:cNvPr>
          <xdr:cNvCxnSpPr/>
        </xdr:nvCxnSpPr>
        <xdr:spPr>
          <a:xfrm flipH="1">
            <a:off x="2019302" y="1538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9" name="Straight Connector 3448">
            <a:extLst>
              <a:ext uri="{FF2B5EF4-FFF2-40B4-BE49-F238E27FC236}">
                <a16:creationId xmlns:a16="http://schemas.microsoft.com/office/drawing/2014/main" id="{5C55C580-41D5-6A3E-9A40-41F60E5BCDD1}"/>
              </a:ext>
            </a:extLst>
          </xdr:cNvPr>
          <xdr:cNvCxnSpPr/>
        </xdr:nvCxnSpPr>
        <xdr:spPr>
          <a:xfrm flipH="1">
            <a:off x="2114548" y="153828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0" name="Straight Connector 3449">
            <a:extLst>
              <a:ext uri="{FF2B5EF4-FFF2-40B4-BE49-F238E27FC236}">
                <a16:creationId xmlns:a16="http://schemas.microsoft.com/office/drawing/2014/main" id="{90C8AFD5-8FFC-41E0-BAE1-5AE526BFC4F1}"/>
              </a:ext>
            </a:extLst>
          </xdr:cNvPr>
          <xdr:cNvCxnSpPr/>
        </xdr:nvCxnSpPr>
        <xdr:spPr>
          <a:xfrm>
            <a:off x="2428876" y="1938338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1" name="Straight Connector 3450">
            <a:extLst>
              <a:ext uri="{FF2B5EF4-FFF2-40B4-BE49-F238E27FC236}">
                <a16:creationId xmlns:a16="http://schemas.microsoft.com/office/drawing/2014/main" id="{2B3CE65C-F62A-D2DB-B833-6B86FA24FD01}"/>
              </a:ext>
            </a:extLst>
          </xdr:cNvPr>
          <xdr:cNvCxnSpPr/>
        </xdr:nvCxnSpPr>
        <xdr:spPr>
          <a:xfrm flipH="1">
            <a:off x="2390776" y="196690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2" name="Straight Connector 3451">
            <a:extLst>
              <a:ext uri="{FF2B5EF4-FFF2-40B4-BE49-F238E27FC236}">
                <a16:creationId xmlns:a16="http://schemas.microsoft.com/office/drawing/2014/main" id="{75A017DF-AF5F-679D-38FA-1D89BFA1D915}"/>
              </a:ext>
            </a:extLst>
          </xdr:cNvPr>
          <xdr:cNvCxnSpPr/>
        </xdr:nvCxnSpPr>
        <xdr:spPr>
          <a:xfrm flipH="1">
            <a:off x="2390774" y="210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3" name="Straight Connector 3452">
            <a:extLst>
              <a:ext uri="{FF2B5EF4-FFF2-40B4-BE49-F238E27FC236}">
                <a16:creationId xmlns:a16="http://schemas.microsoft.com/office/drawing/2014/main" id="{821B1B8F-7AC9-2608-35FC-129D623B92AC}"/>
              </a:ext>
            </a:extLst>
          </xdr:cNvPr>
          <xdr:cNvCxnSpPr/>
        </xdr:nvCxnSpPr>
        <xdr:spPr>
          <a:xfrm>
            <a:off x="14573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4" name="Straight Connector 3453">
            <a:extLst>
              <a:ext uri="{FF2B5EF4-FFF2-40B4-BE49-F238E27FC236}">
                <a16:creationId xmlns:a16="http://schemas.microsoft.com/office/drawing/2014/main" id="{A1EA7E1B-364C-9EBF-76FA-4B0296CB0C4A}"/>
              </a:ext>
            </a:extLst>
          </xdr:cNvPr>
          <xdr:cNvCxnSpPr/>
        </xdr:nvCxnSpPr>
        <xdr:spPr>
          <a:xfrm>
            <a:off x="1395413" y="2428875"/>
            <a:ext cx="14239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5" name="Straight Connector 3454">
            <a:extLst>
              <a:ext uri="{FF2B5EF4-FFF2-40B4-BE49-F238E27FC236}">
                <a16:creationId xmlns:a16="http://schemas.microsoft.com/office/drawing/2014/main" id="{66A5162A-8357-15E7-B97A-C7861F9B4DB1}"/>
              </a:ext>
            </a:extLst>
          </xdr:cNvPr>
          <xdr:cNvCxnSpPr/>
        </xdr:nvCxnSpPr>
        <xdr:spPr>
          <a:xfrm flipH="1">
            <a:off x="14192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6" name="Straight Connector 3455">
            <a:extLst>
              <a:ext uri="{FF2B5EF4-FFF2-40B4-BE49-F238E27FC236}">
                <a16:creationId xmlns:a16="http://schemas.microsoft.com/office/drawing/2014/main" id="{1F183611-083C-623C-F40F-1ED7B8B1E61E}"/>
              </a:ext>
            </a:extLst>
          </xdr:cNvPr>
          <xdr:cNvCxnSpPr/>
        </xdr:nvCxnSpPr>
        <xdr:spPr>
          <a:xfrm>
            <a:off x="2752725" y="2205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7" name="Straight Connector 3456">
            <a:extLst>
              <a:ext uri="{FF2B5EF4-FFF2-40B4-BE49-F238E27FC236}">
                <a16:creationId xmlns:a16="http://schemas.microsoft.com/office/drawing/2014/main" id="{72EB1D6F-627A-B804-2609-0BF3A01BC1E7}"/>
              </a:ext>
            </a:extLst>
          </xdr:cNvPr>
          <xdr:cNvCxnSpPr/>
        </xdr:nvCxnSpPr>
        <xdr:spPr>
          <a:xfrm flipH="1">
            <a:off x="2714624" y="239554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8" name="Straight Connector 3457">
            <a:extLst>
              <a:ext uri="{FF2B5EF4-FFF2-40B4-BE49-F238E27FC236}">
                <a16:creationId xmlns:a16="http://schemas.microsoft.com/office/drawing/2014/main" id="{F7F425C6-B74F-DC37-1A3E-D7A6B5CE6359}"/>
              </a:ext>
            </a:extLst>
          </xdr:cNvPr>
          <xdr:cNvCxnSpPr/>
        </xdr:nvCxnSpPr>
        <xdr:spPr>
          <a:xfrm>
            <a:off x="1133476" y="495299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9" name="Straight Connector 3458">
            <a:extLst>
              <a:ext uri="{FF2B5EF4-FFF2-40B4-BE49-F238E27FC236}">
                <a16:creationId xmlns:a16="http://schemas.microsoft.com/office/drawing/2014/main" id="{8815F817-C05A-2ACF-9D88-39951A2C6F0D}"/>
              </a:ext>
            </a:extLst>
          </xdr:cNvPr>
          <xdr:cNvCxnSpPr/>
        </xdr:nvCxnSpPr>
        <xdr:spPr>
          <a:xfrm flipH="1">
            <a:off x="1095380" y="53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0" name="Straight Connector 3459">
            <a:extLst>
              <a:ext uri="{FF2B5EF4-FFF2-40B4-BE49-F238E27FC236}">
                <a16:creationId xmlns:a16="http://schemas.microsoft.com/office/drawing/2014/main" id="{B06ED39C-DABB-657D-B6DF-7E3CCA87BD99}"/>
              </a:ext>
            </a:extLst>
          </xdr:cNvPr>
          <xdr:cNvCxnSpPr/>
        </xdr:nvCxnSpPr>
        <xdr:spPr>
          <a:xfrm flipH="1">
            <a:off x="1095371" y="210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1" name="Straight Connector 3460">
            <a:extLst>
              <a:ext uri="{FF2B5EF4-FFF2-40B4-BE49-F238E27FC236}">
                <a16:creationId xmlns:a16="http://schemas.microsoft.com/office/drawing/2014/main" id="{5137DFAA-D3A7-1260-9957-1F2DE4C62480}"/>
              </a:ext>
            </a:extLst>
          </xdr:cNvPr>
          <xdr:cNvCxnSpPr/>
        </xdr:nvCxnSpPr>
        <xdr:spPr>
          <a:xfrm flipH="1">
            <a:off x="1066800" y="214312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2" name="Straight Connector 3461">
            <a:extLst>
              <a:ext uri="{FF2B5EF4-FFF2-40B4-BE49-F238E27FC236}">
                <a16:creationId xmlns:a16="http://schemas.microsoft.com/office/drawing/2014/main" id="{36FA7C33-7B32-AEA1-083C-7E68E610E6DF}"/>
              </a:ext>
            </a:extLst>
          </xdr:cNvPr>
          <xdr:cNvCxnSpPr/>
        </xdr:nvCxnSpPr>
        <xdr:spPr>
          <a:xfrm flipH="1">
            <a:off x="1066800" y="571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3" name="Straight Connector 3462">
            <a:extLst>
              <a:ext uri="{FF2B5EF4-FFF2-40B4-BE49-F238E27FC236}">
                <a16:creationId xmlns:a16="http://schemas.microsoft.com/office/drawing/2014/main" id="{74901273-82A0-F906-9496-59539F62F53B}"/>
              </a:ext>
            </a:extLst>
          </xdr:cNvPr>
          <xdr:cNvCxnSpPr/>
        </xdr:nvCxnSpPr>
        <xdr:spPr>
          <a:xfrm flipV="1">
            <a:off x="2085975" y="685800"/>
            <a:ext cx="1047750" cy="523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80963</xdr:colOff>
      <xdr:row>1207</xdr:row>
      <xdr:rowOff>66675</xdr:rowOff>
    </xdr:from>
    <xdr:to>
      <xdr:col>7</xdr:col>
      <xdr:colOff>133350</xdr:colOff>
      <xdr:row>1207</xdr:row>
      <xdr:rowOff>66675</xdr:rowOff>
    </xdr:to>
    <xdr:cxnSp macro="">
      <xdr:nvCxnSpPr>
        <xdr:cNvPr id="3486" name="Straight Arrow Connector 3485">
          <a:extLst>
            <a:ext uri="{FF2B5EF4-FFF2-40B4-BE49-F238E27FC236}">
              <a16:creationId xmlns:a16="http://schemas.microsoft.com/office/drawing/2014/main" id="{C015F952-5CED-4042-A165-DB67CB221633}"/>
            </a:ext>
          </a:extLst>
        </xdr:cNvPr>
        <xdr:cNvCxnSpPr/>
      </xdr:nvCxnSpPr>
      <xdr:spPr>
        <a:xfrm>
          <a:off x="1052513" y="1673923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1208</xdr:row>
      <xdr:rowOff>66675</xdr:rowOff>
    </xdr:from>
    <xdr:to>
      <xdr:col>7</xdr:col>
      <xdr:colOff>133350</xdr:colOff>
      <xdr:row>1208</xdr:row>
      <xdr:rowOff>66675</xdr:rowOff>
    </xdr:to>
    <xdr:cxnSp macro="">
      <xdr:nvCxnSpPr>
        <xdr:cNvPr id="3487" name="Straight Arrow Connector 3486">
          <a:extLst>
            <a:ext uri="{FF2B5EF4-FFF2-40B4-BE49-F238E27FC236}">
              <a16:creationId xmlns:a16="http://schemas.microsoft.com/office/drawing/2014/main" id="{8DF09B28-C73D-4C1F-AF34-31342A856B4B}"/>
            </a:ext>
          </a:extLst>
        </xdr:cNvPr>
        <xdr:cNvCxnSpPr/>
      </xdr:nvCxnSpPr>
      <xdr:spPr>
        <a:xfrm>
          <a:off x="1052513" y="1675352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80963</xdr:colOff>
      <xdr:row>1212</xdr:row>
      <xdr:rowOff>66675</xdr:rowOff>
    </xdr:from>
    <xdr:to>
      <xdr:col>7</xdr:col>
      <xdr:colOff>133350</xdr:colOff>
      <xdr:row>1212</xdr:row>
      <xdr:rowOff>66675</xdr:rowOff>
    </xdr:to>
    <xdr:cxnSp macro="">
      <xdr:nvCxnSpPr>
        <xdr:cNvPr id="3488" name="Straight Arrow Connector 3487">
          <a:extLst>
            <a:ext uri="{FF2B5EF4-FFF2-40B4-BE49-F238E27FC236}">
              <a16:creationId xmlns:a16="http://schemas.microsoft.com/office/drawing/2014/main" id="{E34A9E63-4772-4BF2-972E-F81E9E290A09}"/>
            </a:ext>
          </a:extLst>
        </xdr:cNvPr>
        <xdr:cNvCxnSpPr/>
      </xdr:nvCxnSpPr>
      <xdr:spPr>
        <a:xfrm>
          <a:off x="1052513" y="1681067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80963</xdr:colOff>
      <xdr:row>1212</xdr:row>
      <xdr:rowOff>66675</xdr:rowOff>
    </xdr:from>
    <xdr:to>
      <xdr:col>38</xdr:col>
      <xdr:colOff>133350</xdr:colOff>
      <xdr:row>1212</xdr:row>
      <xdr:rowOff>66675</xdr:rowOff>
    </xdr:to>
    <xdr:cxnSp macro="">
      <xdr:nvCxnSpPr>
        <xdr:cNvPr id="3490" name="Straight Arrow Connector 3489">
          <a:extLst>
            <a:ext uri="{FF2B5EF4-FFF2-40B4-BE49-F238E27FC236}">
              <a16:creationId xmlns:a16="http://schemas.microsoft.com/office/drawing/2014/main" id="{869401B4-EC71-4F14-9632-72B06C2581FD}"/>
            </a:ext>
          </a:extLst>
        </xdr:cNvPr>
        <xdr:cNvCxnSpPr/>
      </xdr:nvCxnSpPr>
      <xdr:spPr>
        <a:xfrm>
          <a:off x="6072188" y="1681067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80963</xdr:colOff>
      <xdr:row>1214</xdr:row>
      <xdr:rowOff>66675</xdr:rowOff>
    </xdr:from>
    <xdr:to>
      <xdr:col>29</xdr:col>
      <xdr:colOff>133350</xdr:colOff>
      <xdr:row>1214</xdr:row>
      <xdr:rowOff>66675</xdr:rowOff>
    </xdr:to>
    <xdr:cxnSp macro="">
      <xdr:nvCxnSpPr>
        <xdr:cNvPr id="3492" name="Straight Arrow Connector 3491">
          <a:extLst>
            <a:ext uri="{FF2B5EF4-FFF2-40B4-BE49-F238E27FC236}">
              <a16:creationId xmlns:a16="http://schemas.microsoft.com/office/drawing/2014/main" id="{4C6C49F1-A9E3-4BEE-B9DD-01AA74AF0EBE}"/>
            </a:ext>
          </a:extLst>
        </xdr:cNvPr>
        <xdr:cNvCxnSpPr/>
      </xdr:nvCxnSpPr>
      <xdr:spPr>
        <a:xfrm>
          <a:off x="4614863" y="1683924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80963</xdr:colOff>
      <xdr:row>1217</xdr:row>
      <xdr:rowOff>66675</xdr:rowOff>
    </xdr:from>
    <xdr:to>
      <xdr:col>14</xdr:col>
      <xdr:colOff>133350</xdr:colOff>
      <xdr:row>1217</xdr:row>
      <xdr:rowOff>66675</xdr:rowOff>
    </xdr:to>
    <xdr:cxnSp macro="">
      <xdr:nvCxnSpPr>
        <xdr:cNvPr id="3493" name="Straight Arrow Connector 3492">
          <a:extLst>
            <a:ext uri="{FF2B5EF4-FFF2-40B4-BE49-F238E27FC236}">
              <a16:creationId xmlns:a16="http://schemas.microsoft.com/office/drawing/2014/main" id="{A7E6EDB4-7303-44DC-8285-8F71DE66F899}"/>
            </a:ext>
          </a:extLst>
        </xdr:cNvPr>
        <xdr:cNvCxnSpPr/>
      </xdr:nvCxnSpPr>
      <xdr:spPr>
        <a:xfrm>
          <a:off x="2185988" y="1688211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80963</xdr:colOff>
      <xdr:row>1220</xdr:row>
      <xdr:rowOff>66675</xdr:rowOff>
    </xdr:from>
    <xdr:to>
      <xdr:col>26</xdr:col>
      <xdr:colOff>133350</xdr:colOff>
      <xdr:row>1220</xdr:row>
      <xdr:rowOff>66675</xdr:rowOff>
    </xdr:to>
    <xdr:cxnSp macro="">
      <xdr:nvCxnSpPr>
        <xdr:cNvPr id="3494" name="Straight Arrow Connector 3493">
          <a:extLst>
            <a:ext uri="{FF2B5EF4-FFF2-40B4-BE49-F238E27FC236}">
              <a16:creationId xmlns:a16="http://schemas.microsoft.com/office/drawing/2014/main" id="{6BCD9392-1F06-4174-8E0F-CD5A74053568}"/>
            </a:ext>
          </a:extLst>
        </xdr:cNvPr>
        <xdr:cNvCxnSpPr/>
      </xdr:nvCxnSpPr>
      <xdr:spPr>
        <a:xfrm>
          <a:off x="4129088" y="1692497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161060</xdr:colOff>
      <xdr:row>1164</xdr:row>
      <xdr:rowOff>133353</xdr:rowOff>
    </xdr:from>
    <xdr:to>
      <xdr:col>51</xdr:col>
      <xdr:colOff>66675</xdr:colOff>
      <xdr:row>1176</xdr:row>
      <xdr:rowOff>90488</xdr:rowOff>
    </xdr:to>
    <xdr:grpSp>
      <xdr:nvGrpSpPr>
        <xdr:cNvPr id="3491" name="Group 3490">
          <a:extLst>
            <a:ext uri="{FF2B5EF4-FFF2-40B4-BE49-F238E27FC236}">
              <a16:creationId xmlns:a16="http://schemas.microsoft.com/office/drawing/2014/main" id="{072AC8BA-72AE-81E3-2F32-D39E7CCBA899}"/>
            </a:ext>
          </a:extLst>
        </xdr:cNvPr>
        <xdr:cNvGrpSpPr/>
      </xdr:nvGrpSpPr>
      <xdr:grpSpPr>
        <a:xfrm>
          <a:off x="4209185" y="175660053"/>
          <a:ext cx="4115665" cy="1671635"/>
          <a:chOff x="4209185" y="175660053"/>
          <a:chExt cx="4115665" cy="1671635"/>
        </a:xfrm>
      </xdr:grpSpPr>
      <xdr:cxnSp macro="">
        <xdr:nvCxnSpPr>
          <xdr:cNvPr id="3496" name="Straight Arrow Connector 3495">
            <a:extLst>
              <a:ext uri="{FF2B5EF4-FFF2-40B4-BE49-F238E27FC236}">
                <a16:creationId xmlns:a16="http://schemas.microsoft.com/office/drawing/2014/main" id="{DD970219-DD77-8686-2846-F177B7DA9DAA}"/>
              </a:ext>
            </a:extLst>
          </xdr:cNvPr>
          <xdr:cNvCxnSpPr/>
        </xdr:nvCxnSpPr>
        <xdr:spPr>
          <a:xfrm>
            <a:off x="8258181" y="17585055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313CDE66-0C07-D2AB-B1A6-9B654207F866}"/>
              </a:ext>
            </a:extLst>
          </xdr:cNvPr>
          <xdr:cNvSpPr/>
        </xdr:nvSpPr>
        <xdr:spPr>
          <a:xfrm>
            <a:off x="4376738" y="175955325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98" name="Straight Connector 3497">
            <a:extLst>
              <a:ext uri="{FF2B5EF4-FFF2-40B4-BE49-F238E27FC236}">
                <a16:creationId xmlns:a16="http://schemas.microsoft.com/office/drawing/2014/main" id="{06E5F573-D454-5A60-F4B1-FB7F48F9CE34}"/>
              </a:ext>
            </a:extLst>
          </xdr:cNvPr>
          <xdr:cNvCxnSpPr/>
        </xdr:nvCxnSpPr>
        <xdr:spPr>
          <a:xfrm>
            <a:off x="4533900" y="176098200"/>
            <a:ext cx="374332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9" name="Straight Arrow Connector 3498">
            <a:extLst>
              <a:ext uri="{FF2B5EF4-FFF2-40B4-BE49-F238E27FC236}">
                <a16:creationId xmlns:a16="http://schemas.microsoft.com/office/drawing/2014/main" id="{9338C8CC-B553-D75E-6A76-0BAE1FEDFCEF}"/>
              </a:ext>
            </a:extLst>
          </xdr:cNvPr>
          <xdr:cNvCxnSpPr/>
        </xdr:nvCxnSpPr>
        <xdr:spPr>
          <a:xfrm>
            <a:off x="5991231" y="175717200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0" name="Straight Arrow Connector 3499">
            <a:extLst>
              <a:ext uri="{FF2B5EF4-FFF2-40B4-BE49-F238E27FC236}">
                <a16:creationId xmlns:a16="http://schemas.microsoft.com/office/drawing/2014/main" id="{CC6FD74A-A2A3-5D74-141E-EC080EF67F78}"/>
              </a:ext>
            </a:extLst>
          </xdr:cNvPr>
          <xdr:cNvCxnSpPr/>
        </xdr:nvCxnSpPr>
        <xdr:spPr>
          <a:xfrm>
            <a:off x="6153156" y="175717200"/>
            <a:ext cx="0" cy="37623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1" name="Straight Arrow Connector 3500">
            <a:extLst>
              <a:ext uri="{FF2B5EF4-FFF2-40B4-BE49-F238E27FC236}">
                <a16:creationId xmlns:a16="http://schemas.microsoft.com/office/drawing/2014/main" id="{031296E9-541B-6768-09E8-305F03F402BD}"/>
              </a:ext>
            </a:extLst>
          </xdr:cNvPr>
          <xdr:cNvCxnSpPr/>
        </xdr:nvCxnSpPr>
        <xdr:spPr>
          <a:xfrm>
            <a:off x="6315081" y="175712438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2" name="Straight Connector 3501">
            <a:extLst>
              <a:ext uri="{FF2B5EF4-FFF2-40B4-BE49-F238E27FC236}">
                <a16:creationId xmlns:a16="http://schemas.microsoft.com/office/drawing/2014/main" id="{AC454681-F526-842C-E228-7C72E82923D8}"/>
              </a:ext>
            </a:extLst>
          </xdr:cNvPr>
          <xdr:cNvCxnSpPr/>
        </xdr:nvCxnSpPr>
        <xdr:spPr>
          <a:xfrm>
            <a:off x="6310313" y="175850550"/>
            <a:ext cx="1957394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3" name="Straight Arrow Connector 3502">
            <a:extLst>
              <a:ext uri="{FF2B5EF4-FFF2-40B4-BE49-F238E27FC236}">
                <a16:creationId xmlns:a16="http://schemas.microsoft.com/office/drawing/2014/main" id="{4C3BB2AF-21E2-CFFA-B6D3-CAF2BD6FD26C}"/>
              </a:ext>
            </a:extLst>
          </xdr:cNvPr>
          <xdr:cNvCxnSpPr/>
        </xdr:nvCxnSpPr>
        <xdr:spPr>
          <a:xfrm>
            <a:off x="6477006" y="17585531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4" name="Straight Arrow Connector 3503">
            <a:extLst>
              <a:ext uri="{FF2B5EF4-FFF2-40B4-BE49-F238E27FC236}">
                <a16:creationId xmlns:a16="http://schemas.microsoft.com/office/drawing/2014/main" id="{29EC11B8-9E64-B689-AD9B-9D96638F4087}"/>
              </a:ext>
            </a:extLst>
          </xdr:cNvPr>
          <xdr:cNvCxnSpPr/>
        </xdr:nvCxnSpPr>
        <xdr:spPr>
          <a:xfrm>
            <a:off x="6638931" y="17585531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5" name="Straight Arrow Connector 3504">
            <a:extLst>
              <a:ext uri="{FF2B5EF4-FFF2-40B4-BE49-F238E27FC236}">
                <a16:creationId xmlns:a16="http://schemas.microsoft.com/office/drawing/2014/main" id="{0FF16B97-5B07-00CE-F8E1-D0423C1D5A7A}"/>
              </a:ext>
            </a:extLst>
          </xdr:cNvPr>
          <xdr:cNvCxnSpPr/>
        </xdr:nvCxnSpPr>
        <xdr:spPr>
          <a:xfrm>
            <a:off x="6800856" y="17585055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6" name="Straight Arrow Connector 3505">
            <a:extLst>
              <a:ext uri="{FF2B5EF4-FFF2-40B4-BE49-F238E27FC236}">
                <a16:creationId xmlns:a16="http://schemas.microsoft.com/office/drawing/2014/main" id="{F93EE836-97ED-D7B0-9A23-C57E4BBE2C48}"/>
              </a:ext>
            </a:extLst>
          </xdr:cNvPr>
          <xdr:cNvCxnSpPr/>
        </xdr:nvCxnSpPr>
        <xdr:spPr>
          <a:xfrm>
            <a:off x="6962781" y="17585531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7" name="Straight Arrow Connector 3506">
            <a:extLst>
              <a:ext uri="{FF2B5EF4-FFF2-40B4-BE49-F238E27FC236}">
                <a16:creationId xmlns:a16="http://schemas.microsoft.com/office/drawing/2014/main" id="{AE327372-0699-7674-7E79-85774F32EB05}"/>
              </a:ext>
            </a:extLst>
          </xdr:cNvPr>
          <xdr:cNvCxnSpPr/>
        </xdr:nvCxnSpPr>
        <xdr:spPr>
          <a:xfrm>
            <a:off x="7124706" y="17585531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8" name="Straight Arrow Connector 3507">
            <a:extLst>
              <a:ext uri="{FF2B5EF4-FFF2-40B4-BE49-F238E27FC236}">
                <a16:creationId xmlns:a16="http://schemas.microsoft.com/office/drawing/2014/main" id="{47A6F44B-8952-FCB6-C11F-BDAB113328A9}"/>
              </a:ext>
            </a:extLst>
          </xdr:cNvPr>
          <xdr:cNvCxnSpPr/>
        </xdr:nvCxnSpPr>
        <xdr:spPr>
          <a:xfrm>
            <a:off x="7286631" y="17585531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9" name="Straight Arrow Connector 3508">
            <a:extLst>
              <a:ext uri="{FF2B5EF4-FFF2-40B4-BE49-F238E27FC236}">
                <a16:creationId xmlns:a16="http://schemas.microsoft.com/office/drawing/2014/main" id="{0FF1231D-5754-B081-D4F6-C26004D10876}"/>
              </a:ext>
            </a:extLst>
          </xdr:cNvPr>
          <xdr:cNvCxnSpPr/>
        </xdr:nvCxnSpPr>
        <xdr:spPr>
          <a:xfrm>
            <a:off x="7448556" y="17585055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0" name="Straight Arrow Connector 3509">
            <a:extLst>
              <a:ext uri="{FF2B5EF4-FFF2-40B4-BE49-F238E27FC236}">
                <a16:creationId xmlns:a16="http://schemas.microsoft.com/office/drawing/2014/main" id="{DAD06DEF-4C20-AA2B-8EA9-53E843CD06A0}"/>
              </a:ext>
            </a:extLst>
          </xdr:cNvPr>
          <xdr:cNvCxnSpPr/>
        </xdr:nvCxnSpPr>
        <xdr:spPr>
          <a:xfrm>
            <a:off x="7610481" y="175855312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1" name="Straight Arrow Connector 3510">
            <a:extLst>
              <a:ext uri="{FF2B5EF4-FFF2-40B4-BE49-F238E27FC236}">
                <a16:creationId xmlns:a16="http://schemas.microsoft.com/office/drawing/2014/main" id="{CCF3BD61-AC4F-5893-A6E3-DCB97E9CB6F4}"/>
              </a:ext>
            </a:extLst>
          </xdr:cNvPr>
          <xdr:cNvCxnSpPr/>
        </xdr:nvCxnSpPr>
        <xdr:spPr>
          <a:xfrm>
            <a:off x="7772406" y="17585531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2" name="Straight Arrow Connector 3511">
            <a:extLst>
              <a:ext uri="{FF2B5EF4-FFF2-40B4-BE49-F238E27FC236}">
                <a16:creationId xmlns:a16="http://schemas.microsoft.com/office/drawing/2014/main" id="{F4E720EC-E162-7FCC-3CC2-57C6FB79FF43}"/>
              </a:ext>
            </a:extLst>
          </xdr:cNvPr>
          <xdr:cNvCxnSpPr/>
        </xdr:nvCxnSpPr>
        <xdr:spPr>
          <a:xfrm>
            <a:off x="7934331" y="175850550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3" name="Straight Arrow Connector 3512">
            <a:extLst>
              <a:ext uri="{FF2B5EF4-FFF2-40B4-BE49-F238E27FC236}">
                <a16:creationId xmlns:a16="http://schemas.microsoft.com/office/drawing/2014/main" id="{E6C074CE-7E79-41C5-4EFF-9A32ADD816FF}"/>
              </a:ext>
            </a:extLst>
          </xdr:cNvPr>
          <xdr:cNvCxnSpPr/>
        </xdr:nvCxnSpPr>
        <xdr:spPr>
          <a:xfrm>
            <a:off x="8096256" y="175855313"/>
            <a:ext cx="0" cy="2381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4" name="Straight Connector 3513">
            <a:extLst>
              <a:ext uri="{FF2B5EF4-FFF2-40B4-BE49-F238E27FC236}">
                <a16:creationId xmlns:a16="http://schemas.microsoft.com/office/drawing/2014/main" id="{94E6B338-EDCC-3978-DB9C-D26D3DFEFABE}"/>
              </a:ext>
            </a:extLst>
          </xdr:cNvPr>
          <xdr:cNvCxnSpPr/>
        </xdr:nvCxnSpPr>
        <xdr:spPr>
          <a:xfrm>
            <a:off x="7196144" y="175802928"/>
            <a:ext cx="85725" cy="12382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15" name="Arc 3514">
            <a:extLst>
              <a:ext uri="{FF2B5EF4-FFF2-40B4-BE49-F238E27FC236}">
                <a16:creationId xmlns:a16="http://schemas.microsoft.com/office/drawing/2014/main" id="{C670E9A5-FEED-BDB4-E911-B1CF483D1C84}"/>
              </a:ext>
            </a:extLst>
          </xdr:cNvPr>
          <xdr:cNvSpPr/>
        </xdr:nvSpPr>
        <xdr:spPr>
          <a:xfrm rot="13409232">
            <a:off x="4209185" y="175825873"/>
            <a:ext cx="554180" cy="554180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516" name="Straight Connector 3515">
            <a:extLst>
              <a:ext uri="{FF2B5EF4-FFF2-40B4-BE49-F238E27FC236}">
                <a16:creationId xmlns:a16="http://schemas.microsoft.com/office/drawing/2014/main" id="{34CB8A10-7F2E-4386-FCC9-FCED514D5BCE}"/>
              </a:ext>
            </a:extLst>
          </xdr:cNvPr>
          <xdr:cNvCxnSpPr/>
        </xdr:nvCxnSpPr>
        <xdr:spPr>
          <a:xfrm>
            <a:off x="4533901" y="176279172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7" name="Straight Arrow Connector 3516">
            <a:extLst>
              <a:ext uri="{FF2B5EF4-FFF2-40B4-BE49-F238E27FC236}">
                <a16:creationId xmlns:a16="http://schemas.microsoft.com/office/drawing/2014/main" id="{5DD1C78D-DF40-4638-7920-A0A0C6A4C439}"/>
              </a:ext>
            </a:extLst>
          </xdr:cNvPr>
          <xdr:cNvCxnSpPr/>
        </xdr:nvCxnSpPr>
        <xdr:spPr>
          <a:xfrm>
            <a:off x="4538662" y="176464912"/>
            <a:ext cx="433388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8" name="Straight Connector 3517">
            <a:extLst>
              <a:ext uri="{FF2B5EF4-FFF2-40B4-BE49-F238E27FC236}">
                <a16:creationId xmlns:a16="http://schemas.microsoft.com/office/drawing/2014/main" id="{D603A14B-8AD4-10BB-D08F-02A56EADE574}"/>
              </a:ext>
            </a:extLst>
          </xdr:cNvPr>
          <xdr:cNvCxnSpPr/>
        </xdr:nvCxnSpPr>
        <xdr:spPr>
          <a:xfrm>
            <a:off x="4533900" y="176817338"/>
            <a:ext cx="0" cy="5095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9" name="Straight Connector 3518">
            <a:extLst>
              <a:ext uri="{FF2B5EF4-FFF2-40B4-BE49-F238E27FC236}">
                <a16:creationId xmlns:a16="http://schemas.microsoft.com/office/drawing/2014/main" id="{FC7834EF-BF14-1E0D-F3D7-551710605FBC}"/>
              </a:ext>
            </a:extLst>
          </xdr:cNvPr>
          <xdr:cNvCxnSpPr/>
        </xdr:nvCxnSpPr>
        <xdr:spPr>
          <a:xfrm>
            <a:off x="4457698" y="176955450"/>
            <a:ext cx="38623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0" name="Straight Connector 3519">
            <a:extLst>
              <a:ext uri="{FF2B5EF4-FFF2-40B4-BE49-F238E27FC236}">
                <a16:creationId xmlns:a16="http://schemas.microsoft.com/office/drawing/2014/main" id="{1E73552A-D6A5-8830-0859-AECF0FD236CF}"/>
              </a:ext>
            </a:extLst>
          </xdr:cNvPr>
          <xdr:cNvCxnSpPr/>
        </xdr:nvCxnSpPr>
        <xdr:spPr>
          <a:xfrm flipH="1">
            <a:off x="4495799" y="17692211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1" name="Straight Connector 3520">
            <a:extLst>
              <a:ext uri="{FF2B5EF4-FFF2-40B4-BE49-F238E27FC236}">
                <a16:creationId xmlns:a16="http://schemas.microsoft.com/office/drawing/2014/main" id="{6459686D-B135-8B7F-304C-D2C1EF188351}"/>
              </a:ext>
            </a:extLst>
          </xdr:cNvPr>
          <xdr:cNvCxnSpPr/>
        </xdr:nvCxnSpPr>
        <xdr:spPr>
          <a:xfrm>
            <a:off x="8258175" y="176817338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2" name="Straight Connector 3521">
            <a:extLst>
              <a:ext uri="{FF2B5EF4-FFF2-40B4-BE49-F238E27FC236}">
                <a16:creationId xmlns:a16="http://schemas.microsoft.com/office/drawing/2014/main" id="{9B837AC9-2827-EA5F-64D7-900E2DA227E4}"/>
              </a:ext>
            </a:extLst>
          </xdr:cNvPr>
          <xdr:cNvCxnSpPr/>
        </xdr:nvCxnSpPr>
        <xdr:spPr>
          <a:xfrm flipH="1">
            <a:off x="8220074" y="17692211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3" name="Straight Connector 3522">
            <a:extLst>
              <a:ext uri="{FF2B5EF4-FFF2-40B4-BE49-F238E27FC236}">
                <a16:creationId xmlns:a16="http://schemas.microsoft.com/office/drawing/2014/main" id="{105E23DA-04E5-2F44-3463-A00B60DE3FFC}"/>
              </a:ext>
            </a:extLst>
          </xdr:cNvPr>
          <xdr:cNvCxnSpPr/>
        </xdr:nvCxnSpPr>
        <xdr:spPr>
          <a:xfrm>
            <a:off x="8262938" y="176264885"/>
            <a:ext cx="0" cy="381003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6" name="Straight Connector 3525">
            <a:extLst>
              <a:ext uri="{FF2B5EF4-FFF2-40B4-BE49-F238E27FC236}">
                <a16:creationId xmlns:a16="http://schemas.microsoft.com/office/drawing/2014/main" id="{E8CB4B13-8C3A-C034-6D53-16904EA6722F}"/>
              </a:ext>
            </a:extLst>
          </xdr:cNvPr>
          <xdr:cNvCxnSpPr/>
        </xdr:nvCxnSpPr>
        <xdr:spPr>
          <a:xfrm>
            <a:off x="6315079" y="176212500"/>
            <a:ext cx="0" cy="809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7" name="Straight Connector 3526">
            <a:extLst>
              <a:ext uri="{FF2B5EF4-FFF2-40B4-BE49-F238E27FC236}">
                <a16:creationId xmlns:a16="http://schemas.microsoft.com/office/drawing/2014/main" id="{88ECEDFF-6225-2F76-5C83-CA82DA16A3A3}"/>
              </a:ext>
            </a:extLst>
          </xdr:cNvPr>
          <xdr:cNvCxnSpPr/>
        </xdr:nvCxnSpPr>
        <xdr:spPr>
          <a:xfrm flipH="1">
            <a:off x="6276978" y="17692211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9" name="Straight Connector 3528">
            <a:extLst>
              <a:ext uri="{FF2B5EF4-FFF2-40B4-BE49-F238E27FC236}">
                <a16:creationId xmlns:a16="http://schemas.microsoft.com/office/drawing/2014/main" id="{27AEC661-F266-0C15-48B4-8D339B4447B4}"/>
              </a:ext>
            </a:extLst>
          </xdr:cNvPr>
          <xdr:cNvCxnSpPr/>
        </xdr:nvCxnSpPr>
        <xdr:spPr>
          <a:xfrm>
            <a:off x="4457699" y="177241200"/>
            <a:ext cx="38623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0" name="Straight Connector 3529">
            <a:extLst>
              <a:ext uri="{FF2B5EF4-FFF2-40B4-BE49-F238E27FC236}">
                <a16:creationId xmlns:a16="http://schemas.microsoft.com/office/drawing/2014/main" id="{44EAED92-A6F7-7609-AD8B-3D00E8928CE6}"/>
              </a:ext>
            </a:extLst>
          </xdr:cNvPr>
          <xdr:cNvCxnSpPr/>
        </xdr:nvCxnSpPr>
        <xdr:spPr>
          <a:xfrm flipH="1">
            <a:off x="4495800" y="17720786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1" name="Straight Connector 3530">
            <a:extLst>
              <a:ext uri="{FF2B5EF4-FFF2-40B4-BE49-F238E27FC236}">
                <a16:creationId xmlns:a16="http://schemas.microsoft.com/office/drawing/2014/main" id="{36C7E2AE-FE2B-B1D8-513B-88AB2F0A1721}"/>
              </a:ext>
            </a:extLst>
          </xdr:cNvPr>
          <xdr:cNvCxnSpPr/>
        </xdr:nvCxnSpPr>
        <xdr:spPr>
          <a:xfrm flipH="1">
            <a:off x="8220075" y="17720786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2" name="Straight Connector 3531">
            <a:extLst>
              <a:ext uri="{FF2B5EF4-FFF2-40B4-BE49-F238E27FC236}">
                <a16:creationId xmlns:a16="http://schemas.microsoft.com/office/drawing/2014/main" id="{AC2F9773-9591-3CB2-E0F6-4EF0AB4815E2}"/>
              </a:ext>
            </a:extLst>
          </xdr:cNvPr>
          <xdr:cNvCxnSpPr/>
        </xdr:nvCxnSpPr>
        <xdr:spPr>
          <a:xfrm>
            <a:off x="4529138" y="175717205"/>
            <a:ext cx="1785939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3" name="Straight Arrow Connector 3532">
            <a:extLst>
              <a:ext uri="{FF2B5EF4-FFF2-40B4-BE49-F238E27FC236}">
                <a16:creationId xmlns:a16="http://schemas.microsoft.com/office/drawing/2014/main" id="{3CACEF0A-5196-8F1A-A346-DB684EA245D9}"/>
              </a:ext>
            </a:extLst>
          </xdr:cNvPr>
          <xdr:cNvCxnSpPr/>
        </xdr:nvCxnSpPr>
        <xdr:spPr>
          <a:xfrm>
            <a:off x="5505449" y="175721962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4" name="Straight Arrow Connector 3533">
            <a:extLst>
              <a:ext uri="{FF2B5EF4-FFF2-40B4-BE49-F238E27FC236}">
                <a16:creationId xmlns:a16="http://schemas.microsoft.com/office/drawing/2014/main" id="{E5803DB4-D4FF-F5D3-85F9-DC2F639A2572}"/>
              </a:ext>
            </a:extLst>
          </xdr:cNvPr>
          <xdr:cNvCxnSpPr/>
        </xdr:nvCxnSpPr>
        <xdr:spPr>
          <a:xfrm>
            <a:off x="5667374" y="175721962"/>
            <a:ext cx="0" cy="37623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5" name="Straight Arrow Connector 3534">
            <a:extLst>
              <a:ext uri="{FF2B5EF4-FFF2-40B4-BE49-F238E27FC236}">
                <a16:creationId xmlns:a16="http://schemas.microsoft.com/office/drawing/2014/main" id="{E72ABD87-C6DE-2CBF-B76F-AADAB2628163}"/>
              </a:ext>
            </a:extLst>
          </xdr:cNvPr>
          <xdr:cNvCxnSpPr/>
        </xdr:nvCxnSpPr>
        <xdr:spPr>
          <a:xfrm>
            <a:off x="5829299" y="175717200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6" name="Straight Arrow Connector 3535">
            <a:extLst>
              <a:ext uri="{FF2B5EF4-FFF2-40B4-BE49-F238E27FC236}">
                <a16:creationId xmlns:a16="http://schemas.microsoft.com/office/drawing/2014/main" id="{66768EA4-CB90-98A7-0801-B833455D55A6}"/>
              </a:ext>
            </a:extLst>
          </xdr:cNvPr>
          <xdr:cNvCxnSpPr/>
        </xdr:nvCxnSpPr>
        <xdr:spPr>
          <a:xfrm>
            <a:off x="5019674" y="175717198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7" name="Straight Arrow Connector 3536">
            <a:extLst>
              <a:ext uri="{FF2B5EF4-FFF2-40B4-BE49-F238E27FC236}">
                <a16:creationId xmlns:a16="http://schemas.microsoft.com/office/drawing/2014/main" id="{E96AEB79-A417-86B7-B6D3-F55E6225D378}"/>
              </a:ext>
            </a:extLst>
          </xdr:cNvPr>
          <xdr:cNvCxnSpPr/>
        </xdr:nvCxnSpPr>
        <xdr:spPr>
          <a:xfrm>
            <a:off x="5181599" y="175717198"/>
            <a:ext cx="0" cy="37623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8" name="Straight Arrow Connector 3537">
            <a:extLst>
              <a:ext uri="{FF2B5EF4-FFF2-40B4-BE49-F238E27FC236}">
                <a16:creationId xmlns:a16="http://schemas.microsoft.com/office/drawing/2014/main" id="{FC2A5698-4E94-2893-A03B-164E58F26C97}"/>
              </a:ext>
            </a:extLst>
          </xdr:cNvPr>
          <xdr:cNvCxnSpPr/>
        </xdr:nvCxnSpPr>
        <xdr:spPr>
          <a:xfrm>
            <a:off x="5343524" y="175712436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9" name="Straight Arrow Connector 3538">
            <a:extLst>
              <a:ext uri="{FF2B5EF4-FFF2-40B4-BE49-F238E27FC236}">
                <a16:creationId xmlns:a16="http://schemas.microsoft.com/office/drawing/2014/main" id="{5F31F303-ADD6-E386-07EB-5D67F857C50C}"/>
              </a:ext>
            </a:extLst>
          </xdr:cNvPr>
          <xdr:cNvCxnSpPr/>
        </xdr:nvCxnSpPr>
        <xdr:spPr>
          <a:xfrm>
            <a:off x="4533899" y="175721961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0" name="Straight Arrow Connector 3539">
            <a:extLst>
              <a:ext uri="{FF2B5EF4-FFF2-40B4-BE49-F238E27FC236}">
                <a16:creationId xmlns:a16="http://schemas.microsoft.com/office/drawing/2014/main" id="{2FE69C9B-1529-6A10-1E12-D771A5190D49}"/>
              </a:ext>
            </a:extLst>
          </xdr:cNvPr>
          <xdr:cNvCxnSpPr/>
        </xdr:nvCxnSpPr>
        <xdr:spPr>
          <a:xfrm>
            <a:off x="4695824" y="175721961"/>
            <a:ext cx="0" cy="376239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1" name="Straight Arrow Connector 3540">
            <a:extLst>
              <a:ext uri="{FF2B5EF4-FFF2-40B4-BE49-F238E27FC236}">
                <a16:creationId xmlns:a16="http://schemas.microsoft.com/office/drawing/2014/main" id="{AE36E2A0-27C4-A630-B5C5-74A65C98FDBC}"/>
              </a:ext>
            </a:extLst>
          </xdr:cNvPr>
          <xdr:cNvCxnSpPr/>
        </xdr:nvCxnSpPr>
        <xdr:spPr>
          <a:xfrm>
            <a:off x="4857749" y="175717199"/>
            <a:ext cx="0" cy="376238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2" name="Straight Connector 3541">
            <a:extLst>
              <a:ext uri="{FF2B5EF4-FFF2-40B4-BE49-F238E27FC236}">
                <a16:creationId xmlns:a16="http://schemas.microsoft.com/office/drawing/2014/main" id="{04F9B4A0-62D9-3AF5-1756-3DCB92DA4EE7}"/>
              </a:ext>
            </a:extLst>
          </xdr:cNvPr>
          <xdr:cNvCxnSpPr/>
        </xdr:nvCxnSpPr>
        <xdr:spPr>
          <a:xfrm>
            <a:off x="5414969" y="175660053"/>
            <a:ext cx="85725" cy="12382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3" name="Straight Arrow Connector 3542">
            <a:extLst>
              <a:ext uri="{FF2B5EF4-FFF2-40B4-BE49-F238E27FC236}">
                <a16:creationId xmlns:a16="http://schemas.microsoft.com/office/drawing/2014/main" id="{14E6D738-8F77-A8D3-570D-F3F8B7B6615A}"/>
              </a:ext>
            </a:extLst>
          </xdr:cNvPr>
          <xdr:cNvCxnSpPr/>
        </xdr:nvCxnSpPr>
        <xdr:spPr>
          <a:xfrm>
            <a:off x="6319837" y="176464912"/>
            <a:ext cx="433388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4" name="Straight Connector 3543">
            <a:extLst>
              <a:ext uri="{FF2B5EF4-FFF2-40B4-BE49-F238E27FC236}">
                <a16:creationId xmlns:a16="http://schemas.microsoft.com/office/drawing/2014/main" id="{640E25B9-7AF7-E304-6295-7E73162D9D59}"/>
              </a:ext>
            </a:extLst>
          </xdr:cNvPr>
          <xdr:cNvCxnSpPr/>
        </xdr:nvCxnSpPr>
        <xdr:spPr>
          <a:xfrm>
            <a:off x="4533900" y="175955325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45" name="Isosceles Triangle 3544">
            <a:extLst>
              <a:ext uri="{FF2B5EF4-FFF2-40B4-BE49-F238E27FC236}">
                <a16:creationId xmlns:a16="http://schemas.microsoft.com/office/drawing/2014/main" id="{1D1C3CD7-1B93-AA10-04EC-A20913EB8EF2}"/>
              </a:ext>
            </a:extLst>
          </xdr:cNvPr>
          <xdr:cNvSpPr/>
        </xdr:nvSpPr>
        <xdr:spPr>
          <a:xfrm>
            <a:off x="8197786" y="176102964"/>
            <a:ext cx="127064" cy="10953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27</xdr:col>
      <xdr:colOff>0</xdr:colOff>
      <xdr:row>1178</xdr:row>
      <xdr:rowOff>9524</xdr:rowOff>
    </xdr:from>
    <xdr:to>
      <xdr:col>51</xdr:col>
      <xdr:colOff>57150</xdr:colOff>
      <xdr:row>1180</xdr:row>
      <xdr:rowOff>19049</xdr:rowOff>
    </xdr:to>
    <xdr:grpSp>
      <xdr:nvGrpSpPr>
        <xdr:cNvPr id="3489" name="Group 3488">
          <a:extLst>
            <a:ext uri="{FF2B5EF4-FFF2-40B4-BE49-F238E27FC236}">
              <a16:creationId xmlns:a16="http://schemas.microsoft.com/office/drawing/2014/main" id="{19B8E27A-E704-EA3B-BBB6-F6EE3D64F570}"/>
            </a:ext>
          </a:extLst>
        </xdr:cNvPr>
        <xdr:cNvGrpSpPr/>
      </xdr:nvGrpSpPr>
      <xdr:grpSpPr>
        <a:xfrm>
          <a:off x="4371975" y="177536474"/>
          <a:ext cx="3943350" cy="295275"/>
          <a:chOff x="4371975" y="177536474"/>
          <a:chExt cx="3943350" cy="295275"/>
        </a:xfrm>
      </xdr:grpSpPr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86F249B8-9322-43E8-6BAC-429DE58FAB16}"/>
              </a:ext>
            </a:extLst>
          </xdr:cNvPr>
          <xdr:cNvSpPr/>
        </xdr:nvSpPr>
        <xdr:spPr>
          <a:xfrm>
            <a:off x="4371975" y="177536474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82" name="Straight Connector 3481">
            <a:extLst>
              <a:ext uri="{FF2B5EF4-FFF2-40B4-BE49-F238E27FC236}">
                <a16:creationId xmlns:a16="http://schemas.microsoft.com/office/drawing/2014/main" id="{9C1E8831-15D5-D346-7F32-FB24244566CE}"/>
              </a:ext>
            </a:extLst>
          </xdr:cNvPr>
          <xdr:cNvCxnSpPr/>
        </xdr:nvCxnSpPr>
        <xdr:spPr>
          <a:xfrm>
            <a:off x="4529137" y="177536474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3" name="Straight Connector 3482">
            <a:extLst>
              <a:ext uri="{FF2B5EF4-FFF2-40B4-BE49-F238E27FC236}">
                <a16:creationId xmlns:a16="http://schemas.microsoft.com/office/drawing/2014/main" id="{6C5AF5DC-4B13-4869-18A4-A8BF4A7F48AA}"/>
              </a:ext>
            </a:extLst>
          </xdr:cNvPr>
          <xdr:cNvCxnSpPr/>
        </xdr:nvCxnSpPr>
        <xdr:spPr>
          <a:xfrm>
            <a:off x="4529137" y="177679349"/>
            <a:ext cx="37290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46" name="Isosceles Triangle 3545">
            <a:extLst>
              <a:ext uri="{FF2B5EF4-FFF2-40B4-BE49-F238E27FC236}">
                <a16:creationId xmlns:a16="http://schemas.microsoft.com/office/drawing/2014/main" id="{C2AA297B-E02B-4B89-B4F3-B1558B943E83}"/>
              </a:ext>
            </a:extLst>
          </xdr:cNvPr>
          <xdr:cNvSpPr/>
        </xdr:nvSpPr>
        <xdr:spPr>
          <a:xfrm>
            <a:off x="8188261" y="177679351"/>
            <a:ext cx="127064" cy="10953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22</xdr:col>
      <xdr:colOff>80963</xdr:colOff>
      <xdr:row>1213</xdr:row>
      <xdr:rowOff>66675</xdr:rowOff>
    </xdr:from>
    <xdr:to>
      <xdr:col>23</xdr:col>
      <xdr:colOff>133350</xdr:colOff>
      <xdr:row>1213</xdr:row>
      <xdr:rowOff>66675</xdr:rowOff>
    </xdr:to>
    <xdr:cxnSp macro="">
      <xdr:nvCxnSpPr>
        <xdr:cNvPr id="3547" name="Straight Arrow Connector 3546">
          <a:extLst>
            <a:ext uri="{FF2B5EF4-FFF2-40B4-BE49-F238E27FC236}">
              <a16:creationId xmlns:a16="http://schemas.microsoft.com/office/drawing/2014/main" id="{702B621D-C3D8-4492-A835-29EB1059159F}"/>
            </a:ext>
          </a:extLst>
        </xdr:cNvPr>
        <xdr:cNvCxnSpPr/>
      </xdr:nvCxnSpPr>
      <xdr:spPr>
        <a:xfrm>
          <a:off x="4614863" y="3850862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133350</xdr:colOff>
      <xdr:row>1701</xdr:row>
      <xdr:rowOff>61913</xdr:rowOff>
    </xdr:from>
    <xdr:to>
      <xdr:col>72</xdr:col>
      <xdr:colOff>138113</xdr:colOff>
      <xdr:row>1709</xdr:row>
      <xdr:rowOff>76200</xdr:rowOff>
    </xdr:to>
    <xdr:grpSp>
      <xdr:nvGrpSpPr>
        <xdr:cNvPr id="3561" name="Group 3560">
          <a:extLst>
            <a:ext uri="{FF2B5EF4-FFF2-40B4-BE49-F238E27FC236}">
              <a16:creationId xmlns:a16="http://schemas.microsoft.com/office/drawing/2014/main" id="{8753A33D-A590-4226-2E49-59A05528D3D3}"/>
            </a:ext>
          </a:extLst>
        </xdr:cNvPr>
        <xdr:cNvGrpSpPr/>
      </xdr:nvGrpSpPr>
      <xdr:grpSpPr>
        <a:xfrm>
          <a:off x="8229600" y="256198688"/>
          <a:ext cx="3567113" cy="1157287"/>
          <a:chOff x="8229600" y="256198688"/>
          <a:chExt cx="3567113" cy="1157287"/>
        </a:xfrm>
      </xdr:grpSpPr>
      <xdr:sp macro="" textlink="">
        <xdr:nvSpPr>
          <xdr:cNvPr id="3552" name="Freeform: Shape 3551">
            <a:extLst>
              <a:ext uri="{FF2B5EF4-FFF2-40B4-BE49-F238E27FC236}">
                <a16:creationId xmlns:a16="http://schemas.microsoft.com/office/drawing/2014/main" id="{91D2A9B5-7F5B-83A0-D592-0E315896F92D}"/>
              </a:ext>
            </a:extLst>
          </xdr:cNvPr>
          <xdr:cNvSpPr/>
        </xdr:nvSpPr>
        <xdr:spPr>
          <a:xfrm rot="20706154">
            <a:off x="8229600" y="256260600"/>
            <a:ext cx="3567113" cy="800100"/>
          </a:xfrm>
          <a:custGeom>
            <a:avLst/>
            <a:gdLst>
              <a:gd name="connsiteX0" fmla="*/ 0 w 3567113"/>
              <a:gd name="connsiteY0" fmla="*/ 404812 h 800100"/>
              <a:gd name="connsiteX1" fmla="*/ 1790700 w 3567113"/>
              <a:gd name="connsiteY1" fmla="*/ 0 h 800100"/>
              <a:gd name="connsiteX2" fmla="*/ 3567113 w 3567113"/>
              <a:gd name="connsiteY2" fmla="*/ 400050 h 800100"/>
              <a:gd name="connsiteX3" fmla="*/ 1785938 w 3567113"/>
              <a:gd name="connsiteY3" fmla="*/ 800100 h 800100"/>
              <a:gd name="connsiteX4" fmla="*/ 0 w 3567113"/>
              <a:gd name="connsiteY4" fmla="*/ 404812 h 800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800100">
                <a:moveTo>
                  <a:pt x="0" y="404812"/>
                </a:moveTo>
                <a:lnTo>
                  <a:pt x="1790700" y="0"/>
                </a:lnTo>
                <a:lnTo>
                  <a:pt x="3567113" y="400050"/>
                </a:lnTo>
                <a:lnTo>
                  <a:pt x="1785938" y="800100"/>
                </a:lnTo>
                <a:lnTo>
                  <a:pt x="0" y="404812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3560" name="Group 3559">
            <a:extLst>
              <a:ext uri="{FF2B5EF4-FFF2-40B4-BE49-F238E27FC236}">
                <a16:creationId xmlns:a16="http://schemas.microsoft.com/office/drawing/2014/main" id="{A2E9B00A-1018-BB87-F6E4-778326564546}"/>
              </a:ext>
            </a:extLst>
          </xdr:cNvPr>
          <xdr:cNvGrpSpPr/>
        </xdr:nvGrpSpPr>
        <xdr:grpSpPr>
          <a:xfrm>
            <a:off x="8284918" y="256198688"/>
            <a:ext cx="3459407" cy="1157287"/>
            <a:chOff x="8284918" y="256198688"/>
            <a:chExt cx="3459407" cy="1157287"/>
          </a:xfrm>
        </xdr:grpSpPr>
        <xdr:sp macro="" textlink="">
          <xdr:nvSpPr>
            <xdr:cNvPr id="3558" name="Freeform: Shape 3557">
              <a:extLst>
                <a:ext uri="{FF2B5EF4-FFF2-40B4-BE49-F238E27FC236}">
                  <a16:creationId xmlns:a16="http://schemas.microsoft.com/office/drawing/2014/main" id="{B8DD1E82-1120-4EBC-750D-AC6BB8F2C499}"/>
                </a:ext>
              </a:extLst>
            </xdr:cNvPr>
            <xdr:cNvSpPr/>
          </xdr:nvSpPr>
          <xdr:spPr>
            <a:xfrm>
              <a:off x="8284918" y="256198688"/>
              <a:ext cx="3454645" cy="1157287"/>
            </a:xfrm>
            <a:custGeom>
              <a:avLst/>
              <a:gdLst>
                <a:gd name="connsiteX0" fmla="*/ 1832 w 3454645"/>
                <a:gd name="connsiteY0" fmla="*/ 923925 h 1157287"/>
                <a:gd name="connsiteX1" fmla="*/ 1840157 w 3454645"/>
                <a:gd name="connsiteY1" fmla="*/ 838200 h 1157287"/>
                <a:gd name="connsiteX2" fmla="*/ 3454645 w 3454645"/>
                <a:gd name="connsiteY2" fmla="*/ 0 h 1157287"/>
                <a:gd name="connsiteX3" fmla="*/ 3454645 w 3454645"/>
                <a:gd name="connsiteY3" fmla="*/ 238125 h 1157287"/>
                <a:gd name="connsiteX4" fmla="*/ 1835395 w 3454645"/>
                <a:gd name="connsiteY4" fmla="*/ 1085850 h 1157287"/>
                <a:gd name="connsiteX5" fmla="*/ 1832 w 3454645"/>
                <a:gd name="connsiteY5" fmla="*/ 1157287 h 1157287"/>
                <a:gd name="connsiteX6" fmla="*/ 1832 w 3454645"/>
                <a:gd name="connsiteY6" fmla="*/ 923925 h 11572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3454645" h="1157287">
                  <a:moveTo>
                    <a:pt x="1832" y="923925"/>
                  </a:moveTo>
                  <a:lnTo>
                    <a:pt x="1840157" y="838200"/>
                  </a:lnTo>
                  <a:lnTo>
                    <a:pt x="3454645" y="0"/>
                  </a:lnTo>
                  <a:lnTo>
                    <a:pt x="3454645" y="238125"/>
                  </a:lnTo>
                  <a:lnTo>
                    <a:pt x="1835395" y="1085850"/>
                  </a:lnTo>
                  <a:lnTo>
                    <a:pt x="1832" y="1157287"/>
                  </a:lnTo>
                  <a:cubicBezTo>
                    <a:pt x="245" y="1079500"/>
                    <a:pt x="-1343" y="1001712"/>
                    <a:pt x="1832" y="923925"/>
                  </a:cubicBez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3555" name="Straight Connector 3554">
              <a:extLst>
                <a:ext uri="{FF2B5EF4-FFF2-40B4-BE49-F238E27FC236}">
                  <a16:creationId xmlns:a16="http://schemas.microsoft.com/office/drawing/2014/main" id="{3471F7DF-87B7-4EAB-94A9-71495215BE9A}"/>
                </a:ext>
              </a:extLst>
            </xdr:cNvPr>
            <xdr:cNvCxnSpPr/>
          </xdr:nvCxnSpPr>
          <xdr:spPr>
            <a:xfrm>
              <a:off x="10120313" y="257046413"/>
              <a:ext cx="0" cy="23812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56" name="Straight Connector 3555">
              <a:extLst>
                <a:ext uri="{FF2B5EF4-FFF2-40B4-BE49-F238E27FC236}">
                  <a16:creationId xmlns:a16="http://schemas.microsoft.com/office/drawing/2014/main" id="{8626480E-2840-458F-BEAD-0872828953B7}"/>
                </a:ext>
              </a:extLst>
            </xdr:cNvPr>
            <xdr:cNvCxnSpPr/>
          </xdr:nvCxnSpPr>
          <xdr:spPr>
            <a:xfrm>
              <a:off x="9915526" y="256270125"/>
              <a:ext cx="0" cy="238125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559" name="Freeform: Shape 3558">
              <a:extLst>
                <a:ext uri="{FF2B5EF4-FFF2-40B4-BE49-F238E27FC236}">
                  <a16:creationId xmlns:a16="http://schemas.microsoft.com/office/drawing/2014/main" id="{67C9B77C-942D-32B5-76B6-B3D2792E520D}"/>
                </a:ext>
              </a:extLst>
            </xdr:cNvPr>
            <xdr:cNvSpPr/>
          </xdr:nvSpPr>
          <xdr:spPr>
            <a:xfrm>
              <a:off x="8291513" y="256436813"/>
              <a:ext cx="3452812" cy="919162"/>
            </a:xfrm>
            <a:custGeom>
              <a:avLst/>
              <a:gdLst>
                <a:gd name="connsiteX0" fmla="*/ 0 w 3452812"/>
                <a:gd name="connsiteY0" fmla="*/ 919162 h 919162"/>
                <a:gd name="connsiteX1" fmla="*/ 1628775 w 3452812"/>
                <a:gd name="connsiteY1" fmla="*/ 66675 h 919162"/>
                <a:gd name="connsiteX2" fmla="*/ 3452812 w 3452812"/>
                <a:gd name="connsiteY2" fmla="*/ 0 h 9191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3452812" h="919162">
                  <a:moveTo>
                    <a:pt x="0" y="919162"/>
                  </a:moveTo>
                  <a:lnTo>
                    <a:pt x="1628775" y="66675"/>
                  </a:lnTo>
                  <a:lnTo>
                    <a:pt x="3452812" y="0"/>
                  </a:lnTo>
                </a:path>
              </a:pathLst>
            </a:custGeom>
            <a:noFill/>
            <a:ln w="6350">
              <a:solidFill>
                <a:schemeClr val="tx1"/>
              </a:solidFill>
              <a:prstDash val="dash"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</xdr:grpSp>
    <xdr:clientData/>
  </xdr:twoCellAnchor>
  <xdr:twoCellAnchor>
    <xdr:from>
      <xdr:col>48</xdr:col>
      <xdr:colOff>14286</xdr:colOff>
      <xdr:row>1570</xdr:row>
      <xdr:rowOff>114300</xdr:rowOff>
    </xdr:from>
    <xdr:to>
      <xdr:col>77</xdr:col>
      <xdr:colOff>100013</xdr:colOff>
      <xdr:row>1580</xdr:row>
      <xdr:rowOff>90488</xdr:rowOff>
    </xdr:to>
    <xdr:grpSp>
      <xdr:nvGrpSpPr>
        <xdr:cNvPr id="3584" name="Group 3583">
          <a:extLst>
            <a:ext uri="{FF2B5EF4-FFF2-40B4-BE49-F238E27FC236}">
              <a16:creationId xmlns:a16="http://schemas.microsoft.com/office/drawing/2014/main" id="{90385F7D-62B1-9366-CE4C-768926FAD19D}"/>
            </a:ext>
          </a:extLst>
        </xdr:cNvPr>
        <xdr:cNvGrpSpPr/>
      </xdr:nvGrpSpPr>
      <xdr:grpSpPr>
        <a:xfrm>
          <a:off x="7786686" y="236562900"/>
          <a:ext cx="4781552" cy="1404938"/>
          <a:chOff x="7786686" y="236562900"/>
          <a:chExt cx="4781552" cy="1404938"/>
        </a:xfrm>
      </xdr:grpSpPr>
      <xdr:sp macro="" textlink="">
        <xdr:nvSpPr>
          <xdr:cNvPr id="3574" name="Freeform: Shape 3573">
            <a:extLst>
              <a:ext uri="{FF2B5EF4-FFF2-40B4-BE49-F238E27FC236}">
                <a16:creationId xmlns:a16="http://schemas.microsoft.com/office/drawing/2014/main" id="{B4BC1CEB-E326-3E89-5255-1FB1250CE02C}"/>
              </a:ext>
            </a:extLst>
          </xdr:cNvPr>
          <xdr:cNvSpPr/>
        </xdr:nvSpPr>
        <xdr:spPr>
          <a:xfrm>
            <a:off x="7791450" y="236562900"/>
            <a:ext cx="4710113" cy="1404938"/>
          </a:xfrm>
          <a:custGeom>
            <a:avLst/>
            <a:gdLst>
              <a:gd name="connsiteX0" fmla="*/ 300038 w 4710113"/>
              <a:gd name="connsiteY0" fmla="*/ 1404938 h 1404938"/>
              <a:gd name="connsiteX1" fmla="*/ 247650 w 4710113"/>
              <a:gd name="connsiteY1" fmla="*/ 1123950 h 1404938"/>
              <a:gd name="connsiteX2" fmla="*/ 2419350 w 4710113"/>
              <a:gd name="connsiteY2" fmla="*/ 414338 h 1404938"/>
              <a:gd name="connsiteX3" fmla="*/ 4710113 w 4710113"/>
              <a:gd name="connsiteY3" fmla="*/ 257175 h 1404938"/>
              <a:gd name="connsiteX4" fmla="*/ 4448175 w 4710113"/>
              <a:gd name="connsiteY4" fmla="*/ 0 h 1404938"/>
              <a:gd name="connsiteX5" fmla="*/ 2171700 w 4710113"/>
              <a:gd name="connsiteY5" fmla="*/ 166688 h 1404938"/>
              <a:gd name="connsiteX6" fmla="*/ 0 w 4710113"/>
              <a:gd name="connsiteY6" fmla="*/ 871538 h 1404938"/>
              <a:gd name="connsiteX7" fmla="*/ 47625 w 4710113"/>
              <a:gd name="connsiteY7" fmla="*/ 1152525 h 1404938"/>
              <a:gd name="connsiteX8" fmla="*/ 300038 w 4710113"/>
              <a:gd name="connsiteY8" fmla="*/ 1404938 h 14049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710113" h="1404938">
                <a:moveTo>
                  <a:pt x="300038" y="1404938"/>
                </a:moveTo>
                <a:lnTo>
                  <a:pt x="247650" y="1123950"/>
                </a:lnTo>
                <a:lnTo>
                  <a:pt x="2419350" y="414338"/>
                </a:lnTo>
                <a:lnTo>
                  <a:pt x="4710113" y="257175"/>
                </a:lnTo>
                <a:lnTo>
                  <a:pt x="4448175" y="0"/>
                </a:lnTo>
                <a:lnTo>
                  <a:pt x="2171700" y="166688"/>
                </a:lnTo>
                <a:lnTo>
                  <a:pt x="0" y="871538"/>
                </a:lnTo>
                <a:lnTo>
                  <a:pt x="47625" y="1152525"/>
                </a:lnTo>
                <a:lnTo>
                  <a:pt x="300038" y="1404938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62" name="Freeform: Shape 3561">
            <a:extLst>
              <a:ext uri="{FF2B5EF4-FFF2-40B4-BE49-F238E27FC236}">
                <a16:creationId xmlns:a16="http://schemas.microsoft.com/office/drawing/2014/main" id="{6BA26AC7-AEDB-48C1-AE0A-E031B34725BA}"/>
              </a:ext>
            </a:extLst>
          </xdr:cNvPr>
          <xdr:cNvSpPr/>
        </xdr:nvSpPr>
        <xdr:spPr>
          <a:xfrm rot="20937462">
            <a:off x="8029575" y="236972475"/>
            <a:ext cx="4538663" cy="857250"/>
          </a:xfrm>
          <a:custGeom>
            <a:avLst/>
            <a:gdLst>
              <a:gd name="connsiteX0" fmla="*/ 0 w 4538663"/>
              <a:gd name="connsiteY0" fmla="*/ 280987 h 857250"/>
              <a:gd name="connsiteX1" fmla="*/ 2271713 w 4538663"/>
              <a:gd name="connsiteY1" fmla="*/ 0 h 857250"/>
              <a:gd name="connsiteX2" fmla="*/ 4538663 w 4538663"/>
              <a:gd name="connsiteY2" fmla="*/ 280987 h 857250"/>
              <a:gd name="connsiteX3" fmla="*/ 4538663 w 4538663"/>
              <a:gd name="connsiteY3" fmla="*/ 561975 h 857250"/>
              <a:gd name="connsiteX4" fmla="*/ 2271713 w 4538663"/>
              <a:gd name="connsiteY4" fmla="*/ 857250 h 857250"/>
              <a:gd name="connsiteX5" fmla="*/ 0 w 4538663"/>
              <a:gd name="connsiteY5" fmla="*/ 571500 h 857250"/>
              <a:gd name="connsiteX6" fmla="*/ 0 w 4538663"/>
              <a:gd name="connsiteY6" fmla="*/ 280987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538663" h="857250">
                <a:moveTo>
                  <a:pt x="0" y="280987"/>
                </a:moveTo>
                <a:lnTo>
                  <a:pt x="2271713" y="0"/>
                </a:lnTo>
                <a:lnTo>
                  <a:pt x="4538663" y="280987"/>
                </a:lnTo>
                <a:lnTo>
                  <a:pt x="4538663" y="561975"/>
                </a:lnTo>
                <a:lnTo>
                  <a:pt x="2271713" y="857250"/>
                </a:lnTo>
                <a:lnTo>
                  <a:pt x="0" y="571500"/>
                </a:lnTo>
                <a:lnTo>
                  <a:pt x="0" y="280987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565" name="Straight Connector 3564">
            <a:extLst>
              <a:ext uri="{FF2B5EF4-FFF2-40B4-BE49-F238E27FC236}">
                <a16:creationId xmlns:a16="http://schemas.microsoft.com/office/drawing/2014/main" id="{128670B7-7DA8-330F-A2A5-3CBE3CCA9A8F}"/>
              </a:ext>
            </a:extLst>
          </xdr:cNvPr>
          <xdr:cNvCxnSpPr/>
        </xdr:nvCxnSpPr>
        <xdr:spPr>
          <a:xfrm flipH="1" flipV="1">
            <a:off x="9953625" y="236724825"/>
            <a:ext cx="257175" cy="2571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0" name="Straight Connector 3569">
            <a:extLst>
              <a:ext uri="{FF2B5EF4-FFF2-40B4-BE49-F238E27FC236}">
                <a16:creationId xmlns:a16="http://schemas.microsoft.com/office/drawing/2014/main" id="{31B4E734-8EE5-4BB1-A0DD-EA1CF5318720}"/>
              </a:ext>
            </a:extLst>
          </xdr:cNvPr>
          <xdr:cNvCxnSpPr/>
        </xdr:nvCxnSpPr>
        <xdr:spPr>
          <a:xfrm flipH="1" flipV="1">
            <a:off x="7786686" y="237429674"/>
            <a:ext cx="257175" cy="2571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2" name="Straight Connector 3571">
            <a:extLst>
              <a:ext uri="{FF2B5EF4-FFF2-40B4-BE49-F238E27FC236}">
                <a16:creationId xmlns:a16="http://schemas.microsoft.com/office/drawing/2014/main" id="{4C83DCF2-878E-4F51-81D3-094F1F6FA492}"/>
              </a:ext>
            </a:extLst>
          </xdr:cNvPr>
          <xdr:cNvCxnSpPr/>
        </xdr:nvCxnSpPr>
        <xdr:spPr>
          <a:xfrm flipH="1" flipV="1">
            <a:off x="10106025" y="237563026"/>
            <a:ext cx="257175" cy="257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3" name="Straight Connector 3572">
            <a:extLst>
              <a:ext uri="{FF2B5EF4-FFF2-40B4-BE49-F238E27FC236}">
                <a16:creationId xmlns:a16="http://schemas.microsoft.com/office/drawing/2014/main" id="{60258FA7-8700-441E-87CF-868E037547D2}"/>
              </a:ext>
            </a:extLst>
          </xdr:cNvPr>
          <xdr:cNvCxnSpPr/>
        </xdr:nvCxnSpPr>
        <xdr:spPr>
          <a:xfrm flipH="1" flipV="1">
            <a:off x="12287250" y="236839125"/>
            <a:ext cx="257175" cy="257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75" name="Freeform: Shape 3574">
            <a:extLst>
              <a:ext uri="{FF2B5EF4-FFF2-40B4-BE49-F238E27FC236}">
                <a16:creationId xmlns:a16="http://schemas.microsoft.com/office/drawing/2014/main" id="{B011FD11-FE23-0231-A2E7-EDB7748A7FB7}"/>
              </a:ext>
            </a:extLst>
          </xdr:cNvPr>
          <xdr:cNvSpPr/>
        </xdr:nvSpPr>
        <xdr:spPr>
          <a:xfrm>
            <a:off x="7834313" y="236834363"/>
            <a:ext cx="4467225" cy="881062"/>
          </a:xfrm>
          <a:custGeom>
            <a:avLst/>
            <a:gdLst>
              <a:gd name="connsiteX0" fmla="*/ 0 w 4467225"/>
              <a:gd name="connsiteY0" fmla="*/ 881062 h 881062"/>
              <a:gd name="connsiteX1" fmla="*/ 2276475 w 4467225"/>
              <a:gd name="connsiteY1" fmla="*/ 728662 h 881062"/>
              <a:gd name="connsiteX2" fmla="*/ 4467225 w 4467225"/>
              <a:gd name="connsiteY2" fmla="*/ 0 h 8810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67225" h="881062">
                <a:moveTo>
                  <a:pt x="0" y="881062"/>
                </a:moveTo>
                <a:lnTo>
                  <a:pt x="2276475" y="728662"/>
                </a:lnTo>
                <a:lnTo>
                  <a:pt x="4467225" y="0"/>
                </a:lnTo>
              </a:path>
            </a:pathLst>
          </a:custGeom>
          <a:noFill/>
          <a:ln w="635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77" name="Straight Connector 3576">
            <a:extLst>
              <a:ext uri="{FF2B5EF4-FFF2-40B4-BE49-F238E27FC236}">
                <a16:creationId xmlns:a16="http://schemas.microsoft.com/office/drawing/2014/main" id="{1EA29466-F73C-DE15-1953-BDECAEAB0FD7}"/>
              </a:ext>
            </a:extLst>
          </xdr:cNvPr>
          <xdr:cNvCxnSpPr>
            <a:stCxn id="3575" idx="1"/>
            <a:endCxn id="3574" idx="5"/>
          </xdr:cNvCxnSpPr>
        </xdr:nvCxnSpPr>
        <xdr:spPr>
          <a:xfrm flipH="1" flipV="1">
            <a:off x="9963150" y="236729588"/>
            <a:ext cx="147638" cy="83343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0" name="Straight Connector 3579">
            <a:extLst>
              <a:ext uri="{FF2B5EF4-FFF2-40B4-BE49-F238E27FC236}">
                <a16:creationId xmlns:a16="http://schemas.microsoft.com/office/drawing/2014/main" id="{DE967BE9-F99A-C583-8A3E-5CE746785CB3}"/>
              </a:ext>
            </a:extLst>
          </xdr:cNvPr>
          <xdr:cNvCxnSpPr>
            <a:stCxn id="3562" idx="4"/>
            <a:endCxn id="3562" idx="1"/>
          </xdr:cNvCxnSpPr>
        </xdr:nvCxnSpPr>
        <xdr:spPr>
          <a:xfrm flipH="1" flipV="1">
            <a:off x="10219148" y="236979954"/>
            <a:ext cx="164192" cy="84137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1" name="Straight Connector 3580">
            <a:extLst>
              <a:ext uri="{FF2B5EF4-FFF2-40B4-BE49-F238E27FC236}">
                <a16:creationId xmlns:a16="http://schemas.microsoft.com/office/drawing/2014/main" id="{A8928098-2F80-4CB2-AD5F-6695F5653BA5}"/>
              </a:ext>
            </a:extLst>
          </xdr:cNvPr>
          <xdr:cNvCxnSpPr>
            <a:stCxn id="3574" idx="4"/>
            <a:endCxn id="3575" idx="2"/>
          </xdr:cNvCxnSpPr>
        </xdr:nvCxnSpPr>
        <xdr:spPr>
          <a:xfrm>
            <a:off x="12239625" y="236562900"/>
            <a:ext cx="61913" cy="27146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53</xdr:col>
      <xdr:colOff>0</xdr:colOff>
      <xdr:row>1652</xdr:row>
      <xdr:rowOff>19050</xdr:rowOff>
    </xdr:from>
    <xdr:to>
      <xdr:col>75</xdr:col>
      <xdr:colOff>0</xdr:colOff>
      <xdr:row>1663</xdr:row>
      <xdr:rowOff>4763</xdr:rowOff>
    </xdr:to>
    <xdr:grpSp>
      <xdr:nvGrpSpPr>
        <xdr:cNvPr id="3578" name="Group 3577">
          <a:extLst>
            <a:ext uri="{FF2B5EF4-FFF2-40B4-BE49-F238E27FC236}">
              <a16:creationId xmlns:a16="http://schemas.microsoft.com/office/drawing/2014/main" id="{BD02F306-478C-DB05-F887-F2878D0DCB6E}"/>
            </a:ext>
          </a:extLst>
        </xdr:cNvPr>
        <xdr:cNvGrpSpPr/>
      </xdr:nvGrpSpPr>
      <xdr:grpSpPr>
        <a:xfrm>
          <a:off x="8582025" y="248669175"/>
          <a:ext cx="3562350" cy="1557338"/>
          <a:chOff x="8582025" y="248669175"/>
          <a:chExt cx="3562350" cy="1557338"/>
        </a:xfrm>
      </xdr:grpSpPr>
      <xdr:sp macro="" textlink="">
        <xdr:nvSpPr>
          <xdr:cNvPr id="3557" name="Freeform: Shape 3556">
            <a:extLst>
              <a:ext uri="{FF2B5EF4-FFF2-40B4-BE49-F238E27FC236}">
                <a16:creationId xmlns:a16="http://schemas.microsoft.com/office/drawing/2014/main" id="{CD417F44-87B2-4CB9-081D-08E9ED084FF1}"/>
              </a:ext>
            </a:extLst>
          </xdr:cNvPr>
          <xdr:cNvSpPr/>
        </xdr:nvSpPr>
        <xdr:spPr>
          <a:xfrm>
            <a:off x="8586788" y="249054938"/>
            <a:ext cx="3543300" cy="1162050"/>
          </a:xfrm>
          <a:custGeom>
            <a:avLst/>
            <a:gdLst>
              <a:gd name="connsiteX0" fmla="*/ 0 w 3543300"/>
              <a:gd name="connsiteY0" fmla="*/ 538162 h 1162050"/>
              <a:gd name="connsiteX1" fmla="*/ 109537 w 3543300"/>
              <a:gd name="connsiteY1" fmla="*/ 933450 h 1162050"/>
              <a:gd name="connsiteX2" fmla="*/ 1881187 w 3543300"/>
              <a:gd name="connsiteY2" fmla="*/ 657225 h 1162050"/>
              <a:gd name="connsiteX3" fmla="*/ 3543300 w 3543300"/>
              <a:gd name="connsiteY3" fmla="*/ 0 h 1162050"/>
              <a:gd name="connsiteX4" fmla="*/ 3543300 w 3543300"/>
              <a:gd name="connsiteY4" fmla="*/ 247650 h 1162050"/>
              <a:gd name="connsiteX5" fmla="*/ 1881187 w 3543300"/>
              <a:gd name="connsiteY5" fmla="*/ 895350 h 1162050"/>
              <a:gd name="connsiteX6" fmla="*/ 109537 w 3543300"/>
              <a:gd name="connsiteY6" fmla="*/ 1162050 h 1162050"/>
              <a:gd name="connsiteX7" fmla="*/ 0 w 3543300"/>
              <a:gd name="connsiteY7" fmla="*/ 785812 h 1162050"/>
              <a:gd name="connsiteX8" fmla="*/ 0 w 3543300"/>
              <a:gd name="connsiteY8" fmla="*/ 538162 h 11620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543300" h="1162050">
                <a:moveTo>
                  <a:pt x="0" y="538162"/>
                </a:moveTo>
                <a:lnTo>
                  <a:pt x="109537" y="933450"/>
                </a:lnTo>
                <a:lnTo>
                  <a:pt x="1881187" y="657225"/>
                </a:lnTo>
                <a:lnTo>
                  <a:pt x="3543300" y="0"/>
                </a:lnTo>
                <a:lnTo>
                  <a:pt x="3543300" y="247650"/>
                </a:lnTo>
                <a:lnTo>
                  <a:pt x="1881187" y="895350"/>
                </a:lnTo>
                <a:lnTo>
                  <a:pt x="109537" y="1162050"/>
                </a:lnTo>
                <a:lnTo>
                  <a:pt x="0" y="785812"/>
                </a:lnTo>
                <a:lnTo>
                  <a:pt x="0" y="538162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86" name="Freeform: Shape 2885">
            <a:extLst>
              <a:ext uri="{FF2B5EF4-FFF2-40B4-BE49-F238E27FC236}">
                <a16:creationId xmlns:a16="http://schemas.microsoft.com/office/drawing/2014/main" id="{F15DECDF-3014-4B9E-A39B-4BD1877A614F}"/>
              </a:ext>
            </a:extLst>
          </xdr:cNvPr>
          <xdr:cNvSpPr/>
        </xdr:nvSpPr>
        <xdr:spPr>
          <a:xfrm rot="20692539">
            <a:off x="8582025" y="248935875"/>
            <a:ext cx="3562350" cy="795337"/>
          </a:xfrm>
          <a:custGeom>
            <a:avLst/>
            <a:gdLst>
              <a:gd name="connsiteX0" fmla="*/ 0 w 3562350"/>
              <a:gd name="connsiteY0" fmla="*/ 595312 h 795337"/>
              <a:gd name="connsiteX1" fmla="*/ 0 w 3562350"/>
              <a:gd name="connsiteY1" fmla="*/ 195262 h 795337"/>
              <a:gd name="connsiteX2" fmla="*/ 1785938 w 3562350"/>
              <a:gd name="connsiteY2" fmla="*/ 0 h 795337"/>
              <a:gd name="connsiteX3" fmla="*/ 3562350 w 3562350"/>
              <a:gd name="connsiteY3" fmla="*/ 195262 h 795337"/>
              <a:gd name="connsiteX4" fmla="*/ 3562350 w 3562350"/>
              <a:gd name="connsiteY4" fmla="*/ 595312 h 795337"/>
              <a:gd name="connsiteX5" fmla="*/ 1785938 w 3562350"/>
              <a:gd name="connsiteY5" fmla="*/ 795337 h 795337"/>
              <a:gd name="connsiteX6" fmla="*/ 0 w 3562350"/>
              <a:gd name="connsiteY6" fmla="*/ 595312 h 7953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562350" h="795337">
                <a:moveTo>
                  <a:pt x="0" y="595312"/>
                </a:moveTo>
                <a:lnTo>
                  <a:pt x="0" y="195262"/>
                </a:lnTo>
                <a:lnTo>
                  <a:pt x="1785938" y="0"/>
                </a:lnTo>
                <a:lnTo>
                  <a:pt x="3562350" y="195262"/>
                </a:lnTo>
                <a:lnTo>
                  <a:pt x="3562350" y="595312"/>
                </a:lnTo>
                <a:lnTo>
                  <a:pt x="1785938" y="795337"/>
                </a:lnTo>
                <a:lnTo>
                  <a:pt x="0" y="595312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548" name="Straight Connector 3547">
            <a:extLst>
              <a:ext uri="{FF2B5EF4-FFF2-40B4-BE49-F238E27FC236}">
                <a16:creationId xmlns:a16="http://schemas.microsoft.com/office/drawing/2014/main" id="{5F5BBD64-1C60-035E-533D-49656074D80C}"/>
              </a:ext>
            </a:extLst>
          </xdr:cNvPr>
          <xdr:cNvCxnSpPr/>
        </xdr:nvCxnSpPr>
        <xdr:spPr>
          <a:xfrm>
            <a:off x="8696325" y="249988388"/>
            <a:ext cx="0" cy="2381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0" name="Straight Connector 2229">
            <a:extLst>
              <a:ext uri="{FF2B5EF4-FFF2-40B4-BE49-F238E27FC236}">
                <a16:creationId xmlns:a16="http://schemas.microsoft.com/office/drawing/2014/main" id="{C3411459-1437-4129-A374-A443E884497B}"/>
              </a:ext>
            </a:extLst>
          </xdr:cNvPr>
          <xdr:cNvCxnSpPr/>
        </xdr:nvCxnSpPr>
        <xdr:spPr>
          <a:xfrm>
            <a:off x="12020551" y="248669175"/>
            <a:ext cx="0" cy="2381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9" name="Straight Connector 3548">
            <a:extLst>
              <a:ext uri="{FF2B5EF4-FFF2-40B4-BE49-F238E27FC236}">
                <a16:creationId xmlns:a16="http://schemas.microsoft.com/office/drawing/2014/main" id="{B9CF3670-82BB-4A60-B2DD-37E7AAF77873}"/>
              </a:ext>
            </a:extLst>
          </xdr:cNvPr>
          <xdr:cNvCxnSpPr/>
        </xdr:nvCxnSpPr>
        <xdr:spPr>
          <a:xfrm>
            <a:off x="10467976" y="249716925"/>
            <a:ext cx="0" cy="2381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3" name="Straight Connector 3552">
            <a:extLst>
              <a:ext uri="{FF2B5EF4-FFF2-40B4-BE49-F238E27FC236}">
                <a16:creationId xmlns:a16="http://schemas.microsoft.com/office/drawing/2014/main" id="{2CBDE658-B660-4923-9715-853701E6C316}"/>
              </a:ext>
            </a:extLst>
          </xdr:cNvPr>
          <xdr:cNvCxnSpPr/>
        </xdr:nvCxnSpPr>
        <xdr:spPr>
          <a:xfrm>
            <a:off x="10263188" y="248950163"/>
            <a:ext cx="0" cy="2381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66" name="Freeform: Shape 3565">
            <a:extLst>
              <a:ext uri="{FF2B5EF4-FFF2-40B4-BE49-F238E27FC236}">
                <a16:creationId xmlns:a16="http://schemas.microsoft.com/office/drawing/2014/main" id="{36F99A8E-088D-C455-BDF6-988DF6FE9C90}"/>
              </a:ext>
            </a:extLst>
          </xdr:cNvPr>
          <xdr:cNvSpPr/>
        </xdr:nvSpPr>
        <xdr:spPr>
          <a:xfrm>
            <a:off x="8586788" y="248907300"/>
            <a:ext cx="3548062" cy="942975"/>
          </a:xfrm>
          <a:custGeom>
            <a:avLst/>
            <a:gdLst>
              <a:gd name="connsiteX0" fmla="*/ 0 w 3548062"/>
              <a:gd name="connsiteY0" fmla="*/ 942975 h 942975"/>
              <a:gd name="connsiteX1" fmla="*/ 1681162 w 3548062"/>
              <a:gd name="connsiteY1" fmla="*/ 276225 h 942975"/>
              <a:gd name="connsiteX2" fmla="*/ 3433762 w 3548062"/>
              <a:gd name="connsiteY2" fmla="*/ 0 h 942975"/>
              <a:gd name="connsiteX3" fmla="*/ 3548062 w 3548062"/>
              <a:gd name="connsiteY3" fmla="*/ 395288 h 942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548062" h="942975">
                <a:moveTo>
                  <a:pt x="0" y="942975"/>
                </a:moveTo>
                <a:lnTo>
                  <a:pt x="1681162" y="276225"/>
                </a:lnTo>
                <a:lnTo>
                  <a:pt x="3433762" y="0"/>
                </a:lnTo>
                <a:lnTo>
                  <a:pt x="3548062" y="395288"/>
                </a:lnTo>
              </a:path>
            </a:pathLst>
          </a:custGeom>
          <a:noFill/>
          <a:ln w="635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68" name="Straight Connector 3567">
            <a:extLst>
              <a:ext uri="{FF2B5EF4-FFF2-40B4-BE49-F238E27FC236}">
                <a16:creationId xmlns:a16="http://schemas.microsoft.com/office/drawing/2014/main" id="{66350A7D-A0D4-88D0-B27F-C8CA77BAB57B}"/>
              </a:ext>
            </a:extLst>
          </xdr:cNvPr>
          <xdr:cNvCxnSpPr>
            <a:stCxn id="2886" idx="2"/>
            <a:endCxn id="2886" idx="5"/>
          </xdr:cNvCxnSpPr>
        </xdr:nvCxnSpPr>
        <xdr:spPr>
          <a:xfrm>
            <a:off x="10264040" y="248948407"/>
            <a:ext cx="207516" cy="76778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9" name="Straight Connector 3568">
            <a:extLst>
              <a:ext uri="{FF2B5EF4-FFF2-40B4-BE49-F238E27FC236}">
                <a16:creationId xmlns:a16="http://schemas.microsoft.com/office/drawing/2014/main" id="{91BB17B8-5F81-44E6-8753-3C15C77388AE}"/>
              </a:ext>
            </a:extLst>
          </xdr:cNvPr>
          <xdr:cNvCxnSpPr>
            <a:stCxn id="3566" idx="1"/>
            <a:endCxn id="3557" idx="5"/>
          </xdr:cNvCxnSpPr>
        </xdr:nvCxnSpPr>
        <xdr:spPr>
          <a:xfrm>
            <a:off x="10267950" y="249183525"/>
            <a:ext cx="200025" cy="76676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49</xdr:col>
      <xdr:colOff>152400</xdr:colOff>
      <xdr:row>1780</xdr:row>
      <xdr:rowOff>0</xdr:rowOff>
    </xdr:from>
    <xdr:to>
      <xdr:col>67</xdr:col>
      <xdr:colOff>0</xdr:colOff>
      <xdr:row>1784</xdr:row>
      <xdr:rowOff>0</xdr:rowOff>
    </xdr:to>
    <xdr:grpSp>
      <xdr:nvGrpSpPr>
        <xdr:cNvPr id="3480" name="Group 3479">
          <a:extLst>
            <a:ext uri="{FF2B5EF4-FFF2-40B4-BE49-F238E27FC236}">
              <a16:creationId xmlns:a16="http://schemas.microsoft.com/office/drawing/2014/main" id="{179F9973-4439-4CF0-9B8A-15697560E199}"/>
            </a:ext>
          </a:extLst>
        </xdr:cNvPr>
        <xdr:cNvGrpSpPr/>
      </xdr:nvGrpSpPr>
      <xdr:grpSpPr>
        <a:xfrm>
          <a:off x="8086725" y="268404975"/>
          <a:ext cx="2762250" cy="571500"/>
          <a:chOff x="4362450" y="213902925"/>
          <a:chExt cx="2762250" cy="571500"/>
        </a:xfrm>
      </xdr:grpSpPr>
      <xdr:cxnSp macro="">
        <xdr:nvCxnSpPr>
          <xdr:cNvPr id="3484" name="Straight Connector 3483">
            <a:extLst>
              <a:ext uri="{FF2B5EF4-FFF2-40B4-BE49-F238E27FC236}">
                <a16:creationId xmlns:a16="http://schemas.microsoft.com/office/drawing/2014/main" id="{DFE65C85-F8C0-69F5-6199-FFDE8ACB5376}"/>
              </a:ext>
            </a:extLst>
          </xdr:cNvPr>
          <xdr:cNvCxnSpPr/>
        </xdr:nvCxnSpPr>
        <xdr:spPr>
          <a:xfrm>
            <a:off x="4371975" y="214331548"/>
            <a:ext cx="25860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CF96945F-EDA9-6A15-80BC-0243B4F64B3C}"/>
              </a:ext>
            </a:extLst>
          </xdr:cNvPr>
          <xdr:cNvSpPr/>
        </xdr:nvSpPr>
        <xdr:spPr>
          <a:xfrm>
            <a:off x="6972300" y="214188675"/>
            <a:ext cx="152400" cy="285750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95" name="Straight Connector 3494">
            <a:extLst>
              <a:ext uri="{FF2B5EF4-FFF2-40B4-BE49-F238E27FC236}">
                <a16:creationId xmlns:a16="http://schemas.microsoft.com/office/drawing/2014/main" id="{DF896421-DBB6-B2F1-5B40-8C84A573EAEC}"/>
              </a:ext>
            </a:extLst>
          </xdr:cNvPr>
          <xdr:cNvCxnSpPr/>
        </xdr:nvCxnSpPr>
        <xdr:spPr>
          <a:xfrm>
            <a:off x="6962775" y="21417915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24" name="Freeform: Shape 3523">
            <a:extLst>
              <a:ext uri="{FF2B5EF4-FFF2-40B4-BE49-F238E27FC236}">
                <a16:creationId xmlns:a16="http://schemas.microsoft.com/office/drawing/2014/main" id="{F03EBEDA-EDAA-E406-EC51-8ED1636C42FD}"/>
              </a:ext>
            </a:extLst>
          </xdr:cNvPr>
          <xdr:cNvSpPr/>
        </xdr:nvSpPr>
        <xdr:spPr>
          <a:xfrm>
            <a:off x="4362450" y="213902925"/>
            <a:ext cx="2600325" cy="438150"/>
          </a:xfrm>
          <a:custGeom>
            <a:avLst/>
            <a:gdLst>
              <a:gd name="connsiteX0" fmla="*/ 2600325 w 2600325"/>
              <a:gd name="connsiteY0" fmla="*/ 438150 h 438150"/>
              <a:gd name="connsiteX1" fmla="*/ 2600325 w 2600325"/>
              <a:gd name="connsiteY1" fmla="*/ 0 h 438150"/>
              <a:gd name="connsiteX2" fmla="*/ 0 w 2600325"/>
              <a:gd name="connsiteY2" fmla="*/ 0 h 438150"/>
              <a:gd name="connsiteX3" fmla="*/ 0 w 2600325"/>
              <a:gd name="connsiteY3" fmla="*/ 438150 h 438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600325" h="438150">
                <a:moveTo>
                  <a:pt x="2600325" y="438150"/>
                </a:moveTo>
                <a:lnTo>
                  <a:pt x="2600325" y="0"/>
                </a:lnTo>
                <a:lnTo>
                  <a:pt x="0" y="0"/>
                </a:lnTo>
                <a:lnTo>
                  <a:pt x="0" y="438150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50</xdr:col>
      <xdr:colOff>0</xdr:colOff>
      <xdr:row>1773</xdr:row>
      <xdr:rowOff>9525</xdr:rowOff>
    </xdr:from>
    <xdr:to>
      <xdr:col>67</xdr:col>
      <xdr:colOff>0</xdr:colOff>
      <xdr:row>1777</xdr:row>
      <xdr:rowOff>9525</xdr:rowOff>
    </xdr:to>
    <xdr:grpSp>
      <xdr:nvGrpSpPr>
        <xdr:cNvPr id="3528" name="Group 3527">
          <a:extLst>
            <a:ext uri="{FF2B5EF4-FFF2-40B4-BE49-F238E27FC236}">
              <a16:creationId xmlns:a16="http://schemas.microsoft.com/office/drawing/2014/main" id="{BA6989FA-3802-48AD-B24E-6E065BCD9ED4}"/>
            </a:ext>
          </a:extLst>
        </xdr:cNvPr>
        <xdr:cNvGrpSpPr/>
      </xdr:nvGrpSpPr>
      <xdr:grpSpPr>
        <a:xfrm>
          <a:off x="8096250" y="267414375"/>
          <a:ext cx="2752725" cy="571500"/>
          <a:chOff x="4371975" y="212912325"/>
          <a:chExt cx="2752725" cy="571500"/>
        </a:xfrm>
      </xdr:grpSpPr>
      <xdr:cxnSp macro="">
        <xdr:nvCxnSpPr>
          <xdr:cNvPr id="3550" name="Straight Connector 3549">
            <a:extLst>
              <a:ext uri="{FF2B5EF4-FFF2-40B4-BE49-F238E27FC236}">
                <a16:creationId xmlns:a16="http://schemas.microsoft.com/office/drawing/2014/main" id="{A8D0C60D-5DB9-8EF0-B756-9CBCC4281700}"/>
              </a:ext>
            </a:extLst>
          </xdr:cNvPr>
          <xdr:cNvCxnSpPr/>
        </xdr:nvCxnSpPr>
        <xdr:spPr>
          <a:xfrm>
            <a:off x="4371975" y="213331423"/>
            <a:ext cx="25860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98B54E35-C46A-B35F-DC6E-6F30FBABE9AA}"/>
              </a:ext>
            </a:extLst>
          </xdr:cNvPr>
          <xdr:cNvSpPr/>
        </xdr:nvSpPr>
        <xdr:spPr>
          <a:xfrm>
            <a:off x="6972300" y="213188550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54" name="Straight Connector 3553">
            <a:extLst>
              <a:ext uri="{FF2B5EF4-FFF2-40B4-BE49-F238E27FC236}">
                <a16:creationId xmlns:a16="http://schemas.microsoft.com/office/drawing/2014/main" id="{63782A26-99F5-E275-A45D-8468C4987AF3}"/>
              </a:ext>
            </a:extLst>
          </xdr:cNvPr>
          <xdr:cNvCxnSpPr/>
        </xdr:nvCxnSpPr>
        <xdr:spPr>
          <a:xfrm>
            <a:off x="6972300" y="21318855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64" name="Freeform: Shape 3563">
            <a:extLst>
              <a:ext uri="{FF2B5EF4-FFF2-40B4-BE49-F238E27FC236}">
                <a16:creationId xmlns:a16="http://schemas.microsoft.com/office/drawing/2014/main" id="{52B30DBF-0D07-9D0F-951B-6987DCEC6A67}"/>
              </a:ext>
            </a:extLst>
          </xdr:cNvPr>
          <xdr:cNvSpPr/>
        </xdr:nvSpPr>
        <xdr:spPr>
          <a:xfrm>
            <a:off x="4371975" y="212912325"/>
            <a:ext cx="2590800" cy="419100"/>
          </a:xfrm>
          <a:custGeom>
            <a:avLst/>
            <a:gdLst>
              <a:gd name="connsiteX0" fmla="*/ 2590800 w 2590800"/>
              <a:gd name="connsiteY0" fmla="*/ 409575 h 419100"/>
              <a:gd name="connsiteX1" fmla="*/ 2590800 w 2590800"/>
              <a:gd name="connsiteY1" fmla="*/ 0 h 419100"/>
              <a:gd name="connsiteX2" fmla="*/ 0 w 2590800"/>
              <a:gd name="connsiteY2" fmla="*/ 419100 h 419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90800" h="419100">
                <a:moveTo>
                  <a:pt x="2590800" y="409575"/>
                </a:moveTo>
                <a:lnTo>
                  <a:pt x="2590800" y="0"/>
                </a:lnTo>
                <a:lnTo>
                  <a:pt x="0" y="419100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</xdr:col>
      <xdr:colOff>80963</xdr:colOff>
      <xdr:row>1773</xdr:row>
      <xdr:rowOff>0</xdr:rowOff>
    </xdr:from>
    <xdr:to>
      <xdr:col>22</xdr:col>
      <xdr:colOff>130299</xdr:colOff>
      <xdr:row>1784</xdr:row>
      <xdr:rowOff>80963</xdr:rowOff>
    </xdr:to>
    <xdr:grpSp>
      <xdr:nvGrpSpPr>
        <xdr:cNvPr id="3567" name="Group 3566">
          <a:extLst>
            <a:ext uri="{FF2B5EF4-FFF2-40B4-BE49-F238E27FC236}">
              <a16:creationId xmlns:a16="http://schemas.microsoft.com/office/drawing/2014/main" id="{68EAB2D5-303A-4D23-8A9D-8C0B9CE91BAF}"/>
            </a:ext>
          </a:extLst>
        </xdr:cNvPr>
        <xdr:cNvGrpSpPr/>
      </xdr:nvGrpSpPr>
      <xdr:grpSpPr>
        <a:xfrm>
          <a:off x="728663" y="267404850"/>
          <a:ext cx="2963986" cy="1652588"/>
          <a:chOff x="4291013" y="210759675"/>
          <a:chExt cx="2963986" cy="1652588"/>
        </a:xfrm>
      </xdr:grpSpPr>
      <xdr:sp macro="" textlink="">
        <xdr:nvSpPr>
          <xdr:cNvPr id="3571" name="Trapezoid 3570">
            <a:extLst>
              <a:ext uri="{FF2B5EF4-FFF2-40B4-BE49-F238E27FC236}">
                <a16:creationId xmlns:a16="http://schemas.microsoft.com/office/drawing/2014/main" id="{FB52420F-F3C3-083F-9CC5-52FC305B7DDD}"/>
              </a:ext>
            </a:extLst>
          </xdr:cNvPr>
          <xdr:cNvSpPr/>
        </xdr:nvSpPr>
        <xdr:spPr>
          <a:xfrm rot="16200000">
            <a:off x="5429255" y="210021489"/>
            <a:ext cx="457200" cy="2571748"/>
          </a:xfrm>
          <a:prstGeom prst="trapezoid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8B5E0585-EACF-6593-338A-90A148F1741D}"/>
              </a:ext>
            </a:extLst>
          </xdr:cNvPr>
          <xdr:cNvSpPr/>
        </xdr:nvSpPr>
        <xdr:spPr>
          <a:xfrm>
            <a:off x="6972300" y="210902550"/>
            <a:ext cx="152400" cy="8524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79" name="Straight Arrow Connector 3578">
            <a:extLst>
              <a:ext uri="{FF2B5EF4-FFF2-40B4-BE49-F238E27FC236}">
                <a16:creationId xmlns:a16="http://schemas.microsoft.com/office/drawing/2014/main" id="{1C1BFE8E-0F71-46EF-CC98-E1EDC55DE778}"/>
              </a:ext>
            </a:extLst>
          </xdr:cNvPr>
          <xdr:cNvCxnSpPr/>
        </xdr:nvCxnSpPr>
        <xdr:spPr>
          <a:xfrm>
            <a:off x="4376737" y="210759675"/>
            <a:ext cx="0" cy="4381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2" name="Straight Connector 3581">
            <a:extLst>
              <a:ext uri="{FF2B5EF4-FFF2-40B4-BE49-F238E27FC236}">
                <a16:creationId xmlns:a16="http://schemas.microsoft.com/office/drawing/2014/main" id="{C22EBBDA-45FE-1828-546B-46DFA6234F1F}"/>
              </a:ext>
            </a:extLst>
          </xdr:cNvPr>
          <xdr:cNvCxnSpPr/>
        </xdr:nvCxnSpPr>
        <xdr:spPr>
          <a:xfrm>
            <a:off x="4371975" y="211512150"/>
            <a:ext cx="0" cy="900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3" name="Straight Connector 3582">
            <a:extLst>
              <a:ext uri="{FF2B5EF4-FFF2-40B4-BE49-F238E27FC236}">
                <a16:creationId xmlns:a16="http://schemas.microsoft.com/office/drawing/2014/main" id="{E55F9B03-962F-3D9A-FCC6-1742C4D6D175}"/>
              </a:ext>
            </a:extLst>
          </xdr:cNvPr>
          <xdr:cNvCxnSpPr/>
        </xdr:nvCxnSpPr>
        <xdr:spPr>
          <a:xfrm>
            <a:off x="4291013" y="212331309"/>
            <a:ext cx="2743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5" name="Straight Arrow Connector 3584">
            <a:extLst>
              <a:ext uri="{FF2B5EF4-FFF2-40B4-BE49-F238E27FC236}">
                <a16:creationId xmlns:a16="http://schemas.microsoft.com/office/drawing/2014/main" id="{0929BB8F-870B-6E4D-DD09-F238B48CBA93}"/>
              </a:ext>
            </a:extLst>
          </xdr:cNvPr>
          <xdr:cNvCxnSpPr/>
        </xdr:nvCxnSpPr>
        <xdr:spPr>
          <a:xfrm flipV="1">
            <a:off x="6962775" y="211807425"/>
            <a:ext cx="0" cy="242888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6" name="Straight Connector 3585">
            <a:extLst>
              <a:ext uri="{FF2B5EF4-FFF2-40B4-BE49-F238E27FC236}">
                <a16:creationId xmlns:a16="http://schemas.microsoft.com/office/drawing/2014/main" id="{DA7EA21B-5B44-8A71-953B-56713BD2D542}"/>
              </a:ext>
            </a:extLst>
          </xdr:cNvPr>
          <xdr:cNvCxnSpPr/>
        </xdr:nvCxnSpPr>
        <xdr:spPr>
          <a:xfrm flipH="1">
            <a:off x="4333874" y="2122979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7" name="Straight Connector 3586">
            <a:extLst>
              <a:ext uri="{FF2B5EF4-FFF2-40B4-BE49-F238E27FC236}">
                <a16:creationId xmlns:a16="http://schemas.microsoft.com/office/drawing/2014/main" id="{BAA8E0C3-CAF4-FDB2-86D0-11B7BDF6E12C}"/>
              </a:ext>
            </a:extLst>
          </xdr:cNvPr>
          <xdr:cNvCxnSpPr/>
        </xdr:nvCxnSpPr>
        <xdr:spPr>
          <a:xfrm>
            <a:off x="6962774" y="212207475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8" name="Straight Connector 3587">
            <a:extLst>
              <a:ext uri="{FF2B5EF4-FFF2-40B4-BE49-F238E27FC236}">
                <a16:creationId xmlns:a16="http://schemas.microsoft.com/office/drawing/2014/main" id="{974519A3-208A-876D-FE54-5F5BDD912FC8}"/>
              </a:ext>
            </a:extLst>
          </xdr:cNvPr>
          <xdr:cNvCxnSpPr/>
        </xdr:nvCxnSpPr>
        <xdr:spPr>
          <a:xfrm flipH="1">
            <a:off x="6924673" y="2122979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9" name="Straight Arrow Connector 3588">
            <a:extLst>
              <a:ext uri="{FF2B5EF4-FFF2-40B4-BE49-F238E27FC236}">
                <a16:creationId xmlns:a16="http://schemas.microsoft.com/office/drawing/2014/main" id="{A5025A64-D30F-6AF6-D234-E5604669C8A6}"/>
              </a:ext>
            </a:extLst>
          </xdr:cNvPr>
          <xdr:cNvCxnSpPr/>
        </xdr:nvCxnSpPr>
        <xdr:spPr>
          <a:xfrm>
            <a:off x="4381500" y="211836007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0" name="Straight Connector 3589">
            <a:extLst>
              <a:ext uri="{FF2B5EF4-FFF2-40B4-BE49-F238E27FC236}">
                <a16:creationId xmlns:a16="http://schemas.microsoft.com/office/drawing/2014/main" id="{6283BCB6-A3BF-D4C0-3864-4651D3F33F72}"/>
              </a:ext>
            </a:extLst>
          </xdr:cNvPr>
          <xdr:cNvCxnSpPr/>
        </xdr:nvCxnSpPr>
        <xdr:spPr>
          <a:xfrm>
            <a:off x="6958012" y="210897788"/>
            <a:ext cx="0" cy="8715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91" name="Arc 3590">
            <a:extLst>
              <a:ext uri="{FF2B5EF4-FFF2-40B4-BE49-F238E27FC236}">
                <a16:creationId xmlns:a16="http://schemas.microsoft.com/office/drawing/2014/main" id="{D0FD64BC-1BD5-F157-2ECA-37886EE2CE72}"/>
              </a:ext>
            </a:extLst>
          </xdr:cNvPr>
          <xdr:cNvSpPr/>
        </xdr:nvSpPr>
        <xdr:spPr>
          <a:xfrm rot="2590035">
            <a:off x="6696075" y="210988276"/>
            <a:ext cx="558924" cy="558924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29</xdr:col>
      <xdr:colOff>114296</xdr:colOff>
      <xdr:row>1774</xdr:row>
      <xdr:rowOff>71438</xdr:rowOff>
    </xdr:from>
    <xdr:to>
      <xdr:col>34</xdr:col>
      <xdr:colOff>61913</xdr:colOff>
      <xdr:row>1778</xdr:row>
      <xdr:rowOff>71438</xdr:rowOff>
    </xdr:to>
    <xdr:grpSp>
      <xdr:nvGrpSpPr>
        <xdr:cNvPr id="3592" name="Group 3591">
          <a:extLst>
            <a:ext uri="{FF2B5EF4-FFF2-40B4-BE49-F238E27FC236}">
              <a16:creationId xmlns:a16="http://schemas.microsoft.com/office/drawing/2014/main" id="{6E33F8F0-8996-4270-BF6B-161AC0473ABD}"/>
            </a:ext>
          </a:extLst>
        </xdr:cNvPr>
        <xdr:cNvGrpSpPr/>
      </xdr:nvGrpSpPr>
      <xdr:grpSpPr>
        <a:xfrm>
          <a:off x="4810121" y="267619163"/>
          <a:ext cx="757242" cy="571500"/>
          <a:chOff x="4810121" y="392434763"/>
          <a:chExt cx="757242" cy="571500"/>
        </a:xfrm>
      </xdr:grpSpPr>
      <xdr:cxnSp macro="">
        <xdr:nvCxnSpPr>
          <xdr:cNvPr id="3593" name="Straight Connector 3592">
            <a:extLst>
              <a:ext uri="{FF2B5EF4-FFF2-40B4-BE49-F238E27FC236}">
                <a16:creationId xmlns:a16="http://schemas.microsoft.com/office/drawing/2014/main" id="{16C94EBD-DD47-065B-355A-866B377FCE61}"/>
              </a:ext>
            </a:extLst>
          </xdr:cNvPr>
          <xdr:cNvCxnSpPr/>
        </xdr:nvCxnSpPr>
        <xdr:spPr>
          <a:xfrm>
            <a:off x="5124450" y="392506201"/>
            <a:ext cx="4429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4" name="Straight Connector 3593">
            <a:extLst>
              <a:ext uri="{FF2B5EF4-FFF2-40B4-BE49-F238E27FC236}">
                <a16:creationId xmlns:a16="http://schemas.microsoft.com/office/drawing/2014/main" id="{724FC99F-ABBA-A36C-95B0-870DA81D61AD}"/>
              </a:ext>
            </a:extLst>
          </xdr:cNvPr>
          <xdr:cNvCxnSpPr/>
        </xdr:nvCxnSpPr>
        <xdr:spPr>
          <a:xfrm>
            <a:off x="5124450" y="392934826"/>
            <a:ext cx="438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5" name="Straight Connector 3594">
            <a:extLst>
              <a:ext uri="{FF2B5EF4-FFF2-40B4-BE49-F238E27FC236}">
                <a16:creationId xmlns:a16="http://schemas.microsoft.com/office/drawing/2014/main" id="{368F013D-F37E-9548-5FD3-BA5BC555D145}"/>
              </a:ext>
            </a:extLst>
          </xdr:cNvPr>
          <xdr:cNvCxnSpPr/>
        </xdr:nvCxnSpPr>
        <xdr:spPr>
          <a:xfrm>
            <a:off x="5505450" y="392434763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6" name="Straight Connector 3595">
            <a:extLst>
              <a:ext uri="{FF2B5EF4-FFF2-40B4-BE49-F238E27FC236}">
                <a16:creationId xmlns:a16="http://schemas.microsoft.com/office/drawing/2014/main" id="{C198B368-E512-9EDC-3148-C1A312858129}"/>
              </a:ext>
            </a:extLst>
          </xdr:cNvPr>
          <xdr:cNvCxnSpPr/>
        </xdr:nvCxnSpPr>
        <xdr:spPr>
          <a:xfrm flipH="1">
            <a:off x="5472108" y="39247286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7" name="Straight Connector 3596">
            <a:extLst>
              <a:ext uri="{FF2B5EF4-FFF2-40B4-BE49-F238E27FC236}">
                <a16:creationId xmlns:a16="http://schemas.microsoft.com/office/drawing/2014/main" id="{A30397D5-2EE6-3328-F0B0-148F4A9D3120}"/>
              </a:ext>
            </a:extLst>
          </xdr:cNvPr>
          <xdr:cNvCxnSpPr/>
        </xdr:nvCxnSpPr>
        <xdr:spPr>
          <a:xfrm flipH="1">
            <a:off x="5472103" y="39290149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98" name="Oval 3597">
            <a:extLst>
              <a:ext uri="{FF2B5EF4-FFF2-40B4-BE49-F238E27FC236}">
                <a16:creationId xmlns:a16="http://schemas.microsoft.com/office/drawing/2014/main" id="{DD2BDB45-CEFC-B2F9-1F97-B0F4A7ED2F5B}"/>
              </a:ext>
            </a:extLst>
          </xdr:cNvPr>
          <xdr:cNvSpPr/>
        </xdr:nvSpPr>
        <xdr:spPr>
          <a:xfrm>
            <a:off x="4810121" y="392506197"/>
            <a:ext cx="428628" cy="428628"/>
          </a:xfrm>
          <a:prstGeom prst="ellips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38</xdr:col>
      <xdr:colOff>61917</xdr:colOff>
      <xdr:row>1774</xdr:row>
      <xdr:rowOff>71438</xdr:rowOff>
    </xdr:from>
    <xdr:to>
      <xdr:col>44</xdr:col>
      <xdr:colOff>61913</xdr:colOff>
      <xdr:row>1780</xdr:row>
      <xdr:rowOff>66675</xdr:rowOff>
    </xdr:to>
    <xdr:grpSp>
      <xdr:nvGrpSpPr>
        <xdr:cNvPr id="3599" name="Group 3598">
          <a:extLst>
            <a:ext uri="{FF2B5EF4-FFF2-40B4-BE49-F238E27FC236}">
              <a16:creationId xmlns:a16="http://schemas.microsoft.com/office/drawing/2014/main" id="{C6EEC730-46A8-4FF7-89E2-0BB9EAB058B6}"/>
            </a:ext>
          </a:extLst>
        </xdr:cNvPr>
        <xdr:cNvGrpSpPr/>
      </xdr:nvGrpSpPr>
      <xdr:grpSpPr>
        <a:xfrm>
          <a:off x="6215067" y="267619163"/>
          <a:ext cx="971546" cy="852487"/>
          <a:chOff x="6215067" y="392434763"/>
          <a:chExt cx="971546" cy="852487"/>
        </a:xfrm>
      </xdr:grpSpPr>
      <xdr:cxnSp macro="">
        <xdr:nvCxnSpPr>
          <xdr:cNvPr id="3600" name="Straight Connector 3599">
            <a:extLst>
              <a:ext uri="{FF2B5EF4-FFF2-40B4-BE49-F238E27FC236}">
                <a16:creationId xmlns:a16="http://schemas.microsoft.com/office/drawing/2014/main" id="{472BD5D9-BCDC-C9FA-FCE1-19C89A2C12A0}"/>
              </a:ext>
            </a:extLst>
          </xdr:cNvPr>
          <xdr:cNvCxnSpPr/>
        </xdr:nvCxnSpPr>
        <xdr:spPr>
          <a:xfrm>
            <a:off x="6686550" y="392510959"/>
            <a:ext cx="500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1" name="Straight Connector 3600">
            <a:extLst>
              <a:ext uri="{FF2B5EF4-FFF2-40B4-BE49-F238E27FC236}">
                <a16:creationId xmlns:a16="http://schemas.microsoft.com/office/drawing/2014/main" id="{50651652-6132-92FA-CCEF-9EA1FFA540E3}"/>
              </a:ext>
            </a:extLst>
          </xdr:cNvPr>
          <xdr:cNvCxnSpPr/>
        </xdr:nvCxnSpPr>
        <xdr:spPr>
          <a:xfrm>
            <a:off x="6734175" y="393220585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2" name="Straight Connector 3601">
            <a:extLst>
              <a:ext uri="{FF2B5EF4-FFF2-40B4-BE49-F238E27FC236}">
                <a16:creationId xmlns:a16="http://schemas.microsoft.com/office/drawing/2014/main" id="{2FBD6D76-FF0A-78DC-23A7-B601265A636D}"/>
              </a:ext>
            </a:extLst>
          </xdr:cNvPr>
          <xdr:cNvCxnSpPr/>
        </xdr:nvCxnSpPr>
        <xdr:spPr>
          <a:xfrm>
            <a:off x="7124700" y="392434763"/>
            <a:ext cx="0" cy="852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3" name="Straight Connector 3602">
            <a:extLst>
              <a:ext uri="{FF2B5EF4-FFF2-40B4-BE49-F238E27FC236}">
                <a16:creationId xmlns:a16="http://schemas.microsoft.com/office/drawing/2014/main" id="{FCA7C6E0-7513-FF0F-FDA2-A432A220353C}"/>
              </a:ext>
            </a:extLst>
          </xdr:cNvPr>
          <xdr:cNvCxnSpPr/>
        </xdr:nvCxnSpPr>
        <xdr:spPr>
          <a:xfrm flipH="1">
            <a:off x="7091358" y="39247762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4" name="Straight Connector 3603">
            <a:extLst>
              <a:ext uri="{FF2B5EF4-FFF2-40B4-BE49-F238E27FC236}">
                <a16:creationId xmlns:a16="http://schemas.microsoft.com/office/drawing/2014/main" id="{717CA97C-7732-5BEC-3DF8-FCF2EF03B7A9}"/>
              </a:ext>
            </a:extLst>
          </xdr:cNvPr>
          <xdr:cNvCxnSpPr/>
        </xdr:nvCxnSpPr>
        <xdr:spPr>
          <a:xfrm flipH="1">
            <a:off x="7091353" y="39318725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05" name="Oval 3604">
            <a:extLst>
              <a:ext uri="{FF2B5EF4-FFF2-40B4-BE49-F238E27FC236}">
                <a16:creationId xmlns:a16="http://schemas.microsoft.com/office/drawing/2014/main" id="{F882B102-6BB8-BD6F-0BAA-E631AA7D18C1}"/>
              </a:ext>
            </a:extLst>
          </xdr:cNvPr>
          <xdr:cNvSpPr/>
        </xdr:nvSpPr>
        <xdr:spPr>
          <a:xfrm>
            <a:off x="6215067" y="392515734"/>
            <a:ext cx="704846" cy="704846"/>
          </a:xfrm>
          <a:prstGeom prst="ellips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7</xdr:col>
      <xdr:colOff>57150</xdr:colOff>
      <xdr:row>1812</xdr:row>
      <xdr:rowOff>66675</xdr:rowOff>
    </xdr:from>
    <xdr:to>
      <xdr:col>8</xdr:col>
      <xdr:colOff>109537</xdr:colOff>
      <xdr:row>1812</xdr:row>
      <xdr:rowOff>66675</xdr:rowOff>
    </xdr:to>
    <xdr:cxnSp macro="">
      <xdr:nvCxnSpPr>
        <xdr:cNvPr id="3606" name="Straight Arrow Connector 3605">
          <a:extLst>
            <a:ext uri="{FF2B5EF4-FFF2-40B4-BE49-F238E27FC236}">
              <a16:creationId xmlns:a16="http://schemas.microsoft.com/office/drawing/2014/main" id="{C6C9B4E0-E7FF-4291-AA8A-F7004B473921}"/>
            </a:ext>
          </a:extLst>
        </xdr:cNvPr>
        <xdr:cNvCxnSpPr/>
      </xdr:nvCxnSpPr>
      <xdr:spPr>
        <a:xfrm>
          <a:off x="1190625" y="2736056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1813</xdr:row>
      <xdr:rowOff>66675</xdr:rowOff>
    </xdr:from>
    <xdr:to>
      <xdr:col>8</xdr:col>
      <xdr:colOff>109537</xdr:colOff>
      <xdr:row>1813</xdr:row>
      <xdr:rowOff>66675</xdr:rowOff>
    </xdr:to>
    <xdr:cxnSp macro="">
      <xdr:nvCxnSpPr>
        <xdr:cNvPr id="3607" name="Straight Arrow Connector 3606">
          <a:extLst>
            <a:ext uri="{FF2B5EF4-FFF2-40B4-BE49-F238E27FC236}">
              <a16:creationId xmlns:a16="http://schemas.microsoft.com/office/drawing/2014/main" id="{B50DAC96-559E-4F72-818B-59B7905AFB88}"/>
            </a:ext>
          </a:extLst>
        </xdr:cNvPr>
        <xdr:cNvCxnSpPr/>
      </xdr:nvCxnSpPr>
      <xdr:spPr>
        <a:xfrm>
          <a:off x="1190625" y="273748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57150</xdr:colOff>
      <xdr:row>1812</xdr:row>
      <xdr:rowOff>66675</xdr:rowOff>
    </xdr:from>
    <xdr:to>
      <xdr:col>39</xdr:col>
      <xdr:colOff>109537</xdr:colOff>
      <xdr:row>1812</xdr:row>
      <xdr:rowOff>66675</xdr:rowOff>
    </xdr:to>
    <xdr:cxnSp macro="">
      <xdr:nvCxnSpPr>
        <xdr:cNvPr id="3608" name="Straight Arrow Connector 3607">
          <a:extLst>
            <a:ext uri="{FF2B5EF4-FFF2-40B4-BE49-F238E27FC236}">
              <a16:creationId xmlns:a16="http://schemas.microsoft.com/office/drawing/2014/main" id="{BDBA1D58-9112-4F30-A2E4-7D48CC79DAD6}"/>
            </a:ext>
          </a:extLst>
        </xdr:cNvPr>
        <xdr:cNvCxnSpPr/>
      </xdr:nvCxnSpPr>
      <xdr:spPr>
        <a:xfrm>
          <a:off x="6210300" y="2736056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57150</xdr:colOff>
      <xdr:row>1813</xdr:row>
      <xdr:rowOff>66675</xdr:rowOff>
    </xdr:from>
    <xdr:to>
      <xdr:col>45</xdr:col>
      <xdr:colOff>109537</xdr:colOff>
      <xdr:row>1813</xdr:row>
      <xdr:rowOff>66675</xdr:rowOff>
    </xdr:to>
    <xdr:cxnSp macro="">
      <xdr:nvCxnSpPr>
        <xdr:cNvPr id="3609" name="Straight Arrow Connector 3608">
          <a:extLst>
            <a:ext uri="{FF2B5EF4-FFF2-40B4-BE49-F238E27FC236}">
              <a16:creationId xmlns:a16="http://schemas.microsoft.com/office/drawing/2014/main" id="{A7631CB7-C2CB-41A1-82CC-7955244BA437}"/>
            </a:ext>
          </a:extLst>
        </xdr:cNvPr>
        <xdr:cNvCxnSpPr/>
      </xdr:nvCxnSpPr>
      <xdr:spPr>
        <a:xfrm>
          <a:off x="7181850" y="273748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152400</xdr:colOff>
      <xdr:row>1833</xdr:row>
      <xdr:rowOff>0</xdr:rowOff>
    </xdr:from>
    <xdr:to>
      <xdr:col>67</xdr:col>
      <xdr:colOff>0</xdr:colOff>
      <xdr:row>1837</xdr:row>
      <xdr:rowOff>0</xdr:rowOff>
    </xdr:to>
    <xdr:grpSp>
      <xdr:nvGrpSpPr>
        <xdr:cNvPr id="3610" name="Group 3609">
          <a:extLst>
            <a:ext uri="{FF2B5EF4-FFF2-40B4-BE49-F238E27FC236}">
              <a16:creationId xmlns:a16="http://schemas.microsoft.com/office/drawing/2014/main" id="{DAB5CD71-DA8D-46F2-A019-66C5F9D86273}"/>
            </a:ext>
          </a:extLst>
        </xdr:cNvPr>
        <xdr:cNvGrpSpPr/>
      </xdr:nvGrpSpPr>
      <xdr:grpSpPr>
        <a:xfrm>
          <a:off x="8086725" y="276405975"/>
          <a:ext cx="2762250" cy="571500"/>
          <a:chOff x="4362450" y="213902925"/>
          <a:chExt cx="2762250" cy="571500"/>
        </a:xfrm>
      </xdr:grpSpPr>
      <xdr:cxnSp macro="">
        <xdr:nvCxnSpPr>
          <xdr:cNvPr id="3611" name="Straight Connector 3610">
            <a:extLst>
              <a:ext uri="{FF2B5EF4-FFF2-40B4-BE49-F238E27FC236}">
                <a16:creationId xmlns:a16="http://schemas.microsoft.com/office/drawing/2014/main" id="{E56EAFC3-A7BE-D1E2-7CCB-5AED1E3C1DCC}"/>
              </a:ext>
            </a:extLst>
          </xdr:cNvPr>
          <xdr:cNvCxnSpPr/>
        </xdr:nvCxnSpPr>
        <xdr:spPr>
          <a:xfrm>
            <a:off x="4371975" y="214331548"/>
            <a:ext cx="25860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9B3F6735-7332-D57D-019F-D386143966A5}"/>
              </a:ext>
            </a:extLst>
          </xdr:cNvPr>
          <xdr:cNvSpPr/>
        </xdr:nvSpPr>
        <xdr:spPr>
          <a:xfrm>
            <a:off x="6972300" y="214188675"/>
            <a:ext cx="152400" cy="285750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13" name="Straight Connector 3612">
            <a:extLst>
              <a:ext uri="{FF2B5EF4-FFF2-40B4-BE49-F238E27FC236}">
                <a16:creationId xmlns:a16="http://schemas.microsoft.com/office/drawing/2014/main" id="{75E11F53-B55E-C21A-8F4B-E7202DE9FBE7}"/>
              </a:ext>
            </a:extLst>
          </xdr:cNvPr>
          <xdr:cNvCxnSpPr/>
        </xdr:nvCxnSpPr>
        <xdr:spPr>
          <a:xfrm>
            <a:off x="6962775" y="21417915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14" name="Freeform: Shape 3613">
            <a:extLst>
              <a:ext uri="{FF2B5EF4-FFF2-40B4-BE49-F238E27FC236}">
                <a16:creationId xmlns:a16="http://schemas.microsoft.com/office/drawing/2014/main" id="{3A5F9CA5-F903-2A44-4406-1B8A6723DB08}"/>
              </a:ext>
            </a:extLst>
          </xdr:cNvPr>
          <xdr:cNvSpPr/>
        </xdr:nvSpPr>
        <xdr:spPr>
          <a:xfrm>
            <a:off x="4362450" y="213902925"/>
            <a:ext cx="2600325" cy="438150"/>
          </a:xfrm>
          <a:custGeom>
            <a:avLst/>
            <a:gdLst>
              <a:gd name="connsiteX0" fmla="*/ 2600325 w 2600325"/>
              <a:gd name="connsiteY0" fmla="*/ 438150 h 438150"/>
              <a:gd name="connsiteX1" fmla="*/ 2600325 w 2600325"/>
              <a:gd name="connsiteY1" fmla="*/ 0 h 438150"/>
              <a:gd name="connsiteX2" fmla="*/ 0 w 2600325"/>
              <a:gd name="connsiteY2" fmla="*/ 0 h 438150"/>
              <a:gd name="connsiteX3" fmla="*/ 0 w 2600325"/>
              <a:gd name="connsiteY3" fmla="*/ 438150 h 438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600325" h="438150">
                <a:moveTo>
                  <a:pt x="2600325" y="438150"/>
                </a:moveTo>
                <a:lnTo>
                  <a:pt x="2600325" y="0"/>
                </a:lnTo>
                <a:lnTo>
                  <a:pt x="0" y="0"/>
                </a:lnTo>
                <a:lnTo>
                  <a:pt x="0" y="438150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50</xdr:col>
      <xdr:colOff>0</xdr:colOff>
      <xdr:row>1826</xdr:row>
      <xdr:rowOff>9525</xdr:rowOff>
    </xdr:from>
    <xdr:to>
      <xdr:col>67</xdr:col>
      <xdr:colOff>0</xdr:colOff>
      <xdr:row>1830</xdr:row>
      <xdr:rowOff>9525</xdr:rowOff>
    </xdr:to>
    <xdr:grpSp>
      <xdr:nvGrpSpPr>
        <xdr:cNvPr id="3615" name="Group 3614">
          <a:extLst>
            <a:ext uri="{FF2B5EF4-FFF2-40B4-BE49-F238E27FC236}">
              <a16:creationId xmlns:a16="http://schemas.microsoft.com/office/drawing/2014/main" id="{9AEDC2A6-1285-4023-97E6-7C878E689E6C}"/>
            </a:ext>
          </a:extLst>
        </xdr:cNvPr>
        <xdr:cNvGrpSpPr/>
      </xdr:nvGrpSpPr>
      <xdr:grpSpPr>
        <a:xfrm>
          <a:off x="8096250" y="275415375"/>
          <a:ext cx="2752725" cy="571500"/>
          <a:chOff x="4371975" y="212912325"/>
          <a:chExt cx="2752725" cy="571500"/>
        </a:xfrm>
      </xdr:grpSpPr>
      <xdr:cxnSp macro="">
        <xdr:nvCxnSpPr>
          <xdr:cNvPr id="3616" name="Straight Connector 3615">
            <a:extLst>
              <a:ext uri="{FF2B5EF4-FFF2-40B4-BE49-F238E27FC236}">
                <a16:creationId xmlns:a16="http://schemas.microsoft.com/office/drawing/2014/main" id="{97E7F2A5-3E37-91BD-2F1F-E76D78B214F4}"/>
              </a:ext>
            </a:extLst>
          </xdr:cNvPr>
          <xdr:cNvCxnSpPr/>
        </xdr:nvCxnSpPr>
        <xdr:spPr>
          <a:xfrm>
            <a:off x="4371975" y="213331423"/>
            <a:ext cx="25860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55604858-DBEC-9FA6-1D81-99310C043241}"/>
              </a:ext>
            </a:extLst>
          </xdr:cNvPr>
          <xdr:cNvSpPr/>
        </xdr:nvSpPr>
        <xdr:spPr>
          <a:xfrm>
            <a:off x="6972300" y="213188550"/>
            <a:ext cx="152400" cy="2905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18" name="Straight Connector 3617">
            <a:extLst>
              <a:ext uri="{FF2B5EF4-FFF2-40B4-BE49-F238E27FC236}">
                <a16:creationId xmlns:a16="http://schemas.microsoft.com/office/drawing/2014/main" id="{E6C9E931-901A-207C-EE52-0BA074124A43}"/>
              </a:ext>
            </a:extLst>
          </xdr:cNvPr>
          <xdr:cNvCxnSpPr/>
        </xdr:nvCxnSpPr>
        <xdr:spPr>
          <a:xfrm>
            <a:off x="6972300" y="213188550"/>
            <a:ext cx="0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19" name="Freeform: Shape 3618">
            <a:extLst>
              <a:ext uri="{FF2B5EF4-FFF2-40B4-BE49-F238E27FC236}">
                <a16:creationId xmlns:a16="http://schemas.microsoft.com/office/drawing/2014/main" id="{71B9D814-9005-1C09-39C3-8EECC9AA8BBF}"/>
              </a:ext>
            </a:extLst>
          </xdr:cNvPr>
          <xdr:cNvSpPr/>
        </xdr:nvSpPr>
        <xdr:spPr>
          <a:xfrm>
            <a:off x="4371975" y="212912325"/>
            <a:ext cx="2590800" cy="419100"/>
          </a:xfrm>
          <a:custGeom>
            <a:avLst/>
            <a:gdLst>
              <a:gd name="connsiteX0" fmla="*/ 2590800 w 2590800"/>
              <a:gd name="connsiteY0" fmla="*/ 409575 h 419100"/>
              <a:gd name="connsiteX1" fmla="*/ 2590800 w 2590800"/>
              <a:gd name="connsiteY1" fmla="*/ 0 h 419100"/>
              <a:gd name="connsiteX2" fmla="*/ 0 w 2590800"/>
              <a:gd name="connsiteY2" fmla="*/ 419100 h 419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90800" h="419100">
                <a:moveTo>
                  <a:pt x="2590800" y="409575"/>
                </a:moveTo>
                <a:lnTo>
                  <a:pt x="2590800" y="0"/>
                </a:lnTo>
                <a:lnTo>
                  <a:pt x="0" y="419100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37</xdr:col>
      <xdr:colOff>138113</xdr:colOff>
      <xdr:row>1827</xdr:row>
      <xdr:rowOff>71438</xdr:rowOff>
    </xdr:from>
    <xdr:to>
      <xdr:col>44</xdr:col>
      <xdr:colOff>61913</xdr:colOff>
      <xdr:row>1833</xdr:row>
      <xdr:rowOff>66675</xdr:rowOff>
    </xdr:to>
    <xdr:grpSp>
      <xdr:nvGrpSpPr>
        <xdr:cNvPr id="3620" name="Group 3619">
          <a:extLst>
            <a:ext uri="{FF2B5EF4-FFF2-40B4-BE49-F238E27FC236}">
              <a16:creationId xmlns:a16="http://schemas.microsoft.com/office/drawing/2014/main" id="{1F53CDF6-F6D2-4775-AB3D-B78543FEAE69}"/>
            </a:ext>
          </a:extLst>
        </xdr:cNvPr>
        <xdr:cNvGrpSpPr/>
      </xdr:nvGrpSpPr>
      <xdr:grpSpPr>
        <a:xfrm>
          <a:off x="6129338" y="275620163"/>
          <a:ext cx="1057275" cy="852487"/>
          <a:chOff x="6129338" y="400635788"/>
          <a:chExt cx="1057275" cy="852487"/>
        </a:xfrm>
      </xdr:grpSpPr>
      <xdr:cxnSp macro="">
        <xdr:nvCxnSpPr>
          <xdr:cNvPr id="3621" name="Straight Connector 3620">
            <a:extLst>
              <a:ext uri="{FF2B5EF4-FFF2-40B4-BE49-F238E27FC236}">
                <a16:creationId xmlns:a16="http://schemas.microsoft.com/office/drawing/2014/main" id="{EB40252D-D76C-60E2-6F39-1029F4F02953}"/>
              </a:ext>
            </a:extLst>
          </xdr:cNvPr>
          <xdr:cNvCxnSpPr/>
        </xdr:nvCxnSpPr>
        <xdr:spPr>
          <a:xfrm>
            <a:off x="6686550" y="400707221"/>
            <a:ext cx="500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2" name="Straight Connector 3621">
            <a:extLst>
              <a:ext uri="{FF2B5EF4-FFF2-40B4-BE49-F238E27FC236}">
                <a16:creationId xmlns:a16="http://schemas.microsoft.com/office/drawing/2014/main" id="{ED140B22-4BA8-6CE9-0EAE-233637B305E1}"/>
              </a:ext>
            </a:extLst>
          </xdr:cNvPr>
          <xdr:cNvCxnSpPr/>
        </xdr:nvCxnSpPr>
        <xdr:spPr>
          <a:xfrm>
            <a:off x="6734175" y="401421610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3" name="Straight Connector 3622">
            <a:extLst>
              <a:ext uri="{FF2B5EF4-FFF2-40B4-BE49-F238E27FC236}">
                <a16:creationId xmlns:a16="http://schemas.microsoft.com/office/drawing/2014/main" id="{999F6B0E-89B3-5BB8-5CB4-DDEF58DCD9D6}"/>
              </a:ext>
            </a:extLst>
          </xdr:cNvPr>
          <xdr:cNvCxnSpPr/>
        </xdr:nvCxnSpPr>
        <xdr:spPr>
          <a:xfrm>
            <a:off x="7124700" y="400635788"/>
            <a:ext cx="0" cy="852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4" name="Straight Connector 3623">
            <a:extLst>
              <a:ext uri="{FF2B5EF4-FFF2-40B4-BE49-F238E27FC236}">
                <a16:creationId xmlns:a16="http://schemas.microsoft.com/office/drawing/2014/main" id="{A6BB174E-4DAB-4E1A-8252-B51913B0B3D6}"/>
              </a:ext>
            </a:extLst>
          </xdr:cNvPr>
          <xdr:cNvCxnSpPr/>
        </xdr:nvCxnSpPr>
        <xdr:spPr>
          <a:xfrm flipH="1">
            <a:off x="7091358" y="40067388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5" name="Straight Connector 3624">
            <a:extLst>
              <a:ext uri="{FF2B5EF4-FFF2-40B4-BE49-F238E27FC236}">
                <a16:creationId xmlns:a16="http://schemas.microsoft.com/office/drawing/2014/main" id="{841853FD-3BAF-B01B-964A-40849ABBDC19}"/>
              </a:ext>
            </a:extLst>
          </xdr:cNvPr>
          <xdr:cNvCxnSpPr/>
        </xdr:nvCxnSpPr>
        <xdr:spPr>
          <a:xfrm flipH="1">
            <a:off x="7091353" y="40138828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26" name="Circle: Hollow 3625">
            <a:extLst>
              <a:ext uri="{FF2B5EF4-FFF2-40B4-BE49-F238E27FC236}">
                <a16:creationId xmlns:a16="http://schemas.microsoft.com/office/drawing/2014/main" id="{DB0F93AE-BFDF-91FC-EB44-2AF06F502F78}"/>
              </a:ext>
            </a:extLst>
          </xdr:cNvPr>
          <xdr:cNvSpPr/>
        </xdr:nvSpPr>
        <xdr:spPr>
          <a:xfrm>
            <a:off x="6186490" y="400711989"/>
            <a:ext cx="704850" cy="704850"/>
          </a:xfrm>
          <a:prstGeom prst="donut">
            <a:avLst>
              <a:gd name="adj" fmla="val 14930"/>
            </a:avLst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627" name="Straight Connector 3626">
            <a:extLst>
              <a:ext uri="{FF2B5EF4-FFF2-40B4-BE49-F238E27FC236}">
                <a16:creationId xmlns:a16="http://schemas.microsoft.com/office/drawing/2014/main" id="{4CCED68C-1959-FF7C-2C2E-32F7946FE429}"/>
              </a:ext>
            </a:extLst>
          </xdr:cNvPr>
          <xdr:cNvCxnSpPr/>
        </xdr:nvCxnSpPr>
        <xdr:spPr>
          <a:xfrm>
            <a:off x="6129338" y="401083463"/>
            <a:ext cx="2190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8" name="Straight Connector 3627">
            <a:extLst>
              <a:ext uri="{FF2B5EF4-FFF2-40B4-BE49-F238E27FC236}">
                <a16:creationId xmlns:a16="http://schemas.microsoft.com/office/drawing/2014/main" id="{8CE7988C-0BDF-CD1C-79F0-123B7D5875D7}"/>
              </a:ext>
            </a:extLst>
          </xdr:cNvPr>
          <xdr:cNvCxnSpPr/>
        </xdr:nvCxnSpPr>
        <xdr:spPr>
          <a:xfrm flipH="1">
            <a:off x="6143626" y="40104536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9" name="Straight Connector 3628">
            <a:extLst>
              <a:ext uri="{FF2B5EF4-FFF2-40B4-BE49-F238E27FC236}">
                <a16:creationId xmlns:a16="http://schemas.microsoft.com/office/drawing/2014/main" id="{5E76603D-977C-2752-8E80-9E39888376C3}"/>
              </a:ext>
            </a:extLst>
          </xdr:cNvPr>
          <xdr:cNvCxnSpPr/>
        </xdr:nvCxnSpPr>
        <xdr:spPr>
          <a:xfrm flipH="1">
            <a:off x="6253161" y="401040592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4767</xdr:colOff>
      <xdr:row>1827</xdr:row>
      <xdr:rowOff>71438</xdr:rowOff>
    </xdr:from>
    <xdr:to>
      <xdr:col>34</xdr:col>
      <xdr:colOff>61913</xdr:colOff>
      <xdr:row>1831</xdr:row>
      <xdr:rowOff>71438</xdr:rowOff>
    </xdr:to>
    <xdr:grpSp>
      <xdr:nvGrpSpPr>
        <xdr:cNvPr id="3630" name="Group 3629">
          <a:extLst>
            <a:ext uri="{FF2B5EF4-FFF2-40B4-BE49-F238E27FC236}">
              <a16:creationId xmlns:a16="http://schemas.microsoft.com/office/drawing/2014/main" id="{FB39D981-4FF8-46B6-A0DF-0B8637527A8A}"/>
            </a:ext>
          </a:extLst>
        </xdr:cNvPr>
        <xdr:cNvGrpSpPr/>
      </xdr:nvGrpSpPr>
      <xdr:grpSpPr>
        <a:xfrm>
          <a:off x="4700592" y="275620163"/>
          <a:ext cx="866771" cy="571500"/>
          <a:chOff x="4700592" y="400635788"/>
          <a:chExt cx="866771" cy="571500"/>
        </a:xfrm>
      </xdr:grpSpPr>
      <xdr:cxnSp macro="">
        <xdr:nvCxnSpPr>
          <xdr:cNvPr id="3631" name="Straight Connector 3630">
            <a:extLst>
              <a:ext uri="{FF2B5EF4-FFF2-40B4-BE49-F238E27FC236}">
                <a16:creationId xmlns:a16="http://schemas.microsoft.com/office/drawing/2014/main" id="{8F4DD22E-400F-91A9-72D3-EDE016FC3661}"/>
              </a:ext>
            </a:extLst>
          </xdr:cNvPr>
          <xdr:cNvCxnSpPr/>
        </xdr:nvCxnSpPr>
        <xdr:spPr>
          <a:xfrm>
            <a:off x="5124450" y="400707226"/>
            <a:ext cx="4429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2" name="Straight Connector 3631">
            <a:extLst>
              <a:ext uri="{FF2B5EF4-FFF2-40B4-BE49-F238E27FC236}">
                <a16:creationId xmlns:a16="http://schemas.microsoft.com/office/drawing/2014/main" id="{90E23746-E2AD-799E-DD99-818F85785E42}"/>
              </a:ext>
            </a:extLst>
          </xdr:cNvPr>
          <xdr:cNvCxnSpPr/>
        </xdr:nvCxnSpPr>
        <xdr:spPr>
          <a:xfrm>
            <a:off x="5124450" y="401135851"/>
            <a:ext cx="438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3" name="Straight Connector 3632">
            <a:extLst>
              <a:ext uri="{FF2B5EF4-FFF2-40B4-BE49-F238E27FC236}">
                <a16:creationId xmlns:a16="http://schemas.microsoft.com/office/drawing/2014/main" id="{613759D5-DF31-3F0B-3251-287CE21BF125}"/>
              </a:ext>
            </a:extLst>
          </xdr:cNvPr>
          <xdr:cNvCxnSpPr/>
        </xdr:nvCxnSpPr>
        <xdr:spPr>
          <a:xfrm>
            <a:off x="5505450" y="400635788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4" name="Straight Connector 3633">
            <a:extLst>
              <a:ext uri="{FF2B5EF4-FFF2-40B4-BE49-F238E27FC236}">
                <a16:creationId xmlns:a16="http://schemas.microsoft.com/office/drawing/2014/main" id="{8CF245CD-885A-CD8A-7117-724E17A7134D}"/>
              </a:ext>
            </a:extLst>
          </xdr:cNvPr>
          <xdr:cNvCxnSpPr/>
        </xdr:nvCxnSpPr>
        <xdr:spPr>
          <a:xfrm flipH="1">
            <a:off x="5472108" y="40067389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5" name="Straight Connector 3634">
            <a:extLst>
              <a:ext uri="{FF2B5EF4-FFF2-40B4-BE49-F238E27FC236}">
                <a16:creationId xmlns:a16="http://schemas.microsoft.com/office/drawing/2014/main" id="{66F5EE9A-B161-E5C4-45E9-DE933766CB24}"/>
              </a:ext>
            </a:extLst>
          </xdr:cNvPr>
          <xdr:cNvCxnSpPr/>
        </xdr:nvCxnSpPr>
        <xdr:spPr>
          <a:xfrm flipH="1">
            <a:off x="5472103" y="40110252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36" name="Circle: Hollow 3635">
            <a:extLst>
              <a:ext uri="{FF2B5EF4-FFF2-40B4-BE49-F238E27FC236}">
                <a16:creationId xmlns:a16="http://schemas.microsoft.com/office/drawing/2014/main" id="{3A8F9638-7B34-C706-2BDA-B776BF9CDAC8}"/>
              </a:ext>
            </a:extLst>
          </xdr:cNvPr>
          <xdr:cNvSpPr/>
        </xdr:nvSpPr>
        <xdr:spPr>
          <a:xfrm>
            <a:off x="4757739" y="400711987"/>
            <a:ext cx="428626" cy="428626"/>
          </a:xfrm>
          <a:prstGeom prst="donut">
            <a:avLst>
              <a:gd name="adj" fmla="val 14930"/>
            </a:avLst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637" name="Straight Connector 3636">
            <a:extLst>
              <a:ext uri="{FF2B5EF4-FFF2-40B4-BE49-F238E27FC236}">
                <a16:creationId xmlns:a16="http://schemas.microsoft.com/office/drawing/2014/main" id="{CE669C9B-993A-00CF-DE44-2711226D833B}"/>
              </a:ext>
            </a:extLst>
          </xdr:cNvPr>
          <xdr:cNvCxnSpPr/>
        </xdr:nvCxnSpPr>
        <xdr:spPr>
          <a:xfrm>
            <a:off x="4700592" y="400945362"/>
            <a:ext cx="17620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8" name="Straight Connector 3637">
            <a:extLst>
              <a:ext uri="{FF2B5EF4-FFF2-40B4-BE49-F238E27FC236}">
                <a16:creationId xmlns:a16="http://schemas.microsoft.com/office/drawing/2014/main" id="{93CD96CB-BDB8-3D97-AA93-32BCA500A8C8}"/>
              </a:ext>
            </a:extLst>
          </xdr:cNvPr>
          <xdr:cNvCxnSpPr/>
        </xdr:nvCxnSpPr>
        <xdr:spPr>
          <a:xfrm flipH="1">
            <a:off x="4714880" y="400907262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9" name="Straight Connector 3638">
            <a:extLst>
              <a:ext uri="{FF2B5EF4-FFF2-40B4-BE49-F238E27FC236}">
                <a16:creationId xmlns:a16="http://schemas.microsoft.com/office/drawing/2014/main" id="{031BA3CC-F85B-12FA-208F-CE8D5280F771}"/>
              </a:ext>
            </a:extLst>
          </xdr:cNvPr>
          <xdr:cNvCxnSpPr/>
        </xdr:nvCxnSpPr>
        <xdr:spPr>
          <a:xfrm flipH="1">
            <a:off x="4781549" y="40090725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57150</xdr:colOff>
      <xdr:row>1864</xdr:row>
      <xdr:rowOff>66675</xdr:rowOff>
    </xdr:from>
    <xdr:to>
      <xdr:col>8</xdr:col>
      <xdr:colOff>109537</xdr:colOff>
      <xdr:row>1864</xdr:row>
      <xdr:rowOff>66675</xdr:rowOff>
    </xdr:to>
    <xdr:cxnSp macro="">
      <xdr:nvCxnSpPr>
        <xdr:cNvPr id="3640" name="Straight Arrow Connector 3639">
          <a:extLst>
            <a:ext uri="{FF2B5EF4-FFF2-40B4-BE49-F238E27FC236}">
              <a16:creationId xmlns:a16="http://schemas.microsoft.com/office/drawing/2014/main" id="{2A43FB64-531D-44E6-8D92-7AF925B1BA50}"/>
            </a:ext>
          </a:extLst>
        </xdr:cNvPr>
        <xdr:cNvCxnSpPr/>
      </xdr:nvCxnSpPr>
      <xdr:spPr>
        <a:xfrm>
          <a:off x="1190625" y="2815209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1865</xdr:row>
      <xdr:rowOff>66675</xdr:rowOff>
    </xdr:from>
    <xdr:to>
      <xdr:col>8</xdr:col>
      <xdr:colOff>109537</xdr:colOff>
      <xdr:row>1865</xdr:row>
      <xdr:rowOff>66675</xdr:rowOff>
    </xdr:to>
    <xdr:cxnSp macro="">
      <xdr:nvCxnSpPr>
        <xdr:cNvPr id="3641" name="Straight Arrow Connector 3640">
          <a:extLst>
            <a:ext uri="{FF2B5EF4-FFF2-40B4-BE49-F238E27FC236}">
              <a16:creationId xmlns:a16="http://schemas.microsoft.com/office/drawing/2014/main" id="{C117552E-8CDE-4383-A540-8EE87A894902}"/>
            </a:ext>
          </a:extLst>
        </xdr:cNvPr>
        <xdr:cNvCxnSpPr/>
      </xdr:nvCxnSpPr>
      <xdr:spPr>
        <a:xfrm>
          <a:off x="1190625" y="2816637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57150</xdr:colOff>
      <xdr:row>1864</xdr:row>
      <xdr:rowOff>66675</xdr:rowOff>
    </xdr:from>
    <xdr:to>
      <xdr:col>38</xdr:col>
      <xdr:colOff>109537</xdr:colOff>
      <xdr:row>1864</xdr:row>
      <xdr:rowOff>66675</xdr:rowOff>
    </xdr:to>
    <xdr:cxnSp macro="">
      <xdr:nvCxnSpPr>
        <xdr:cNvPr id="3642" name="Straight Arrow Connector 3641">
          <a:extLst>
            <a:ext uri="{FF2B5EF4-FFF2-40B4-BE49-F238E27FC236}">
              <a16:creationId xmlns:a16="http://schemas.microsoft.com/office/drawing/2014/main" id="{8E5843F7-452F-4810-A885-6148FB679B8A}"/>
            </a:ext>
          </a:extLst>
        </xdr:cNvPr>
        <xdr:cNvCxnSpPr/>
      </xdr:nvCxnSpPr>
      <xdr:spPr>
        <a:xfrm>
          <a:off x="6048375" y="2815209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57150</xdr:colOff>
      <xdr:row>1865</xdr:row>
      <xdr:rowOff>66675</xdr:rowOff>
    </xdr:from>
    <xdr:to>
      <xdr:col>45</xdr:col>
      <xdr:colOff>109537</xdr:colOff>
      <xdr:row>1865</xdr:row>
      <xdr:rowOff>66675</xdr:rowOff>
    </xdr:to>
    <xdr:cxnSp macro="">
      <xdr:nvCxnSpPr>
        <xdr:cNvPr id="3643" name="Straight Arrow Connector 3642">
          <a:extLst>
            <a:ext uri="{FF2B5EF4-FFF2-40B4-BE49-F238E27FC236}">
              <a16:creationId xmlns:a16="http://schemas.microsoft.com/office/drawing/2014/main" id="{1D30F754-E55C-4856-9D5C-814528673FD9}"/>
            </a:ext>
          </a:extLst>
        </xdr:cNvPr>
        <xdr:cNvCxnSpPr/>
      </xdr:nvCxnSpPr>
      <xdr:spPr>
        <a:xfrm>
          <a:off x="7181850" y="28166377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80963</xdr:colOff>
      <xdr:row>1826</xdr:row>
      <xdr:rowOff>0</xdr:rowOff>
    </xdr:from>
    <xdr:to>
      <xdr:col>21</xdr:col>
      <xdr:colOff>130299</xdr:colOff>
      <xdr:row>1837</xdr:row>
      <xdr:rowOff>80963</xdr:rowOff>
    </xdr:to>
    <xdr:grpSp>
      <xdr:nvGrpSpPr>
        <xdr:cNvPr id="3644" name="Group 3643">
          <a:extLst>
            <a:ext uri="{FF2B5EF4-FFF2-40B4-BE49-F238E27FC236}">
              <a16:creationId xmlns:a16="http://schemas.microsoft.com/office/drawing/2014/main" id="{CB633B26-729E-463D-BE13-25E0323CD1C7}"/>
            </a:ext>
          </a:extLst>
        </xdr:cNvPr>
        <xdr:cNvGrpSpPr/>
      </xdr:nvGrpSpPr>
      <xdr:grpSpPr>
        <a:xfrm>
          <a:off x="566738" y="275405850"/>
          <a:ext cx="2963986" cy="1652588"/>
          <a:chOff x="566738" y="400421475"/>
          <a:chExt cx="2963986" cy="1652588"/>
        </a:xfrm>
      </xdr:grpSpPr>
      <xdr:sp macro="" textlink="">
        <xdr:nvSpPr>
          <xdr:cNvPr id="3645" name="Trapezoid 3644">
            <a:extLst>
              <a:ext uri="{FF2B5EF4-FFF2-40B4-BE49-F238E27FC236}">
                <a16:creationId xmlns:a16="http://schemas.microsoft.com/office/drawing/2014/main" id="{CCD61B43-97C6-6231-45FE-72678DEEE324}"/>
              </a:ext>
            </a:extLst>
          </xdr:cNvPr>
          <xdr:cNvSpPr/>
        </xdr:nvSpPr>
        <xdr:spPr>
          <a:xfrm rot="16200000">
            <a:off x="1704980" y="399683289"/>
            <a:ext cx="457200" cy="2571748"/>
          </a:xfrm>
          <a:prstGeom prst="trapezoid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135DDCC4-DA2B-021D-4E4D-09CFEA5F0E56}"/>
              </a:ext>
            </a:extLst>
          </xdr:cNvPr>
          <xdr:cNvSpPr/>
        </xdr:nvSpPr>
        <xdr:spPr>
          <a:xfrm>
            <a:off x="3248025" y="400564350"/>
            <a:ext cx="152400" cy="8524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47" name="Straight Arrow Connector 3646">
            <a:extLst>
              <a:ext uri="{FF2B5EF4-FFF2-40B4-BE49-F238E27FC236}">
                <a16:creationId xmlns:a16="http://schemas.microsoft.com/office/drawing/2014/main" id="{F791EE16-6859-30A1-2717-EA1E4A13A5A0}"/>
              </a:ext>
            </a:extLst>
          </xdr:cNvPr>
          <xdr:cNvCxnSpPr/>
        </xdr:nvCxnSpPr>
        <xdr:spPr>
          <a:xfrm>
            <a:off x="652462" y="400421475"/>
            <a:ext cx="0" cy="4381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8" name="Straight Connector 3647">
            <a:extLst>
              <a:ext uri="{FF2B5EF4-FFF2-40B4-BE49-F238E27FC236}">
                <a16:creationId xmlns:a16="http://schemas.microsoft.com/office/drawing/2014/main" id="{FA316828-DB0D-91A0-432D-145E58358883}"/>
              </a:ext>
            </a:extLst>
          </xdr:cNvPr>
          <xdr:cNvCxnSpPr/>
        </xdr:nvCxnSpPr>
        <xdr:spPr>
          <a:xfrm>
            <a:off x="647700" y="401173950"/>
            <a:ext cx="0" cy="900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9" name="Straight Connector 3648">
            <a:extLst>
              <a:ext uri="{FF2B5EF4-FFF2-40B4-BE49-F238E27FC236}">
                <a16:creationId xmlns:a16="http://schemas.microsoft.com/office/drawing/2014/main" id="{9FD60575-54A1-D642-1E4A-782D3CC5A6C5}"/>
              </a:ext>
            </a:extLst>
          </xdr:cNvPr>
          <xdr:cNvCxnSpPr/>
        </xdr:nvCxnSpPr>
        <xdr:spPr>
          <a:xfrm>
            <a:off x="566738" y="401993109"/>
            <a:ext cx="2743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0" name="Straight Arrow Connector 3649">
            <a:extLst>
              <a:ext uri="{FF2B5EF4-FFF2-40B4-BE49-F238E27FC236}">
                <a16:creationId xmlns:a16="http://schemas.microsoft.com/office/drawing/2014/main" id="{02965057-5FC5-6A9D-FB94-93745AEF0526}"/>
              </a:ext>
            </a:extLst>
          </xdr:cNvPr>
          <xdr:cNvCxnSpPr/>
        </xdr:nvCxnSpPr>
        <xdr:spPr>
          <a:xfrm flipV="1">
            <a:off x="3238500" y="401469225"/>
            <a:ext cx="0" cy="242888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1" name="Straight Connector 3650">
            <a:extLst>
              <a:ext uri="{FF2B5EF4-FFF2-40B4-BE49-F238E27FC236}">
                <a16:creationId xmlns:a16="http://schemas.microsoft.com/office/drawing/2014/main" id="{4599ADE8-774B-4BE1-F497-D103AD56A9CB}"/>
              </a:ext>
            </a:extLst>
          </xdr:cNvPr>
          <xdr:cNvCxnSpPr/>
        </xdr:nvCxnSpPr>
        <xdr:spPr>
          <a:xfrm flipH="1">
            <a:off x="609599" y="4019597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2" name="Straight Connector 3651">
            <a:extLst>
              <a:ext uri="{FF2B5EF4-FFF2-40B4-BE49-F238E27FC236}">
                <a16:creationId xmlns:a16="http://schemas.microsoft.com/office/drawing/2014/main" id="{48198D79-CDA5-94C8-1A93-CB8F8BC84E4B}"/>
              </a:ext>
            </a:extLst>
          </xdr:cNvPr>
          <xdr:cNvCxnSpPr/>
        </xdr:nvCxnSpPr>
        <xdr:spPr>
          <a:xfrm>
            <a:off x="3238499" y="401869275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3" name="Straight Connector 3652">
            <a:extLst>
              <a:ext uri="{FF2B5EF4-FFF2-40B4-BE49-F238E27FC236}">
                <a16:creationId xmlns:a16="http://schemas.microsoft.com/office/drawing/2014/main" id="{2A65047E-202B-E664-1339-4F0720C5ECB4}"/>
              </a:ext>
            </a:extLst>
          </xdr:cNvPr>
          <xdr:cNvCxnSpPr/>
        </xdr:nvCxnSpPr>
        <xdr:spPr>
          <a:xfrm flipH="1">
            <a:off x="3200398" y="4019597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4" name="Straight Arrow Connector 3653">
            <a:extLst>
              <a:ext uri="{FF2B5EF4-FFF2-40B4-BE49-F238E27FC236}">
                <a16:creationId xmlns:a16="http://schemas.microsoft.com/office/drawing/2014/main" id="{FB670228-690A-5F0C-2F58-7BF2B8A94BE3}"/>
              </a:ext>
            </a:extLst>
          </xdr:cNvPr>
          <xdr:cNvCxnSpPr/>
        </xdr:nvCxnSpPr>
        <xdr:spPr>
          <a:xfrm>
            <a:off x="657225" y="401497807"/>
            <a:ext cx="419099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5" name="Straight Connector 3654">
            <a:extLst>
              <a:ext uri="{FF2B5EF4-FFF2-40B4-BE49-F238E27FC236}">
                <a16:creationId xmlns:a16="http://schemas.microsoft.com/office/drawing/2014/main" id="{C60BD16E-D1C4-F295-8F75-4192A3EF0CA0}"/>
              </a:ext>
            </a:extLst>
          </xdr:cNvPr>
          <xdr:cNvCxnSpPr/>
        </xdr:nvCxnSpPr>
        <xdr:spPr>
          <a:xfrm>
            <a:off x="3233737" y="400559588"/>
            <a:ext cx="0" cy="8715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56" name="Arc 3655">
            <a:extLst>
              <a:ext uri="{FF2B5EF4-FFF2-40B4-BE49-F238E27FC236}">
                <a16:creationId xmlns:a16="http://schemas.microsoft.com/office/drawing/2014/main" id="{67BACD65-6D9D-BA0E-0CC5-7A6AD3746C7B}"/>
              </a:ext>
            </a:extLst>
          </xdr:cNvPr>
          <xdr:cNvSpPr/>
        </xdr:nvSpPr>
        <xdr:spPr>
          <a:xfrm rot="2590035">
            <a:off x="2971800" y="400650076"/>
            <a:ext cx="558924" cy="558924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57" name="Straight Connector 3656">
            <a:extLst>
              <a:ext uri="{FF2B5EF4-FFF2-40B4-BE49-F238E27FC236}">
                <a16:creationId xmlns:a16="http://schemas.microsoft.com/office/drawing/2014/main" id="{5EDFC5C1-293D-D45F-289F-E863DAA143C3}"/>
              </a:ext>
            </a:extLst>
          </xdr:cNvPr>
          <xdr:cNvCxnSpPr/>
        </xdr:nvCxnSpPr>
        <xdr:spPr>
          <a:xfrm flipV="1">
            <a:off x="647701" y="400783429"/>
            <a:ext cx="2571750" cy="115344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8" name="Straight Connector 3657">
            <a:extLst>
              <a:ext uri="{FF2B5EF4-FFF2-40B4-BE49-F238E27FC236}">
                <a16:creationId xmlns:a16="http://schemas.microsoft.com/office/drawing/2014/main" id="{9BF55E44-9437-C653-EA1D-D4FEC953D990}"/>
              </a:ext>
            </a:extLst>
          </xdr:cNvPr>
          <xdr:cNvCxnSpPr/>
        </xdr:nvCxnSpPr>
        <xdr:spPr>
          <a:xfrm>
            <a:off x="642938" y="401037154"/>
            <a:ext cx="2581275" cy="11774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48</xdr:col>
      <xdr:colOff>4763</xdr:colOff>
      <xdr:row>2486</xdr:row>
      <xdr:rowOff>0</xdr:rowOff>
    </xdr:from>
    <xdr:to>
      <xdr:col>70</xdr:col>
      <xdr:colOff>66675</xdr:colOff>
      <xdr:row>2498</xdr:row>
      <xdr:rowOff>61914</xdr:rowOff>
    </xdr:to>
    <xdr:grpSp>
      <xdr:nvGrpSpPr>
        <xdr:cNvPr id="4383" name="Group 4382">
          <a:extLst>
            <a:ext uri="{FF2B5EF4-FFF2-40B4-BE49-F238E27FC236}">
              <a16:creationId xmlns:a16="http://schemas.microsoft.com/office/drawing/2014/main" id="{4ACE5778-8B5A-2011-B562-AC2AADC9F795}"/>
            </a:ext>
          </a:extLst>
        </xdr:cNvPr>
        <xdr:cNvGrpSpPr/>
      </xdr:nvGrpSpPr>
      <xdr:grpSpPr>
        <a:xfrm>
          <a:off x="7777163" y="373494300"/>
          <a:ext cx="3624262" cy="1776414"/>
          <a:chOff x="7777163" y="469934925"/>
          <a:chExt cx="3624262" cy="1776414"/>
        </a:xfrm>
      </xdr:grpSpPr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1A1713D-DF48-4299-97B9-2223E6DB61EF}"/>
              </a:ext>
            </a:extLst>
          </xdr:cNvPr>
          <xdr:cNvSpPr/>
        </xdr:nvSpPr>
        <xdr:spPr>
          <a:xfrm>
            <a:off x="8105775" y="470415938"/>
            <a:ext cx="3235523" cy="84620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21" name="Straight Connector 4220">
            <a:extLst>
              <a:ext uri="{FF2B5EF4-FFF2-40B4-BE49-F238E27FC236}">
                <a16:creationId xmlns:a16="http://schemas.microsoft.com/office/drawing/2014/main" id="{AE66EAC3-C493-8E4E-4FCC-115FF21400B4}"/>
              </a:ext>
            </a:extLst>
          </xdr:cNvPr>
          <xdr:cNvCxnSpPr/>
        </xdr:nvCxnSpPr>
        <xdr:spPr>
          <a:xfrm>
            <a:off x="8105775" y="470220675"/>
            <a:ext cx="0" cy="4381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D8B248D6-3FD1-B976-5442-948A53B1FC30}"/>
              </a:ext>
            </a:extLst>
          </xdr:cNvPr>
          <xdr:cNvSpPr/>
        </xdr:nvSpPr>
        <xdr:spPr>
          <a:xfrm>
            <a:off x="7943850" y="470220675"/>
            <a:ext cx="157162" cy="442913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225" name="Straight Arrow Connector 4224">
            <a:extLst>
              <a:ext uri="{FF2B5EF4-FFF2-40B4-BE49-F238E27FC236}">
                <a16:creationId xmlns:a16="http://schemas.microsoft.com/office/drawing/2014/main" id="{D5129CF0-96E8-906E-F8EB-5C0ECC16B9FD}"/>
              </a:ext>
            </a:extLst>
          </xdr:cNvPr>
          <xdr:cNvCxnSpPr/>
        </xdr:nvCxnSpPr>
        <xdr:spPr>
          <a:xfrm>
            <a:off x="8420100" y="470177813"/>
            <a:ext cx="0" cy="23812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7" name="Straight Arrow Connector 4226">
            <a:extLst>
              <a:ext uri="{FF2B5EF4-FFF2-40B4-BE49-F238E27FC236}">
                <a16:creationId xmlns:a16="http://schemas.microsoft.com/office/drawing/2014/main" id="{E80B19D9-302B-490D-BE4A-45DBBED50178}"/>
              </a:ext>
            </a:extLst>
          </xdr:cNvPr>
          <xdr:cNvCxnSpPr/>
        </xdr:nvCxnSpPr>
        <xdr:spPr>
          <a:xfrm>
            <a:off x="8743950" y="470177813"/>
            <a:ext cx="0" cy="23812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9" name="Straight Connector 4228">
            <a:extLst>
              <a:ext uri="{FF2B5EF4-FFF2-40B4-BE49-F238E27FC236}">
                <a16:creationId xmlns:a16="http://schemas.microsoft.com/office/drawing/2014/main" id="{176CEDCF-39FC-A550-06CB-CAB9412A9E00}"/>
              </a:ext>
            </a:extLst>
          </xdr:cNvPr>
          <xdr:cNvCxnSpPr/>
        </xdr:nvCxnSpPr>
        <xdr:spPr>
          <a:xfrm>
            <a:off x="8096250" y="470173050"/>
            <a:ext cx="3243263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0" name="Straight Arrow Connector 4229">
            <a:extLst>
              <a:ext uri="{FF2B5EF4-FFF2-40B4-BE49-F238E27FC236}">
                <a16:creationId xmlns:a16="http://schemas.microsoft.com/office/drawing/2014/main" id="{ED4F9654-9638-4347-B39E-24098EAAF15F}"/>
              </a:ext>
            </a:extLst>
          </xdr:cNvPr>
          <xdr:cNvCxnSpPr/>
        </xdr:nvCxnSpPr>
        <xdr:spPr>
          <a:xfrm>
            <a:off x="9067800" y="470177814"/>
            <a:ext cx="0" cy="23812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1" name="Straight Arrow Connector 4230">
            <a:extLst>
              <a:ext uri="{FF2B5EF4-FFF2-40B4-BE49-F238E27FC236}">
                <a16:creationId xmlns:a16="http://schemas.microsoft.com/office/drawing/2014/main" id="{D418DE65-440C-43F6-B908-5D48DADC6D2B}"/>
              </a:ext>
            </a:extLst>
          </xdr:cNvPr>
          <xdr:cNvCxnSpPr/>
        </xdr:nvCxnSpPr>
        <xdr:spPr>
          <a:xfrm>
            <a:off x="9391650" y="470177814"/>
            <a:ext cx="0" cy="23812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2" name="Straight Arrow Connector 4231">
            <a:extLst>
              <a:ext uri="{FF2B5EF4-FFF2-40B4-BE49-F238E27FC236}">
                <a16:creationId xmlns:a16="http://schemas.microsoft.com/office/drawing/2014/main" id="{3713A0B2-4731-47B8-9CE1-16B1FCB6B7B8}"/>
              </a:ext>
            </a:extLst>
          </xdr:cNvPr>
          <xdr:cNvCxnSpPr/>
        </xdr:nvCxnSpPr>
        <xdr:spPr>
          <a:xfrm>
            <a:off x="9715500" y="470173049"/>
            <a:ext cx="0" cy="23812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4" name="Straight Arrow Connector 4233">
            <a:extLst>
              <a:ext uri="{FF2B5EF4-FFF2-40B4-BE49-F238E27FC236}">
                <a16:creationId xmlns:a16="http://schemas.microsoft.com/office/drawing/2014/main" id="{574ADC1A-0D21-4CA2-9B59-68B5C226EF32}"/>
              </a:ext>
            </a:extLst>
          </xdr:cNvPr>
          <xdr:cNvCxnSpPr/>
        </xdr:nvCxnSpPr>
        <xdr:spPr>
          <a:xfrm>
            <a:off x="10363200" y="470173050"/>
            <a:ext cx="0" cy="23812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5" name="Straight Arrow Connector 4234">
            <a:extLst>
              <a:ext uri="{FF2B5EF4-FFF2-40B4-BE49-F238E27FC236}">
                <a16:creationId xmlns:a16="http://schemas.microsoft.com/office/drawing/2014/main" id="{1F02C69B-2FDC-42FC-AA6B-F2D7EFFF8231}"/>
              </a:ext>
            </a:extLst>
          </xdr:cNvPr>
          <xdr:cNvCxnSpPr/>
        </xdr:nvCxnSpPr>
        <xdr:spPr>
          <a:xfrm>
            <a:off x="10687050" y="470173050"/>
            <a:ext cx="0" cy="23812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6" name="Straight Arrow Connector 4235">
            <a:extLst>
              <a:ext uri="{FF2B5EF4-FFF2-40B4-BE49-F238E27FC236}">
                <a16:creationId xmlns:a16="http://schemas.microsoft.com/office/drawing/2014/main" id="{82CBF798-B9C2-4E7F-8A71-C4601B854DEF}"/>
              </a:ext>
            </a:extLst>
          </xdr:cNvPr>
          <xdr:cNvCxnSpPr/>
        </xdr:nvCxnSpPr>
        <xdr:spPr>
          <a:xfrm>
            <a:off x="11010900" y="470173049"/>
            <a:ext cx="0" cy="23812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7" name="Straight Arrow Connector 4236">
            <a:extLst>
              <a:ext uri="{FF2B5EF4-FFF2-40B4-BE49-F238E27FC236}">
                <a16:creationId xmlns:a16="http://schemas.microsoft.com/office/drawing/2014/main" id="{3B700933-0150-4BC9-AF74-6DA8A4898323}"/>
              </a:ext>
            </a:extLst>
          </xdr:cNvPr>
          <xdr:cNvCxnSpPr/>
        </xdr:nvCxnSpPr>
        <xdr:spPr>
          <a:xfrm>
            <a:off x="11334750" y="470173049"/>
            <a:ext cx="0" cy="23812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2" name="Straight Arrow Connector 4241">
            <a:extLst>
              <a:ext uri="{FF2B5EF4-FFF2-40B4-BE49-F238E27FC236}">
                <a16:creationId xmlns:a16="http://schemas.microsoft.com/office/drawing/2014/main" id="{CA005251-E859-F9FC-2716-6F29B56EE507}"/>
              </a:ext>
            </a:extLst>
          </xdr:cNvPr>
          <xdr:cNvCxnSpPr/>
        </xdr:nvCxnSpPr>
        <xdr:spPr>
          <a:xfrm flipV="1">
            <a:off x="11334750" y="470501663"/>
            <a:ext cx="0" cy="433387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4" name="Straight Arrow Connector 4243">
            <a:extLst>
              <a:ext uri="{FF2B5EF4-FFF2-40B4-BE49-F238E27FC236}">
                <a16:creationId xmlns:a16="http://schemas.microsoft.com/office/drawing/2014/main" id="{F7D29EE7-4BAF-4601-A202-B94FE312BCF9}"/>
              </a:ext>
            </a:extLst>
          </xdr:cNvPr>
          <xdr:cNvCxnSpPr/>
        </xdr:nvCxnSpPr>
        <xdr:spPr>
          <a:xfrm flipV="1">
            <a:off x="8101013" y="470711213"/>
            <a:ext cx="0" cy="361950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48" name="Arc 4247">
            <a:extLst>
              <a:ext uri="{FF2B5EF4-FFF2-40B4-BE49-F238E27FC236}">
                <a16:creationId xmlns:a16="http://schemas.microsoft.com/office/drawing/2014/main" id="{2B89824E-E66E-45C6-BAF8-512F60D383E9}"/>
              </a:ext>
            </a:extLst>
          </xdr:cNvPr>
          <xdr:cNvSpPr/>
        </xdr:nvSpPr>
        <xdr:spPr>
          <a:xfrm rot="13508025">
            <a:off x="7777163" y="470182574"/>
            <a:ext cx="558924" cy="558924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51" name="Straight Arrow Connector 4250">
            <a:extLst>
              <a:ext uri="{FF2B5EF4-FFF2-40B4-BE49-F238E27FC236}">
                <a16:creationId xmlns:a16="http://schemas.microsoft.com/office/drawing/2014/main" id="{1D9EEC8E-AD16-4708-9A70-53C1D6DEB569}"/>
              </a:ext>
            </a:extLst>
          </xdr:cNvPr>
          <xdr:cNvCxnSpPr/>
        </xdr:nvCxnSpPr>
        <xdr:spPr>
          <a:xfrm>
            <a:off x="8105772" y="470177814"/>
            <a:ext cx="0" cy="23812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2" name="Straight Arrow Connector 4251">
            <a:extLst>
              <a:ext uri="{FF2B5EF4-FFF2-40B4-BE49-F238E27FC236}">
                <a16:creationId xmlns:a16="http://schemas.microsoft.com/office/drawing/2014/main" id="{F964E13C-BA67-4C4A-8E97-B658E080D3A6}"/>
              </a:ext>
            </a:extLst>
          </xdr:cNvPr>
          <xdr:cNvCxnSpPr/>
        </xdr:nvCxnSpPr>
        <xdr:spPr>
          <a:xfrm>
            <a:off x="10039350" y="469934925"/>
            <a:ext cx="0" cy="481012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6" name="Straight Connector 4255">
            <a:extLst>
              <a:ext uri="{FF2B5EF4-FFF2-40B4-BE49-F238E27FC236}">
                <a16:creationId xmlns:a16="http://schemas.microsoft.com/office/drawing/2014/main" id="{894CFC21-D235-958C-926E-53CC1772C5BF}"/>
              </a:ext>
            </a:extLst>
          </xdr:cNvPr>
          <xdr:cNvCxnSpPr/>
        </xdr:nvCxnSpPr>
        <xdr:spPr>
          <a:xfrm>
            <a:off x="8096250" y="471220800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9" name="Straight Connector 4258">
            <a:extLst>
              <a:ext uri="{FF2B5EF4-FFF2-40B4-BE49-F238E27FC236}">
                <a16:creationId xmlns:a16="http://schemas.microsoft.com/office/drawing/2014/main" id="{3DAC5625-7998-C062-AD86-FA07597AFAD7}"/>
              </a:ext>
            </a:extLst>
          </xdr:cNvPr>
          <xdr:cNvCxnSpPr/>
        </xdr:nvCxnSpPr>
        <xdr:spPr>
          <a:xfrm>
            <a:off x="8020050" y="471363675"/>
            <a:ext cx="33718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1" name="Straight Connector 4260">
            <a:extLst>
              <a:ext uri="{FF2B5EF4-FFF2-40B4-BE49-F238E27FC236}">
                <a16:creationId xmlns:a16="http://schemas.microsoft.com/office/drawing/2014/main" id="{BD8099B7-D942-95D6-EAA1-ECAA701A8CE0}"/>
              </a:ext>
            </a:extLst>
          </xdr:cNvPr>
          <xdr:cNvCxnSpPr/>
        </xdr:nvCxnSpPr>
        <xdr:spPr>
          <a:xfrm flipH="1">
            <a:off x="8058150" y="4713303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2" name="Straight Connector 4261">
            <a:extLst>
              <a:ext uri="{FF2B5EF4-FFF2-40B4-BE49-F238E27FC236}">
                <a16:creationId xmlns:a16="http://schemas.microsoft.com/office/drawing/2014/main" id="{3FA97D17-331C-4E18-A597-64170615EE31}"/>
              </a:ext>
            </a:extLst>
          </xdr:cNvPr>
          <xdr:cNvCxnSpPr/>
        </xdr:nvCxnSpPr>
        <xdr:spPr>
          <a:xfrm>
            <a:off x="8020050" y="471649427"/>
            <a:ext cx="3381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3" name="Straight Connector 4262">
            <a:extLst>
              <a:ext uri="{FF2B5EF4-FFF2-40B4-BE49-F238E27FC236}">
                <a16:creationId xmlns:a16="http://schemas.microsoft.com/office/drawing/2014/main" id="{547CF12B-8B38-4C79-A1D6-8B98E7BB32E1}"/>
              </a:ext>
            </a:extLst>
          </xdr:cNvPr>
          <xdr:cNvCxnSpPr/>
        </xdr:nvCxnSpPr>
        <xdr:spPr>
          <a:xfrm flipH="1">
            <a:off x="8058150" y="471616090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4" name="Straight Connector 4263">
            <a:extLst>
              <a:ext uri="{FF2B5EF4-FFF2-40B4-BE49-F238E27FC236}">
                <a16:creationId xmlns:a16="http://schemas.microsoft.com/office/drawing/2014/main" id="{917AF066-DFF3-4C77-905A-E24F65127AC7}"/>
              </a:ext>
            </a:extLst>
          </xdr:cNvPr>
          <xdr:cNvCxnSpPr/>
        </xdr:nvCxnSpPr>
        <xdr:spPr>
          <a:xfrm>
            <a:off x="11334750" y="471096975"/>
            <a:ext cx="0" cy="6143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5" name="Straight Connector 4264">
            <a:extLst>
              <a:ext uri="{FF2B5EF4-FFF2-40B4-BE49-F238E27FC236}">
                <a16:creationId xmlns:a16="http://schemas.microsoft.com/office/drawing/2014/main" id="{7EB8C705-1D3A-49E4-ADF5-DAD95753D7B4}"/>
              </a:ext>
            </a:extLst>
          </xdr:cNvPr>
          <xdr:cNvCxnSpPr/>
        </xdr:nvCxnSpPr>
        <xdr:spPr>
          <a:xfrm flipH="1">
            <a:off x="11296650" y="471616091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6" name="Straight Connector 4265">
            <a:extLst>
              <a:ext uri="{FF2B5EF4-FFF2-40B4-BE49-F238E27FC236}">
                <a16:creationId xmlns:a16="http://schemas.microsoft.com/office/drawing/2014/main" id="{D0D3B975-F0EC-40AE-B7B2-C727BAA2007B}"/>
              </a:ext>
            </a:extLst>
          </xdr:cNvPr>
          <xdr:cNvCxnSpPr/>
        </xdr:nvCxnSpPr>
        <xdr:spPr>
          <a:xfrm flipH="1">
            <a:off x="11296649" y="47133033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9" name="Straight Connector 4268">
            <a:extLst>
              <a:ext uri="{FF2B5EF4-FFF2-40B4-BE49-F238E27FC236}">
                <a16:creationId xmlns:a16="http://schemas.microsoft.com/office/drawing/2014/main" id="{92086DF9-8C47-4CA2-80BD-87B127A426AA}"/>
              </a:ext>
            </a:extLst>
          </xdr:cNvPr>
          <xdr:cNvCxnSpPr/>
        </xdr:nvCxnSpPr>
        <xdr:spPr>
          <a:xfrm>
            <a:off x="10039350" y="470601675"/>
            <a:ext cx="0" cy="8191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0" name="Straight Connector 4269">
            <a:extLst>
              <a:ext uri="{FF2B5EF4-FFF2-40B4-BE49-F238E27FC236}">
                <a16:creationId xmlns:a16="http://schemas.microsoft.com/office/drawing/2014/main" id="{DC71D94F-0204-4A5A-A191-C96E8E720290}"/>
              </a:ext>
            </a:extLst>
          </xdr:cNvPr>
          <xdr:cNvCxnSpPr/>
        </xdr:nvCxnSpPr>
        <xdr:spPr>
          <a:xfrm flipH="1">
            <a:off x="10001250" y="47132557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3" name="Straight Arrow Connector 4272">
            <a:extLst>
              <a:ext uri="{FF2B5EF4-FFF2-40B4-BE49-F238E27FC236}">
                <a16:creationId xmlns:a16="http://schemas.microsoft.com/office/drawing/2014/main" id="{12BD59EC-6780-82C4-94B5-1D51A793A0AB}"/>
              </a:ext>
            </a:extLst>
          </xdr:cNvPr>
          <xdr:cNvCxnSpPr/>
        </xdr:nvCxnSpPr>
        <xdr:spPr>
          <a:xfrm>
            <a:off x="8115300" y="470992200"/>
            <a:ext cx="485775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5" name="Straight Arrow Connector 4274">
            <a:extLst>
              <a:ext uri="{FF2B5EF4-FFF2-40B4-BE49-F238E27FC236}">
                <a16:creationId xmlns:a16="http://schemas.microsoft.com/office/drawing/2014/main" id="{22CE29AE-4FA5-468E-826C-CF9BD2204B8E}"/>
              </a:ext>
            </a:extLst>
          </xdr:cNvPr>
          <xdr:cNvCxnSpPr/>
        </xdr:nvCxnSpPr>
        <xdr:spPr>
          <a:xfrm>
            <a:off x="10048875" y="471001725"/>
            <a:ext cx="485775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8" name="Straight Connector 4277">
            <a:extLst>
              <a:ext uri="{FF2B5EF4-FFF2-40B4-BE49-F238E27FC236}">
                <a16:creationId xmlns:a16="http://schemas.microsoft.com/office/drawing/2014/main" id="{C5116BB4-E810-F0ED-462B-55E7EA9375AE}"/>
              </a:ext>
            </a:extLst>
          </xdr:cNvPr>
          <xdr:cNvCxnSpPr/>
        </xdr:nvCxnSpPr>
        <xdr:spPr>
          <a:xfrm flipH="1" flipV="1">
            <a:off x="8905875" y="470068275"/>
            <a:ext cx="161925" cy="20955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66675</xdr:colOff>
      <xdr:row>2525</xdr:row>
      <xdr:rowOff>76200</xdr:rowOff>
    </xdr:from>
    <xdr:to>
      <xdr:col>9</xdr:col>
      <xdr:colOff>119062</xdr:colOff>
      <xdr:row>2525</xdr:row>
      <xdr:rowOff>76200</xdr:rowOff>
    </xdr:to>
    <xdr:cxnSp macro="">
      <xdr:nvCxnSpPr>
        <xdr:cNvPr id="4281" name="Straight Arrow Connector 4280">
          <a:extLst>
            <a:ext uri="{FF2B5EF4-FFF2-40B4-BE49-F238E27FC236}">
              <a16:creationId xmlns:a16="http://schemas.microsoft.com/office/drawing/2014/main" id="{B5889818-CB69-4866-A2C8-822140B936B6}"/>
            </a:ext>
          </a:extLst>
        </xdr:cNvPr>
        <xdr:cNvCxnSpPr/>
      </xdr:nvCxnSpPr>
      <xdr:spPr>
        <a:xfrm>
          <a:off x="1038225" y="4618577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2526</xdr:row>
      <xdr:rowOff>76200</xdr:rowOff>
    </xdr:from>
    <xdr:to>
      <xdr:col>9</xdr:col>
      <xdr:colOff>119062</xdr:colOff>
      <xdr:row>2526</xdr:row>
      <xdr:rowOff>76200</xdr:rowOff>
    </xdr:to>
    <xdr:cxnSp macro="">
      <xdr:nvCxnSpPr>
        <xdr:cNvPr id="4282" name="Straight Arrow Connector 4281">
          <a:extLst>
            <a:ext uri="{FF2B5EF4-FFF2-40B4-BE49-F238E27FC236}">
              <a16:creationId xmlns:a16="http://schemas.microsoft.com/office/drawing/2014/main" id="{7F8E049B-75F1-447B-BA14-A4E8C4D62952}"/>
            </a:ext>
          </a:extLst>
        </xdr:cNvPr>
        <xdr:cNvCxnSpPr/>
      </xdr:nvCxnSpPr>
      <xdr:spPr>
        <a:xfrm>
          <a:off x="1362075" y="4768691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2529</xdr:row>
      <xdr:rowOff>76200</xdr:rowOff>
    </xdr:from>
    <xdr:to>
      <xdr:col>13</xdr:col>
      <xdr:colOff>119062</xdr:colOff>
      <xdr:row>2529</xdr:row>
      <xdr:rowOff>76200</xdr:rowOff>
    </xdr:to>
    <xdr:cxnSp macro="">
      <xdr:nvCxnSpPr>
        <xdr:cNvPr id="4283" name="Straight Arrow Connector 4282">
          <a:extLst>
            <a:ext uri="{FF2B5EF4-FFF2-40B4-BE49-F238E27FC236}">
              <a16:creationId xmlns:a16="http://schemas.microsoft.com/office/drawing/2014/main" id="{73B51F33-A102-49D4-8FE6-C463B02A21BB}"/>
            </a:ext>
          </a:extLst>
        </xdr:cNvPr>
        <xdr:cNvCxnSpPr/>
      </xdr:nvCxnSpPr>
      <xdr:spPr>
        <a:xfrm>
          <a:off x="1362075" y="4770120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66675</xdr:colOff>
      <xdr:row>2529</xdr:row>
      <xdr:rowOff>76200</xdr:rowOff>
    </xdr:from>
    <xdr:to>
      <xdr:col>39</xdr:col>
      <xdr:colOff>119062</xdr:colOff>
      <xdr:row>2529</xdr:row>
      <xdr:rowOff>76200</xdr:rowOff>
    </xdr:to>
    <xdr:cxnSp macro="">
      <xdr:nvCxnSpPr>
        <xdr:cNvPr id="4284" name="Straight Arrow Connector 4283">
          <a:extLst>
            <a:ext uri="{FF2B5EF4-FFF2-40B4-BE49-F238E27FC236}">
              <a16:creationId xmlns:a16="http://schemas.microsoft.com/office/drawing/2014/main" id="{3CF57248-B57F-4189-837E-1C45DB04FCEA}"/>
            </a:ext>
          </a:extLst>
        </xdr:cNvPr>
        <xdr:cNvCxnSpPr/>
      </xdr:nvCxnSpPr>
      <xdr:spPr>
        <a:xfrm>
          <a:off x="2009775" y="477583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2532</xdr:row>
      <xdr:rowOff>76200</xdr:rowOff>
    </xdr:from>
    <xdr:to>
      <xdr:col>13</xdr:col>
      <xdr:colOff>119062</xdr:colOff>
      <xdr:row>2532</xdr:row>
      <xdr:rowOff>76200</xdr:rowOff>
    </xdr:to>
    <xdr:cxnSp macro="">
      <xdr:nvCxnSpPr>
        <xdr:cNvPr id="4285" name="Straight Arrow Connector 4284">
          <a:extLst>
            <a:ext uri="{FF2B5EF4-FFF2-40B4-BE49-F238E27FC236}">
              <a16:creationId xmlns:a16="http://schemas.microsoft.com/office/drawing/2014/main" id="{0387F1ED-5CCD-41DA-84E1-8343717FE82D}"/>
            </a:ext>
          </a:extLst>
        </xdr:cNvPr>
        <xdr:cNvCxnSpPr/>
      </xdr:nvCxnSpPr>
      <xdr:spPr>
        <a:xfrm>
          <a:off x="2009775" y="477583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66675</xdr:colOff>
      <xdr:row>2532</xdr:row>
      <xdr:rowOff>76200</xdr:rowOff>
    </xdr:from>
    <xdr:to>
      <xdr:col>39</xdr:col>
      <xdr:colOff>119062</xdr:colOff>
      <xdr:row>2532</xdr:row>
      <xdr:rowOff>76200</xdr:rowOff>
    </xdr:to>
    <xdr:cxnSp macro="">
      <xdr:nvCxnSpPr>
        <xdr:cNvPr id="4286" name="Straight Arrow Connector 4285">
          <a:extLst>
            <a:ext uri="{FF2B5EF4-FFF2-40B4-BE49-F238E27FC236}">
              <a16:creationId xmlns:a16="http://schemas.microsoft.com/office/drawing/2014/main" id="{BAAA78B0-D941-43C3-BC23-A8C6E85B1F61}"/>
            </a:ext>
          </a:extLst>
        </xdr:cNvPr>
        <xdr:cNvCxnSpPr/>
      </xdr:nvCxnSpPr>
      <xdr:spPr>
        <a:xfrm>
          <a:off x="2009775" y="4781550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2534</xdr:row>
      <xdr:rowOff>76200</xdr:rowOff>
    </xdr:from>
    <xdr:to>
      <xdr:col>19</xdr:col>
      <xdr:colOff>119062</xdr:colOff>
      <xdr:row>2534</xdr:row>
      <xdr:rowOff>76200</xdr:rowOff>
    </xdr:to>
    <xdr:cxnSp macro="">
      <xdr:nvCxnSpPr>
        <xdr:cNvPr id="4287" name="Straight Arrow Connector 4286">
          <a:extLst>
            <a:ext uri="{FF2B5EF4-FFF2-40B4-BE49-F238E27FC236}">
              <a16:creationId xmlns:a16="http://schemas.microsoft.com/office/drawing/2014/main" id="{E19E9955-F268-4486-9CF4-120FB34D3D92}"/>
            </a:ext>
          </a:extLst>
        </xdr:cNvPr>
        <xdr:cNvCxnSpPr/>
      </xdr:nvCxnSpPr>
      <xdr:spPr>
        <a:xfrm>
          <a:off x="2009775" y="4778692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95255</xdr:colOff>
      <xdr:row>2503</xdr:row>
      <xdr:rowOff>66675</xdr:rowOff>
    </xdr:from>
    <xdr:to>
      <xdr:col>58</xdr:col>
      <xdr:colOff>61913</xdr:colOff>
      <xdr:row>2515</xdr:row>
      <xdr:rowOff>76194</xdr:rowOff>
    </xdr:to>
    <xdr:grpSp>
      <xdr:nvGrpSpPr>
        <xdr:cNvPr id="4288" name="Group 4287">
          <a:extLst>
            <a:ext uri="{FF2B5EF4-FFF2-40B4-BE49-F238E27FC236}">
              <a16:creationId xmlns:a16="http://schemas.microsoft.com/office/drawing/2014/main" id="{0F69B773-58BA-4008-99C6-757710A144C0}"/>
            </a:ext>
          </a:extLst>
        </xdr:cNvPr>
        <xdr:cNvGrpSpPr/>
      </xdr:nvGrpSpPr>
      <xdr:grpSpPr>
        <a:xfrm>
          <a:off x="8029580" y="375989850"/>
          <a:ext cx="1423983" cy="1724019"/>
          <a:chOff x="7705730" y="320421000"/>
          <a:chExt cx="1423983" cy="1724019"/>
        </a:xfrm>
      </xdr:grpSpPr>
      <xdr:cxnSp macro="">
        <xdr:nvCxnSpPr>
          <xdr:cNvPr id="4289" name="Straight Connector 4288">
            <a:extLst>
              <a:ext uri="{FF2B5EF4-FFF2-40B4-BE49-F238E27FC236}">
                <a16:creationId xmlns:a16="http://schemas.microsoft.com/office/drawing/2014/main" id="{8C555699-B518-21EA-023C-0D1B60650DE8}"/>
              </a:ext>
            </a:extLst>
          </xdr:cNvPr>
          <xdr:cNvCxnSpPr/>
        </xdr:nvCxnSpPr>
        <xdr:spPr>
          <a:xfrm>
            <a:off x="8096250" y="320497202"/>
            <a:ext cx="9667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0" name="Straight Connector 4289">
            <a:extLst>
              <a:ext uri="{FF2B5EF4-FFF2-40B4-BE49-F238E27FC236}">
                <a16:creationId xmlns:a16="http://schemas.microsoft.com/office/drawing/2014/main" id="{D3A8FBF4-63BE-E795-44E4-805246DF1377}"/>
              </a:ext>
            </a:extLst>
          </xdr:cNvPr>
          <xdr:cNvCxnSpPr/>
        </xdr:nvCxnSpPr>
        <xdr:spPr>
          <a:xfrm>
            <a:off x="8096250" y="320640077"/>
            <a:ext cx="3571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1" name="Straight Connector 4290">
            <a:extLst>
              <a:ext uri="{FF2B5EF4-FFF2-40B4-BE49-F238E27FC236}">
                <a16:creationId xmlns:a16="http://schemas.microsoft.com/office/drawing/2014/main" id="{2D5FF783-AD23-7676-8B9C-D784520BBEED}"/>
              </a:ext>
            </a:extLst>
          </xdr:cNvPr>
          <xdr:cNvCxnSpPr/>
        </xdr:nvCxnSpPr>
        <xdr:spPr>
          <a:xfrm>
            <a:off x="8534400" y="320735326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92" name="Arc 4291">
            <a:extLst>
              <a:ext uri="{FF2B5EF4-FFF2-40B4-BE49-F238E27FC236}">
                <a16:creationId xmlns:a16="http://schemas.microsoft.com/office/drawing/2014/main" id="{715C6E27-327C-BED7-EF3B-113AB37C1E27}"/>
              </a:ext>
            </a:extLst>
          </xdr:cNvPr>
          <xdr:cNvSpPr/>
        </xdr:nvSpPr>
        <xdr:spPr>
          <a:xfrm>
            <a:off x="8324851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93" name="Straight Connector 4292">
            <a:extLst>
              <a:ext uri="{FF2B5EF4-FFF2-40B4-BE49-F238E27FC236}">
                <a16:creationId xmlns:a16="http://schemas.microsoft.com/office/drawing/2014/main" id="{73B1BD90-38AC-9A57-4D81-5415AD27202D}"/>
              </a:ext>
            </a:extLst>
          </xdr:cNvPr>
          <xdr:cNvCxnSpPr/>
        </xdr:nvCxnSpPr>
        <xdr:spPr>
          <a:xfrm>
            <a:off x="8629650" y="320730563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4" name="Straight Connector 4293">
            <a:extLst>
              <a:ext uri="{FF2B5EF4-FFF2-40B4-BE49-F238E27FC236}">
                <a16:creationId xmlns:a16="http://schemas.microsoft.com/office/drawing/2014/main" id="{3F0EC99C-FFF3-58A6-E2C6-304D31B65FA6}"/>
              </a:ext>
            </a:extLst>
          </xdr:cNvPr>
          <xdr:cNvCxnSpPr/>
        </xdr:nvCxnSpPr>
        <xdr:spPr>
          <a:xfrm>
            <a:off x="8734425" y="320640077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5" name="Straight Connector 4294">
            <a:extLst>
              <a:ext uri="{FF2B5EF4-FFF2-40B4-BE49-F238E27FC236}">
                <a16:creationId xmlns:a16="http://schemas.microsoft.com/office/drawing/2014/main" id="{E49C3674-FC9A-74C1-72B9-0CA733B62775}"/>
              </a:ext>
            </a:extLst>
          </xdr:cNvPr>
          <xdr:cNvCxnSpPr/>
        </xdr:nvCxnSpPr>
        <xdr:spPr>
          <a:xfrm>
            <a:off x="9063027" y="320497201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6" name="Straight Connector 4295">
            <a:extLst>
              <a:ext uri="{FF2B5EF4-FFF2-40B4-BE49-F238E27FC236}">
                <a16:creationId xmlns:a16="http://schemas.microsoft.com/office/drawing/2014/main" id="{5D657C3A-3648-3FB7-6209-EFC210A636A2}"/>
              </a:ext>
            </a:extLst>
          </xdr:cNvPr>
          <xdr:cNvCxnSpPr/>
        </xdr:nvCxnSpPr>
        <xdr:spPr>
          <a:xfrm>
            <a:off x="8096258" y="320497202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97" name="Arc 4296">
            <a:extLst>
              <a:ext uri="{FF2B5EF4-FFF2-40B4-BE49-F238E27FC236}">
                <a16:creationId xmlns:a16="http://schemas.microsoft.com/office/drawing/2014/main" id="{921D9CAC-E6B7-5BD2-7B69-3597BEC48746}"/>
              </a:ext>
            </a:extLst>
          </xdr:cNvPr>
          <xdr:cNvSpPr/>
        </xdr:nvSpPr>
        <xdr:spPr>
          <a:xfrm rot="16200000">
            <a:off x="8629650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98" name="Straight Connector 4297">
            <a:extLst>
              <a:ext uri="{FF2B5EF4-FFF2-40B4-BE49-F238E27FC236}">
                <a16:creationId xmlns:a16="http://schemas.microsoft.com/office/drawing/2014/main" id="{56168DA7-CAE5-B2A4-33C8-C7DEB08582E1}"/>
              </a:ext>
            </a:extLst>
          </xdr:cNvPr>
          <xdr:cNvCxnSpPr/>
        </xdr:nvCxnSpPr>
        <xdr:spPr>
          <a:xfrm>
            <a:off x="8096250" y="321783070"/>
            <a:ext cx="971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9" name="Straight Connector 4298">
            <a:extLst>
              <a:ext uri="{FF2B5EF4-FFF2-40B4-BE49-F238E27FC236}">
                <a16:creationId xmlns:a16="http://schemas.microsoft.com/office/drawing/2014/main" id="{9FFCB916-5751-8C32-D297-47052135D82D}"/>
              </a:ext>
            </a:extLst>
          </xdr:cNvPr>
          <xdr:cNvCxnSpPr/>
        </xdr:nvCxnSpPr>
        <xdr:spPr>
          <a:xfrm>
            <a:off x="8101013" y="321640188"/>
            <a:ext cx="3571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0" name="Straight Connector 4299">
            <a:extLst>
              <a:ext uri="{FF2B5EF4-FFF2-40B4-BE49-F238E27FC236}">
                <a16:creationId xmlns:a16="http://schemas.microsoft.com/office/drawing/2014/main" id="{E325765F-8555-B374-02EE-977DB967ECE4}"/>
              </a:ext>
            </a:extLst>
          </xdr:cNvPr>
          <xdr:cNvCxnSpPr/>
        </xdr:nvCxnSpPr>
        <xdr:spPr>
          <a:xfrm>
            <a:off x="8739187" y="321640188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1" name="Straight Connector 4300">
            <a:extLst>
              <a:ext uri="{FF2B5EF4-FFF2-40B4-BE49-F238E27FC236}">
                <a16:creationId xmlns:a16="http://schemas.microsoft.com/office/drawing/2014/main" id="{BACE2A13-9530-CDB8-3560-BDF50BBDE900}"/>
              </a:ext>
            </a:extLst>
          </xdr:cNvPr>
          <xdr:cNvCxnSpPr/>
        </xdr:nvCxnSpPr>
        <xdr:spPr>
          <a:xfrm>
            <a:off x="9067789" y="321640187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2" name="Straight Connector 4301">
            <a:extLst>
              <a:ext uri="{FF2B5EF4-FFF2-40B4-BE49-F238E27FC236}">
                <a16:creationId xmlns:a16="http://schemas.microsoft.com/office/drawing/2014/main" id="{444C5CDA-5262-28CB-B73A-51C3326C3491}"/>
              </a:ext>
            </a:extLst>
          </xdr:cNvPr>
          <xdr:cNvCxnSpPr/>
        </xdr:nvCxnSpPr>
        <xdr:spPr>
          <a:xfrm>
            <a:off x="8101020" y="321640188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03" name="Arc 4302">
            <a:extLst>
              <a:ext uri="{FF2B5EF4-FFF2-40B4-BE49-F238E27FC236}">
                <a16:creationId xmlns:a16="http://schemas.microsoft.com/office/drawing/2014/main" id="{C5ADDD21-633B-7ACE-E1FF-7B2DE000C267}"/>
              </a:ext>
            </a:extLst>
          </xdr:cNvPr>
          <xdr:cNvSpPr/>
        </xdr:nvSpPr>
        <xdr:spPr>
          <a:xfrm rot="5400000">
            <a:off x="8324849" y="321430638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304" name="Arc 4303">
            <a:extLst>
              <a:ext uri="{FF2B5EF4-FFF2-40B4-BE49-F238E27FC236}">
                <a16:creationId xmlns:a16="http://schemas.microsoft.com/office/drawing/2014/main" id="{6C3B142C-B494-81FC-11C2-57D06F8A5522}"/>
              </a:ext>
            </a:extLst>
          </xdr:cNvPr>
          <xdr:cNvSpPr/>
        </xdr:nvSpPr>
        <xdr:spPr>
          <a:xfrm rot="10800000">
            <a:off x="8629651" y="321430637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305" name="Straight Connector 4304">
            <a:extLst>
              <a:ext uri="{FF2B5EF4-FFF2-40B4-BE49-F238E27FC236}">
                <a16:creationId xmlns:a16="http://schemas.microsoft.com/office/drawing/2014/main" id="{4A00D7C5-49DB-77D4-C7E3-D59215628A3E}"/>
              </a:ext>
            </a:extLst>
          </xdr:cNvPr>
          <xdr:cNvCxnSpPr/>
        </xdr:nvCxnSpPr>
        <xdr:spPr>
          <a:xfrm>
            <a:off x="8472488" y="32121157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6" name="Straight Connector 4305">
            <a:extLst>
              <a:ext uri="{FF2B5EF4-FFF2-40B4-BE49-F238E27FC236}">
                <a16:creationId xmlns:a16="http://schemas.microsoft.com/office/drawing/2014/main" id="{9B123A1A-E057-7155-975D-F5F67B837277}"/>
              </a:ext>
            </a:extLst>
          </xdr:cNvPr>
          <xdr:cNvCxnSpPr/>
        </xdr:nvCxnSpPr>
        <xdr:spPr>
          <a:xfrm flipH="1">
            <a:off x="8496302" y="3211782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7" name="Straight Connector 4306">
            <a:extLst>
              <a:ext uri="{FF2B5EF4-FFF2-40B4-BE49-F238E27FC236}">
                <a16:creationId xmlns:a16="http://schemas.microsoft.com/office/drawing/2014/main" id="{94FF0751-8980-E29C-073A-63E1B9F08E13}"/>
              </a:ext>
            </a:extLst>
          </xdr:cNvPr>
          <xdr:cNvCxnSpPr/>
        </xdr:nvCxnSpPr>
        <xdr:spPr>
          <a:xfrm flipH="1">
            <a:off x="8591548" y="32117823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8" name="Straight Connector 4307">
            <a:extLst>
              <a:ext uri="{FF2B5EF4-FFF2-40B4-BE49-F238E27FC236}">
                <a16:creationId xmlns:a16="http://schemas.microsoft.com/office/drawing/2014/main" id="{79D20579-E520-F356-2FC2-BFB40BF88016}"/>
              </a:ext>
            </a:extLst>
          </xdr:cNvPr>
          <xdr:cNvCxnSpPr/>
        </xdr:nvCxnSpPr>
        <xdr:spPr>
          <a:xfrm>
            <a:off x="8905876" y="321578275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9" name="Straight Connector 4308">
            <a:extLst>
              <a:ext uri="{FF2B5EF4-FFF2-40B4-BE49-F238E27FC236}">
                <a16:creationId xmlns:a16="http://schemas.microsoft.com/office/drawing/2014/main" id="{B56472FC-6F42-B46D-679B-B1CAA5D0C530}"/>
              </a:ext>
            </a:extLst>
          </xdr:cNvPr>
          <xdr:cNvCxnSpPr/>
        </xdr:nvCxnSpPr>
        <xdr:spPr>
          <a:xfrm flipH="1">
            <a:off x="8867776" y="3216068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0" name="Straight Connector 4309">
            <a:extLst>
              <a:ext uri="{FF2B5EF4-FFF2-40B4-BE49-F238E27FC236}">
                <a16:creationId xmlns:a16="http://schemas.microsoft.com/office/drawing/2014/main" id="{E6F7B2AF-5642-620E-80D6-615DDD80A738}"/>
              </a:ext>
            </a:extLst>
          </xdr:cNvPr>
          <xdr:cNvCxnSpPr/>
        </xdr:nvCxnSpPr>
        <xdr:spPr>
          <a:xfrm flipH="1">
            <a:off x="8867774" y="32174972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1" name="Straight Connector 4310">
            <a:extLst>
              <a:ext uri="{FF2B5EF4-FFF2-40B4-BE49-F238E27FC236}">
                <a16:creationId xmlns:a16="http://schemas.microsoft.com/office/drawing/2014/main" id="{7A49961C-8F0E-B4EE-4828-DE7C25DCBCED}"/>
              </a:ext>
            </a:extLst>
          </xdr:cNvPr>
          <xdr:cNvCxnSpPr/>
        </xdr:nvCxnSpPr>
        <xdr:spPr>
          <a:xfrm>
            <a:off x="8096255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2" name="Straight Connector 4311">
            <a:extLst>
              <a:ext uri="{FF2B5EF4-FFF2-40B4-BE49-F238E27FC236}">
                <a16:creationId xmlns:a16="http://schemas.microsoft.com/office/drawing/2014/main" id="{5E07AB25-3147-FE4D-A1E6-B04DD477AB27}"/>
              </a:ext>
            </a:extLst>
          </xdr:cNvPr>
          <xdr:cNvCxnSpPr/>
        </xdr:nvCxnSpPr>
        <xdr:spPr>
          <a:xfrm>
            <a:off x="8034343" y="322068819"/>
            <a:ext cx="10953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3" name="Straight Connector 4312">
            <a:extLst>
              <a:ext uri="{FF2B5EF4-FFF2-40B4-BE49-F238E27FC236}">
                <a16:creationId xmlns:a16="http://schemas.microsoft.com/office/drawing/2014/main" id="{7C9664D4-799C-AB25-686D-9A1835B7A1DD}"/>
              </a:ext>
            </a:extLst>
          </xdr:cNvPr>
          <xdr:cNvCxnSpPr/>
        </xdr:nvCxnSpPr>
        <xdr:spPr>
          <a:xfrm flipH="1">
            <a:off x="8058154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4" name="Straight Connector 4313">
            <a:extLst>
              <a:ext uri="{FF2B5EF4-FFF2-40B4-BE49-F238E27FC236}">
                <a16:creationId xmlns:a16="http://schemas.microsoft.com/office/drawing/2014/main" id="{AE244797-F2DF-B771-46F2-DAA33675FDBD}"/>
              </a:ext>
            </a:extLst>
          </xdr:cNvPr>
          <xdr:cNvCxnSpPr/>
        </xdr:nvCxnSpPr>
        <xdr:spPr>
          <a:xfrm>
            <a:off x="9067798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5" name="Straight Connector 4314">
            <a:extLst>
              <a:ext uri="{FF2B5EF4-FFF2-40B4-BE49-F238E27FC236}">
                <a16:creationId xmlns:a16="http://schemas.microsoft.com/office/drawing/2014/main" id="{D8D09BA2-FCBE-1099-BAC6-C650CA6AFB37}"/>
              </a:ext>
            </a:extLst>
          </xdr:cNvPr>
          <xdr:cNvCxnSpPr/>
        </xdr:nvCxnSpPr>
        <xdr:spPr>
          <a:xfrm flipH="1">
            <a:off x="9029697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6" name="Straight Connector 4315">
            <a:extLst>
              <a:ext uri="{FF2B5EF4-FFF2-40B4-BE49-F238E27FC236}">
                <a16:creationId xmlns:a16="http://schemas.microsoft.com/office/drawing/2014/main" id="{E6018144-8F8A-2208-BB58-CDDD57FED485}"/>
              </a:ext>
            </a:extLst>
          </xdr:cNvPr>
          <xdr:cNvCxnSpPr/>
        </xdr:nvCxnSpPr>
        <xdr:spPr>
          <a:xfrm>
            <a:off x="7772406" y="320421000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7" name="Straight Connector 4316">
            <a:extLst>
              <a:ext uri="{FF2B5EF4-FFF2-40B4-BE49-F238E27FC236}">
                <a16:creationId xmlns:a16="http://schemas.microsoft.com/office/drawing/2014/main" id="{ACB91D2A-807A-E024-1668-BF0C5EE3BFCF}"/>
              </a:ext>
            </a:extLst>
          </xdr:cNvPr>
          <xdr:cNvCxnSpPr/>
        </xdr:nvCxnSpPr>
        <xdr:spPr>
          <a:xfrm flipH="1">
            <a:off x="7734310" y="3204638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8" name="Straight Connector 4317">
            <a:extLst>
              <a:ext uri="{FF2B5EF4-FFF2-40B4-BE49-F238E27FC236}">
                <a16:creationId xmlns:a16="http://schemas.microsoft.com/office/drawing/2014/main" id="{0508C6FF-EBEA-5C7F-398E-C77C927AAEC2}"/>
              </a:ext>
            </a:extLst>
          </xdr:cNvPr>
          <xdr:cNvCxnSpPr/>
        </xdr:nvCxnSpPr>
        <xdr:spPr>
          <a:xfrm flipH="1">
            <a:off x="7734301" y="32174973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9" name="Straight Connector 4318">
            <a:extLst>
              <a:ext uri="{FF2B5EF4-FFF2-40B4-BE49-F238E27FC236}">
                <a16:creationId xmlns:a16="http://schemas.microsoft.com/office/drawing/2014/main" id="{41E51618-AEB0-F67E-C95C-8822F777FDC4}"/>
              </a:ext>
            </a:extLst>
          </xdr:cNvPr>
          <xdr:cNvCxnSpPr/>
        </xdr:nvCxnSpPr>
        <xdr:spPr>
          <a:xfrm flipH="1">
            <a:off x="7705730" y="321783074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0" name="Straight Connector 4319">
            <a:extLst>
              <a:ext uri="{FF2B5EF4-FFF2-40B4-BE49-F238E27FC236}">
                <a16:creationId xmlns:a16="http://schemas.microsoft.com/office/drawing/2014/main" id="{5270EFEF-ED1A-E958-2966-1716BB0F9F8A}"/>
              </a:ext>
            </a:extLst>
          </xdr:cNvPr>
          <xdr:cNvCxnSpPr/>
        </xdr:nvCxnSpPr>
        <xdr:spPr>
          <a:xfrm flipH="1">
            <a:off x="7705730" y="320497202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62</xdr:col>
      <xdr:colOff>95255</xdr:colOff>
      <xdr:row>2503</xdr:row>
      <xdr:rowOff>66675</xdr:rowOff>
    </xdr:from>
    <xdr:to>
      <xdr:col>71</xdr:col>
      <xdr:colOff>61913</xdr:colOff>
      <xdr:row>2515</xdr:row>
      <xdr:rowOff>76194</xdr:rowOff>
    </xdr:to>
    <xdr:grpSp>
      <xdr:nvGrpSpPr>
        <xdr:cNvPr id="4321" name="Group 4320">
          <a:extLst>
            <a:ext uri="{FF2B5EF4-FFF2-40B4-BE49-F238E27FC236}">
              <a16:creationId xmlns:a16="http://schemas.microsoft.com/office/drawing/2014/main" id="{AB2DD68F-EC7A-47EF-9575-882A73C72D22}"/>
            </a:ext>
          </a:extLst>
        </xdr:cNvPr>
        <xdr:cNvGrpSpPr/>
      </xdr:nvGrpSpPr>
      <xdr:grpSpPr>
        <a:xfrm>
          <a:off x="10134605" y="375989850"/>
          <a:ext cx="1423983" cy="1724019"/>
          <a:chOff x="7705730" y="320421000"/>
          <a:chExt cx="1423983" cy="1724019"/>
        </a:xfrm>
      </xdr:grpSpPr>
      <xdr:cxnSp macro="">
        <xdr:nvCxnSpPr>
          <xdr:cNvPr id="4322" name="Straight Connector 4321">
            <a:extLst>
              <a:ext uri="{FF2B5EF4-FFF2-40B4-BE49-F238E27FC236}">
                <a16:creationId xmlns:a16="http://schemas.microsoft.com/office/drawing/2014/main" id="{C46EB9E3-2E50-4FE5-23BD-F1E3ADB0DE4B}"/>
              </a:ext>
            </a:extLst>
          </xdr:cNvPr>
          <xdr:cNvCxnSpPr/>
        </xdr:nvCxnSpPr>
        <xdr:spPr>
          <a:xfrm>
            <a:off x="8096250" y="320497202"/>
            <a:ext cx="9667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3" name="Straight Connector 4322">
            <a:extLst>
              <a:ext uri="{FF2B5EF4-FFF2-40B4-BE49-F238E27FC236}">
                <a16:creationId xmlns:a16="http://schemas.microsoft.com/office/drawing/2014/main" id="{E3106BFF-70FC-5A64-FE8C-CA7F37130B81}"/>
              </a:ext>
            </a:extLst>
          </xdr:cNvPr>
          <xdr:cNvCxnSpPr/>
        </xdr:nvCxnSpPr>
        <xdr:spPr>
          <a:xfrm>
            <a:off x="8096250" y="320640077"/>
            <a:ext cx="3571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4" name="Straight Connector 4323">
            <a:extLst>
              <a:ext uri="{FF2B5EF4-FFF2-40B4-BE49-F238E27FC236}">
                <a16:creationId xmlns:a16="http://schemas.microsoft.com/office/drawing/2014/main" id="{7D212846-AECE-38C6-91A2-E5188E409FEF}"/>
              </a:ext>
            </a:extLst>
          </xdr:cNvPr>
          <xdr:cNvCxnSpPr/>
        </xdr:nvCxnSpPr>
        <xdr:spPr>
          <a:xfrm>
            <a:off x="8534400" y="320735326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25" name="Arc 4324">
            <a:extLst>
              <a:ext uri="{FF2B5EF4-FFF2-40B4-BE49-F238E27FC236}">
                <a16:creationId xmlns:a16="http://schemas.microsoft.com/office/drawing/2014/main" id="{80D0FB3F-F236-0028-0422-7FDEB92374A2}"/>
              </a:ext>
            </a:extLst>
          </xdr:cNvPr>
          <xdr:cNvSpPr/>
        </xdr:nvSpPr>
        <xdr:spPr>
          <a:xfrm>
            <a:off x="8324851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326" name="Straight Connector 4325">
            <a:extLst>
              <a:ext uri="{FF2B5EF4-FFF2-40B4-BE49-F238E27FC236}">
                <a16:creationId xmlns:a16="http://schemas.microsoft.com/office/drawing/2014/main" id="{77A1534A-112E-DDC4-A476-7547B34481E8}"/>
              </a:ext>
            </a:extLst>
          </xdr:cNvPr>
          <xdr:cNvCxnSpPr/>
        </xdr:nvCxnSpPr>
        <xdr:spPr>
          <a:xfrm>
            <a:off x="8629650" y="320730563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7" name="Straight Connector 4326">
            <a:extLst>
              <a:ext uri="{FF2B5EF4-FFF2-40B4-BE49-F238E27FC236}">
                <a16:creationId xmlns:a16="http://schemas.microsoft.com/office/drawing/2014/main" id="{11B7D55A-707E-DECF-81DF-5269DA15EB61}"/>
              </a:ext>
            </a:extLst>
          </xdr:cNvPr>
          <xdr:cNvCxnSpPr/>
        </xdr:nvCxnSpPr>
        <xdr:spPr>
          <a:xfrm>
            <a:off x="8734425" y="320640077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8" name="Straight Connector 4327">
            <a:extLst>
              <a:ext uri="{FF2B5EF4-FFF2-40B4-BE49-F238E27FC236}">
                <a16:creationId xmlns:a16="http://schemas.microsoft.com/office/drawing/2014/main" id="{DCEB7FEF-B54D-6C60-B2CB-9E0BDA04CF05}"/>
              </a:ext>
            </a:extLst>
          </xdr:cNvPr>
          <xdr:cNvCxnSpPr/>
        </xdr:nvCxnSpPr>
        <xdr:spPr>
          <a:xfrm>
            <a:off x="9063027" y="320497201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9" name="Straight Connector 4328">
            <a:extLst>
              <a:ext uri="{FF2B5EF4-FFF2-40B4-BE49-F238E27FC236}">
                <a16:creationId xmlns:a16="http://schemas.microsoft.com/office/drawing/2014/main" id="{EFC5C6AA-802A-08C9-C85E-9A6E8941819A}"/>
              </a:ext>
            </a:extLst>
          </xdr:cNvPr>
          <xdr:cNvCxnSpPr/>
        </xdr:nvCxnSpPr>
        <xdr:spPr>
          <a:xfrm>
            <a:off x="8096258" y="320497202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30" name="Arc 4329">
            <a:extLst>
              <a:ext uri="{FF2B5EF4-FFF2-40B4-BE49-F238E27FC236}">
                <a16:creationId xmlns:a16="http://schemas.microsoft.com/office/drawing/2014/main" id="{2751C7A1-E5AD-7E4D-99F0-045583F92F2D}"/>
              </a:ext>
            </a:extLst>
          </xdr:cNvPr>
          <xdr:cNvSpPr/>
        </xdr:nvSpPr>
        <xdr:spPr>
          <a:xfrm rot="16200000">
            <a:off x="8629650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331" name="Straight Connector 4330">
            <a:extLst>
              <a:ext uri="{FF2B5EF4-FFF2-40B4-BE49-F238E27FC236}">
                <a16:creationId xmlns:a16="http://schemas.microsoft.com/office/drawing/2014/main" id="{D3AD3DF3-335F-2308-5BCC-D16B96838E5D}"/>
              </a:ext>
            </a:extLst>
          </xdr:cNvPr>
          <xdr:cNvCxnSpPr/>
        </xdr:nvCxnSpPr>
        <xdr:spPr>
          <a:xfrm>
            <a:off x="8096250" y="321783070"/>
            <a:ext cx="971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2" name="Straight Connector 4331">
            <a:extLst>
              <a:ext uri="{FF2B5EF4-FFF2-40B4-BE49-F238E27FC236}">
                <a16:creationId xmlns:a16="http://schemas.microsoft.com/office/drawing/2014/main" id="{69B385EF-BF2F-DADB-07DC-1A8FBC376047}"/>
              </a:ext>
            </a:extLst>
          </xdr:cNvPr>
          <xdr:cNvCxnSpPr/>
        </xdr:nvCxnSpPr>
        <xdr:spPr>
          <a:xfrm>
            <a:off x="8101013" y="321640188"/>
            <a:ext cx="3571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3" name="Straight Connector 4332">
            <a:extLst>
              <a:ext uri="{FF2B5EF4-FFF2-40B4-BE49-F238E27FC236}">
                <a16:creationId xmlns:a16="http://schemas.microsoft.com/office/drawing/2014/main" id="{D4DB8285-4E47-96D8-E96E-1FC319AA9EF8}"/>
              </a:ext>
            </a:extLst>
          </xdr:cNvPr>
          <xdr:cNvCxnSpPr/>
        </xdr:nvCxnSpPr>
        <xdr:spPr>
          <a:xfrm>
            <a:off x="8739187" y="321640188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4" name="Straight Connector 4333">
            <a:extLst>
              <a:ext uri="{FF2B5EF4-FFF2-40B4-BE49-F238E27FC236}">
                <a16:creationId xmlns:a16="http://schemas.microsoft.com/office/drawing/2014/main" id="{CFE6F931-73F5-217A-3787-C19304E49912}"/>
              </a:ext>
            </a:extLst>
          </xdr:cNvPr>
          <xdr:cNvCxnSpPr/>
        </xdr:nvCxnSpPr>
        <xdr:spPr>
          <a:xfrm>
            <a:off x="9067789" y="321640187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5" name="Straight Connector 4334">
            <a:extLst>
              <a:ext uri="{FF2B5EF4-FFF2-40B4-BE49-F238E27FC236}">
                <a16:creationId xmlns:a16="http://schemas.microsoft.com/office/drawing/2014/main" id="{A4B810D5-017E-E6FB-3737-581366E6EDF6}"/>
              </a:ext>
            </a:extLst>
          </xdr:cNvPr>
          <xdr:cNvCxnSpPr/>
        </xdr:nvCxnSpPr>
        <xdr:spPr>
          <a:xfrm>
            <a:off x="8101020" y="321640188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36" name="Arc 4335">
            <a:extLst>
              <a:ext uri="{FF2B5EF4-FFF2-40B4-BE49-F238E27FC236}">
                <a16:creationId xmlns:a16="http://schemas.microsoft.com/office/drawing/2014/main" id="{868A45A0-03EE-DE80-309C-DCFFCB4961BA}"/>
              </a:ext>
            </a:extLst>
          </xdr:cNvPr>
          <xdr:cNvSpPr/>
        </xdr:nvSpPr>
        <xdr:spPr>
          <a:xfrm rot="5400000">
            <a:off x="8324849" y="321430638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337" name="Arc 4336">
            <a:extLst>
              <a:ext uri="{FF2B5EF4-FFF2-40B4-BE49-F238E27FC236}">
                <a16:creationId xmlns:a16="http://schemas.microsoft.com/office/drawing/2014/main" id="{4B707FDC-E52F-25E2-81E1-1695FC2716D0}"/>
              </a:ext>
            </a:extLst>
          </xdr:cNvPr>
          <xdr:cNvSpPr/>
        </xdr:nvSpPr>
        <xdr:spPr>
          <a:xfrm rot="10800000">
            <a:off x="8629651" y="321430637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338" name="Straight Connector 4337">
            <a:extLst>
              <a:ext uri="{FF2B5EF4-FFF2-40B4-BE49-F238E27FC236}">
                <a16:creationId xmlns:a16="http://schemas.microsoft.com/office/drawing/2014/main" id="{625C0B4C-4067-0CAA-6B65-48CAB5242D68}"/>
              </a:ext>
            </a:extLst>
          </xdr:cNvPr>
          <xdr:cNvCxnSpPr/>
        </xdr:nvCxnSpPr>
        <xdr:spPr>
          <a:xfrm>
            <a:off x="8472488" y="32121157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9" name="Straight Connector 4338">
            <a:extLst>
              <a:ext uri="{FF2B5EF4-FFF2-40B4-BE49-F238E27FC236}">
                <a16:creationId xmlns:a16="http://schemas.microsoft.com/office/drawing/2014/main" id="{2FDF1A1B-CA5F-D2BC-4438-DCB52BA9EC22}"/>
              </a:ext>
            </a:extLst>
          </xdr:cNvPr>
          <xdr:cNvCxnSpPr/>
        </xdr:nvCxnSpPr>
        <xdr:spPr>
          <a:xfrm flipH="1">
            <a:off x="8496302" y="3211782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0" name="Straight Connector 4339">
            <a:extLst>
              <a:ext uri="{FF2B5EF4-FFF2-40B4-BE49-F238E27FC236}">
                <a16:creationId xmlns:a16="http://schemas.microsoft.com/office/drawing/2014/main" id="{A6718D59-5190-0A59-C959-77F152F7F86E}"/>
              </a:ext>
            </a:extLst>
          </xdr:cNvPr>
          <xdr:cNvCxnSpPr/>
        </xdr:nvCxnSpPr>
        <xdr:spPr>
          <a:xfrm flipH="1">
            <a:off x="8591548" y="32117823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1" name="Straight Connector 4340">
            <a:extLst>
              <a:ext uri="{FF2B5EF4-FFF2-40B4-BE49-F238E27FC236}">
                <a16:creationId xmlns:a16="http://schemas.microsoft.com/office/drawing/2014/main" id="{BEDACFAF-B726-F329-6358-96A618A8E932}"/>
              </a:ext>
            </a:extLst>
          </xdr:cNvPr>
          <xdr:cNvCxnSpPr/>
        </xdr:nvCxnSpPr>
        <xdr:spPr>
          <a:xfrm>
            <a:off x="8905876" y="321578275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2" name="Straight Connector 4341">
            <a:extLst>
              <a:ext uri="{FF2B5EF4-FFF2-40B4-BE49-F238E27FC236}">
                <a16:creationId xmlns:a16="http://schemas.microsoft.com/office/drawing/2014/main" id="{8E9016BC-41F2-C918-C8E2-5A28E458E73D}"/>
              </a:ext>
            </a:extLst>
          </xdr:cNvPr>
          <xdr:cNvCxnSpPr/>
        </xdr:nvCxnSpPr>
        <xdr:spPr>
          <a:xfrm flipH="1">
            <a:off x="8867776" y="3216068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3" name="Straight Connector 4342">
            <a:extLst>
              <a:ext uri="{FF2B5EF4-FFF2-40B4-BE49-F238E27FC236}">
                <a16:creationId xmlns:a16="http://schemas.microsoft.com/office/drawing/2014/main" id="{6A8D0E62-D760-2BDA-1715-8268D2B54753}"/>
              </a:ext>
            </a:extLst>
          </xdr:cNvPr>
          <xdr:cNvCxnSpPr/>
        </xdr:nvCxnSpPr>
        <xdr:spPr>
          <a:xfrm flipH="1">
            <a:off x="8867774" y="32174972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4" name="Straight Connector 4343">
            <a:extLst>
              <a:ext uri="{FF2B5EF4-FFF2-40B4-BE49-F238E27FC236}">
                <a16:creationId xmlns:a16="http://schemas.microsoft.com/office/drawing/2014/main" id="{40902F0E-F582-107E-E126-F7F823D79AF9}"/>
              </a:ext>
            </a:extLst>
          </xdr:cNvPr>
          <xdr:cNvCxnSpPr/>
        </xdr:nvCxnSpPr>
        <xdr:spPr>
          <a:xfrm>
            <a:off x="8096255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5" name="Straight Connector 4344">
            <a:extLst>
              <a:ext uri="{FF2B5EF4-FFF2-40B4-BE49-F238E27FC236}">
                <a16:creationId xmlns:a16="http://schemas.microsoft.com/office/drawing/2014/main" id="{0ADFBA98-4EFE-78F2-0E0F-B7FD9139BB2C}"/>
              </a:ext>
            </a:extLst>
          </xdr:cNvPr>
          <xdr:cNvCxnSpPr/>
        </xdr:nvCxnSpPr>
        <xdr:spPr>
          <a:xfrm>
            <a:off x="8034343" y="322068819"/>
            <a:ext cx="10953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6" name="Straight Connector 4345">
            <a:extLst>
              <a:ext uri="{FF2B5EF4-FFF2-40B4-BE49-F238E27FC236}">
                <a16:creationId xmlns:a16="http://schemas.microsoft.com/office/drawing/2014/main" id="{95C0612E-8D54-5189-7051-26E19E738EAB}"/>
              </a:ext>
            </a:extLst>
          </xdr:cNvPr>
          <xdr:cNvCxnSpPr/>
        </xdr:nvCxnSpPr>
        <xdr:spPr>
          <a:xfrm flipH="1">
            <a:off x="8058154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7" name="Straight Connector 4346">
            <a:extLst>
              <a:ext uri="{FF2B5EF4-FFF2-40B4-BE49-F238E27FC236}">
                <a16:creationId xmlns:a16="http://schemas.microsoft.com/office/drawing/2014/main" id="{C31243B1-89AD-D1F8-9CD3-A643547D86CF}"/>
              </a:ext>
            </a:extLst>
          </xdr:cNvPr>
          <xdr:cNvCxnSpPr/>
        </xdr:nvCxnSpPr>
        <xdr:spPr>
          <a:xfrm>
            <a:off x="9067798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8" name="Straight Connector 4347">
            <a:extLst>
              <a:ext uri="{FF2B5EF4-FFF2-40B4-BE49-F238E27FC236}">
                <a16:creationId xmlns:a16="http://schemas.microsoft.com/office/drawing/2014/main" id="{620F1B20-702F-6EC7-E73F-173A5B9DD0EB}"/>
              </a:ext>
            </a:extLst>
          </xdr:cNvPr>
          <xdr:cNvCxnSpPr/>
        </xdr:nvCxnSpPr>
        <xdr:spPr>
          <a:xfrm flipH="1">
            <a:off x="9029697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9" name="Straight Connector 4348">
            <a:extLst>
              <a:ext uri="{FF2B5EF4-FFF2-40B4-BE49-F238E27FC236}">
                <a16:creationId xmlns:a16="http://schemas.microsoft.com/office/drawing/2014/main" id="{C712225F-77E5-EA3A-5B01-9FCC1F0D6330}"/>
              </a:ext>
            </a:extLst>
          </xdr:cNvPr>
          <xdr:cNvCxnSpPr/>
        </xdr:nvCxnSpPr>
        <xdr:spPr>
          <a:xfrm>
            <a:off x="7772406" y="320421000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0" name="Straight Connector 4349">
            <a:extLst>
              <a:ext uri="{FF2B5EF4-FFF2-40B4-BE49-F238E27FC236}">
                <a16:creationId xmlns:a16="http://schemas.microsoft.com/office/drawing/2014/main" id="{FB0018DF-A449-5FF7-B9AF-9D7450B8E76A}"/>
              </a:ext>
            </a:extLst>
          </xdr:cNvPr>
          <xdr:cNvCxnSpPr/>
        </xdr:nvCxnSpPr>
        <xdr:spPr>
          <a:xfrm flipH="1">
            <a:off x="7734310" y="3204638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1" name="Straight Connector 4350">
            <a:extLst>
              <a:ext uri="{FF2B5EF4-FFF2-40B4-BE49-F238E27FC236}">
                <a16:creationId xmlns:a16="http://schemas.microsoft.com/office/drawing/2014/main" id="{573DEB14-9356-B242-4679-26E1D31B45B2}"/>
              </a:ext>
            </a:extLst>
          </xdr:cNvPr>
          <xdr:cNvCxnSpPr/>
        </xdr:nvCxnSpPr>
        <xdr:spPr>
          <a:xfrm flipH="1">
            <a:off x="7734301" y="32174973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2" name="Straight Connector 4351">
            <a:extLst>
              <a:ext uri="{FF2B5EF4-FFF2-40B4-BE49-F238E27FC236}">
                <a16:creationId xmlns:a16="http://schemas.microsoft.com/office/drawing/2014/main" id="{37AF2A6B-19B3-4548-205A-21E40A72399D}"/>
              </a:ext>
            </a:extLst>
          </xdr:cNvPr>
          <xdr:cNvCxnSpPr/>
        </xdr:nvCxnSpPr>
        <xdr:spPr>
          <a:xfrm flipH="1">
            <a:off x="7705730" y="321783074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3" name="Straight Connector 4352">
            <a:extLst>
              <a:ext uri="{FF2B5EF4-FFF2-40B4-BE49-F238E27FC236}">
                <a16:creationId xmlns:a16="http://schemas.microsoft.com/office/drawing/2014/main" id="{D191EB12-A729-3E4D-7CBE-5887F5FC6E88}"/>
              </a:ext>
            </a:extLst>
          </xdr:cNvPr>
          <xdr:cNvCxnSpPr/>
        </xdr:nvCxnSpPr>
        <xdr:spPr>
          <a:xfrm flipH="1">
            <a:off x="7705730" y="320497202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142876</xdr:colOff>
      <xdr:row>2485</xdr:row>
      <xdr:rowOff>132126</xdr:rowOff>
    </xdr:from>
    <xdr:to>
      <xdr:col>40</xdr:col>
      <xdr:colOff>70596</xdr:colOff>
      <xdr:row>2518</xdr:row>
      <xdr:rowOff>3925</xdr:rowOff>
    </xdr:to>
    <xdr:grpSp>
      <xdr:nvGrpSpPr>
        <xdr:cNvPr id="4382" name="Group 4381">
          <a:extLst>
            <a:ext uri="{FF2B5EF4-FFF2-40B4-BE49-F238E27FC236}">
              <a16:creationId xmlns:a16="http://schemas.microsoft.com/office/drawing/2014/main" id="{2F98A69C-DAA7-6E92-013E-E78B45D3C25D}"/>
            </a:ext>
          </a:extLst>
        </xdr:cNvPr>
        <xdr:cNvGrpSpPr/>
      </xdr:nvGrpSpPr>
      <xdr:grpSpPr>
        <a:xfrm>
          <a:off x="1276351" y="373483551"/>
          <a:ext cx="5271245" cy="4586674"/>
          <a:chOff x="1276351" y="469924176"/>
          <a:chExt cx="5271245" cy="4586674"/>
        </a:xfrm>
      </xdr:grpSpPr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089F9921-FC01-A34B-9BD0-98DBD99D53C1}"/>
              </a:ext>
            </a:extLst>
          </xdr:cNvPr>
          <xdr:cNvSpPr/>
        </xdr:nvSpPr>
        <xdr:spPr>
          <a:xfrm rot="18190422">
            <a:off x="1602947" y="470135936"/>
            <a:ext cx="544655" cy="12113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grpSp>
        <xdr:nvGrpSpPr>
          <xdr:cNvPr id="4045" name="Group 4044">
            <a:extLst>
              <a:ext uri="{FF2B5EF4-FFF2-40B4-BE49-F238E27FC236}">
                <a16:creationId xmlns:a16="http://schemas.microsoft.com/office/drawing/2014/main" id="{58FE09BB-B60F-49EA-A9B7-2D1EAF019363}"/>
              </a:ext>
            </a:extLst>
          </xdr:cNvPr>
          <xdr:cNvGrpSpPr/>
        </xdr:nvGrpSpPr>
        <xdr:grpSpPr>
          <a:xfrm rot="17335453">
            <a:off x="2470062" y="471570137"/>
            <a:ext cx="4290175" cy="1591251"/>
            <a:chOff x="1476896" y="1839802"/>
            <a:chExt cx="4290175" cy="1591251"/>
          </a:xfrm>
        </xdr:grpSpPr>
        <xdr:sp macro="" textlink="">
          <xdr:nvSpPr>
            <xdr:cNvPr id="4047" name="Rectangle 4046">
              <a:extLst>
                <a:ext uri="{FF2B5EF4-FFF2-40B4-BE49-F238E27FC236}">
                  <a16:creationId xmlns:a16="http://schemas.microsoft.com/office/drawing/2014/main" id="{65CE9DD5-513C-27E6-DEB9-78AFDD2658ED}"/>
                </a:ext>
              </a:extLst>
            </xdr:cNvPr>
            <xdr:cNvSpPr/>
          </xdr:nvSpPr>
          <xdr:spPr>
            <a:xfrm rot="1080000">
              <a:off x="1476896" y="2025514"/>
              <a:ext cx="544655" cy="12113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048" name="Rectangle 4047">
              <a:extLst>
                <a:ext uri="{FF2B5EF4-FFF2-40B4-BE49-F238E27FC236}">
                  <a16:creationId xmlns:a16="http://schemas.microsoft.com/office/drawing/2014/main" id="{C1F1ABBF-5E10-A46E-DDF8-5009A6B6B0E6}"/>
                </a:ext>
              </a:extLst>
            </xdr:cNvPr>
            <xdr:cNvSpPr/>
          </xdr:nvSpPr>
          <xdr:spPr>
            <a:xfrm rot="1106405">
              <a:off x="1762125" y="2381250"/>
              <a:ext cx="3952875" cy="8572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050" name="Isosceles Triangle 4049">
              <a:extLst>
                <a:ext uri="{FF2B5EF4-FFF2-40B4-BE49-F238E27FC236}">
                  <a16:creationId xmlns:a16="http://schemas.microsoft.com/office/drawing/2014/main" id="{0FF39A95-EA96-1687-0C85-8B44BF641436}"/>
                </a:ext>
              </a:extLst>
            </xdr:cNvPr>
            <xdr:cNvSpPr/>
          </xdr:nvSpPr>
          <xdr:spPr>
            <a:xfrm rot="1080000">
              <a:off x="1704975" y="1839802"/>
              <a:ext cx="228600" cy="197068"/>
            </a:xfrm>
            <a:prstGeom prst="triangle">
              <a:avLst/>
            </a:prstGeom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4051" name="Straight Connector 4050">
              <a:extLst>
                <a:ext uri="{FF2B5EF4-FFF2-40B4-BE49-F238E27FC236}">
                  <a16:creationId xmlns:a16="http://schemas.microsoft.com/office/drawing/2014/main" id="{6DAA02F8-165A-55F7-66E5-695A09E7A492}"/>
                </a:ext>
              </a:extLst>
            </xdr:cNvPr>
            <xdr:cNvCxnSpPr/>
          </xdr:nvCxnSpPr>
          <xdr:spPr>
            <a:xfrm>
              <a:off x="1523794" y="1945243"/>
              <a:ext cx="510001" cy="16571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060" name="Rectangle 4059">
              <a:extLst>
                <a:ext uri="{FF2B5EF4-FFF2-40B4-BE49-F238E27FC236}">
                  <a16:creationId xmlns:a16="http://schemas.microsoft.com/office/drawing/2014/main" id="{8BE12E73-7141-237C-4CEB-02DBC2E42CA9}"/>
                </a:ext>
              </a:extLst>
            </xdr:cNvPr>
            <xdr:cNvSpPr/>
          </xdr:nvSpPr>
          <xdr:spPr>
            <a:xfrm rot="1080000">
              <a:off x="5210172" y="3309918"/>
              <a:ext cx="544655" cy="12113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064" name="Isosceles Triangle 4063">
              <a:extLst>
                <a:ext uri="{FF2B5EF4-FFF2-40B4-BE49-F238E27FC236}">
                  <a16:creationId xmlns:a16="http://schemas.microsoft.com/office/drawing/2014/main" id="{35787A42-D9C8-6359-9821-7685E602EC39}"/>
                </a:ext>
              </a:extLst>
            </xdr:cNvPr>
            <xdr:cNvSpPr/>
          </xdr:nvSpPr>
          <xdr:spPr>
            <a:xfrm rot="1080000">
              <a:off x="5452540" y="3090865"/>
              <a:ext cx="228600" cy="197068"/>
            </a:xfrm>
            <a:prstGeom prst="triangle">
              <a:avLst/>
            </a:prstGeom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4066" name="Straight Connector 4065">
              <a:extLst>
                <a:ext uri="{FF2B5EF4-FFF2-40B4-BE49-F238E27FC236}">
                  <a16:creationId xmlns:a16="http://schemas.microsoft.com/office/drawing/2014/main" id="{97B3F2FD-C2B8-300A-7166-441D19656007}"/>
                </a:ext>
              </a:extLst>
            </xdr:cNvPr>
            <xdr:cNvCxnSpPr/>
          </xdr:nvCxnSpPr>
          <xdr:spPr>
            <a:xfrm>
              <a:off x="5257070" y="3229647"/>
              <a:ext cx="510001" cy="16571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0B061521-80ED-DCE4-4A72-A78968E3E5E6}"/>
              </a:ext>
            </a:extLst>
          </xdr:cNvPr>
          <xdr:cNvSpPr/>
        </xdr:nvSpPr>
        <xdr:spPr>
          <a:xfrm rot="2018043">
            <a:off x="1650543" y="471089187"/>
            <a:ext cx="3235523" cy="84620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83" name="Straight Connector 4082">
            <a:extLst>
              <a:ext uri="{FF2B5EF4-FFF2-40B4-BE49-F238E27FC236}">
                <a16:creationId xmlns:a16="http://schemas.microsoft.com/office/drawing/2014/main" id="{BC01A419-9F79-CFD4-7EE9-2D92433AB0A4}"/>
              </a:ext>
            </a:extLst>
          </xdr:cNvPr>
          <xdr:cNvCxnSpPr/>
        </xdr:nvCxnSpPr>
        <xdr:spPr>
          <a:xfrm flipV="1">
            <a:off x="1785938" y="470025413"/>
            <a:ext cx="270848" cy="4143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0" name="Straight Connector 4089">
            <a:extLst>
              <a:ext uri="{FF2B5EF4-FFF2-40B4-BE49-F238E27FC236}">
                <a16:creationId xmlns:a16="http://schemas.microsoft.com/office/drawing/2014/main" id="{2567FA7B-09E7-CA39-811A-F92A1DB6FD6B}"/>
              </a:ext>
            </a:extLst>
          </xdr:cNvPr>
          <xdr:cNvCxnSpPr/>
        </xdr:nvCxnSpPr>
        <xdr:spPr>
          <a:xfrm>
            <a:off x="2088056" y="469983028"/>
            <a:ext cx="2669682" cy="177602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3" name="Straight Connector 4092">
            <a:extLst>
              <a:ext uri="{FF2B5EF4-FFF2-40B4-BE49-F238E27FC236}">
                <a16:creationId xmlns:a16="http://schemas.microsoft.com/office/drawing/2014/main" id="{B172A466-0FB9-454D-CD32-6134271BE331}"/>
              </a:ext>
            </a:extLst>
          </xdr:cNvPr>
          <xdr:cNvCxnSpPr/>
        </xdr:nvCxnSpPr>
        <xdr:spPr>
          <a:xfrm flipH="1">
            <a:off x="1945443" y="469984705"/>
            <a:ext cx="139640" cy="215027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01" name="Straight Connector 4100">
            <a:extLst>
              <a:ext uri="{FF2B5EF4-FFF2-40B4-BE49-F238E27FC236}">
                <a16:creationId xmlns:a16="http://schemas.microsoft.com/office/drawing/2014/main" id="{CDE6822F-7A86-4BAB-82F1-5CAE1D2A9609}"/>
              </a:ext>
            </a:extLst>
          </xdr:cNvPr>
          <xdr:cNvCxnSpPr/>
        </xdr:nvCxnSpPr>
        <xdr:spPr>
          <a:xfrm flipH="1">
            <a:off x="2250243" y="470189492"/>
            <a:ext cx="139640" cy="215027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12" name="Straight Connector 4111">
            <a:extLst>
              <a:ext uri="{FF2B5EF4-FFF2-40B4-BE49-F238E27FC236}">
                <a16:creationId xmlns:a16="http://schemas.microsoft.com/office/drawing/2014/main" id="{C00825F5-2B2A-48D0-A8A8-84F7D41352DE}"/>
              </a:ext>
            </a:extLst>
          </xdr:cNvPr>
          <xdr:cNvCxnSpPr/>
        </xdr:nvCxnSpPr>
        <xdr:spPr>
          <a:xfrm flipH="1">
            <a:off x="2559805" y="470389518"/>
            <a:ext cx="139640" cy="215027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13" name="Straight Connector 4112">
            <a:extLst>
              <a:ext uri="{FF2B5EF4-FFF2-40B4-BE49-F238E27FC236}">
                <a16:creationId xmlns:a16="http://schemas.microsoft.com/office/drawing/2014/main" id="{CF836A36-D7D0-407A-9B99-D7A3D70D2BEC}"/>
              </a:ext>
            </a:extLst>
          </xdr:cNvPr>
          <xdr:cNvCxnSpPr/>
        </xdr:nvCxnSpPr>
        <xdr:spPr>
          <a:xfrm flipH="1">
            <a:off x="2864605" y="470594305"/>
            <a:ext cx="139640" cy="215027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7" name="Straight Connector 4166">
            <a:extLst>
              <a:ext uri="{FF2B5EF4-FFF2-40B4-BE49-F238E27FC236}">
                <a16:creationId xmlns:a16="http://schemas.microsoft.com/office/drawing/2014/main" id="{BA80E8C0-4217-4C0E-B922-4D9BB625FDFD}"/>
              </a:ext>
            </a:extLst>
          </xdr:cNvPr>
          <xdr:cNvCxnSpPr/>
        </xdr:nvCxnSpPr>
        <xdr:spPr>
          <a:xfrm flipH="1">
            <a:off x="3178930" y="470803858"/>
            <a:ext cx="139640" cy="215027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8" name="Straight Connector 4167">
            <a:extLst>
              <a:ext uri="{FF2B5EF4-FFF2-40B4-BE49-F238E27FC236}">
                <a16:creationId xmlns:a16="http://schemas.microsoft.com/office/drawing/2014/main" id="{58D0BC97-966E-4380-BE1E-D15172D91983}"/>
              </a:ext>
            </a:extLst>
          </xdr:cNvPr>
          <xdr:cNvCxnSpPr/>
        </xdr:nvCxnSpPr>
        <xdr:spPr>
          <a:xfrm flipH="1">
            <a:off x="3483730" y="470644538"/>
            <a:ext cx="376094" cy="579134"/>
          </a:xfrm>
          <a:prstGeom prst="line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0" name="Straight Connector 4169">
            <a:extLst>
              <a:ext uri="{FF2B5EF4-FFF2-40B4-BE49-F238E27FC236}">
                <a16:creationId xmlns:a16="http://schemas.microsoft.com/office/drawing/2014/main" id="{AC2181D8-D47D-4317-8CE1-2AAF6A89D7B8}"/>
              </a:ext>
            </a:extLst>
          </xdr:cNvPr>
          <xdr:cNvCxnSpPr/>
        </xdr:nvCxnSpPr>
        <xdr:spPr>
          <a:xfrm flipH="1">
            <a:off x="3798056" y="471213434"/>
            <a:ext cx="139640" cy="215027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1" name="Straight Connector 4170">
            <a:extLst>
              <a:ext uri="{FF2B5EF4-FFF2-40B4-BE49-F238E27FC236}">
                <a16:creationId xmlns:a16="http://schemas.microsoft.com/office/drawing/2014/main" id="{B7A0A1C6-D31D-4D34-B11C-1BB920657A38}"/>
              </a:ext>
            </a:extLst>
          </xdr:cNvPr>
          <xdr:cNvCxnSpPr/>
        </xdr:nvCxnSpPr>
        <xdr:spPr>
          <a:xfrm flipH="1">
            <a:off x="4102856" y="471418221"/>
            <a:ext cx="139640" cy="215027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3" name="Straight Connector 4172">
            <a:extLst>
              <a:ext uri="{FF2B5EF4-FFF2-40B4-BE49-F238E27FC236}">
                <a16:creationId xmlns:a16="http://schemas.microsoft.com/office/drawing/2014/main" id="{EC1D7621-4411-48AF-8E37-ABC0C83020CE}"/>
              </a:ext>
            </a:extLst>
          </xdr:cNvPr>
          <xdr:cNvCxnSpPr/>
        </xdr:nvCxnSpPr>
        <xdr:spPr>
          <a:xfrm flipH="1">
            <a:off x="4417181" y="471627772"/>
            <a:ext cx="139640" cy="215027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4" name="Straight Connector 4173">
            <a:extLst>
              <a:ext uri="{FF2B5EF4-FFF2-40B4-BE49-F238E27FC236}">
                <a16:creationId xmlns:a16="http://schemas.microsoft.com/office/drawing/2014/main" id="{2DDEF730-B165-4F55-A3AD-E3E37C0CC4D8}"/>
              </a:ext>
            </a:extLst>
          </xdr:cNvPr>
          <xdr:cNvCxnSpPr/>
        </xdr:nvCxnSpPr>
        <xdr:spPr>
          <a:xfrm flipH="1">
            <a:off x="4621969" y="471756359"/>
            <a:ext cx="139640" cy="215027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8" name="Straight Connector 4177">
            <a:extLst>
              <a:ext uri="{FF2B5EF4-FFF2-40B4-BE49-F238E27FC236}">
                <a16:creationId xmlns:a16="http://schemas.microsoft.com/office/drawing/2014/main" id="{4454455E-5C93-4870-A7E7-91AE42F15062}"/>
              </a:ext>
            </a:extLst>
          </xdr:cNvPr>
          <xdr:cNvCxnSpPr/>
        </xdr:nvCxnSpPr>
        <xdr:spPr>
          <a:xfrm>
            <a:off x="1500188" y="470777888"/>
            <a:ext cx="2763338" cy="1838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1" name="Straight Connector 4180">
            <a:extLst>
              <a:ext uri="{FF2B5EF4-FFF2-40B4-BE49-F238E27FC236}">
                <a16:creationId xmlns:a16="http://schemas.microsoft.com/office/drawing/2014/main" id="{E096E314-36B4-4147-81F5-65C99026FAB9}"/>
              </a:ext>
            </a:extLst>
          </xdr:cNvPr>
          <xdr:cNvCxnSpPr/>
        </xdr:nvCxnSpPr>
        <xdr:spPr>
          <a:xfrm flipH="1">
            <a:off x="1277579" y="470473088"/>
            <a:ext cx="501033" cy="771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4" name="Straight Connector 4183">
            <a:extLst>
              <a:ext uri="{FF2B5EF4-FFF2-40B4-BE49-F238E27FC236}">
                <a16:creationId xmlns:a16="http://schemas.microsoft.com/office/drawing/2014/main" id="{5D243FB4-7601-591A-5D64-5C3100F6E3CE}"/>
              </a:ext>
            </a:extLst>
          </xdr:cNvPr>
          <xdr:cNvCxnSpPr/>
        </xdr:nvCxnSpPr>
        <xdr:spPr>
          <a:xfrm>
            <a:off x="1547812" y="470744550"/>
            <a:ext cx="19050" cy="1381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5" name="Straight Connector 4184">
            <a:extLst>
              <a:ext uri="{FF2B5EF4-FFF2-40B4-BE49-F238E27FC236}">
                <a16:creationId xmlns:a16="http://schemas.microsoft.com/office/drawing/2014/main" id="{F8917D64-E0DB-480E-85A2-1CD8B80BC0D3}"/>
              </a:ext>
            </a:extLst>
          </xdr:cNvPr>
          <xdr:cNvCxnSpPr/>
        </xdr:nvCxnSpPr>
        <xdr:spPr>
          <a:xfrm flipH="1">
            <a:off x="3052346" y="471316050"/>
            <a:ext cx="377323" cy="58102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6" name="Straight Connector 4185">
            <a:extLst>
              <a:ext uri="{FF2B5EF4-FFF2-40B4-BE49-F238E27FC236}">
                <a16:creationId xmlns:a16="http://schemas.microsoft.com/office/drawing/2014/main" id="{4D1E13B6-5059-49E4-93B4-EF0DBA1A374B}"/>
              </a:ext>
            </a:extLst>
          </xdr:cNvPr>
          <xdr:cNvCxnSpPr/>
        </xdr:nvCxnSpPr>
        <xdr:spPr>
          <a:xfrm>
            <a:off x="3081341" y="471768489"/>
            <a:ext cx="19050" cy="1381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9" name="Straight Connector 4188">
            <a:extLst>
              <a:ext uri="{FF2B5EF4-FFF2-40B4-BE49-F238E27FC236}">
                <a16:creationId xmlns:a16="http://schemas.microsoft.com/office/drawing/2014/main" id="{FBB093AB-D7F5-4937-ADEF-B7C11EF42FD3}"/>
              </a:ext>
            </a:extLst>
          </xdr:cNvPr>
          <xdr:cNvCxnSpPr/>
        </xdr:nvCxnSpPr>
        <xdr:spPr>
          <a:xfrm flipH="1">
            <a:off x="3944093" y="472044714"/>
            <a:ext cx="600003" cy="9239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0" name="Straight Connector 4189">
            <a:extLst>
              <a:ext uri="{FF2B5EF4-FFF2-40B4-BE49-F238E27FC236}">
                <a16:creationId xmlns:a16="http://schemas.microsoft.com/office/drawing/2014/main" id="{70764E0A-90CB-408C-B23A-6249E6261353}"/>
              </a:ext>
            </a:extLst>
          </xdr:cNvPr>
          <xdr:cNvCxnSpPr/>
        </xdr:nvCxnSpPr>
        <xdr:spPr>
          <a:xfrm>
            <a:off x="4195768" y="472497153"/>
            <a:ext cx="19050" cy="1381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3" name="Straight Connector 4192">
            <a:extLst>
              <a:ext uri="{FF2B5EF4-FFF2-40B4-BE49-F238E27FC236}">
                <a16:creationId xmlns:a16="http://schemas.microsoft.com/office/drawing/2014/main" id="{66955E27-330D-B964-149F-3E6FF75E5F51}"/>
              </a:ext>
            </a:extLst>
          </xdr:cNvPr>
          <xdr:cNvCxnSpPr/>
        </xdr:nvCxnSpPr>
        <xdr:spPr>
          <a:xfrm flipV="1">
            <a:off x="3726181" y="470949338"/>
            <a:ext cx="2512826" cy="3290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5" name="Straight Connector 4194">
            <a:extLst>
              <a:ext uri="{FF2B5EF4-FFF2-40B4-BE49-F238E27FC236}">
                <a16:creationId xmlns:a16="http://schemas.microsoft.com/office/drawing/2014/main" id="{E8FF75F2-5857-5F78-F5BB-A577A48ABA3D}"/>
              </a:ext>
            </a:extLst>
          </xdr:cNvPr>
          <xdr:cNvCxnSpPr/>
        </xdr:nvCxnSpPr>
        <xdr:spPr>
          <a:xfrm flipH="1" flipV="1">
            <a:off x="6033144" y="470880757"/>
            <a:ext cx="514452" cy="3876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9" name="Straight Connector 4198">
            <a:extLst>
              <a:ext uri="{FF2B5EF4-FFF2-40B4-BE49-F238E27FC236}">
                <a16:creationId xmlns:a16="http://schemas.microsoft.com/office/drawing/2014/main" id="{D1520F6F-C587-C39A-6869-B917B4F6E30A}"/>
              </a:ext>
            </a:extLst>
          </xdr:cNvPr>
          <xdr:cNvCxnSpPr/>
        </xdr:nvCxnSpPr>
        <xdr:spPr>
          <a:xfrm>
            <a:off x="6191250" y="470949337"/>
            <a:ext cx="9525" cy="119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2" name="Straight Connector 4201">
            <a:extLst>
              <a:ext uri="{FF2B5EF4-FFF2-40B4-BE49-F238E27FC236}">
                <a16:creationId xmlns:a16="http://schemas.microsoft.com/office/drawing/2014/main" id="{EEC5A0FA-0A93-4C18-B326-D384EE25A478}"/>
              </a:ext>
            </a:extLst>
          </xdr:cNvPr>
          <xdr:cNvCxnSpPr/>
        </xdr:nvCxnSpPr>
        <xdr:spPr>
          <a:xfrm flipH="1" flipV="1">
            <a:off x="3614738" y="474054488"/>
            <a:ext cx="518243" cy="390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3" name="Straight Connector 4202">
            <a:extLst>
              <a:ext uri="{FF2B5EF4-FFF2-40B4-BE49-F238E27FC236}">
                <a16:creationId xmlns:a16="http://schemas.microsoft.com/office/drawing/2014/main" id="{A1CCEB71-2257-457D-A8B7-63AF8CA52968}"/>
              </a:ext>
            </a:extLst>
          </xdr:cNvPr>
          <xdr:cNvCxnSpPr/>
        </xdr:nvCxnSpPr>
        <xdr:spPr>
          <a:xfrm>
            <a:off x="3772844" y="474123068"/>
            <a:ext cx="9525" cy="119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5" name="Straight Connector 4204">
            <a:extLst>
              <a:ext uri="{FF2B5EF4-FFF2-40B4-BE49-F238E27FC236}">
                <a16:creationId xmlns:a16="http://schemas.microsoft.com/office/drawing/2014/main" id="{63AF0173-A3B5-44F1-8D1A-2E2597D6B5DB}"/>
              </a:ext>
            </a:extLst>
          </xdr:cNvPr>
          <xdr:cNvCxnSpPr/>
        </xdr:nvCxnSpPr>
        <xdr:spPr>
          <a:xfrm flipH="1" flipV="1">
            <a:off x="4643437" y="472045977"/>
            <a:ext cx="538055" cy="4054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6" name="Straight Connector 4205">
            <a:extLst>
              <a:ext uri="{FF2B5EF4-FFF2-40B4-BE49-F238E27FC236}">
                <a16:creationId xmlns:a16="http://schemas.microsoft.com/office/drawing/2014/main" id="{B266C6B9-EF90-4638-9BF8-C8B3DD33CE75}"/>
              </a:ext>
            </a:extLst>
          </xdr:cNvPr>
          <xdr:cNvCxnSpPr/>
        </xdr:nvCxnSpPr>
        <xdr:spPr>
          <a:xfrm>
            <a:off x="5115868" y="472351418"/>
            <a:ext cx="9525" cy="119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0" name="Straight Connector 4209">
            <a:extLst>
              <a:ext uri="{FF2B5EF4-FFF2-40B4-BE49-F238E27FC236}">
                <a16:creationId xmlns:a16="http://schemas.microsoft.com/office/drawing/2014/main" id="{D908DA08-5F9B-468A-991A-10DAD9C461FC}"/>
              </a:ext>
            </a:extLst>
          </xdr:cNvPr>
          <xdr:cNvCxnSpPr/>
        </xdr:nvCxnSpPr>
        <xdr:spPr>
          <a:xfrm flipV="1">
            <a:off x="4026218" y="471173176"/>
            <a:ext cx="2512826" cy="3290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1" name="Straight Connector 4210">
            <a:extLst>
              <a:ext uri="{FF2B5EF4-FFF2-40B4-BE49-F238E27FC236}">
                <a16:creationId xmlns:a16="http://schemas.microsoft.com/office/drawing/2014/main" id="{64E9EA0A-2AB7-40DC-A7D7-2A97833F356E}"/>
              </a:ext>
            </a:extLst>
          </xdr:cNvPr>
          <xdr:cNvCxnSpPr/>
        </xdr:nvCxnSpPr>
        <xdr:spPr>
          <a:xfrm>
            <a:off x="6491287" y="471173175"/>
            <a:ext cx="9525" cy="119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2" name="Straight Connector 4211">
            <a:extLst>
              <a:ext uri="{FF2B5EF4-FFF2-40B4-BE49-F238E27FC236}">
                <a16:creationId xmlns:a16="http://schemas.microsoft.com/office/drawing/2014/main" id="{8C38E745-5C52-4F0B-A9C0-033EA6CA8F24}"/>
              </a:ext>
            </a:extLst>
          </xdr:cNvPr>
          <xdr:cNvCxnSpPr/>
        </xdr:nvCxnSpPr>
        <xdr:spPr>
          <a:xfrm>
            <a:off x="4072881" y="474346906"/>
            <a:ext cx="9525" cy="119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6" name="Straight Connector 4215">
            <a:extLst>
              <a:ext uri="{FF2B5EF4-FFF2-40B4-BE49-F238E27FC236}">
                <a16:creationId xmlns:a16="http://schemas.microsoft.com/office/drawing/2014/main" id="{A3F4335B-CF54-4C85-A7B2-76FCE657BDAD}"/>
              </a:ext>
            </a:extLst>
          </xdr:cNvPr>
          <xdr:cNvCxnSpPr/>
        </xdr:nvCxnSpPr>
        <xdr:spPr>
          <a:xfrm>
            <a:off x="1276351" y="471116026"/>
            <a:ext cx="2763338" cy="1838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7" name="Straight Connector 4216">
            <a:extLst>
              <a:ext uri="{FF2B5EF4-FFF2-40B4-BE49-F238E27FC236}">
                <a16:creationId xmlns:a16="http://schemas.microsoft.com/office/drawing/2014/main" id="{1D38C894-7D3D-4F3C-907E-BC440B20C33E}"/>
              </a:ext>
            </a:extLst>
          </xdr:cNvPr>
          <xdr:cNvCxnSpPr/>
        </xdr:nvCxnSpPr>
        <xdr:spPr>
          <a:xfrm>
            <a:off x="1323975" y="471082688"/>
            <a:ext cx="19050" cy="1381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8" name="Straight Connector 4217">
            <a:extLst>
              <a:ext uri="{FF2B5EF4-FFF2-40B4-BE49-F238E27FC236}">
                <a16:creationId xmlns:a16="http://schemas.microsoft.com/office/drawing/2014/main" id="{E939FDD4-AB5B-4B93-8577-639C300CCA20}"/>
              </a:ext>
            </a:extLst>
          </xdr:cNvPr>
          <xdr:cNvCxnSpPr/>
        </xdr:nvCxnSpPr>
        <xdr:spPr>
          <a:xfrm>
            <a:off x="3971931" y="472835291"/>
            <a:ext cx="19050" cy="1381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9" name="Straight Connector 4278">
            <a:extLst>
              <a:ext uri="{FF2B5EF4-FFF2-40B4-BE49-F238E27FC236}">
                <a16:creationId xmlns:a16="http://schemas.microsoft.com/office/drawing/2014/main" id="{9E95EEBD-E627-498D-9BB3-963A6166314E}"/>
              </a:ext>
            </a:extLst>
          </xdr:cNvPr>
          <xdr:cNvCxnSpPr/>
        </xdr:nvCxnSpPr>
        <xdr:spPr>
          <a:xfrm flipH="1" flipV="1">
            <a:off x="3162300" y="470506425"/>
            <a:ext cx="104775" cy="40005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4" name="Straight Connector 4353">
            <a:extLst>
              <a:ext uri="{FF2B5EF4-FFF2-40B4-BE49-F238E27FC236}">
                <a16:creationId xmlns:a16="http://schemas.microsoft.com/office/drawing/2014/main" id="{1E489856-9C83-4B03-93CE-42ED9D427B69}"/>
              </a:ext>
            </a:extLst>
          </xdr:cNvPr>
          <xdr:cNvCxnSpPr/>
        </xdr:nvCxnSpPr>
        <xdr:spPr>
          <a:xfrm flipV="1">
            <a:off x="2695575" y="470192100"/>
            <a:ext cx="152400" cy="5619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7" name="Straight Connector 4356">
            <a:extLst>
              <a:ext uri="{FF2B5EF4-FFF2-40B4-BE49-F238E27FC236}">
                <a16:creationId xmlns:a16="http://schemas.microsoft.com/office/drawing/2014/main" id="{B31D6416-1104-44BC-8319-160497D17D06}"/>
              </a:ext>
            </a:extLst>
          </xdr:cNvPr>
          <xdr:cNvCxnSpPr/>
        </xdr:nvCxnSpPr>
        <xdr:spPr>
          <a:xfrm>
            <a:off x="2952750" y="472982925"/>
            <a:ext cx="733425" cy="20002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157163</xdr:colOff>
      <xdr:row>2541</xdr:row>
      <xdr:rowOff>4763</xdr:rowOff>
    </xdr:from>
    <xdr:to>
      <xdr:col>29</xdr:col>
      <xdr:colOff>0</xdr:colOff>
      <xdr:row>2552</xdr:row>
      <xdr:rowOff>76200</xdr:rowOff>
    </xdr:to>
    <xdr:grpSp>
      <xdr:nvGrpSpPr>
        <xdr:cNvPr id="4384" name="Group 4383">
          <a:extLst>
            <a:ext uri="{FF2B5EF4-FFF2-40B4-BE49-F238E27FC236}">
              <a16:creationId xmlns:a16="http://schemas.microsoft.com/office/drawing/2014/main" id="{8BC0ACD6-C73F-84E3-6720-F93CBA1622CB}"/>
            </a:ext>
          </a:extLst>
        </xdr:cNvPr>
        <xdr:cNvGrpSpPr/>
      </xdr:nvGrpSpPr>
      <xdr:grpSpPr>
        <a:xfrm>
          <a:off x="1128713" y="381357188"/>
          <a:ext cx="3567112" cy="1643062"/>
          <a:chOff x="1128713" y="477797813"/>
          <a:chExt cx="3567112" cy="1643062"/>
        </a:xfrm>
      </xdr:grpSpPr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9CEE5BD4-3DE4-41E8-AC00-9A621A2816B2}"/>
              </a:ext>
            </a:extLst>
          </xdr:cNvPr>
          <xdr:cNvSpPr/>
        </xdr:nvSpPr>
        <xdr:spPr>
          <a:xfrm>
            <a:off x="1133475" y="478374076"/>
            <a:ext cx="323850" cy="133349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10FA523C-306D-4CE1-B1E5-5E9F8F3F8DFC}"/>
              </a:ext>
            </a:extLst>
          </xdr:cNvPr>
          <xdr:cNvSpPr/>
        </xdr:nvSpPr>
        <xdr:spPr>
          <a:xfrm>
            <a:off x="4371975" y="478388363"/>
            <a:ext cx="323850" cy="11906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FAB7C18-AF5C-40C9-B8F3-DF82E57AFE51}"/>
              </a:ext>
            </a:extLst>
          </xdr:cNvPr>
          <xdr:cNvSpPr/>
        </xdr:nvSpPr>
        <xdr:spPr>
          <a:xfrm>
            <a:off x="1295400" y="478150238"/>
            <a:ext cx="3243263" cy="71437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362" name="Isosceles Triangle 4361">
            <a:extLst>
              <a:ext uri="{FF2B5EF4-FFF2-40B4-BE49-F238E27FC236}">
                <a16:creationId xmlns:a16="http://schemas.microsoft.com/office/drawing/2014/main" id="{2C1758F7-1AC9-4A1A-A32C-2110E8068EB2}"/>
              </a:ext>
            </a:extLst>
          </xdr:cNvPr>
          <xdr:cNvSpPr/>
        </xdr:nvSpPr>
        <xdr:spPr>
          <a:xfrm>
            <a:off x="1223962" y="478226437"/>
            <a:ext cx="147637" cy="138113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363" name="Straight Connector 4362">
            <a:extLst>
              <a:ext uri="{FF2B5EF4-FFF2-40B4-BE49-F238E27FC236}">
                <a16:creationId xmlns:a16="http://schemas.microsoft.com/office/drawing/2014/main" id="{15D8B196-CF9E-4409-9A08-6F2FC527DB14}"/>
              </a:ext>
            </a:extLst>
          </xdr:cNvPr>
          <xdr:cNvCxnSpPr/>
        </xdr:nvCxnSpPr>
        <xdr:spPr>
          <a:xfrm>
            <a:off x="1128713" y="478364550"/>
            <a:ext cx="3286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64" name="Isosceles Triangle 4363">
            <a:extLst>
              <a:ext uri="{FF2B5EF4-FFF2-40B4-BE49-F238E27FC236}">
                <a16:creationId xmlns:a16="http://schemas.microsoft.com/office/drawing/2014/main" id="{6D47F708-EDA7-4CFA-8D4F-A872E8846086}"/>
              </a:ext>
            </a:extLst>
          </xdr:cNvPr>
          <xdr:cNvSpPr/>
        </xdr:nvSpPr>
        <xdr:spPr>
          <a:xfrm>
            <a:off x="4471987" y="478235962"/>
            <a:ext cx="147637" cy="114301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365" name="Straight Connector 4364">
            <a:extLst>
              <a:ext uri="{FF2B5EF4-FFF2-40B4-BE49-F238E27FC236}">
                <a16:creationId xmlns:a16="http://schemas.microsoft.com/office/drawing/2014/main" id="{36B91C36-14CD-43E6-AD53-DF687E21F9C6}"/>
              </a:ext>
            </a:extLst>
          </xdr:cNvPr>
          <xdr:cNvCxnSpPr/>
        </xdr:nvCxnSpPr>
        <xdr:spPr>
          <a:xfrm>
            <a:off x="4367213" y="478383602"/>
            <a:ext cx="3286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6" name="Straight Arrow Connector 4365">
            <a:extLst>
              <a:ext uri="{FF2B5EF4-FFF2-40B4-BE49-F238E27FC236}">
                <a16:creationId xmlns:a16="http://schemas.microsoft.com/office/drawing/2014/main" id="{D90E5E5E-0267-4BB4-A764-0A921589E228}"/>
              </a:ext>
            </a:extLst>
          </xdr:cNvPr>
          <xdr:cNvCxnSpPr/>
        </xdr:nvCxnSpPr>
        <xdr:spPr>
          <a:xfrm flipV="1">
            <a:off x="1295400" y="478507425"/>
            <a:ext cx="0" cy="280988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7" name="Straight Arrow Connector 4366">
            <a:extLst>
              <a:ext uri="{FF2B5EF4-FFF2-40B4-BE49-F238E27FC236}">
                <a16:creationId xmlns:a16="http://schemas.microsoft.com/office/drawing/2014/main" id="{7B6E4659-62E6-4C51-91DD-636FA812CE9C}"/>
              </a:ext>
            </a:extLst>
          </xdr:cNvPr>
          <xdr:cNvCxnSpPr/>
        </xdr:nvCxnSpPr>
        <xdr:spPr>
          <a:xfrm flipV="1">
            <a:off x="4533900" y="478507425"/>
            <a:ext cx="0" cy="280988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8" name="Straight Connector 4367">
            <a:extLst>
              <a:ext uri="{FF2B5EF4-FFF2-40B4-BE49-F238E27FC236}">
                <a16:creationId xmlns:a16="http://schemas.microsoft.com/office/drawing/2014/main" id="{B099E6D6-DF48-460B-9E40-C3A0918A85BF}"/>
              </a:ext>
            </a:extLst>
          </xdr:cNvPr>
          <xdr:cNvCxnSpPr/>
        </xdr:nvCxnSpPr>
        <xdr:spPr>
          <a:xfrm>
            <a:off x="1295401" y="478978913"/>
            <a:ext cx="0" cy="461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9" name="Straight Connector 4368">
            <a:extLst>
              <a:ext uri="{FF2B5EF4-FFF2-40B4-BE49-F238E27FC236}">
                <a16:creationId xmlns:a16="http://schemas.microsoft.com/office/drawing/2014/main" id="{CA988531-2656-4C67-B3AB-342058D60A06}"/>
              </a:ext>
            </a:extLst>
          </xdr:cNvPr>
          <xdr:cNvCxnSpPr/>
        </xdr:nvCxnSpPr>
        <xdr:spPr>
          <a:xfrm>
            <a:off x="1219200" y="479078926"/>
            <a:ext cx="3381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0" name="Straight Connector 4369">
            <a:extLst>
              <a:ext uri="{FF2B5EF4-FFF2-40B4-BE49-F238E27FC236}">
                <a16:creationId xmlns:a16="http://schemas.microsoft.com/office/drawing/2014/main" id="{A4E1F5C1-A5CB-4F5F-A87F-A189BA44FB8D}"/>
              </a:ext>
            </a:extLst>
          </xdr:cNvPr>
          <xdr:cNvCxnSpPr/>
        </xdr:nvCxnSpPr>
        <xdr:spPr>
          <a:xfrm flipH="1">
            <a:off x="1252537" y="47904082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1" name="Straight Arrow Connector 4370">
            <a:extLst>
              <a:ext uri="{FF2B5EF4-FFF2-40B4-BE49-F238E27FC236}">
                <a16:creationId xmlns:a16="http://schemas.microsoft.com/office/drawing/2014/main" id="{8002BCE0-F5C7-4FEB-97A0-71414CAE377E}"/>
              </a:ext>
            </a:extLst>
          </xdr:cNvPr>
          <xdr:cNvCxnSpPr/>
        </xdr:nvCxnSpPr>
        <xdr:spPr>
          <a:xfrm>
            <a:off x="2909888" y="477797813"/>
            <a:ext cx="0" cy="352426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2" name="Straight Connector 4371">
            <a:extLst>
              <a:ext uri="{FF2B5EF4-FFF2-40B4-BE49-F238E27FC236}">
                <a16:creationId xmlns:a16="http://schemas.microsoft.com/office/drawing/2014/main" id="{B91E0395-91AE-46BA-89BA-7D1D016F79F5}"/>
              </a:ext>
            </a:extLst>
          </xdr:cNvPr>
          <xdr:cNvCxnSpPr/>
        </xdr:nvCxnSpPr>
        <xdr:spPr>
          <a:xfrm>
            <a:off x="1219200" y="479364677"/>
            <a:ext cx="3381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3" name="Straight Connector 4372">
            <a:extLst>
              <a:ext uri="{FF2B5EF4-FFF2-40B4-BE49-F238E27FC236}">
                <a16:creationId xmlns:a16="http://schemas.microsoft.com/office/drawing/2014/main" id="{58F65391-DC08-448A-8E6E-3DC3A67DFAD6}"/>
              </a:ext>
            </a:extLst>
          </xdr:cNvPr>
          <xdr:cNvCxnSpPr/>
        </xdr:nvCxnSpPr>
        <xdr:spPr>
          <a:xfrm flipH="1">
            <a:off x="1252537" y="479326577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4" name="Straight Connector 4373">
            <a:extLst>
              <a:ext uri="{FF2B5EF4-FFF2-40B4-BE49-F238E27FC236}">
                <a16:creationId xmlns:a16="http://schemas.microsoft.com/office/drawing/2014/main" id="{0F9FB322-B5BC-466B-A7C4-46CD9E20B558}"/>
              </a:ext>
            </a:extLst>
          </xdr:cNvPr>
          <xdr:cNvCxnSpPr/>
        </xdr:nvCxnSpPr>
        <xdr:spPr>
          <a:xfrm>
            <a:off x="2914652" y="478688400"/>
            <a:ext cx="0" cy="461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5" name="Straight Connector 4374">
            <a:extLst>
              <a:ext uri="{FF2B5EF4-FFF2-40B4-BE49-F238E27FC236}">
                <a16:creationId xmlns:a16="http://schemas.microsoft.com/office/drawing/2014/main" id="{626E2905-76D7-464F-AF83-FD06AF31FEE0}"/>
              </a:ext>
            </a:extLst>
          </xdr:cNvPr>
          <xdr:cNvCxnSpPr/>
        </xdr:nvCxnSpPr>
        <xdr:spPr>
          <a:xfrm flipH="1">
            <a:off x="2871788" y="47903606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6" name="Straight Connector 4375">
            <a:extLst>
              <a:ext uri="{FF2B5EF4-FFF2-40B4-BE49-F238E27FC236}">
                <a16:creationId xmlns:a16="http://schemas.microsoft.com/office/drawing/2014/main" id="{0ABEB53F-8024-44E5-A313-75CBE0EDAAD4}"/>
              </a:ext>
            </a:extLst>
          </xdr:cNvPr>
          <xdr:cNvCxnSpPr/>
        </xdr:nvCxnSpPr>
        <xdr:spPr>
          <a:xfrm>
            <a:off x="4533901" y="478978913"/>
            <a:ext cx="0" cy="461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7" name="Straight Connector 4376">
            <a:extLst>
              <a:ext uri="{FF2B5EF4-FFF2-40B4-BE49-F238E27FC236}">
                <a16:creationId xmlns:a16="http://schemas.microsoft.com/office/drawing/2014/main" id="{862C3E3A-597B-401F-8342-6AB9D1345AAC}"/>
              </a:ext>
            </a:extLst>
          </xdr:cNvPr>
          <xdr:cNvCxnSpPr/>
        </xdr:nvCxnSpPr>
        <xdr:spPr>
          <a:xfrm flipH="1">
            <a:off x="4491037" y="47904082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8" name="Straight Connector 4377">
            <a:extLst>
              <a:ext uri="{FF2B5EF4-FFF2-40B4-BE49-F238E27FC236}">
                <a16:creationId xmlns:a16="http://schemas.microsoft.com/office/drawing/2014/main" id="{1A3ECD5C-209D-46C8-8C31-5898D15D4FE5}"/>
              </a:ext>
            </a:extLst>
          </xdr:cNvPr>
          <xdr:cNvCxnSpPr/>
        </xdr:nvCxnSpPr>
        <xdr:spPr>
          <a:xfrm flipH="1">
            <a:off x="4491037" y="479326577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66675</xdr:colOff>
      <xdr:row>2536</xdr:row>
      <xdr:rowOff>76200</xdr:rowOff>
    </xdr:from>
    <xdr:to>
      <xdr:col>10</xdr:col>
      <xdr:colOff>119062</xdr:colOff>
      <xdr:row>2536</xdr:row>
      <xdr:rowOff>76200</xdr:rowOff>
    </xdr:to>
    <xdr:cxnSp macro="">
      <xdr:nvCxnSpPr>
        <xdr:cNvPr id="4379" name="Straight Arrow Connector 4378">
          <a:extLst>
            <a:ext uri="{FF2B5EF4-FFF2-40B4-BE49-F238E27FC236}">
              <a16:creationId xmlns:a16="http://schemas.microsoft.com/office/drawing/2014/main" id="{5D05E07D-9030-4E45-B488-9783FD9E00B1}"/>
            </a:ext>
          </a:extLst>
        </xdr:cNvPr>
        <xdr:cNvCxnSpPr/>
      </xdr:nvCxnSpPr>
      <xdr:spPr>
        <a:xfrm>
          <a:off x="2009775" y="4772977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66675</xdr:colOff>
      <xdr:row>2536</xdr:row>
      <xdr:rowOff>76200</xdr:rowOff>
    </xdr:from>
    <xdr:to>
      <xdr:col>41</xdr:col>
      <xdr:colOff>119062</xdr:colOff>
      <xdr:row>2536</xdr:row>
      <xdr:rowOff>76200</xdr:rowOff>
    </xdr:to>
    <xdr:cxnSp macro="">
      <xdr:nvCxnSpPr>
        <xdr:cNvPr id="4380" name="Straight Arrow Connector 4379">
          <a:extLst>
            <a:ext uri="{FF2B5EF4-FFF2-40B4-BE49-F238E27FC236}">
              <a16:creationId xmlns:a16="http://schemas.microsoft.com/office/drawing/2014/main" id="{E87E77E8-D1DA-4D3F-BC13-86857124CFF3}"/>
            </a:ext>
          </a:extLst>
        </xdr:cNvPr>
        <xdr:cNvCxnSpPr/>
      </xdr:nvCxnSpPr>
      <xdr:spPr>
        <a:xfrm>
          <a:off x="1524000" y="4778692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2614</xdr:row>
      <xdr:rowOff>0</xdr:rowOff>
    </xdr:from>
    <xdr:to>
      <xdr:col>25</xdr:col>
      <xdr:colOff>61913</xdr:colOff>
      <xdr:row>2619</xdr:row>
      <xdr:rowOff>76200</xdr:rowOff>
    </xdr:to>
    <xdr:grpSp>
      <xdr:nvGrpSpPr>
        <xdr:cNvPr id="4514" name="Group 4513">
          <a:extLst>
            <a:ext uri="{FF2B5EF4-FFF2-40B4-BE49-F238E27FC236}">
              <a16:creationId xmlns:a16="http://schemas.microsoft.com/office/drawing/2014/main" id="{F81FC020-5CF5-0503-A0D0-8FD87E596FE1}"/>
            </a:ext>
          </a:extLst>
        </xdr:cNvPr>
        <xdr:cNvGrpSpPr/>
      </xdr:nvGrpSpPr>
      <xdr:grpSpPr>
        <a:xfrm>
          <a:off x="2266951" y="392220450"/>
          <a:ext cx="1843087" cy="790575"/>
          <a:chOff x="2266951" y="488518200"/>
          <a:chExt cx="1843087" cy="790575"/>
        </a:xfrm>
      </xdr:grpSpPr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B98BF573-2697-4C71-8107-7C803002F9BE}"/>
              </a:ext>
            </a:extLst>
          </xdr:cNvPr>
          <xdr:cNvSpPr/>
        </xdr:nvSpPr>
        <xdr:spPr>
          <a:xfrm>
            <a:off x="2266951" y="488580113"/>
            <a:ext cx="152400" cy="45243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409" name="Straight Connector 4408">
            <a:extLst>
              <a:ext uri="{FF2B5EF4-FFF2-40B4-BE49-F238E27FC236}">
                <a16:creationId xmlns:a16="http://schemas.microsoft.com/office/drawing/2014/main" id="{F302DF2F-5AD8-4F5F-B226-4074A9DED1B0}"/>
              </a:ext>
            </a:extLst>
          </xdr:cNvPr>
          <xdr:cNvCxnSpPr/>
        </xdr:nvCxnSpPr>
        <xdr:spPr>
          <a:xfrm>
            <a:off x="2428875" y="488580113"/>
            <a:ext cx="0" cy="4476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9A20D3F8-FC7B-48BA-A2F1-26FFA7B37EF1}"/>
              </a:ext>
            </a:extLst>
          </xdr:cNvPr>
          <xdr:cNvSpPr/>
        </xdr:nvSpPr>
        <xdr:spPr>
          <a:xfrm>
            <a:off x="2424114" y="488775382"/>
            <a:ext cx="1619249" cy="66668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412" name="Straight Connector 4411">
            <a:extLst>
              <a:ext uri="{FF2B5EF4-FFF2-40B4-BE49-F238E27FC236}">
                <a16:creationId xmlns:a16="http://schemas.microsoft.com/office/drawing/2014/main" id="{1CB0D8D8-8852-4BAA-B329-5CBC29DF6510}"/>
              </a:ext>
            </a:extLst>
          </xdr:cNvPr>
          <xdr:cNvCxnSpPr/>
        </xdr:nvCxnSpPr>
        <xdr:spPr>
          <a:xfrm>
            <a:off x="2428875" y="48907065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3" name="Straight Connector 4412">
            <a:extLst>
              <a:ext uri="{FF2B5EF4-FFF2-40B4-BE49-F238E27FC236}">
                <a16:creationId xmlns:a16="http://schemas.microsoft.com/office/drawing/2014/main" id="{B7A6DBB7-9E36-452A-A81F-39B1C8F2FB4B}"/>
              </a:ext>
            </a:extLst>
          </xdr:cNvPr>
          <xdr:cNvCxnSpPr/>
        </xdr:nvCxnSpPr>
        <xdr:spPr>
          <a:xfrm flipH="1">
            <a:off x="2390775" y="489194475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4" name="Straight Connector 4413">
            <a:extLst>
              <a:ext uri="{FF2B5EF4-FFF2-40B4-BE49-F238E27FC236}">
                <a16:creationId xmlns:a16="http://schemas.microsoft.com/office/drawing/2014/main" id="{6A9B6BCF-89A9-4790-A00B-500C070B4585}"/>
              </a:ext>
            </a:extLst>
          </xdr:cNvPr>
          <xdr:cNvCxnSpPr/>
        </xdr:nvCxnSpPr>
        <xdr:spPr>
          <a:xfrm>
            <a:off x="4048125" y="488918250"/>
            <a:ext cx="0" cy="3905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5" name="Straight Connector 4414">
            <a:extLst>
              <a:ext uri="{FF2B5EF4-FFF2-40B4-BE49-F238E27FC236}">
                <a16:creationId xmlns:a16="http://schemas.microsoft.com/office/drawing/2014/main" id="{2ADD8687-52FA-4225-BC8C-4DAA26EFD995}"/>
              </a:ext>
            </a:extLst>
          </xdr:cNvPr>
          <xdr:cNvCxnSpPr/>
        </xdr:nvCxnSpPr>
        <xdr:spPr>
          <a:xfrm flipH="1">
            <a:off x="4010025" y="489194475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6" name="Straight Connector 4415">
            <a:extLst>
              <a:ext uri="{FF2B5EF4-FFF2-40B4-BE49-F238E27FC236}">
                <a16:creationId xmlns:a16="http://schemas.microsoft.com/office/drawing/2014/main" id="{75818377-B6F2-4E70-9DD2-04DD54254BA0}"/>
              </a:ext>
            </a:extLst>
          </xdr:cNvPr>
          <xdr:cNvCxnSpPr/>
        </xdr:nvCxnSpPr>
        <xdr:spPr>
          <a:xfrm>
            <a:off x="2366963" y="489232583"/>
            <a:ext cx="1743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9" name="Straight Arrow Connector 4418">
            <a:extLst>
              <a:ext uri="{FF2B5EF4-FFF2-40B4-BE49-F238E27FC236}">
                <a16:creationId xmlns:a16="http://schemas.microsoft.com/office/drawing/2014/main" id="{2786752E-6E47-45F2-A1C6-E4D6F437B9C7}"/>
              </a:ext>
            </a:extLst>
          </xdr:cNvPr>
          <xdr:cNvCxnSpPr/>
        </xdr:nvCxnSpPr>
        <xdr:spPr>
          <a:xfrm>
            <a:off x="4048125" y="488518200"/>
            <a:ext cx="0" cy="25717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66675</xdr:colOff>
      <xdr:row>2628</xdr:row>
      <xdr:rowOff>76200</xdr:rowOff>
    </xdr:from>
    <xdr:to>
      <xdr:col>7</xdr:col>
      <xdr:colOff>119062</xdr:colOff>
      <xdr:row>2628</xdr:row>
      <xdr:rowOff>76200</xdr:rowOff>
    </xdr:to>
    <xdr:cxnSp macro="">
      <xdr:nvCxnSpPr>
        <xdr:cNvPr id="4426" name="Straight Arrow Connector 4425">
          <a:extLst>
            <a:ext uri="{FF2B5EF4-FFF2-40B4-BE49-F238E27FC236}">
              <a16:creationId xmlns:a16="http://schemas.microsoft.com/office/drawing/2014/main" id="{991A5FAF-0B4C-4E6A-A95A-BB6A404CE1CB}"/>
            </a:ext>
          </a:extLst>
        </xdr:cNvPr>
        <xdr:cNvCxnSpPr/>
      </xdr:nvCxnSpPr>
      <xdr:spPr>
        <a:xfrm>
          <a:off x="1362075" y="3791426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2629</xdr:row>
      <xdr:rowOff>76200</xdr:rowOff>
    </xdr:from>
    <xdr:to>
      <xdr:col>7</xdr:col>
      <xdr:colOff>119062</xdr:colOff>
      <xdr:row>2629</xdr:row>
      <xdr:rowOff>76200</xdr:rowOff>
    </xdr:to>
    <xdr:cxnSp macro="">
      <xdr:nvCxnSpPr>
        <xdr:cNvPr id="4427" name="Straight Arrow Connector 4426">
          <a:extLst>
            <a:ext uri="{FF2B5EF4-FFF2-40B4-BE49-F238E27FC236}">
              <a16:creationId xmlns:a16="http://schemas.microsoft.com/office/drawing/2014/main" id="{70BF4FB3-B4E5-4B87-AA84-21F6B237B32B}"/>
            </a:ext>
          </a:extLst>
        </xdr:cNvPr>
        <xdr:cNvCxnSpPr/>
      </xdr:nvCxnSpPr>
      <xdr:spPr>
        <a:xfrm>
          <a:off x="1362075" y="379285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2602</xdr:row>
      <xdr:rowOff>133350</xdr:rowOff>
    </xdr:from>
    <xdr:to>
      <xdr:col>33</xdr:col>
      <xdr:colOff>66676</xdr:colOff>
      <xdr:row>2612</xdr:row>
      <xdr:rowOff>76200</xdr:rowOff>
    </xdr:to>
    <xdr:grpSp>
      <xdr:nvGrpSpPr>
        <xdr:cNvPr id="4116" name="Group 4115">
          <a:extLst>
            <a:ext uri="{FF2B5EF4-FFF2-40B4-BE49-F238E27FC236}">
              <a16:creationId xmlns:a16="http://schemas.microsoft.com/office/drawing/2014/main" id="{CFB2509F-2F4B-B336-1697-4CC6CD33C76F}"/>
            </a:ext>
          </a:extLst>
        </xdr:cNvPr>
        <xdr:cNvGrpSpPr/>
      </xdr:nvGrpSpPr>
      <xdr:grpSpPr>
        <a:xfrm>
          <a:off x="1990725" y="390639300"/>
          <a:ext cx="3419476" cy="1371600"/>
          <a:chOff x="1990725" y="390639300"/>
          <a:chExt cx="3419476" cy="1371600"/>
        </a:xfrm>
      </xdr:grpSpPr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AA349E64-E017-4F1F-8B2D-8AC746FFE393}"/>
              </a:ext>
            </a:extLst>
          </xdr:cNvPr>
          <xdr:cNvSpPr/>
        </xdr:nvSpPr>
        <xdr:spPr>
          <a:xfrm>
            <a:off x="2266950" y="390853613"/>
            <a:ext cx="152400" cy="45243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49" name="Straight Connector 4248">
            <a:extLst>
              <a:ext uri="{FF2B5EF4-FFF2-40B4-BE49-F238E27FC236}">
                <a16:creationId xmlns:a16="http://schemas.microsoft.com/office/drawing/2014/main" id="{1CA82346-AB46-406F-B03E-EC9653CF3FC1}"/>
              </a:ext>
            </a:extLst>
          </xdr:cNvPr>
          <xdr:cNvCxnSpPr/>
        </xdr:nvCxnSpPr>
        <xdr:spPr>
          <a:xfrm>
            <a:off x="2428874" y="390853613"/>
            <a:ext cx="0" cy="4476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4B5B8B02-C981-4A0C-A6BF-5591B29F7121}"/>
              </a:ext>
            </a:extLst>
          </xdr:cNvPr>
          <xdr:cNvSpPr/>
        </xdr:nvSpPr>
        <xdr:spPr>
          <a:xfrm>
            <a:off x="2424113" y="391048882"/>
            <a:ext cx="2909888" cy="66676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57" name="Straight Arrow Connector 4256">
            <a:extLst>
              <a:ext uri="{FF2B5EF4-FFF2-40B4-BE49-F238E27FC236}">
                <a16:creationId xmlns:a16="http://schemas.microsoft.com/office/drawing/2014/main" id="{95F6CAC1-1808-456B-BFAD-7A6308A751F1}"/>
              </a:ext>
            </a:extLst>
          </xdr:cNvPr>
          <xdr:cNvCxnSpPr/>
        </xdr:nvCxnSpPr>
        <xdr:spPr>
          <a:xfrm flipV="1">
            <a:off x="4048125" y="391120327"/>
            <a:ext cx="0" cy="395273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7" name="Straight Connector 4266">
            <a:extLst>
              <a:ext uri="{FF2B5EF4-FFF2-40B4-BE49-F238E27FC236}">
                <a16:creationId xmlns:a16="http://schemas.microsoft.com/office/drawing/2014/main" id="{0CAF4139-9BD3-45A8-8DDF-FBE8884BE2FD}"/>
              </a:ext>
            </a:extLst>
          </xdr:cNvPr>
          <xdr:cNvCxnSpPr/>
        </xdr:nvCxnSpPr>
        <xdr:spPr>
          <a:xfrm>
            <a:off x="2428876" y="391787063"/>
            <a:ext cx="0" cy="2238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8" name="Straight Connector 4267">
            <a:extLst>
              <a:ext uri="{FF2B5EF4-FFF2-40B4-BE49-F238E27FC236}">
                <a16:creationId xmlns:a16="http://schemas.microsoft.com/office/drawing/2014/main" id="{F775BC46-7A43-497F-98E7-9EB756E5284C}"/>
              </a:ext>
            </a:extLst>
          </xdr:cNvPr>
          <xdr:cNvCxnSpPr/>
        </xdr:nvCxnSpPr>
        <xdr:spPr>
          <a:xfrm flipH="1">
            <a:off x="2390776" y="391896600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1" name="Straight Connector 4270">
            <a:extLst>
              <a:ext uri="{FF2B5EF4-FFF2-40B4-BE49-F238E27FC236}">
                <a16:creationId xmlns:a16="http://schemas.microsoft.com/office/drawing/2014/main" id="{DFA50A82-6DFB-4F6F-9141-5C44E9865759}"/>
              </a:ext>
            </a:extLst>
          </xdr:cNvPr>
          <xdr:cNvCxnSpPr/>
        </xdr:nvCxnSpPr>
        <xdr:spPr>
          <a:xfrm>
            <a:off x="4048126" y="391668000"/>
            <a:ext cx="0" cy="3428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2" name="Straight Connector 4271">
            <a:extLst>
              <a:ext uri="{FF2B5EF4-FFF2-40B4-BE49-F238E27FC236}">
                <a16:creationId xmlns:a16="http://schemas.microsoft.com/office/drawing/2014/main" id="{70AC9E95-BB6A-48AF-AFEB-3F319F21A346}"/>
              </a:ext>
            </a:extLst>
          </xdr:cNvPr>
          <xdr:cNvCxnSpPr/>
        </xdr:nvCxnSpPr>
        <xdr:spPr>
          <a:xfrm flipH="1">
            <a:off x="4010026" y="391896600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4" name="Straight Connector 4273">
            <a:extLst>
              <a:ext uri="{FF2B5EF4-FFF2-40B4-BE49-F238E27FC236}">
                <a16:creationId xmlns:a16="http://schemas.microsoft.com/office/drawing/2014/main" id="{CEF0FA38-C08D-4F89-A5DE-222F996204A7}"/>
              </a:ext>
            </a:extLst>
          </xdr:cNvPr>
          <xdr:cNvCxnSpPr/>
        </xdr:nvCxnSpPr>
        <xdr:spPr>
          <a:xfrm>
            <a:off x="5343526" y="391177463"/>
            <a:ext cx="0" cy="823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6" name="Straight Connector 4275">
            <a:extLst>
              <a:ext uri="{FF2B5EF4-FFF2-40B4-BE49-F238E27FC236}">
                <a16:creationId xmlns:a16="http://schemas.microsoft.com/office/drawing/2014/main" id="{C9D03F1B-081E-47BD-9B46-80696C724AA2}"/>
              </a:ext>
            </a:extLst>
          </xdr:cNvPr>
          <xdr:cNvCxnSpPr/>
        </xdr:nvCxnSpPr>
        <xdr:spPr>
          <a:xfrm flipH="1">
            <a:off x="5305426" y="391896600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1" name="Straight Connector 4380">
            <a:extLst>
              <a:ext uri="{FF2B5EF4-FFF2-40B4-BE49-F238E27FC236}">
                <a16:creationId xmlns:a16="http://schemas.microsoft.com/office/drawing/2014/main" id="{A0207735-C624-4F85-9134-3AE1BD0B334A}"/>
              </a:ext>
            </a:extLst>
          </xdr:cNvPr>
          <xdr:cNvCxnSpPr/>
        </xdr:nvCxnSpPr>
        <xdr:spPr>
          <a:xfrm>
            <a:off x="2366964" y="391934708"/>
            <a:ext cx="3043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7" name="Straight Arrow Connector 4386">
            <a:extLst>
              <a:ext uri="{FF2B5EF4-FFF2-40B4-BE49-F238E27FC236}">
                <a16:creationId xmlns:a16="http://schemas.microsoft.com/office/drawing/2014/main" id="{725C2D64-B078-40E5-828B-0C6E918031BB}"/>
              </a:ext>
            </a:extLst>
          </xdr:cNvPr>
          <xdr:cNvCxnSpPr/>
        </xdr:nvCxnSpPr>
        <xdr:spPr>
          <a:xfrm>
            <a:off x="3076577" y="390829807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8" name="Straight Connector 4387">
            <a:extLst>
              <a:ext uri="{FF2B5EF4-FFF2-40B4-BE49-F238E27FC236}">
                <a16:creationId xmlns:a16="http://schemas.microsoft.com/office/drawing/2014/main" id="{0255A989-E561-4084-B40B-D163995A06F8}"/>
              </a:ext>
            </a:extLst>
          </xdr:cNvPr>
          <xdr:cNvCxnSpPr/>
        </xdr:nvCxnSpPr>
        <xdr:spPr>
          <a:xfrm>
            <a:off x="2428870" y="390829809"/>
            <a:ext cx="291465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9" name="Straight Arrow Connector 4388">
            <a:extLst>
              <a:ext uri="{FF2B5EF4-FFF2-40B4-BE49-F238E27FC236}">
                <a16:creationId xmlns:a16="http://schemas.microsoft.com/office/drawing/2014/main" id="{430120DF-F275-4384-9E3D-0D7F38F7B5B3}"/>
              </a:ext>
            </a:extLst>
          </xdr:cNvPr>
          <xdr:cNvCxnSpPr/>
        </xdr:nvCxnSpPr>
        <xdr:spPr>
          <a:xfrm>
            <a:off x="3238502" y="390829808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0" name="Straight Arrow Connector 4389">
            <a:extLst>
              <a:ext uri="{FF2B5EF4-FFF2-40B4-BE49-F238E27FC236}">
                <a16:creationId xmlns:a16="http://schemas.microsoft.com/office/drawing/2014/main" id="{5D1B814F-ADA0-4907-9185-A037215A003B}"/>
              </a:ext>
            </a:extLst>
          </xdr:cNvPr>
          <xdr:cNvCxnSpPr/>
        </xdr:nvCxnSpPr>
        <xdr:spPr>
          <a:xfrm>
            <a:off x="3400427" y="390829807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1" name="Straight Arrow Connector 4390">
            <a:extLst>
              <a:ext uri="{FF2B5EF4-FFF2-40B4-BE49-F238E27FC236}">
                <a16:creationId xmlns:a16="http://schemas.microsoft.com/office/drawing/2014/main" id="{B14D0DD7-5A25-489C-A920-BE77A23F8430}"/>
              </a:ext>
            </a:extLst>
          </xdr:cNvPr>
          <xdr:cNvCxnSpPr/>
        </xdr:nvCxnSpPr>
        <xdr:spPr>
          <a:xfrm>
            <a:off x="3562352" y="390829808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2" name="Straight Arrow Connector 4391">
            <a:extLst>
              <a:ext uri="{FF2B5EF4-FFF2-40B4-BE49-F238E27FC236}">
                <a16:creationId xmlns:a16="http://schemas.microsoft.com/office/drawing/2014/main" id="{71DD4CCC-94C2-4B8A-AB08-0F328A474D3A}"/>
              </a:ext>
            </a:extLst>
          </xdr:cNvPr>
          <xdr:cNvCxnSpPr/>
        </xdr:nvCxnSpPr>
        <xdr:spPr>
          <a:xfrm>
            <a:off x="3724278" y="390829807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3" name="Straight Arrow Connector 4392">
            <a:extLst>
              <a:ext uri="{FF2B5EF4-FFF2-40B4-BE49-F238E27FC236}">
                <a16:creationId xmlns:a16="http://schemas.microsoft.com/office/drawing/2014/main" id="{2105FC35-8D55-447A-89A5-C80E200B77B0}"/>
              </a:ext>
            </a:extLst>
          </xdr:cNvPr>
          <xdr:cNvCxnSpPr/>
        </xdr:nvCxnSpPr>
        <xdr:spPr>
          <a:xfrm>
            <a:off x="3886203" y="390829808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5" name="Straight Arrow Connector 4394">
            <a:extLst>
              <a:ext uri="{FF2B5EF4-FFF2-40B4-BE49-F238E27FC236}">
                <a16:creationId xmlns:a16="http://schemas.microsoft.com/office/drawing/2014/main" id="{3CE7FF98-A947-4BD3-A6D2-B5D765E7227F}"/>
              </a:ext>
            </a:extLst>
          </xdr:cNvPr>
          <xdr:cNvCxnSpPr/>
        </xdr:nvCxnSpPr>
        <xdr:spPr>
          <a:xfrm>
            <a:off x="4210053" y="390829808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6" name="Straight Arrow Connector 4395">
            <a:extLst>
              <a:ext uri="{FF2B5EF4-FFF2-40B4-BE49-F238E27FC236}">
                <a16:creationId xmlns:a16="http://schemas.microsoft.com/office/drawing/2014/main" id="{3036F3A6-80DF-4DEA-A3D5-3586C2BB2A91}"/>
              </a:ext>
            </a:extLst>
          </xdr:cNvPr>
          <xdr:cNvCxnSpPr/>
        </xdr:nvCxnSpPr>
        <xdr:spPr>
          <a:xfrm>
            <a:off x="2590804" y="390829808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7" name="Straight Arrow Connector 4396">
            <a:extLst>
              <a:ext uri="{FF2B5EF4-FFF2-40B4-BE49-F238E27FC236}">
                <a16:creationId xmlns:a16="http://schemas.microsoft.com/office/drawing/2014/main" id="{7E8CCE87-4F97-4B47-93F4-37FDB6972365}"/>
              </a:ext>
            </a:extLst>
          </xdr:cNvPr>
          <xdr:cNvCxnSpPr/>
        </xdr:nvCxnSpPr>
        <xdr:spPr>
          <a:xfrm>
            <a:off x="2752729" y="390829807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8" name="Straight Arrow Connector 4397">
            <a:extLst>
              <a:ext uri="{FF2B5EF4-FFF2-40B4-BE49-F238E27FC236}">
                <a16:creationId xmlns:a16="http://schemas.microsoft.com/office/drawing/2014/main" id="{9181A277-A3CC-40B4-84F2-BC4D73F5A188}"/>
              </a:ext>
            </a:extLst>
          </xdr:cNvPr>
          <xdr:cNvCxnSpPr/>
        </xdr:nvCxnSpPr>
        <xdr:spPr>
          <a:xfrm>
            <a:off x="2914654" y="390829808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9" name="Straight Arrow Connector 4398">
            <a:extLst>
              <a:ext uri="{FF2B5EF4-FFF2-40B4-BE49-F238E27FC236}">
                <a16:creationId xmlns:a16="http://schemas.microsoft.com/office/drawing/2014/main" id="{50B9DF62-FC87-4EA6-9ECE-C94822C704DA}"/>
              </a:ext>
            </a:extLst>
          </xdr:cNvPr>
          <xdr:cNvCxnSpPr/>
        </xdr:nvCxnSpPr>
        <xdr:spPr>
          <a:xfrm>
            <a:off x="5338765" y="390639300"/>
            <a:ext cx="0" cy="404827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0" name="Straight Connector 4399">
            <a:extLst>
              <a:ext uri="{FF2B5EF4-FFF2-40B4-BE49-F238E27FC236}">
                <a16:creationId xmlns:a16="http://schemas.microsoft.com/office/drawing/2014/main" id="{FB62C950-5AC5-4526-8C27-B4B3E7666031}"/>
              </a:ext>
            </a:extLst>
          </xdr:cNvPr>
          <xdr:cNvCxnSpPr/>
        </xdr:nvCxnSpPr>
        <xdr:spPr>
          <a:xfrm flipH="1" flipV="1">
            <a:off x="3295652" y="390753607"/>
            <a:ext cx="109538" cy="17145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1" name="Straight Arrow Connector 4400">
            <a:extLst>
              <a:ext uri="{FF2B5EF4-FFF2-40B4-BE49-F238E27FC236}">
                <a16:creationId xmlns:a16="http://schemas.microsoft.com/office/drawing/2014/main" id="{EA996A2C-EC74-4CED-9802-37B313C870BC}"/>
              </a:ext>
            </a:extLst>
          </xdr:cNvPr>
          <xdr:cNvCxnSpPr/>
        </xdr:nvCxnSpPr>
        <xdr:spPr>
          <a:xfrm>
            <a:off x="4533895" y="390825046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2" name="Straight Arrow Connector 4401">
            <a:extLst>
              <a:ext uri="{FF2B5EF4-FFF2-40B4-BE49-F238E27FC236}">
                <a16:creationId xmlns:a16="http://schemas.microsoft.com/office/drawing/2014/main" id="{313DE058-D0CE-4873-8641-ABDD3D243F1B}"/>
              </a:ext>
            </a:extLst>
          </xdr:cNvPr>
          <xdr:cNvCxnSpPr/>
        </xdr:nvCxnSpPr>
        <xdr:spPr>
          <a:xfrm>
            <a:off x="4857753" y="390825045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3" name="Straight Arrow Connector 4402">
            <a:extLst>
              <a:ext uri="{FF2B5EF4-FFF2-40B4-BE49-F238E27FC236}">
                <a16:creationId xmlns:a16="http://schemas.microsoft.com/office/drawing/2014/main" id="{26856F7C-B81E-4C82-A373-FFF38C22EBAB}"/>
              </a:ext>
            </a:extLst>
          </xdr:cNvPr>
          <xdr:cNvCxnSpPr/>
        </xdr:nvCxnSpPr>
        <xdr:spPr>
          <a:xfrm>
            <a:off x="5019678" y="390825046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4" name="Straight Arrow Connector 4403">
            <a:extLst>
              <a:ext uri="{FF2B5EF4-FFF2-40B4-BE49-F238E27FC236}">
                <a16:creationId xmlns:a16="http://schemas.microsoft.com/office/drawing/2014/main" id="{C6B7FAF9-44E0-4901-B0CA-53B95D77701F}"/>
              </a:ext>
            </a:extLst>
          </xdr:cNvPr>
          <xdr:cNvCxnSpPr/>
        </xdr:nvCxnSpPr>
        <xdr:spPr>
          <a:xfrm>
            <a:off x="5181603" y="390825045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5" name="Straight Arrow Connector 4404">
            <a:extLst>
              <a:ext uri="{FF2B5EF4-FFF2-40B4-BE49-F238E27FC236}">
                <a16:creationId xmlns:a16="http://schemas.microsoft.com/office/drawing/2014/main" id="{6B25A3B0-1F67-4133-ACED-F46BE42307E5}"/>
              </a:ext>
            </a:extLst>
          </xdr:cNvPr>
          <xdr:cNvCxnSpPr/>
        </xdr:nvCxnSpPr>
        <xdr:spPr>
          <a:xfrm>
            <a:off x="2428878" y="390829809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6" name="Straight Arrow Connector 4405">
            <a:extLst>
              <a:ext uri="{FF2B5EF4-FFF2-40B4-BE49-F238E27FC236}">
                <a16:creationId xmlns:a16="http://schemas.microsoft.com/office/drawing/2014/main" id="{F4E16348-22B5-4F65-B7E9-A44F22E61778}"/>
              </a:ext>
            </a:extLst>
          </xdr:cNvPr>
          <xdr:cNvCxnSpPr/>
        </xdr:nvCxnSpPr>
        <xdr:spPr>
          <a:xfrm>
            <a:off x="4371961" y="390829799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7" name="Straight Arrow Connector 4406">
            <a:extLst>
              <a:ext uri="{FF2B5EF4-FFF2-40B4-BE49-F238E27FC236}">
                <a16:creationId xmlns:a16="http://schemas.microsoft.com/office/drawing/2014/main" id="{6102640F-DB6A-4EAA-88E6-7406C5B08206}"/>
              </a:ext>
            </a:extLst>
          </xdr:cNvPr>
          <xdr:cNvCxnSpPr/>
        </xdr:nvCxnSpPr>
        <xdr:spPr>
          <a:xfrm>
            <a:off x="4695828" y="390829808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3" name="Straight Arrow Connector 4422">
            <a:extLst>
              <a:ext uri="{FF2B5EF4-FFF2-40B4-BE49-F238E27FC236}">
                <a16:creationId xmlns:a16="http://schemas.microsoft.com/office/drawing/2014/main" id="{170488EC-E2B8-43B2-AC14-306A5FEEDF18}"/>
              </a:ext>
            </a:extLst>
          </xdr:cNvPr>
          <xdr:cNvCxnSpPr/>
        </xdr:nvCxnSpPr>
        <xdr:spPr>
          <a:xfrm flipV="1">
            <a:off x="2433637" y="391315575"/>
            <a:ext cx="0" cy="333375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25" name="Arc 4424">
            <a:extLst>
              <a:ext uri="{FF2B5EF4-FFF2-40B4-BE49-F238E27FC236}">
                <a16:creationId xmlns:a16="http://schemas.microsoft.com/office/drawing/2014/main" id="{49B31640-DDCE-4589-90C2-BAC945A74884}"/>
              </a:ext>
            </a:extLst>
          </xdr:cNvPr>
          <xdr:cNvSpPr/>
        </xdr:nvSpPr>
        <xdr:spPr>
          <a:xfrm rot="13508025">
            <a:off x="1990725" y="390815513"/>
            <a:ext cx="558924" cy="558924"/>
          </a:xfrm>
          <a:prstGeom prst="arc">
            <a:avLst/>
          </a:prstGeom>
          <a:ln w="15875">
            <a:solidFill>
              <a:schemeClr val="bg1">
                <a:lumMod val="50000"/>
              </a:schemeClr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429" name="Straight Arrow Connector 4428">
            <a:extLst>
              <a:ext uri="{FF2B5EF4-FFF2-40B4-BE49-F238E27FC236}">
                <a16:creationId xmlns:a16="http://schemas.microsoft.com/office/drawing/2014/main" id="{ADCDA1BC-6DE1-469C-9182-86247006C6A2}"/>
              </a:ext>
            </a:extLst>
          </xdr:cNvPr>
          <xdr:cNvCxnSpPr/>
        </xdr:nvCxnSpPr>
        <xdr:spPr>
          <a:xfrm>
            <a:off x="4043365" y="390644063"/>
            <a:ext cx="0" cy="404827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1" name="Straight Arrow Connector 4430">
            <a:extLst>
              <a:ext uri="{FF2B5EF4-FFF2-40B4-BE49-F238E27FC236}">
                <a16:creationId xmlns:a16="http://schemas.microsoft.com/office/drawing/2014/main" id="{B62B2937-2077-4B8E-A50C-051D77ED49CB}"/>
              </a:ext>
            </a:extLst>
          </xdr:cNvPr>
          <xdr:cNvCxnSpPr/>
        </xdr:nvCxnSpPr>
        <xdr:spPr>
          <a:xfrm>
            <a:off x="2419350" y="391448925"/>
            <a:ext cx="428625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2" name="Straight Arrow Connector 4431">
            <a:extLst>
              <a:ext uri="{FF2B5EF4-FFF2-40B4-BE49-F238E27FC236}">
                <a16:creationId xmlns:a16="http://schemas.microsoft.com/office/drawing/2014/main" id="{74D81594-FE08-43D5-B42A-15AC3DF3B70E}"/>
              </a:ext>
            </a:extLst>
          </xdr:cNvPr>
          <xdr:cNvCxnSpPr/>
        </xdr:nvCxnSpPr>
        <xdr:spPr>
          <a:xfrm>
            <a:off x="4048125" y="391420350"/>
            <a:ext cx="428625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66675</xdr:colOff>
      <xdr:row>2632</xdr:row>
      <xdr:rowOff>76200</xdr:rowOff>
    </xdr:from>
    <xdr:to>
      <xdr:col>11</xdr:col>
      <xdr:colOff>119062</xdr:colOff>
      <xdr:row>2632</xdr:row>
      <xdr:rowOff>76200</xdr:rowOff>
    </xdr:to>
    <xdr:cxnSp macro="">
      <xdr:nvCxnSpPr>
        <xdr:cNvPr id="4434" name="Straight Arrow Connector 4433">
          <a:extLst>
            <a:ext uri="{FF2B5EF4-FFF2-40B4-BE49-F238E27FC236}">
              <a16:creationId xmlns:a16="http://schemas.microsoft.com/office/drawing/2014/main" id="{2C43988F-0772-4273-889E-768B4FD0044D}"/>
            </a:ext>
          </a:extLst>
        </xdr:cNvPr>
        <xdr:cNvCxnSpPr/>
      </xdr:nvCxnSpPr>
      <xdr:spPr>
        <a:xfrm>
          <a:off x="2009775" y="3797141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66675</xdr:colOff>
      <xdr:row>2632</xdr:row>
      <xdr:rowOff>76200</xdr:rowOff>
    </xdr:from>
    <xdr:to>
      <xdr:col>37</xdr:col>
      <xdr:colOff>119062</xdr:colOff>
      <xdr:row>2632</xdr:row>
      <xdr:rowOff>76200</xdr:rowOff>
    </xdr:to>
    <xdr:cxnSp macro="">
      <xdr:nvCxnSpPr>
        <xdr:cNvPr id="4435" name="Straight Arrow Connector 4434">
          <a:extLst>
            <a:ext uri="{FF2B5EF4-FFF2-40B4-BE49-F238E27FC236}">
              <a16:creationId xmlns:a16="http://schemas.microsoft.com/office/drawing/2014/main" id="{080CDD32-F104-4942-9B7F-AFE8A520A3E7}"/>
            </a:ext>
          </a:extLst>
        </xdr:cNvPr>
        <xdr:cNvCxnSpPr/>
      </xdr:nvCxnSpPr>
      <xdr:spPr>
        <a:xfrm>
          <a:off x="6219825" y="379714125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2635</xdr:row>
      <xdr:rowOff>76200</xdr:rowOff>
    </xdr:from>
    <xdr:to>
      <xdr:col>11</xdr:col>
      <xdr:colOff>119062</xdr:colOff>
      <xdr:row>2635</xdr:row>
      <xdr:rowOff>76200</xdr:rowOff>
    </xdr:to>
    <xdr:cxnSp macro="">
      <xdr:nvCxnSpPr>
        <xdr:cNvPr id="4436" name="Straight Arrow Connector 4435">
          <a:extLst>
            <a:ext uri="{FF2B5EF4-FFF2-40B4-BE49-F238E27FC236}">
              <a16:creationId xmlns:a16="http://schemas.microsoft.com/office/drawing/2014/main" id="{956D3A70-1096-473A-AECA-25549F52C36D}"/>
            </a:ext>
          </a:extLst>
        </xdr:cNvPr>
        <xdr:cNvCxnSpPr/>
      </xdr:nvCxnSpPr>
      <xdr:spPr>
        <a:xfrm>
          <a:off x="2009775" y="3801427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66675</xdr:colOff>
      <xdr:row>2635</xdr:row>
      <xdr:rowOff>76200</xdr:rowOff>
    </xdr:from>
    <xdr:to>
      <xdr:col>37</xdr:col>
      <xdr:colOff>119062</xdr:colOff>
      <xdr:row>2635</xdr:row>
      <xdr:rowOff>76200</xdr:rowOff>
    </xdr:to>
    <xdr:cxnSp macro="">
      <xdr:nvCxnSpPr>
        <xdr:cNvPr id="4437" name="Straight Arrow Connector 4436">
          <a:extLst>
            <a:ext uri="{FF2B5EF4-FFF2-40B4-BE49-F238E27FC236}">
              <a16:creationId xmlns:a16="http://schemas.microsoft.com/office/drawing/2014/main" id="{C781DE0E-CC55-44CB-9B6E-AD9CCBE50CDC}"/>
            </a:ext>
          </a:extLst>
        </xdr:cNvPr>
        <xdr:cNvCxnSpPr/>
      </xdr:nvCxnSpPr>
      <xdr:spPr>
        <a:xfrm>
          <a:off x="6219825" y="3801427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2637</xdr:row>
      <xdr:rowOff>76200</xdr:rowOff>
    </xdr:from>
    <xdr:to>
      <xdr:col>20</xdr:col>
      <xdr:colOff>119062</xdr:colOff>
      <xdr:row>2637</xdr:row>
      <xdr:rowOff>76200</xdr:rowOff>
    </xdr:to>
    <xdr:cxnSp macro="">
      <xdr:nvCxnSpPr>
        <xdr:cNvPr id="4438" name="Straight Arrow Connector 4437">
          <a:extLst>
            <a:ext uri="{FF2B5EF4-FFF2-40B4-BE49-F238E27FC236}">
              <a16:creationId xmlns:a16="http://schemas.microsoft.com/office/drawing/2014/main" id="{B58B684E-9FB0-46D9-938C-68605F7D03ED}"/>
            </a:ext>
          </a:extLst>
        </xdr:cNvPr>
        <xdr:cNvCxnSpPr/>
      </xdr:nvCxnSpPr>
      <xdr:spPr>
        <a:xfrm>
          <a:off x="2981325" y="38042850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2639</xdr:row>
      <xdr:rowOff>76200</xdr:rowOff>
    </xdr:from>
    <xdr:to>
      <xdr:col>8</xdr:col>
      <xdr:colOff>119062</xdr:colOff>
      <xdr:row>2639</xdr:row>
      <xdr:rowOff>76200</xdr:rowOff>
    </xdr:to>
    <xdr:cxnSp macro="">
      <xdr:nvCxnSpPr>
        <xdr:cNvPr id="4439" name="Straight Arrow Connector 4438">
          <a:extLst>
            <a:ext uri="{FF2B5EF4-FFF2-40B4-BE49-F238E27FC236}">
              <a16:creationId xmlns:a16="http://schemas.microsoft.com/office/drawing/2014/main" id="{41A9777B-92BC-4B0E-958E-B370D1FE68C1}"/>
            </a:ext>
          </a:extLst>
        </xdr:cNvPr>
        <xdr:cNvCxnSpPr/>
      </xdr:nvCxnSpPr>
      <xdr:spPr>
        <a:xfrm>
          <a:off x="1524000" y="3807142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66675</xdr:colOff>
      <xdr:row>2639</xdr:row>
      <xdr:rowOff>76200</xdr:rowOff>
    </xdr:from>
    <xdr:to>
      <xdr:col>52</xdr:col>
      <xdr:colOff>119062</xdr:colOff>
      <xdr:row>2639</xdr:row>
      <xdr:rowOff>76200</xdr:rowOff>
    </xdr:to>
    <xdr:cxnSp macro="">
      <xdr:nvCxnSpPr>
        <xdr:cNvPr id="4440" name="Straight Arrow Connector 4439">
          <a:extLst>
            <a:ext uri="{FF2B5EF4-FFF2-40B4-BE49-F238E27FC236}">
              <a16:creationId xmlns:a16="http://schemas.microsoft.com/office/drawing/2014/main" id="{BB283495-AFCE-407B-BF07-29E465851273}"/>
            </a:ext>
          </a:extLst>
        </xdr:cNvPr>
        <xdr:cNvCxnSpPr/>
      </xdr:nvCxnSpPr>
      <xdr:spPr>
        <a:xfrm>
          <a:off x="6543675" y="380714250"/>
          <a:ext cx="214312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95255</xdr:colOff>
      <xdr:row>2605</xdr:row>
      <xdr:rowOff>66675</xdr:rowOff>
    </xdr:from>
    <xdr:to>
      <xdr:col>51</xdr:col>
      <xdr:colOff>61913</xdr:colOff>
      <xdr:row>2617</xdr:row>
      <xdr:rowOff>76194</xdr:rowOff>
    </xdr:to>
    <xdr:grpSp>
      <xdr:nvGrpSpPr>
        <xdr:cNvPr id="4441" name="Group 4440">
          <a:extLst>
            <a:ext uri="{FF2B5EF4-FFF2-40B4-BE49-F238E27FC236}">
              <a16:creationId xmlns:a16="http://schemas.microsoft.com/office/drawing/2014/main" id="{E480B3CD-5E7A-4FE0-AE7E-919C55A1BBA3}"/>
            </a:ext>
          </a:extLst>
        </xdr:cNvPr>
        <xdr:cNvGrpSpPr/>
      </xdr:nvGrpSpPr>
      <xdr:grpSpPr>
        <a:xfrm>
          <a:off x="6896105" y="391001250"/>
          <a:ext cx="1423983" cy="1724019"/>
          <a:chOff x="7705730" y="320421000"/>
          <a:chExt cx="1423983" cy="1724019"/>
        </a:xfrm>
      </xdr:grpSpPr>
      <xdr:cxnSp macro="">
        <xdr:nvCxnSpPr>
          <xdr:cNvPr id="4442" name="Straight Connector 4441">
            <a:extLst>
              <a:ext uri="{FF2B5EF4-FFF2-40B4-BE49-F238E27FC236}">
                <a16:creationId xmlns:a16="http://schemas.microsoft.com/office/drawing/2014/main" id="{C6517709-2A04-F44E-1D5C-96F7BA34349C}"/>
              </a:ext>
            </a:extLst>
          </xdr:cNvPr>
          <xdr:cNvCxnSpPr/>
        </xdr:nvCxnSpPr>
        <xdr:spPr>
          <a:xfrm>
            <a:off x="8096250" y="320497202"/>
            <a:ext cx="9667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3" name="Straight Connector 4442">
            <a:extLst>
              <a:ext uri="{FF2B5EF4-FFF2-40B4-BE49-F238E27FC236}">
                <a16:creationId xmlns:a16="http://schemas.microsoft.com/office/drawing/2014/main" id="{B3640F9F-CEFD-115F-D99F-3084C79B43E7}"/>
              </a:ext>
            </a:extLst>
          </xdr:cNvPr>
          <xdr:cNvCxnSpPr/>
        </xdr:nvCxnSpPr>
        <xdr:spPr>
          <a:xfrm>
            <a:off x="8096250" y="320640077"/>
            <a:ext cx="3571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4" name="Straight Connector 4443">
            <a:extLst>
              <a:ext uri="{FF2B5EF4-FFF2-40B4-BE49-F238E27FC236}">
                <a16:creationId xmlns:a16="http://schemas.microsoft.com/office/drawing/2014/main" id="{D00350C3-870B-F4E4-8DFE-070CB656B6D0}"/>
              </a:ext>
            </a:extLst>
          </xdr:cNvPr>
          <xdr:cNvCxnSpPr/>
        </xdr:nvCxnSpPr>
        <xdr:spPr>
          <a:xfrm>
            <a:off x="8534400" y="320735326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45" name="Arc 4444">
            <a:extLst>
              <a:ext uri="{FF2B5EF4-FFF2-40B4-BE49-F238E27FC236}">
                <a16:creationId xmlns:a16="http://schemas.microsoft.com/office/drawing/2014/main" id="{A16EAE84-6985-A49A-E9AF-8C21BF4F88CD}"/>
              </a:ext>
            </a:extLst>
          </xdr:cNvPr>
          <xdr:cNvSpPr/>
        </xdr:nvSpPr>
        <xdr:spPr>
          <a:xfrm>
            <a:off x="8324851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446" name="Straight Connector 4445">
            <a:extLst>
              <a:ext uri="{FF2B5EF4-FFF2-40B4-BE49-F238E27FC236}">
                <a16:creationId xmlns:a16="http://schemas.microsoft.com/office/drawing/2014/main" id="{BF44917C-92A1-3758-A3C6-BBF6B6A766F8}"/>
              </a:ext>
            </a:extLst>
          </xdr:cNvPr>
          <xdr:cNvCxnSpPr/>
        </xdr:nvCxnSpPr>
        <xdr:spPr>
          <a:xfrm>
            <a:off x="8629650" y="320730563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7" name="Straight Connector 4446">
            <a:extLst>
              <a:ext uri="{FF2B5EF4-FFF2-40B4-BE49-F238E27FC236}">
                <a16:creationId xmlns:a16="http://schemas.microsoft.com/office/drawing/2014/main" id="{74C7328A-F855-96C2-7408-857EBBC0C681}"/>
              </a:ext>
            </a:extLst>
          </xdr:cNvPr>
          <xdr:cNvCxnSpPr/>
        </xdr:nvCxnSpPr>
        <xdr:spPr>
          <a:xfrm>
            <a:off x="8734425" y="320640077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8" name="Straight Connector 4447">
            <a:extLst>
              <a:ext uri="{FF2B5EF4-FFF2-40B4-BE49-F238E27FC236}">
                <a16:creationId xmlns:a16="http://schemas.microsoft.com/office/drawing/2014/main" id="{C909E6C3-D56A-F31C-D201-87FAC657F9D9}"/>
              </a:ext>
            </a:extLst>
          </xdr:cNvPr>
          <xdr:cNvCxnSpPr/>
        </xdr:nvCxnSpPr>
        <xdr:spPr>
          <a:xfrm>
            <a:off x="9063027" y="320497201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9" name="Straight Connector 4448">
            <a:extLst>
              <a:ext uri="{FF2B5EF4-FFF2-40B4-BE49-F238E27FC236}">
                <a16:creationId xmlns:a16="http://schemas.microsoft.com/office/drawing/2014/main" id="{6F567FB5-D62A-4645-C109-F6A129FD146B}"/>
              </a:ext>
            </a:extLst>
          </xdr:cNvPr>
          <xdr:cNvCxnSpPr/>
        </xdr:nvCxnSpPr>
        <xdr:spPr>
          <a:xfrm>
            <a:off x="8096258" y="320497202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50" name="Arc 4449">
            <a:extLst>
              <a:ext uri="{FF2B5EF4-FFF2-40B4-BE49-F238E27FC236}">
                <a16:creationId xmlns:a16="http://schemas.microsoft.com/office/drawing/2014/main" id="{D7D46977-B71E-315A-C6D5-8FDB7E2BEDF2}"/>
              </a:ext>
            </a:extLst>
          </xdr:cNvPr>
          <xdr:cNvSpPr/>
        </xdr:nvSpPr>
        <xdr:spPr>
          <a:xfrm rot="16200000">
            <a:off x="8629650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451" name="Straight Connector 4450">
            <a:extLst>
              <a:ext uri="{FF2B5EF4-FFF2-40B4-BE49-F238E27FC236}">
                <a16:creationId xmlns:a16="http://schemas.microsoft.com/office/drawing/2014/main" id="{3E00EB7B-FBBC-59D8-8D50-12F6519B8EF2}"/>
              </a:ext>
            </a:extLst>
          </xdr:cNvPr>
          <xdr:cNvCxnSpPr/>
        </xdr:nvCxnSpPr>
        <xdr:spPr>
          <a:xfrm>
            <a:off x="8096250" y="321783070"/>
            <a:ext cx="971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2" name="Straight Connector 4451">
            <a:extLst>
              <a:ext uri="{FF2B5EF4-FFF2-40B4-BE49-F238E27FC236}">
                <a16:creationId xmlns:a16="http://schemas.microsoft.com/office/drawing/2014/main" id="{AC91E285-6C49-98E7-36DA-93A8B6B36B67}"/>
              </a:ext>
            </a:extLst>
          </xdr:cNvPr>
          <xdr:cNvCxnSpPr/>
        </xdr:nvCxnSpPr>
        <xdr:spPr>
          <a:xfrm>
            <a:off x="8101013" y="321640188"/>
            <a:ext cx="3571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3" name="Straight Connector 4452">
            <a:extLst>
              <a:ext uri="{FF2B5EF4-FFF2-40B4-BE49-F238E27FC236}">
                <a16:creationId xmlns:a16="http://schemas.microsoft.com/office/drawing/2014/main" id="{4DB50BF3-2D97-4B78-1925-3B3F58DF1C58}"/>
              </a:ext>
            </a:extLst>
          </xdr:cNvPr>
          <xdr:cNvCxnSpPr/>
        </xdr:nvCxnSpPr>
        <xdr:spPr>
          <a:xfrm>
            <a:off x="8739187" y="321640188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4" name="Straight Connector 4453">
            <a:extLst>
              <a:ext uri="{FF2B5EF4-FFF2-40B4-BE49-F238E27FC236}">
                <a16:creationId xmlns:a16="http://schemas.microsoft.com/office/drawing/2014/main" id="{993A741C-8DC7-14FE-40AF-89EF43AD8A73}"/>
              </a:ext>
            </a:extLst>
          </xdr:cNvPr>
          <xdr:cNvCxnSpPr/>
        </xdr:nvCxnSpPr>
        <xdr:spPr>
          <a:xfrm>
            <a:off x="9067789" y="321640187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5" name="Straight Connector 4454">
            <a:extLst>
              <a:ext uri="{FF2B5EF4-FFF2-40B4-BE49-F238E27FC236}">
                <a16:creationId xmlns:a16="http://schemas.microsoft.com/office/drawing/2014/main" id="{263DA8B3-AE5F-E565-BDE3-9B07BDA8E150}"/>
              </a:ext>
            </a:extLst>
          </xdr:cNvPr>
          <xdr:cNvCxnSpPr/>
        </xdr:nvCxnSpPr>
        <xdr:spPr>
          <a:xfrm>
            <a:off x="8101020" y="321640188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56" name="Arc 4455">
            <a:extLst>
              <a:ext uri="{FF2B5EF4-FFF2-40B4-BE49-F238E27FC236}">
                <a16:creationId xmlns:a16="http://schemas.microsoft.com/office/drawing/2014/main" id="{8FCBDB7C-8938-D2D6-1B75-91FB8A2DFFC7}"/>
              </a:ext>
            </a:extLst>
          </xdr:cNvPr>
          <xdr:cNvSpPr/>
        </xdr:nvSpPr>
        <xdr:spPr>
          <a:xfrm rot="5400000">
            <a:off x="8324849" y="321430638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57" name="Arc 4456">
            <a:extLst>
              <a:ext uri="{FF2B5EF4-FFF2-40B4-BE49-F238E27FC236}">
                <a16:creationId xmlns:a16="http://schemas.microsoft.com/office/drawing/2014/main" id="{2E9CED48-215B-6183-9028-84F39270BF14}"/>
              </a:ext>
            </a:extLst>
          </xdr:cNvPr>
          <xdr:cNvSpPr/>
        </xdr:nvSpPr>
        <xdr:spPr>
          <a:xfrm rot="10800000">
            <a:off x="8629651" y="321430637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458" name="Straight Connector 4457">
            <a:extLst>
              <a:ext uri="{FF2B5EF4-FFF2-40B4-BE49-F238E27FC236}">
                <a16:creationId xmlns:a16="http://schemas.microsoft.com/office/drawing/2014/main" id="{A3F9C672-EB6F-50D2-AD8E-4FA56DD3C304}"/>
              </a:ext>
            </a:extLst>
          </xdr:cNvPr>
          <xdr:cNvCxnSpPr/>
        </xdr:nvCxnSpPr>
        <xdr:spPr>
          <a:xfrm>
            <a:off x="8472488" y="32121157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9" name="Straight Connector 4458">
            <a:extLst>
              <a:ext uri="{FF2B5EF4-FFF2-40B4-BE49-F238E27FC236}">
                <a16:creationId xmlns:a16="http://schemas.microsoft.com/office/drawing/2014/main" id="{9FC5B7E8-3431-123B-89DC-E4FFB4B8EC38}"/>
              </a:ext>
            </a:extLst>
          </xdr:cNvPr>
          <xdr:cNvCxnSpPr/>
        </xdr:nvCxnSpPr>
        <xdr:spPr>
          <a:xfrm flipH="1">
            <a:off x="8496302" y="3211782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0" name="Straight Connector 4459">
            <a:extLst>
              <a:ext uri="{FF2B5EF4-FFF2-40B4-BE49-F238E27FC236}">
                <a16:creationId xmlns:a16="http://schemas.microsoft.com/office/drawing/2014/main" id="{7E69B9DA-B576-E388-4FD0-689B5B59F7D5}"/>
              </a:ext>
            </a:extLst>
          </xdr:cNvPr>
          <xdr:cNvCxnSpPr/>
        </xdr:nvCxnSpPr>
        <xdr:spPr>
          <a:xfrm flipH="1">
            <a:off x="8591548" y="32117823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1" name="Straight Connector 4460">
            <a:extLst>
              <a:ext uri="{FF2B5EF4-FFF2-40B4-BE49-F238E27FC236}">
                <a16:creationId xmlns:a16="http://schemas.microsoft.com/office/drawing/2014/main" id="{35CEC5BA-0E22-B62E-24E5-E4DEA31BC8DE}"/>
              </a:ext>
            </a:extLst>
          </xdr:cNvPr>
          <xdr:cNvCxnSpPr/>
        </xdr:nvCxnSpPr>
        <xdr:spPr>
          <a:xfrm>
            <a:off x="8905876" y="321578275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2" name="Straight Connector 4461">
            <a:extLst>
              <a:ext uri="{FF2B5EF4-FFF2-40B4-BE49-F238E27FC236}">
                <a16:creationId xmlns:a16="http://schemas.microsoft.com/office/drawing/2014/main" id="{250B5837-1FBA-6017-F24E-83FAB396B220}"/>
              </a:ext>
            </a:extLst>
          </xdr:cNvPr>
          <xdr:cNvCxnSpPr/>
        </xdr:nvCxnSpPr>
        <xdr:spPr>
          <a:xfrm flipH="1">
            <a:off x="8867776" y="3216068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3" name="Straight Connector 4462">
            <a:extLst>
              <a:ext uri="{FF2B5EF4-FFF2-40B4-BE49-F238E27FC236}">
                <a16:creationId xmlns:a16="http://schemas.microsoft.com/office/drawing/2014/main" id="{8AC7CD26-386B-ED7B-2440-460AF98F14E7}"/>
              </a:ext>
            </a:extLst>
          </xdr:cNvPr>
          <xdr:cNvCxnSpPr/>
        </xdr:nvCxnSpPr>
        <xdr:spPr>
          <a:xfrm flipH="1">
            <a:off x="8867774" y="32174972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4" name="Straight Connector 4463">
            <a:extLst>
              <a:ext uri="{FF2B5EF4-FFF2-40B4-BE49-F238E27FC236}">
                <a16:creationId xmlns:a16="http://schemas.microsoft.com/office/drawing/2014/main" id="{E34E7205-E556-CAC5-D191-8408F74E991B}"/>
              </a:ext>
            </a:extLst>
          </xdr:cNvPr>
          <xdr:cNvCxnSpPr/>
        </xdr:nvCxnSpPr>
        <xdr:spPr>
          <a:xfrm>
            <a:off x="8096255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5" name="Straight Connector 4464">
            <a:extLst>
              <a:ext uri="{FF2B5EF4-FFF2-40B4-BE49-F238E27FC236}">
                <a16:creationId xmlns:a16="http://schemas.microsoft.com/office/drawing/2014/main" id="{A0BAD6F4-3495-2347-8419-D905904E57C6}"/>
              </a:ext>
            </a:extLst>
          </xdr:cNvPr>
          <xdr:cNvCxnSpPr/>
        </xdr:nvCxnSpPr>
        <xdr:spPr>
          <a:xfrm>
            <a:off x="8034343" y="322068819"/>
            <a:ext cx="10953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6" name="Straight Connector 4465">
            <a:extLst>
              <a:ext uri="{FF2B5EF4-FFF2-40B4-BE49-F238E27FC236}">
                <a16:creationId xmlns:a16="http://schemas.microsoft.com/office/drawing/2014/main" id="{861A4BF0-F3BF-E196-E3B8-C0CCCB571DE2}"/>
              </a:ext>
            </a:extLst>
          </xdr:cNvPr>
          <xdr:cNvCxnSpPr/>
        </xdr:nvCxnSpPr>
        <xdr:spPr>
          <a:xfrm flipH="1">
            <a:off x="8058154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7" name="Straight Connector 4466">
            <a:extLst>
              <a:ext uri="{FF2B5EF4-FFF2-40B4-BE49-F238E27FC236}">
                <a16:creationId xmlns:a16="http://schemas.microsoft.com/office/drawing/2014/main" id="{88EF87F8-6C65-1541-BFB4-050A40163771}"/>
              </a:ext>
            </a:extLst>
          </xdr:cNvPr>
          <xdr:cNvCxnSpPr/>
        </xdr:nvCxnSpPr>
        <xdr:spPr>
          <a:xfrm>
            <a:off x="9067798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8" name="Straight Connector 4467">
            <a:extLst>
              <a:ext uri="{FF2B5EF4-FFF2-40B4-BE49-F238E27FC236}">
                <a16:creationId xmlns:a16="http://schemas.microsoft.com/office/drawing/2014/main" id="{5DCA9B54-1F74-891C-96E9-9C21115CCFDD}"/>
              </a:ext>
            </a:extLst>
          </xdr:cNvPr>
          <xdr:cNvCxnSpPr/>
        </xdr:nvCxnSpPr>
        <xdr:spPr>
          <a:xfrm flipH="1">
            <a:off x="9029697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9" name="Straight Connector 4468">
            <a:extLst>
              <a:ext uri="{FF2B5EF4-FFF2-40B4-BE49-F238E27FC236}">
                <a16:creationId xmlns:a16="http://schemas.microsoft.com/office/drawing/2014/main" id="{CB7A42FB-82A5-FAAE-D738-B40047FCCF41}"/>
              </a:ext>
            </a:extLst>
          </xdr:cNvPr>
          <xdr:cNvCxnSpPr/>
        </xdr:nvCxnSpPr>
        <xdr:spPr>
          <a:xfrm>
            <a:off x="7772406" y="320421000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0" name="Straight Connector 4469">
            <a:extLst>
              <a:ext uri="{FF2B5EF4-FFF2-40B4-BE49-F238E27FC236}">
                <a16:creationId xmlns:a16="http://schemas.microsoft.com/office/drawing/2014/main" id="{CE22F838-2DFE-422F-1C33-1748F66FAB45}"/>
              </a:ext>
            </a:extLst>
          </xdr:cNvPr>
          <xdr:cNvCxnSpPr/>
        </xdr:nvCxnSpPr>
        <xdr:spPr>
          <a:xfrm flipH="1">
            <a:off x="7734310" y="3204638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1" name="Straight Connector 4470">
            <a:extLst>
              <a:ext uri="{FF2B5EF4-FFF2-40B4-BE49-F238E27FC236}">
                <a16:creationId xmlns:a16="http://schemas.microsoft.com/office/drawing/2014/main" id="{8A5B4A9F-5524-526E-9A30-77A2ECB541AF}"/>
              </a:ext>
            </a:extLst>
          </xdr:cNvPr>
          <xdr:cNvCxnSpPr/>
        </xdr:nvCxnSpPr>
        <xdr:spPr>
          <a:xfrm flipH="1">
            <a:off x="7734301" y="32174973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2" name="Straight Connector 4471">
            <a:extLst>
              <a:ext uri="{FF2B5EF4-FFF2-40B4-BE49-F238E27FC236}">
                <a16:creationId xmlns:a16="http://schemas.microsoft.com/office/drawing/2014/main" id="{8A19D898-9729-B1BA-F53F-DCD263A8BFEF}"/>
              </a:ext>
            </a:extLst>
          </xdr:cNvPr>
          <xdr:cNvCxnSpPr/>
        </xdr:nvCxnSpPr>
        <xdr:spPr>
          <a:xfrm flipH="1">
            <a:off x="7705730" y="321783074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3" name="Straight Connector 4472">
            <a:extLst>
              <a:ext uri="{FF2B5EF4-FFF2-40B4-BE49-F238E27FC236}">
                <a16:creationId xmlns:a16="http://schemas.microsoft.com/office/drawing/2014/main" id="{3E8C8787-C4B5-164B-2FB7-C8ADEF4762EC}"/>
              </a:ext>
            </a:extLst>
          </xdr:cNvPr>
          <xdr:cNvCxnSpPr/>
        </xdr:nvCxnSpPr>
        <xdr:spPr>
          <a:xfrm flipH="1">
            <a:off x="7705730" y="320497202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55</xdr:col>
      <xdr:colOff>95255</xdr:colOff>
      <xdr:row>2605</xdr:row>
      <xdr:rowOff>66675</xdr:rowOff>
    </xdr:from>
    <xdr:to>
      <xdr:col>64</xdr:col>
      <xdr:colOff>61913</xdr:colOff>
      <xdr:row>2617</xdr:row>
      <xdr:rowOff>76194</xdr:rowOff>
    </xdr:to>
    <xdr:grpSp>
      <xdr:nvGrpSpPr>
        <xdr:cNvPr id="4474" name="Group 4473">
          <a:extLst>
            <a:ext uri="{FF2B5EF4-FFF2-40B4-BE49-F238E27FC236}">
              <a16:creationId xmlns:a16="http://schemas.microsoft.com/office/drawing/2014/main" id="{81A7070B-D28F-4DD3-9A65-27765FBC1173}"/>
            </a:ext>
          </a:extLst>
        </xdr:cNvPr>
        <xdr:cNvGrpSpPr/>
      </xdr:nvGrpSpPr>
      <xdr:grpSpPr>
        <a:xfrm>
          <a:off x="9001130" y="391001250"/>
          <a:ext cx="1423983" cy="1724019"/>
          <a:chOff x="7705730" y="320421000"/>
          <a:chExt cx="1423983" cy="1724019"/>
        </a:xfrm>
      </xdr:grpSpPr>
      <xdr:cxnSp macro="">
        <xdr:nvCxnSpPr>
          <xdr:cNvPr id="4475" name="Straight Connector 4474">
            <a:extLst>
              <a:ext uri="{FF2B5EF4-FFF2-40B4-BE49-F238E27FC236}">
                <a16:creationId xmlns:a16="http://schemas.microsoft.com/office/drawing/2014/main" id="{B4E9DD76-3B86-9556-4FC8-23570127E607}"/>
              </a:ext>
            </a:extLst>
          </xdr:cNvPr>
          <xdr:cNvCxnSpPr/>
        </xdr:nvCxnSpPr>
        <xdr:spPr>
          <a:xfrm>
            <a:off x="8096250" y="320497202"/>
            <a:ext cx="9667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6" name="Straight Connector 4475">
            <a:extLst>
              <a:ext uri="{FF2B5EF4-FFF2-40B4-BE49-F238E27FC236}">
                <a16:creationId xmlns:a16="http://schemas.microsoft.com/office/drawing/2014/main" id="{094EB389-3C58-5FFB-BCD1-93DBCB71EC6D}"/>
              </a:ext>
            </a:extLst>
          </xdr:cNvPr>
          <xdr:cNvCxnSpPr/>
        </xdr:nvCxnSpPr>
        <xdr:spPr>
          <a:xfrm>
            <a:off x="8096250" y="320640077"/>
            <a:ext cx="3571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7" name="Straight Connector 4476">
            <a:extLst>
              <a:ext uri="{FF2B5EF4-FFF2-40B4-BE49-F238E27FC236}">
                <a16:creationId xmlns:a16="http://schemas.microsoft.com/office/drawing/2014/main" id="{44FAEE6E-2A92-6ECB-644B-18962520B189}"/>
              </a:ext>
            </a:extLst>
          </xdr:cNvPr>
          <xdr:cNvCxnSpPr/>
        </xdr:nvCxnSpPr>
        <xdr:spPr>
          <a:xfrm>
            <a:off x="8534400" y="320735326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78" name="Arc 4477">
            <a:extLst>
              <a:ext uri="{FF2B5EF4-FFF2-40B4-BE49-F238E27FC236}">
                <a16:creationId xmlns:a16="http://schemas.microsoft.com/office/drawing/2014/main" id="{BB1666E6-537E-24C8-E508-93D9977DB5B6}"/>
              </a:ext>
            </a:extLst>
          </xdr:cNvPr>
          <xdr:cNvSpPr/>
        </xdr:nvSpPr>
        <xdr:spPr>
          <a:xfrm>
            <a:off x="8324851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479" name="Straight Connector 4478">
            <a:extLst>
              <a:ext uri="{FF2B5EF4-FFF2-40B4-BE49-F238E27FC236}">
                <a16:creationId xmlns:a16="http://schemas.microsoft.com/office/drawing/2014/main" id="{B504E8C8-CDF5-C8E5-699F-DC3F516F71AA}"/>
              </a:ext>
            </a:extLst>
          </xdr:cNvPr>
          <xdr:cNvCxnSpPr/>
        </xdr:nvCxnSpPr>
        <xdr:spPr>
          <a:xfrm>
            <a:off x="8629650" y="320730563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0" name="Straight Connector 4479">
            <a:extLst>
              <a:ext uri="{FF2B5EF4-FFF2-40B4-BE49-F238E27FC236}">
                <a16:creationId xmlns:a16="http://schemas.microsoft.com/office/drawing/2014/main" id="{45D009FF-4C39-8727-5317-251DD9F97013}"/>
              </a:ext>
            </a:extLst>
          </xdr:cNvPr>
          <xdr:cNvCxnSpPr/>
        </xdr:nvCxnSpPr>
        <xdr:spPr>
          <a:xfrm>
            <a:off x="8734425" y="320640077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1" name="Straight Connector 4480">
            <a:extLst>
              <a:ext uri="{FF2B5EF4-FFF2-40B4-BE49-F238E27FC236}">
                <a16:creationId xmlns:a16="http://schemas.microsoft.com/office/drawing/2014/main" id="{9F8B2681-99AC-8D7F-6D44-387B57C8132B}"/>
              </a:ext>
            </a:extLst>
          </xdr:cNvPr>
          <xdr:cNvCxnSpPr/>
        </xdr:nvCxnSpPr>
        <xdr:spPr>
          <a:xfrm>
            <a:off x="9063027" y="320497201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2" name="Straight Connector 4481">
            <a:extLst>
              <a:ext uri="{FF2B5EF4-FFF2-40B4-BE49-F238E27FC236}">
                <a16:creationId xmlns:a16="http://schemas.microsoft.com/office/drawing/2014/main" id="{4C22860F-BC6C-2F7F-5335-B4A569E8D878}"/>
              </a:ext>
            </a:extLst>
          </xdr:cNvPr>
          <xdr:cNvCxnSpPr/>
        </xdr:nvCxnSpPr>
        <xdr:spPr>
          <a:xfrm>
            <a:off x="8096258" y="320497202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83" name="Arc 4482">
            <a:extLst>
              <a:ext uri="{FF2B5EF4-FFF2-40B4-BE49-F238E27FC236}">
                <a16:creationId xmlns:a16="http://schemas.microsoft.com/office/drawing/2014/main" id="{C886F855-10E5-846E-00D7-EFDFE8972AF0}"/>
              </a:ext>
            </a:extLst>
          </xdr:cNvPr>
          <xdr:cNvSpPr/>
        </xdr:nvSpPr>
        <xdr:spPr>
          <a:xfrm rot="16200000">
            <a:off x="8629650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484" name="Straight Connector 4483">
            <a:extLst>
              <a:ext uri="{FF2B5EF4-FFF2-40B4-BE49-F238E27FC236}">
                <a16:creationId xmlns:a16="http://schemas.microsoft.com/office/drawing/2014/main" id="{6C464FD7-CE05-B733-3540-21E44EB5181D}"/>
              </a:ext>
            </a:extLst>
          </xdr:cNvPr>
          <xdr:cNvCxnSpPr/>
        </xdr:nvCxnSpPr>
        <xdr:spPr>
          <a:xfrm>
            <a:off x="8096250" y="321783070"/>
            <a:ext cx="971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5" name="Straight Connector 4484">
            <a:extLst>
              <a:ext uri="{FF2B5EF4-FFF2-40B4-BE49-F238E27FC236}">
                <a16:creationId xmlns:a16="http://schemas.microsoft.com/office/drawing/2014/main" id="{78DCA2F1-F8D0-312C-EB63-526D4A976BE5}"/>
              </a:ext>
            </a:extLst>
          </xdr:cNvPr>
          <xdr:cNvCxnSpPr/>
        </xdr:nvCxnSpPr>
        <xdr:spPr>
          <a:xfrm>
            <a:off x="8101013" y="321640188"/>
            <a:ext cx="3571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6" name="Straight Connector 4485">
            <a:extLst>
              <a:ext uri="{FF2B5EF4-FFF2-40B4-BE49-F238E27FC236}">
                <a16:creationId xmlns:a16="http://schemas.microsoft.com/office/drawing/2014/main" id="{28B21CFB-D435-FE81-5FB2-71B425D3AEC9}"/>
              </a:ext>
            </a:extLst>
          </xdr:cNvPr>
          <xdr:cNvCxnSpPr/>
        </xdr:nvCxnSpPr>
        <xdr:spPr>
          <a:xfrm>
            <a:off x="8739187" y="321640188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7" name="Straight Connector 4486">
            <a:extLst>
              <a:ext uri="{FF2B5EF4-FFF2-40B4-BE49-F238E27FC236}">
                <a16:creationId xmlns:a16="http://schemas.microsoft.com/office/drawing/2014/main" id="{2A7DBA0A-2325-E0FD-94F3-7652555F4769}"/>
              </a:ext>
            </a:extLst>
          </xdr:cNvPr>
          <xdr:cNvCxnSpPr/>
        </xdr:nvCxnSpPr>
        <xdr:spPr>
          <a:xfrm>
            <a:off x="9067789" y="321640187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8" name="Straight Connector 4487">
            <a:extLst>
              <a:ext uri="{FF2B5EF4-FFF2-40B4-BE49-F238E27FC236}">
                <a16:creationId xmlns:a16="http://schemas.microsoft.com/office/drawing/2014/main" id="{138CB4E5-22D3-35D3-6B21-CB2A5588D097}"/>
              </a:ext>
            </a:extLst>
          </xdr:cNvPr>
          <xdr:cNvCxnSpPr/>
        </xdr:nvCxnSpPr>
        <xdr:spPr>
          <a:xfrm>
            <a:off x="8101020" y="321640188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89" name="Arc 4488">
            <a:extLst>
              <a:ext uri="{FF2B5EF4-FFF2-40B4-BE49-F238E27FC236}">
                <a16:creationId xmlns:a16="http://schemas.microsoft.com/office/drawing/2014/main" id="{FA056D62-CF14-1AAD-D474-A9CB7D921D20}"/>
              </a:ext>
            </a:extLst>
          </xdr:cNvPr>
          <xdr:cNvSpPr/>
        </xdr:nvSpPr>
        <xdr:spPr>
          <a:xfrm rot="5400000">
            <a:off x="8324849" y="321430638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90" name="Arc 4489">
            <a:extLst>
              <a:ext uri="{FF2B5EF4-FFF2-40B4-BE49-F238E27FC236}">
                <a16:creationId xmlns:a16="http://schemas.microsoft.com/office/drawing/2014/main" id="{B04FCBA7-D414-2229-29DD-FF5F29EF1B99}"/>
              </a:ext>
            </a:extLst>
          </xdr:cNvPr>
          <xdr:cNvSpPr/>
        </xdr:nvSpPr>
        <xdr:spPr>
          <a:xfrm rot="10800000">
            <a:off x="8629651" y="321430637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491" name="Straight Connector 4490">
            <a:extLst>
              <a:ext uri="{FF2B5EF4-FFF2-40B4-BE49-F238E27FC236}">
                <a16:creationId xmlns:a16="http://schemas.microsoft.com/office/drawing/2014/main" id="{244A520A-E6EA-9084-9A98-5D80C16D4023}"/>
              </a:ext>
            </a:extLst>
          </xdr:cNvPr>
          <xdr:cNvCxnSpPr/>
        </xdr:nvCxnSpPr>
        <xdr:spPr>
          <a:xfrm>
            <a:off x="8472488" y="32121157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2" name="Straight Connector 4491">
            <a:extLst>
              <a:ext uri="{FF2B5EF4-FFF2-40B4-BE49-F238E27FC236}">
                <a16:creationId xmlns:a16="http://schemas.microsoft.com/office/drawing/2014/main" id="{E843F7E0-5612-351A-16DF-4F26596C6DFF}"/>
              </a:ext>
            </a:extLst>
          </xdr:cNvPr>
          <xdr:cNvCxnSpPr/>
        </xdr:nvCxnSpPr>
        <xdr:spPr>
          <a:xfrm flipH="1">
            <a:off x="8496302" y="3211782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3" name="Straight Connector 4492">
            <a:extLst>
              <a:ext uri="{FF2B5EF4-FFF2-40B4-BE49-F238E27FC236}">
                <a16:creationId xmlns:a16="http://schemas.microsoft.com/office/drawing/2014/main" id="{DAF9B1B3-290B-832E-02AB-8D96AF4CADE9}"/>
              </a:ext>
            </a:extLst>
          </xdr:cNvPr>
          <xdr:cNvCxnSpPr/>
        </xdr:nvCxnSpPr>
        <xdr:spPr>
          <a:xfrm flipH="1">
            <a:off x="8591548" y="32117823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4" name="Straight Connector 4493">
            <a:extLst>
              <a:ext uri="{FF2B5EF4-FFF2-40B4-BE49-F238E27FC236}">
                <a16:creationId xmlns:a16="http://schemas.microsoft.com/office/drawing/2014/main" id="{4B160756-9CA7-4E9B-3C2C-9F9A6256A123}"/>
              </a:ext>
            </a:extLst>
          </xdr:cNvPr>
          <xdr:cNvCxnSpPr/>
        </xdr:nvCxnSpPr>
        <xdr:spPr>
          <a:xfrm>
            <a:off x="8905876" y="321578275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5" name="Straight Connector 4494">
            <a:extLst>
              <a:ext uri="{FF2B5EF4-FFF2-40B4-BE49-F238E27FC236}">
                <a16:creationId xmlns:a16="http://schemas.microsoft.com/office/drawing/2014/main" id="{7DA1B866-C1CD-C534-6E02-FA4E60483CB2}"/>
              </a:ext>
            </a:extLst>
          </xdr:cNvPr>
          <xdr:cNvCxnSpPr/>
        </xdr:nvCxnSpPr>
        <xdr:spPr>
          <a:xfrm flipH="1">
            <a:off x="8867776" y="3216068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6" name="Straight Connector 4495">
            <a:extLst>
              <a:ext uri="{FF2B5EF4-FFF2-40B4-BE49-F238E27FC236}">
                <a16:creationId xmlns:a16="http://schemas.microsoft.com/office/drawing/2014/main" id="{7827ECDA-FFBE-5764-8CF4-C38A79F2670E}"/>
              </a:ext>
            </a:extLst>
          </xdr:cNvPr>
          <xdr:cNvCxnSpPr/>
        </xdr:nvCxnSpPr>
        <xdr:spPr>
          <a:xfrm flipH="1">
            <a:off x="8867774" y="32174972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7" name="Straight Connector 4496">
            <a:extLst>
              <a:ext uri="{FF2B5EF4-FFF2-40B4-BE49-F238E27FC236}">
                <a16:creationId xmlns:a16="http://schemas.microsoft.com/office/drawing/2014/main" id="{C700915D-C0C0-B7A9-2EF4-C6E71DB299C5}"/>
              </a:ext>
            </a:extLst>
          </xdr:cNvPr>
          <xdr:cNvCxnSpPr/>
        </xdr:nvCxnSpPr>
        <xdr:spPr>
          <a:xfrm>
            <a:off x="8096255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8" name="Straight Connector 4497">
            <a:extLst>
              <a:ext uri="{FF2B5EF4-FFF2-40B4-BE49-F238E27FC236}">
                <a16:creationId xmlns:a16="http://schemas.microsoft.com/office/drawing/2014/main" id="{5CCAF590-174A-8C7F-80F0-2434242EDB90}"/>
              </a:ext>
            </a:extLst>
          </xdr:cNvPr>
          <xdr:cNvCxnSpPr/>
        </xdr:nvCxnSpPr>
        <xdr:spPr>
          <a:xfrm>
            <a:off x="8034343" y="322068819"/>
            <a:ext cx="10953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9" name="Straight Connector 4498">
            <a:extLst>
              <a:ext uri="{FF2B5EF4-FFF2-40B4-BE49-F238E27FC236}">
                <a16:creationId xmlns:a16="http://schemas.microsoft.com/office/drawing/2014/main" id="{1A275F3D-BEB1-AF10-7C54-0CDC86F42A02}"/>
              </a:ext>
            </a:extLst>
          </xdr:cNvPr>
          <xdr:cNvCxnSpPr/>
        </xdr:nvCxnSpPr>
        <xdr:spPr>
          <a:xfrm flipH="1">
            <a:off x="8058154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0" name="Straight Connector 4499">
            <a:extLst>
              <a:ext uri="{FF2B5EF4-FFF2-40B4-BE49-F238E27FC236}">
                <a16:creationId xmlns:a16="http://schemas.microsoft.com/office/drawing/2014/main" id="{DC65951E-559D-CFA3-50E4-D403B249EAF1}"/>
              </a:ext>
            </a:extLst>
          </xdr:cNvPr>
          <xdr:cNvCxnSpPr/>
        </xdr:nvCxnSpPr>
        <xdr:spPr>
          <a:xfrm>
            <a:off x="9067798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1" name="Straight Connector 4500">
            <a:extLst>
              <a:ext uri="{FF2B5EF4-FFF2-40B4-BE49-F238E27FC236}">
                <a16:creationId xmlns:a16="http://schemas.microsoft.com/office/drawing/2014/main" id="{8B7E890A-3BA0-EF7B-D400-56936C1B8084}"/>
              </a:ext>
            </a:extLst>
          </xdr:cNvPr>
          <xdr:cNvCxnSpPr/>
        </xdr:nvCxnSpPr>
        <xdr:spPr>
          <a:xfrm flipH="1">
            <a:off x="9029697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2" name="Straight Connector 4501">
            <a:extLst>
              <a:ext uri="{FF2B5EF4-FFF2-40B4-BE49-F238E27FC236}">
                <a16:creationId xmlns:a16="http://schemas.microsoft.com/office/drawing/2014/main" id="{C8176D3E-ECEC-371E-9D11-BBD7A18DC68C}"/>
              </a:ext>
            </a:extLst>
          </xdr:cNvPr>
          <xdr:cNvCxnSpPr/>
        </xdr:nvCxnSpPr>
        <xdr:spPr>
          <a:xfrm>
            <a:off x="7772406" y="320421000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3" name="Straight Connector 4502">
            <a:extLst>
              <a:ext uri="{FF2B5EF4-FFF2-40B4-BE49-F238E27FC236}">
                <a16:creationId xmlns:a16="http://schemas.microsoft.com/office/drawing/2014/main" id="{3A41626E-660D-03A6-B532-05B56D778DED}"/>
              </a:ext>
            </a:extLst>
          </xdr:cNvPr>
          <xdr:cNvCxnSpPr/>
        </xdr:nvCxnSpPr>
        <xdr:spPr>
          <a:xfrm flipH="1">
            <a:off x="7734310" y="3204638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4" name="Straight Connector 4503">
            <a:extLst>
              <a:ext uri="{FF2B5EF4-FFF2-40B4-BE49-F238E27FC236}">
                <a16:creationId xmlns:a16="http://schemas.microsoft.com/office/drawing/2014/main" id="{232DA64D-9189-6024-BB83-A615A6BB5630}"/>
              </a:ext>
            </a:extLst>
          </xdr:cNvPr>
          <xdr:cNvCxnSpPr/>
        </xdr:nvCxnSpPr>
        <xdr:spPr>
          <a:xfrm flipH="1">
            <a:off x="7734301" y="32174973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5" name="Straight Connector 4504">
            <a:extLst>
              <a:ext uri="{FF2B5EF4-FFF2-40B4-BE49-F238E27FC236}">
                <a16:creationId xmlns:a16="http://schemas.microsoft.com/office/drawing/2014/main" id="{F1A55B4A-8FA8-20EB-35B9-6A057A51A9C1}"/>
              </a:ext>
            </a:extLst>
          </xdr:cNvPr>
          <xdr:cNvCxnSpPr/>
        </xdr:nvCxnSpPr>
        <xdr:spPr>
          <a:xfrm flipH="1">
            <a:off x="7705730" y="321783074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6" name="Straight Connector 4505">
            <a:extLst>
              <a:ext uri="{FF2B5EF4-FFF2-40B4-BE49-F238E27FC236}">
                <a16:creationId xmlns:a16="http://schemas.microsoft.com/office/drawing/2014/main" id="{A94003E4-CF1D-7680-3C43-C2F8EF3D834D}"/>
              </a:ext>
            </a:extLst>
          </xdr:cNvPr>
          <xdr:cNvCxnSpPr/>
        </xdr:nvCxnSpPr>
        <xdr:spPr>
          <a:xfrm flipH="1">
            <a:off x="7705730" y="320497202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0</xdr:colOff>
      <xdr:row>2587</xdr:row>
      <xdr:rowOff>114300</xdr:rowOff>
    </xdr:from>
    <xdr:to>
      <xdr:col>33</xdr:col>
      <xdr:colOff>57150</xdr:colOff>
      <xdr:row>2601</xdr:row>
      <xdr:rowOff>80963</xdr:rowOff>
    </xdr:to>
    <xdr:grpSp>
      <xdr:nvGrpSpPr>
        <xdr:cNvPr id="4512" name="Group 4511">
          <a:extLst>
            <a:ext uri="{FF2B5EF4-FFF2-40B4-BE49-F238E27FC236}">
              <a16:creationId xmlns:a16="http://schemas.microsoft.com/office/drawing/2014/main" id="{BE753E3C-B92B-CBA3-C562-495EB9862112}"/>
            </a:ext>
          </a:extLst>
        </xdr:cNvPr>
        <xdr:cNvGrpSpPr/>
      </xdr:nvGrpSpPr>
      <xdr:grpSpPr>
        <a:xfrm>
          <a:off x="2266950" y="388477125"/>
          <a:ext cx="3133725" cy="1966913"/>
          <a:chOff x="2266950" y="484774875"/>
          <a:chExt cx="3133725" cy="1966913"/>
        </a:xfrm>
      </xdr:grpSpPr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25A566EF-D6D1-4F9D-B0F7-3DA543EDCD6F}"/>
              </a:ext>
            </a:extLst>
          </xdr:cNvPr>
          <xdr:cNvSpPr/>
        </xdr:nvSpPr>
        <xdr:spPr>
          <a:xfrm>
            <a:off x="2266950" y="485022519"/>
            <a:ext cx="152400" cy="8524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73" name="Straight Connector 4072">
            <a:extLst>
              <a:ext uri="{FF2B5EF4-FFF2-40B4-BE49-F238E27FC236}">
                <a16:creationId xmlns:a16="http://schemas.microsoft.com/office/drawing/2014/main" id="{F76F8716-C6BA-4CAE-8526-4242F9D02D30}"/>
              </a:ext>
            </a:extLst>
          </xdr:cNvPr>
          <xdr:cNvCxnSpPr/>
        </xdr:nvCxnSpPr>
        <xdr:spPr>
          <a:xfrm>
            <a:off x="2428874" y="485008232"/>
            <a:ext cx="0" cy="8715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0F8EDCD9-5737-4A17-A0BC-8255427F5A11}"/>
              </a:ext>
            </a:extLst>
          </xdr:cNvPr>
          <xdr:cNvSpPr/>
        </xdr:nvSpPr>
        <xdr:spPr>
          <a:xfrm>
            <a:off x="2424113" y="485341612"/>
            <a:ext cx="2909888" cy="66676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4637013F-6E31-420D-A763-221F6BBF5C48}"/>
              </a:ext>
            </a:extLst>
          </xdr:cNvPr>
          <xdr:cNvSpPr/>
        </xdr:nvSpPr>
        <xdr:spPr>
          <a:xfrm>
            <a:off x="2424114" y="485627364"/>
            <a:ext cx="1619249" cy="8096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85" name="Oval 4084">
            <a:extLst>
              <a:ext uri="{FF2B5EF4-FFF2-40B4-BE49-F238E27FC236}">
                <a16:creationId xmlns:a16="http://schemas.microsoft.com/office/drawing/2014/main" id="{0B6EAA99-F240-8FF9-588B-D2EB2B7BCB00}"/>
              </a:ext>
            </a:extLst>
          </xdr:cNvPr>
          <xdr:cNvSpPr/>
        </xdr:nvSpPr>
        <xdr:spPr>
          <a:xfrm>
            <a:off x="3948113" y="485413050"/>
            <a:ext cx="209552" cy="209552"/>
          </a:xfrm>
          <a:prstGeom prst="ellips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092" name="Straight Arrow Connector 4091">
            <a:extLst>
              <a:ext uri="{FF2B5EF4-FFF2-40B4-BE49-F238E27FC236}">
                <a16:creationId xmlns:a16="http://schemas.microsoft.com/office/drawing/2014/main" id="{2E0D5823-CBA6-41EB-91DC-B151D3FFA909}"/>
              </a:ext>
            </a:extLst>
          </xdr:cNvPr>
          <xdr:cNvCxnSpPr/>
        </xdr:nvCxnSpPr>
        <xdr:spPr>
          <a:xfrm>
            <a:off x="3076577" y="485127307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4" name="Straight Connector 4093">
            <a:extLst>
              <a:ext uri="{FF2B5EF4-FFF2-40B4-BE49-F238E27FC236}">
                <a16:creationId xmlns:a16="http://schemas.microsoft.com/office/drawing/2014/main" id="{E19F9D31-9C40-42C6-BE60-2D20ABD1A810}"/>
              </a:ext>
            </a:extLst>
          </xdr:cNvPr>
          <xdr:cNvCxnSpPr/>
        </xdr:nvCxnSpPr>
        <xdr:spPr>
          <a:xfrm>
            <a:off x="2428870" y="485127309"/>
            <a:ext cx="291465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9" name="Straight Arrow Connector 4098">
            <a:extLst>
              <a:ext uri="{FF2B5EF4-FFF2-40B4-BE49-F238E27FC236}">
                <a16:creationId xmlns:a16="http://schemas.microsoft.com/office/drawing/2014/main" id="{115D18F0-9970-43BF-A1BE-0C2355E434A2}"/>
              </a:ext>
            </a:extLst>
          </xdr:cNvPr>
          <xdr:cNvCxnSpPr/>
        </xdr:nvCxnSpPr>
        <xdr:spPr>
          <a:xfrm>
            <a:off x="3238502" y="485127308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00" name="Straight Arrow Connector 4099">
            <a:extLst>
              <a:ext uri="{FF2B5EF4-FFF2-40B4-BE49-F238E27FC236}">
                <a16:creationId xmlns:a16="http://schemas.microsoft.com/office/drawing/2014/main" id="{42DE4150-51E1-44D5-B8DB-B5C25D0223D5}"/>
              </a:ext>
            </a:extLst>
          </xdr:cNvPr>
          <xdr:cNvCxnSpPr/>
        </xdr:nvCxnSpPr>
        <xdr:spPr>
          <a:xfrm>
            <a:off x="3400427" y="485127307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02" name="Straight Arrow Connector 4101">
            <a:extLst>
              <a:ext uri="{FF2B5EF4-FFF2-40B4-BE49-F238E27FC236}">
                <a16:creationId xmlns:a16="http://schemas.microsoft.com/office/drawing/2014/main" id="{DD51D67B-2ED4-4057-A235-1C3C6B1B0142}"/>
              </a:ext>
            </a:extLst>
          </xdr:cNvPr>
          <xdr:cNvCxnSpPr/>
        </xdr:nvCxnSpPr>
        <xdr:spPr>
          <a:xfrm>
            <a:off x="3562352" y="485127308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09" name="Straight Arrow Connector 4108">
            <a:extLst>
              <a:ext uri="{FF2B5EF4-FFF2-40B4-BE49-F238E27FC236}">
                <a16:creationId xmlns:a16="http://schemas.microsoft.com/office/drawing/2014/main" id="{C074D60C-C083-4FF3-BFDC-5CC838C3569C}"/>
              </a:ext>
            </a:extLst>
          </xdr:cNvPr>
          <xdr:cNvCxnSpPr/>
        </xdr:nvCxnSpPr>
        <xdr:spPr>
          <a:xfrm>
            <a:off x="3724278" y="485127307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10" name="Straight Arrow Connector 4109">
            <a:extLst>
              <a:ext uri="{FF2B5EF4-FFF2-40B4-BE49-F238E27FC236}">
                <a16:creationId xmlns:a16="http://schemas.microsoft.com/office/drawing/2014/main" id="{9A46BDC3-48CF-4F89-9676-7D7CEBC93412}"/>
              </a:ext>
            </a:extLst>
          </xdr:cNvPr>
          <xdr:cNvCxnSpPr/>
        </xdr:nvCxnSpPr>
        <xdr:spPr>
          <a:xfrm>
            <a:off x="3886203" y="485127308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9" name="Straight Arrow Connector 4168">
            <a:extLst>
              <a:ext uri="{FF2B5EF4-FFF2-40B4-BE49-F238E27FC236}">
                <a16:creationId xmlns:a16="http://schemas.microsoft.com/office/drawing/2014/main" id="{79605D33-8E59-4D3F-894F-05C7B4122AD0}"/>
              </a:ext>
            </a:extLst>
          </xdr:cNvPr>
          <xdr:cNvCxnSpPr/>
        </xdr:nvCxnSpPr>
        <xdr:spPr>
          <a:xfrm>
            <a:off x="4210053" y="485127308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2" name="Straight Arrow Connector 4171">
            <a:extLst>
              <a:ext uri="{FF2B5EF4-FFF2-40B4-BE49-F238E27FC236}">
                <a16:creationId xmlns:a16="http://schemas.microsoft.com/office/drawing/2014/main" id="{44DF3E78-1B00-4E2F-9BF8-BF213872B8FB}"/>
              </a:ext>
            </a:extLst>
          </xdr:cNvPr>
          <xdr:cNvCxnSpPr/>
        </xdr:nvCxnSpPr>
        <xdr:spPr>
          <a:xfrm>
            <a:off x="2590804" y="485127308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5" name="Straight Arrow Connector 4174">
            <a:extLst>
              <a:ext uri="{FF2B5EF4-FFF2-40B4-BE49-F238E27FC236}">
                <a16:creationId xmlns:a16="http://schemas.microsoft.com/office/drawing/2014/main" id="{E1A4E83E-6359-4A48-A20F-F81913C31FDD}"/>
              </a:ext>
            </a:extLst>
          </xdr:cNvPr>
          <xdr:cNvCxnSpPr/>
        </xdr:nvCxnSpPr>
        <xdr:spPr>
          <a:xfrm>
            <a:off x="2752729" y="485127307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6" name="Straight Arrow Connector 4175">
            <a:extLst>
              <a:ext uri="{FF2B5EF4-FFF2-40B4-BE49-F238E27FC236}">
                <a16:creationId xmlns:a16="http://schemas.microsoft.com/office/drawing/2014/main" id="{C01BEED7-E959-4345-869D-E159E910AACE}"/>
              </a:ext>
            </a:extLst>
          </xdr:cNvPr>
          <xdr:cNvCxnSpPr/>
        </xdr:nvCxnSpPr>
        <xdr:spPr>
          <a:xfrm>
            <a:off x="2914654" y="485127308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7" name="Straight Arrow Connector 4176">
            <a:extLst>
              <a:ext uri="{FF2B5EF4-FFF2-40B4-BE49-F238E27FC236}">
                <a16:creationId xmlns:a16="http://schemas.microsoft.com/office/drawing/2014/main" id="{18164F82-1C2B-4936-AB7F-F385CD893662}"/>
              </a:ext>
            </a:extLst>
          </xdr:cNvPr>
          <xdr:cNvCxnSpPr/>
        </xdr:nvCxnSpPr>
        <xdr:spPr>
          <a:xfrm>
            <a:off x="5338765" y="484936800"/>
            <a:ext cx="0" cy="404827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9" name="Straight Connector 4178">
            <a:extLst>
              <a:ext uri="{FF2B5EF4-FFF2-40B4-BE49-F238E27FC236}">
                <a16:creationId xmlns:a16="http://schemas.microsoft.com/office/drawing/2014/main" id="{579B2B61-895A-44B3-904A-1752D6B0EEF6}"/>
              </a:ext>
            </a:extLst>
          </xdr:cNvPr>
          <xdr:cNvCxnSpPr/>
        </xdr:nvCxnSpPr>
        <xdr:spPr>
          <a:xfrm flipH="1" flipV="1">
            <a:off x="3295652" y="485051107"/>
            <a:ext cx="109538" cy="17145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0" name="Straight Arrow Connector 4179">
            <a:extLst>
              <a:ext uri="{FF2B5EF4-FFF2-40B4-BE49-F238E27FC236}">
                <a16:creationId xmlns:a16="http://schemas.microsoft.com/office/drawing/2014/main" id="{B2B35833-17F3-48FF-9415-6B8898A91857}"/>
              </a:ext>
            </a:extLst>
          </xdr:cNvPr>
          <xdr:cNvCxnSpPr/>
        </xdr:nvCxnSpPr>
        <xdr:spPr>
          <a:xfrm>
            <a:off x="4533895" y="485122546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2" name="Straight Arrow Connector 4181">
            <a:extLst>
              <a:ext uri="{FF2B5EF4-FFF2-40B4-BE49-F238E27FC236}">
                <a16:creationId xmlns:a16="http://schemas.microsoft.com/office/drawing/2014/main" id="{B7E347E2-300A-434C-8793-253C72D7C38E}"/>
              </a:ext>
            </a:extLst>
          </xdr:cNvPr>
          <xdr:cNvCxnSpPr/>
        </xdr:nvCxnSpPr>
        <xdr:spPr>
          <a:xfrm>
            <a:off x="4857753" y="485122545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3" name="Straight Arrow Connector 4182">
            <a:extLst>
              <a:ext uri="{FF2B5EF4-FFF2-40B4-BE49-F238E27FC236}">
                <a16:creationId xmlns:a16="http://schemas.microsoft.com/office/drawing/2014/main" id="{D2B81927-0CC9-41F4-B20A-74A87915C820}"/>
              </a:ext>
            </a:extLst>
          </xdr:cNvPr>
          <xdr:cNvCxnSpPr/>
        </xdr:nvCxnSpPr>
        <xdr:spPr>
          <a:xfrm>
            <a:off x="5019678" y="485122546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7" name="Straight Arrow Connector 4186">
            <a:extLst>
              <a:ext uri="{FF2B5EF4-FFF2-40B4-BE49-F238E27FC236}">
                <a16:creationId xmlns:a16="http://schemas.microsoft.com/office/drawing/2014/main" id="{1762A15D-AA82-44BD-9E73-27EEFB3FA438}"/>
              </a:ext>
            </a:extLst>
          </xdr:cNvPr>
          <xdr:cNvCxnSpPr/>
        </xdr:nvCxnSpPr>
        <xdr:spPr>
          <a:xfrm>
            <a:off x="5181603" y="485122545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8" name="Straight Arrow Connector 4187">
            <a:extLst>
              <a:ext uri="{FF2B5EF4-FFF2-40B4-BE49-F238E27FC236}">
                <a16:creationId xmlns:a16="http://schemas.microsoft.com/office/drawing/2014/main" id="{2D8875B6-49C2-4F0B-A0AA-FCF82CD4050F}"/>
              </a:ext>
            </a:extLst>
          </xdr:cNvPr>
          <xdr:cNvCxnSpPr/>
        </xdr:nvCxnSpPr>
        <xdr:spPr>
          <a:xfrm>
            <a:off x="2428878" y="485127309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2" name="Straight Arrow Connector 4191">
            <a:extLst>
              <a:ext uri="{FF2B5EF4-FFF2-40B4-BE49-F238E27FC236}">
                <a16:creationId xmlns:a16="http://schemas.microsoft.com/office/drawing/2014/main" id="{8EC54AE2-DDDC-4509-9FE9-27920DD664BF}"/>
              </a:ext>
            </a:extLst>
          </xdr:cNvPr>
          <xdr:cNvCxnSpPr/>
        </xdr:nvCxnSpPr>
        <xdr:spPr>
          <a:xfrm>
            <a:off x="4371961" y="485127299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6" name="Straight Arrow Connector 4195">
            <a:extLst>
              <a:ext uri="{FF2B5EF4-FFF2-40B4-BE49-F238E27FC236}">
                <a16:creationId xmlns:a16="http://schemas.microsoft.com/office/drawing/2014/main" id="{2485EA6C-9A8D-47FE-9D1C-97D76FE99900}"/>
              </a:ext>
            </a:extLst>
          </xdr:cNvPr>
          <xdr:cNvCxnSpPr/>
        </xdr:nvCxnSpPr>
        <xdr:spPr>
          <a:xfrm>
            <a:off x="4695828" y="485127308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0" name="Straight Connector 4199">
            <a:extLst>
              <a:ext uri="{FF2B5EF4-FFF2-40B4-BE49-F238E27FC236}">
                <a16:creationId xmlns:a16="http://schemas.microsoft.com/office/drawing/2014/main" id="{CC82D643-9DE9-517D-C3A8-5DB3F572516F}"/>
              </a:ext>
            </a:extLst>
          </xdr:cNvPr>
          <xdr:cNvCxnSpPr/>
        </xdr:nvCxnSpPr>
        <xdr:spPr>
          <a:xfrm>
            <a:off x="2428875" y="486179819"/>
            <a:ext cx="0" cy="5619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4" name="Straight Connector 4203">
            <a:extLst>
              <a:ext uri="{FF2B5EF4-FFF2-40B4-BE49-F238E27FC236}">
                <a16:creationId xmlns:a16="http://schemas.microsoft.com/office/drawing/2014/main" id="{237E9738-9000-625C-188C-F056D0B030B7}"/>
              </a:ext>
            </a:extLst>
          </xdr:cNvPr>
          <xdr:cNvCxnSpPr/>
        </xdr:nvCxnSpPr>
        <xdr:spPr>
          <a:xfrm>
            <a:off x="2357438" y="486375082"/>
            <a:ext cx="3043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4" name="Straight Connector 4213">
            <a:extLst>
              <a:ext uri="{FF2B5EF4-FFF2-40B4-BE49-F238E27FC236}">
                <a16:creationId xmlns:a16="http://schemas.microsoft.com/office/drawing/2014/main" id="{F019521A-6D52-D767-FDCC-827982A0BEE8}"/>
              </a:ext>
            </a:extLst>
          </xdr:cNvPr>
          <xdr:cNvCxnSpPr/>
        </xdr:nvCxnSpPr>
        <xdr:spPr>
          <a:xfrm flipH="1">
            <a:off x="2390775" y="486341739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0" name="Straight Connector 4219">
            <a:extLst>
              <a:ext uri="{FF2B5EF4-FFF2-40B4-BE49-F238E27FC236}">
                <a16:creationId xmlns:a16="http://schemas.microsoft.com/office/drawing/2014/main" id="{C371A8C2-F08C-4774-9D5F-3946199D0020}"/>
              </a:ext>
            </a:extLst>
          </xdr:cNvPr>
          <xdr:cNvCxnSpPr/>
        </xdr:nvCxnSpPr>
        <xdr:spPr>
          <a:xfrm>
            <a:off x="4048125" y="485822625"/>
            <a:ext cx="0" cy="633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2" name="Straight Connector 4221">
            <a:extLst>
              <a:ext uri="{FF2B5EF4-FFF2-40B4-BE49-F238E27FC236}">
                <a16:creationId xmlns:a16="http://schemas.microsoft.com/office/drawing/2014/main" id="{F6D634D8-1924-46D5-8D8B-7234794DCBA5}"/>
              </a:ext>
            </a:extLst>
          </xdr:cNvPr>
          <xdr:cNvCxnSpPr/>
        </xdr:nvCxnSpPr>
        <xdr:spPr>
          <a:xfrm flipH="1">
            <a:off x="4010025" y="486341739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4" name="Straight Connector 4223">
            <a:extLst>
              <a:ext uri="{FF2B5EF4-FFF2-40B4-BE49-F238E27FC236}">
                <a16:creationId xmlns:a16="http://schemas.microsoft.com/office/drawing/2014/main" id="{4E5311E1-6CD7-4D13-869C-76AF53809381}"/>
              </a:ext>
            </a:extLst>
          </xdr:cNvPr>
          <xdr:cNvCxnSpPr/>
        </xdr:nvCxnSpPr>
        <xdr:spPr>
          <a:xfrm>
            <a:off x="5343525" y="485555925"/>
            <a:ext cx="0" cy="1181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6" name="Straight Connector 4225">
            <a:extLst>
              <a:ext uri="{FF2B5EF4-FFF2-40B4-BE49-F238E27FC236}">
                <a16:creationId xmlns:a16="http://schemas.microsoft.com/office/drawing/2014/main" id="{FFDED0CF-DD56-4E72-8F45-F0F59813AE85}"/>
              </a:ext>
            </a:extLst>
          </xdr:cNvPr>
          <xdr:cNvCxnSpPr/>
        </xdr:nvCxnSpPr>
        <xdr:spPr>
          <a:xfrm flipH="1">
            <a:off x="5305425" y="486341739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0" name="Straight Connector 4239">
            <a:extLst>
              <a:ext uri="{FF2B5EF4-FFF2-40B4-BE49-F238E27FC236}">
                <a16:creationId xmlns:a16="http://schemas.microsoft.com/office/drawing/2014/main" id="{1E987998-1D40-4FDB-A4D3-BC647E8A886F}"/>
              </a:ext>
            </a:extLst>
          </xdr:cNvPr>
          <xdr:cNvCxnSpPr/>
        </xdr:nvCxnSpPr>
        <xdr:spPr>
          <a:xfrm>
            <a:off x="2352675" y="486660830"/>
            <a:ext cx="3043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1" name="Straight Connector 4240">
            <a:extLst>
              <a:ext uri="{FF2B5EF4-FFF2-40B4-BE49-F238E27FC236}">
                <a16:creationId xmlns:a16="http://schemas.microsoft.com/office/drawing/2014/main" id="{D04591BB-B1FC-4922-965B-69ABAADCDFD5}"/>
              </a:ext>
            </a:extLst>
          </xdr:cNvPr>
          <xdr:cNvCxnSpPr/>
        </xdr:nvCxnSpPr>
        <xdr:spPr>
          <a:xfrm flipH="1">
            <a:off x="2386012" y="486627487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3" name="Straight Connector 4242">
            <a:extLst>
              <a:ext uri="{FF2B5EF4-FFF2-40B4-BE49-F238E27FC236}">
                <a16:creationId xmlns:a16="http://schemas.microsoft.com/office/drawing/2014/main" id="{35D6187D-9AE0-41E8-9036-60A42AFF5A5C}"/>
              </a:ext>
            </a:extLst>
          </xdr:cNvPr>
          <xdr:cNvCxnSpPr/>
        </xdr:nvCxnSpPr>
        <xdr:spPr>
          <a:xfrm flipH="1">
            <a:off x="5300662" y="486627487"/>
            <a:ext cx="76199" cy="761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8" name="Straight Arrow Connector 4427">
            <a:extLst>
              <a:ext uri="{FF2B5EF4-FFF2-40B4-BE49-F238E27FC236}">
                <a16:creationId xmlns:a16="http://schemas.microsoft.com/office/drawing/2014/main" id="{EBF50868-D7F4-4687-8531-6AE9DAB76831}"/>
              </a:ext>
            </a:extLst>
          </xdr:cNvPr>
          <xdr:cNvCxnSpPr/>
        </xdr:nvCxnSpPr>
        <xdr:spPr>
          <a:xfrm>
            <a:off x="4048125" y="484932038"/>
            <a:ext cx="0" cy="404827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7" name="Straight Connector 4506">
            <a:extLst>
              <a:ext uri="{FF2B5EF4-FFF2-40B4-BE49-F238E27FC236}">
                <a16:creationId xmlns:a16="http://schemas.microsoft.com/office/drawing/2014/main" id="{B0F701CA-0F38-45D5-AEF0-55600D7DBB73}"/>
              </a:ext>
            </a:extLst>
          </xdr:cNvPr>
          <xdr:cNvCxnSpPr/>
        </xdr:nvCxnSpPr>
        <xdr:spPr>
          <a:xfrm flipH="1" flipV="1">
            <a:off x="2733675" y="484774875"/>
            <a:ext cx="119063" cy="6096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9" name="Straight Connector 4508">
            <a:extLst>
              <a:ext uri="{FF2B5EF4-FFF2-40B4-BE49-F238E27FC236}">
                <a16:creationId xmlns:a16="http://schemas.microsoft.com/office/drawing/2014/main" id="{ABC68C7C-BBC8-4523-9CDE-E8EDDE5AAECC}"/>
              </a:ext>
            </a:extLst>
          </xdr:cNvPr>
          <xdr:cNvCxnSpPr/>
        </xdr:nvCxnSpPr>
        <xdr:spPr>
          <a:xfrm flipV="1">
            <a:off x="3328988" y="485660700"/>
            <a:ext cx="204787" cy="31432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95255</xdr:colOff>
      <xdr:row>2682</xdr:row>
      <xdr:rowOff>66675</xdr:rowOff>
    </xdr:from>
    <xdr:to>
      <xdr:col>55</xdr:col>
      <xdr:colOff>61913</xdr:colOff>
      <xdr:row>2694</xdr:row>
      <xdr:rowOff>76194</xdr:rowOff>
    </xdr:to>
    <xdr:grpSp>
      <xdr:nvGrpSpPr>
        <xdr:cNvPr id="4554" name="Group 4553">
          <a:extLst>
            <a:ext uri="{FF2B5EF4-FFF2-40B4-BE49-F238E27FC236}">
              <a16:creationId xmlns:a16="http://schemas.microsoft.com/office/drawing/2014/main" id="{E54490C2-E385-42C0-A410-E8F1BC557809}"/>
            </a:ext>
          </a:extLst>
        </xdr:cNvPr>
        <xdr:cNvGrpSpPr/>
      </xdr:nvGrpSpPr>
      <xdr:grpSpPr>
        <a:xfrm>
          <a:off x="7543805" y="402440775"/>
          <a:ext cx="1423983" cy="1724019"/>
          <a:chOff x="7705730" y="320421000"/>
          <a:chExt cx="1423983" cy="1724019"/>
        </a:xfrm>
      </xdr:grpSpPr>
      <xdr:cxnSp macro="">
        <xdr:nvCxnSpPr>
          <xdr:cNvPr id="4555" name="Straight Connector 4554">
            <a:extLst>
              <a:ext uri="{FF2B5EF4-FFF2-40B4-BE49-F238E27FC236}">
                <a16:creationId xmlns:a16="http://schemas.microsoft.com/office/drawing/2014/main" id="{E0C6A9FF-A696-B11D-3BF6-6A05B87C5F82}"/>
              </a:ext>
            </a:extLst>
          </xdr:cNvPr>
          <xdr:cNvCxnSpPr/>
        </xdr:nvCxnSpPr>
        <xdr:spPr>
          <a:xfrm>
            <a:off x="8096250" y="320497202"/>
            <a:ext cx="9667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6" name="Straight Connector 4555">
            <a:extLst>
              <a:ext uri="{FF2B5EF4-FFF2-40B4-BE49-F238E27FC236}">
                <a16:creationId xmlns:a16="http://schemas.microsoft.com/office/drawing/2014/main" id="{40E5CA9F-77BA-DCF0-B0C7-2CA3D53DB923}"/>
              </a:ext>
            </a:extLst>
          </xdr:cNvPr>
          <xdr:cNvCxnSpPr/>
        </xdr:nvCxnSpPr>
        <xdr:spPr>
          <a:xfrm>
            <a:off x="8096250" y="320640077"/>
            <a:ext cx="3571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7" name="Straight Connector 4556">
            <a:extLst>
              <a:ext uri="{FF2B5EF4-FFF2-40B4-BE49-F238E27FC236}">
                <a16:creationId xmlns:a16="http://schemas.microsoft.com/office/drawing/2014/main" id="{1808C4E8-DFD2-2FE2-D735-90A534C9BF12}"/>
              </a:ext>
            </a:extLst>
          </xdr:cNvPr>
          <xdr:cNvCxnSpPr/>
        </xdr:nvCxnSpPr>
        <xdr:spPr>
          <a:xfrm>
            <a:off x="8534400" y="320735326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58" name="Arc 4557">
            <a:extLst>
              <a:ext uri="{FF2B5EF4-FFF2-40B4-BE49-F238E27FC236}">
                <a16:creationId xmlns:a16="http://schemas.microsoft.com/office/drawing/2014/main" id="{7A0B0EE9-25FC-061E-4122-FD06449ADB21}"/>
              </a:ext>
            </a:extLst>
          </xdr:cNvPr>
          <xdr:cNvSpPr/>
        </xdr:nvSpPr>
        <xdr:spPr>
          <a:xfrm>
            <a:off x="8324851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559" name="Straight Connector 4558">
            <a:extLst>
              <a:ext uri="{FF2B5EF4-FFF2-40B4-BE49-F238E27FC236}">
                <a16:creationId xmlns:a16="http://schemas.microsoft.com/office/drawing/2014/main" id="{17633A7C-5D5C-4A99-B56A-C483A6079EDE}"/>
              </a:ext>
            </a:extLst>
          </xdr:cNvPr>
          <xdr:cNvCxnSpPr/>
        </xdr:nvCxnSpPr>
        <xdr:spPr>
          <a:xfrm>
            <a:off x="8629650" y="320730563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0" name="Straight Connector 4559">
            <a:extLst>
              <a:ext uri="{FF2B5EF4-FFF2-40B4-BE49-F238E27FC236}">
                <a16:creationId xmlns:a16="http://schemas.microsoft.com/office/drawing/2014/main" id="{E1A29510-232A-3F30-8BA0-4CD04C5326CA}"/>
              </a:ext>
            </a:extLst>
          </xdr:cNvPr>
          <xdr:cNvCxnSpPr/>
        </xdr:nvCxnSpPr>
        <xdr:spPr>
          <a:xfrm>
            <a:off x="8734425" y="320640077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1" name="Straight Connector 4560">
            <a:extLst>
              <a:ext uri="{FF2B5EF4-FFF2-40B4-BE49-F238E27FC236}">
                <a16:creationId xmlns:a16="http://schemas.microsoft.com/office/drawing/2014/main" id="{C2CEDBA1-B0CE-F49A-2CE6-0CAA37F5AF5C}"/>
              </a:ext>
            </a:extLst>
          </xdr:cNvPr>
          <xdr:cNvCxnSpPr/>
        </xdr:nvCxnSpPr>
        <xdr:spPr>
          <a:xfrm>
            <a:off x="9063027" y="320497201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2" name="Straight Connector 4561">
            <a:extLst>
              <a:ext uri="{FF2B5EF4-FFF2-40B4-BE49-F238E27FC236}">
                <a16:creationId xmlns:a16="http://schemas.microsoft.com/office/drawing/2014/main" id="{59DD9BC8-7D86-7250-9183-167F3765FE56}"/>
              </a:ext>
            </a:extLst>
          </xdr:cNvPr>
          <xdr:cNvCxnSpPr/>
        </xdr:nvCxnSpPr>
        <xdr:spPr>
          <a:xfrm>
            <a:off x="8096258" y="320497202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63" name="Arc 4562">
            <a:extLst>
              <a:ext uri="{FF2B5EF4-FFF2-40B4-BE49-F238E27FC236}">
                <a16:creationId xmlns:a16="http://schemas.microsoft.com/office/drawing/2014/main" id="{830F0ED6-2061-08F9-29C3-1F94587CD354}"/>
              </a:ext>
            </a:extLst>
          </xdr:cNvPr>
          <xdr:cNvSpPr/>
        </xdr:nvSpPr>
        <xdr:spPr>
          <a:xfrm rot="16200000">
            <a:off x="8629650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564" name="Straight Connector 4563">
            <a:extLst>
              <a:ext uri="{FF2B5EF4-FFF2-40B4-BE49-F238E27FC236}">
                <a16:creationId xmlns:a16="http://schemas.microsoft.com/office/drawing/2014/main" id="{F738A9EE-3C22-36DF-1CFD-DB2F5F354CC3}"/>
              </a:ext>
            </a:extLst>
          </xdr:cNvPr>
          <xdr:cNvCxnSpPr/>
        </xdr:nvCxnSpPr>
        <xdr:spPr>
          <a:xfrm>
            <a:off x="8096250" y="321783070"/>
            <a:ext cx="971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5" name="Straight Connector 4564">
            <a:extLst>
              <a:ext uri="{FF2B5EF4-FFF2-40B4-BE49-F238E27FC236}">
                <a16:creationId xmlns:a16="http://schemas.microsoft.com/office/drawing/2014/main" id="{24CA0C22-C113-55E5-3B82-E2018731DA80}"/>
              </a:ext>
            </a:extLst>
          </xdr:cNvPr>
          <xdr:cNvCxnSpPr/>
        </xdr:nvCxnSpPr>
        <xdr:spPr>
          <a:xfrm>
            <a:off x="8101013" y="321640188"/>
            <a:ext cx="3571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6" name="Straight Connector 4565">
            <a:extLst>
              <a:ext uri="{FF2B5EF4-FFF2-40B4-BE49-F238E27FC236}">
                <a16:creationId xmlns:a16="http://schemas.microsoft.com/office/drawing/2014/main" id="{842872FA-4A3B-7589-AA76-43A60A04B712}"/>
              </a:ext>
            </a:extLst>
          </xdr:cNvPr>
          <xdr:cNvCxnSpPr/>
        </xdr:nvCxnSpPr>
        <xdr:spPr>
          <a:xfrm>
            <a:off x="8739187" y="321640188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7" name="Straight Connector 4566">
            <a:extLst>
              <a:ext uri="{FF2B5EF4-FFF2-40B4-BE49-F238E27FC236}">
                <a16:creationId xmlns:a16="http://schemas.microsoft.com/office/drawing/2014/main" id="{45296FC0-1197-9D64-2550-0F0C36E00220}"/>
              </a:ext>
            </a:extLst>
          </xdr:cNvPr>
          <xdr:cNvCxnSpPr/>
        </xdr:nvCxnSpPr>
        <xdr:spPr>
          <a:xfrm>
            <a:off x="9067789" y="321640187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8" name="Straight Connector 4567">
            <a:extLst>
              <a:ext uri="{FF2B5EF4-FFF2-40B4-BE49-F238E27FC236}">
                <a16:creationId xmlns:a16="http://schemas.microsoft.com/office/drawing/2014/main" id="{95C83D06-B5E2-A23E-98A8-2A496851A4E1}"/>
              </a:ext>
            </a:extLst>
          </xdr:cNvPr>
          <xdr:cNvCxnSpPr/>
        </xdr:nvCxnSpPr>
        <xdr:spPr>
          <a:xfrm>
            <a:off x="8101020" y="321640188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69" name="Arc 4568">
            <a:extLst>
              <a:ext uri="{FF2B5EF4-FFF2-40B4-BE49-F238E27FC236}">
                <a16:creationId xmlns:a16="http://schemas.microsoft.com/office/drawing/2014/main" id="{591A77B6-3FE9-495B-C76B-88E7899FF55F}"/>
              </a:ext>
            </a:extLst>
          </xdr:cNvPr>
          <xdr:cNvSpPr/>
        </xdr:nvSpPr>
        <xdr:spPr>
          <a:xfrm rot="5400000">
            <a:off x="8324849" y="321430638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70" name="Arc 4569">
            <a:extLst>
              <a:ext uri="{FF2B5EF4-FFF2-40B4-BE49-F238E27FC236}">
                <a16:creationId xmlns:a16="http://schemas.microsoft.com/office/drawing/2014/main" id="{BA8F5764-51BA-3818-9496-B01B8BAA2D34}"/>
              </a:ext>
            </a:extLst>
          </xdr:cNvPr>
          <xdr:cNvSpPr/>
        </xdr:nvSpPr>
        <xdr:spPr>
          <a:xfrm rot="10800000">
            <a:off x="8629651" y="321430637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571" name="Straight Connector 4570">
            <a:extLst>
              <a:ext uri="{FF2B5EF4-FFF2-40B4-BE49-F238E27FC236}">
                <a16:creationId xmlns:a16="http://schemas.microsoft.com/office/drawing/2014/main" id="{5F14019B-7B17-8368-0ADC-27A8EB4BFBAD}"/>
              </a:ext>
            </a:extLst>
          </xdr:cNvPr>
          <xdr:cNvCxnSpPr/>
        </xdr:nvCxnSpPr>
        <xdr:spPr>
          <a:xfrm>
            <a:off x="8472488" y="32121157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2" name="Straight Connector 4571">
            <a:extLst>
              <a:ext uri="{FF2B5EF4-FFF2-40B4-BE49-F238E27FC236}">
                <a16:creationId xmlns:a16="http://schemas.microsoft.com/office/drawing/2014/main" id="{83A05076-9AB7-7072-3741-219AB6958A60}"/>
              </a:ext>
            </a:extLst>
          </xdr:cNvPr>
          <xdr:cNvCxnSpPr/>
        </xdr:nvCxnSpPr>
        <xdr:spPr>
          <a:xfrm flipH="1">
            <a:off x="8496302" y="3211782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3" name="Straight Connector 4572">
            <a:extLst>
              <a:ext uri="{FF2B5EF4-FFF2-40B4-BE49-F238E27FC236}">
                <a16:creationId xmlns:a16="http://schemas.microsoft.com/office/drawing/2014/main" id="{49172F5F-1A58-99EA-6A80-64EB4CFF07B6}"/>
              </a:ext>
            </a:extLst>
          </xdr:cNvPr>
          <xdr:cNvCxnSpPr/>
        </xdr:nvCxnSpPr>
        <xdr:spPr>
          <a:xfrm flipH="1">
            <a:off x="8591548" y="32117823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4" name="Straight Connector 4573">
            <a:extLst>
              <a:ext uri="{FF2B5EF4-FFF2-40B4-BE49-F238E27FC236}">
                <a16:creationId xmlns:a16="http://schemas.microsoft.com/office/drawing/2014/main" id="{AC92D8CB-1A11-7346-B531-4D150C8966CC}"/>
              </a:ext>
            </a:extLst>
          </xdr:cNvPr>
          <xdr:cNvCxnSpPr/>
        </xdr:nvCxnSpPr>
        <xdr:spPr>
          <a:xfrm>
            <a:off x="8905876" y="321578275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5" name="Straight Connector 4574">
            <a:extLst>
              <a:ext uri="{FF2B5EF4-FFF2-40B4-BE49-F238E27FC236}">
                <a16:creationId xmlns:a16="http://schemas.microsoft.com/office/drawing/2014/main" id="{39EF492A-0663-A3E7-EC72-8BF7EC7996DE}"/>
              </a:ext>
            </a:extLst>
          </xdr:cNvPr>
          <xdr:cNvCxnSpPr/>
        </xdr:nvCxnSpPr>
        <xdr:spPr>
          <a:xfrm flipH="1">
            <a:off x="8867776" y="3216068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6" name="Straight Connector 4575">
            <a:extLst>
              <a:ext uri="{FF2B5EF4-FFF2-40B4-BE49-F238E27FC236}">
                <a16:creationId xmlns:a16="http://schemas.microsoft.com/office/drawing/2014/main" id="{3D5B327F-5811-AB7D-77BD-10E0EF8A40A7}"/>
              </a:ext>
            </a:extLst>
          </xdr:cNvPr>
          <xdr:cNvCxnSpPr/>
        </xdr:nvCxnSpPr>
        <xdr:spPr>
          <a:xfrm flipH="1">
            <a:off x="8867774" y="32174972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7" name="Straight Connector 4576">
            <a:extLst>
              <a:ext uri="{FF2B5EF4-FFF2-40B4-BE49-F238E27FC236}">
                <a16:creationId xmlns:a16="http://schemas.microsoft.com/office/drawing/2014/main" id="{7B7F981E-2A2D-B16B-87C1-0E446553B9BD}"/>
              </a:ext>
            </a:extLst>
          </xdr:cNvPr>
          <xdr:cNvCxnSpPr/>
        </xdr:nvCxnSpPr>
        <xdr:spPr>
          <a:xfrm>
            <a:off x="8096255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8" name="Straight Connector 4577">
            <a:extLst>
              <a:ext uri="{FF2B5EF4-FFF2-40B4-BE49-F238E27FC236}">
                <a16:creationId xmlns:a16="http://schemas.microsoft.com/office/drawing/2014/main" id="{53C92C0E-BD83-4C55-5CF0-870294F153EB}"/>
              </a:ext>
            </a:extLst>
          </xdr:cNvPr>
          <xdr:cNvCxnSpPr/>
        </xdr:nvCxnSpPr>
        <xdr:spPr>
          <a:xfrm>
            <a:off x="8034343" y="322068819"/>
            <a:ext cx="10953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9" name="Straight Connector 4578">
            <a:extLst>
              <a:ext uri="{FF2B5EF4-FFF2-40B4-BE49-F238E27FC236}">
                <a16:creationId xmlns:a16="http://schemas.microsoft.com/office/drawing/2014/main" id="{E412CE94-3687-AEAC-4F40-142CB3BB1424}"/>
              </a:ext>
            </a:extLst>
          </xdr:cNvPr>
          <xdr:cNvCxnSpPr/>
        </xdr:nvCxnSpPr>
        <xdr:spPr>
          <a:xfrm flipH="1">
            <a:off x="8058154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0" name="Straight Connector 4579">
            <a:extLst>
              <a:ext uri="{FF2B5EF4-FFF2-40B4-BE49-F238E27FC236}">
                <a16:creationId xmlns:a16="http://schemas.microsoft.com/office/drawing/2014/main" id="{AEE4EF6F-BD4A-6351-B702-A87E94ABFF1A}"/>
              </a:ext>
            </a:extLst>
          </xdr:cNvPr>
          <xdr:cNvCxnSpPr/>
        </xdr:nvCxnSpPr>
        <xdr:spPr>
          <a:xfrm>
            <a:off x="9067798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1" name="Straight Connector 4580">
            <a:extLst>
              <a:ext uri="{FF2B5EF4-FFF2-40B4-BE49-F238E27FC236}">
                <a16:creationId xmlns:a16="http://schemas.microsoft.com/office/drawing/2014/main" id="{BA7AAF8D-9F7E-D51F-7481-E46F0A276CAB}"/>
              </a:ext>
            </a:extLst>
          </xdr:cNvPr>
          <xdr:cNvCxnSpPr/>
        </xdr:nvCxnSpPr>
        <xdr:spPr>
          <a:xfrm flipH="1">
            <a:off x="9029697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2" name="Straight Connector 4581">
            <a:extLst>
              <a:ext uri="{FF2B5EF4-FFF2-40B4-BE49-F238E27FC236}">
                <a16:creationId xmlns:a16="http://schemas.microsoft.com/office/drawing/2014/main" id="{4CD9B512-81BC-CD99-F905-F17FD260919F}"/>
              </a:ext>
            </a:extLst>
          </xdr:cNvPr>
          <xdr:cNvCxnSpPr/>
        </xdr:nvCxnSpPr>
        <xdr:spPr>
          <a:xfrm>
            <a:off x="7772406" y="320421000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3" name="Straight Connector 4582">
            <a:extLst>
              <a:ext uri="{FF2B5EF4-FFF2-40B4-BE49-F238E27FC236}">
                <a16:creationId xmlns:a16="http://schemas.microsoft.com/office/drawing/2014/main" id="{E3070FDC-FB4C-497E-327A-28AF0CAF4DF5}"/>
              </a:ext>
            </a:extLst>
          </xdr:cNvPr>
          <xdr:cNvCxnSpPr/>
        </xdr:nvCxnSpPr>
        <xdr:spPr>
          <a:xfrm flipH="1">
            <a:off x="7734310" y="3204638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4" name="Straight Connector 4583">
            <a:extLst>
              <a:ext uri="{FF2B5EF4-FFF2-40B4-BE49-F238E27FC236}">
                <a16:creationId xmlns:a16="http://schemas.microsoft.com/office/drawing/2014/main" id="{CB6E40C6-C94B-831C-FCAF-2AE22404B921}"/>
              </a:ext>
            </a:extLst>
          </xdr:cNvPr>
          <xdr:cNvCxnSpPr/>
        </xdr:nvCxnSpPr>
        <xdr:spPr>
          <a:xfrm flipH="1">
            <a:off x="7734301" y="32174973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5" name="Straight Connector 4584">
            <a:extLst>
              <a:ext uri="{FF2B5EF4-FFF2-40B4-BE49-F238E27FC236}">
                <a16:creationId xmlns:a16="http://schemas.microsoft.com/office/drawing/2014/main" id="{943CBA6A-A1A6-437F-5EBC-827AF2C13DBB}"/>
              </a:ext>
            </a:extLst>
          </xdr:cNvPr>
          <xdr:cNvCxnSpPr/>
        </xdr:nvCxnSpPr>
        <xdr:spPr>
          <a:xfrm flipH="1">
            <a:off x="7705730" y="321783074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6" name="Straight Connector 4585">
            <a:extLst>
              <a:ext uri="{FF2B5EF4-FFF2-40B4-BE49-F238E27FC236}">
                <a16:creationId xmlns:a16="http://schemas.microsoft.com/office/drawing/2014/main" id="{29E45E9E-E897-2717-58AC-99F058029600}"/>
              </a:ext>
            </a:extLst>
          </xdr:cNvPr>
          <xdr:cNvCxnSpPr/>
        </xdr:nvCxnSpPr>
        <xdr:spPr>
          <a:xfrm flipH="1">
            <a:off x="7705730" y="320497202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95255</xdr:colOff>
      <xdr:row>2682</xdr:row>
      <xdr:rowOff>66675</xdr:rowOff>
    </xdr:from>
    <xdr:to>
      <xdr:col>68</xdr:col>
      <xdr:colOff>61913</xdr:colOff>
      <xdr:row>2694</xdr:row>
      <xdr:rowOff>76194</xdr:rowOff>
    </xdr:to>
    <xdr:grpSp>
      <xdr:nvGrpSpPr>
        <xdr:cNvPr id="4587" name="Group 4586">
          <a:extLst>
            <a:ext uri="{FF2B5EF4-FFF2-40B4-BE49-F238E27FC236}">
              <a16:creationId xmlns:a16="http://schemas.microsoft.com/office/drawing/2014/main" id="{B72EC5F5-7601-4876-A700-F0BA0CE59B2C}"/>
            </a:ext>
          </a:extLst>
        </xdr:cNvPr>
        <xdr:cNvGrpSpPr/>
      </xdr:nvGrpSpPr>
      <xdr:grpSpPr>
        <a:xfrm>
          <a:off x="9648830" y="402440775"/>
          <a:ext cx="1423983" cy="1724019"/>
          <a:chOff x="7705730" y="320421000"/>
          <a:chExt cx="1423983" cy="1724019"/>
        </a:xfrm>
      </xdr:grpSpPr>
      <xdr:cxnSp macro="">
        <xdr:nvCxnSpPr>
          <xdr:cNvPr id="4588" name="Straight Connector 4587">
            <a:extLst>
              <a:ext uri="{FF2B5EF4-FFF2-40B4-BE49-F238E27FC236}">
                <a16:creationId xmlns:a16="http://schemas.microsoft.com/office/drawing/2014/main" id="{1EA4D900-0181-3438-1168-FA21CD525272}"/>
              </a:ext>
            </a:extLst>
          </xdr:cNvPr>
          <xdr:cNvCxnSpPr/>
        </xdr:nvCxnSpPr>
        <xdr:spPr>
          <a:xfrm>
            <a:off x="8096250" y="320497202"/>
            <a:ext cx="9667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9" name="Straight Connector 4588">
            <a:extLst>
              <a:ext uri="{FF2B5EF4-FFF2-40B4-BE49-F238E27FC236}">
                <a16:creationId xmlns:a16="http://schemas.microsoft.com/office/drawing/2014/main" id="{CE958A74-DDC8-F679-FDDE-6E976C2CE3C4}"/>
              </a:ext>
            </a:extLst>
          </xdr:cNvPr>
          <xdr:cNvCxnSpPr/>
        </xdr:nvCxnSpPr>
        <xdr:spPr>
          <a:xfrm>
            <a:off x="8096250" y="320640077"/>
            <a:ext cx="3571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0" name="Straight Connector 4589">
            <a:extLst>
              <a:ext uri="{FF2B5EF4-FFF2-40B4-BE49-F238E27FC236}">
                <a16:creationId xmlns:a16="http://schemas.microsoft.com/office/drawing/2014/main" id="{E1ECBF7B-2D17-2514-679E-06803710593C}"/>
              </a:ext>
            </a:extLst>
          </xdr:cNvPr>
          <xdr:cNvCxnSpPr/>
        </xdr:nvCxnSpPr>
        <xdr:spPr>
          <a:xfrm>
            <a:off x="8534400" y="320735326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91" name="Arc 4590">
            <a:extLst>
              <a:ext uri="{FF2B5EF4-FFF2-40B4-BE49-F238E27FC236}">
                <a16:creationId xmlns:a16="http://schemas.microsoft.com/office/drawing/2014/main" id="{8DF28F14-0299-04CC-96BA-95BE410C8E8E}"/>
              </a:ext>
            </a:extLst>
          </xdr:cNvPr>
          <xdr:cNvSpPr/>
        </xdr:nvSpPr>
        <xdr:spPr>
          <a:xfrm>
            <a:off x="8324851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592" name="Straight Connector 4591">
            <a:extLst>
              <a:ext uri="{FF2B5EF4-FFF2-40B4-BE49-F238E27FC236}">
                <a16:creationId xmlns:a16="http://schemas.microsoft.com/office/drawing/2014/main" id="{CE2D49B4-C77B-4FDF-10F7-3A7020290805}"/>
              </a:ext>
            </a:extLst>
          </xdr:cNvPr>
          <xdr:cNvCxnSpPr/>
        </xdr:nvCxnSpPr>
        <xdr:spPr>
          <a:xfrm>
            <a:off x="8629650" y="320730563"/>
            <a:ext cx="0" cy="82391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3" name="Straight Connector 4592">
            <a:extLst>
              <a:ext uri="{FF2B5EF4-FFF2-40B4-BE49-F238E27FC236}">
                <a16:creationId xmlns:a16="http://schemas.microsoft.com/office/drawing/2014/main" id="{54BC2F35-6578-C0EB-2F3C-A5A7E2111ACD}"/>
              </a:ext>
            </a:extLst>
          </xdr:cNvPr>
          <xdr:cNvCxnSpPr/>
        </xdr:nvCxnSpPr>
        <xdr:spPr>
          <a:xfrm>
            <a:off x="8734425" y="320640077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4" name="Straight Connector 4593">
            <a:extLst>
              <a:ext uri="{FF2B5EF4-FFF2-40B4-BE49-F238E27FC236}">
                <a16:creationId xmlns:a16="http://schemas.microsoft.com/office/drawing/2014/main" id="{964C1819-E1C9-4DD7-892F-3FC1A71F5D4B}"/>
              </a:ext>
            </a:extLst>
          </xdr:cNvPr>
          <xdr:cNvCxnSpPr/>
        </xdr:nvCxnSpPr>
        <xdr:spPr>
          <a:xfrm>
            <a:off x="9063027" y="320497201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5" name="Straight Connector 4594">
            <a:extLst>
              <a:ext uri="{FF2B5EF4-FFF2-40B4-BE49-F238E27FC236}">
                <a16:creationId xmlns:a16="http://schemas.microsoft.com/office/drawing/2014/main" id="{F8A91E93-C2B0-BE6C-6651-A01DDD72DB9E}"/>
              </a:ext>
            </a:extLst>
          </xdr:cNvPr>
          <xdr:cNvCxnSpPr/>
        </xdr:nvCxnSpPr>
        <xdr:spPr>
          <a:xfrm>
            <a:off x="8096258" y="320497202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96" name="Arc 4595">
            <a:extLst>
              <a:ext uri="{FF2B5EF4-FFF2-40B4-BE49-F238E27FC236}">
                <a16:creationId xmlns:a16="http://schemas.microsoft.com/office/drawing/2014/main" id="{4B20B9F6-74D3-F86F-25BD-863757D12D8F}"/>
              </a:ext>
            </a:extLst>
          </xdr:cNvPr>
          <xdr:cNvSpPr/>
        </xdr:nvSpPr>
        <xdr:spPr>
          <a:xfrm rot="16200000">
            <a:off x="8629650" y="320640076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597" name="Straight Connector 4596">
            <a:extLst>
              <a:ext uri="{FF2B5EF4-FFF2-40B4-BE49-F238E27FC236}">
                <a16:creationId xmlns:a16="http://schemas.microsoft.com/office/drawing/2014/main" id="{28609FAE-8FEB-8D55-C45B-831B08C2549F}"/>
              </a:ext>
            </a:extLst>
          </xdr:cNvPr>
          <xdr:cNvCxnSpPr/>
        </xdr:nvCxnSpPr>
        <xdr:spPr>
          <a:xfrm>
            <a:off x="8096250" y="321783070"/>
            <a:ext cx="971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8" name="Straight Connector 4597">
            <a:extLst>
              <a:ext uri="{FF2B5EF4-FFF2-40B4-BE49-F238E27FC236}">
                <a16:creationId xmlns:a16="http://schemas.microsoft.com/office/drawing/2014/main" id="{00FCAA14-5F42-A02D-037C-1E23CACE0796}"/>
              </a:ext>
            </a:extLst>
          </xdr:cNvPr>
          <xdr:cNvCxnSpPr/>
        </xdr:nvCxnSpPr>
        <xdr:spPr>
          <a:xfrm>
            <a:off x="8101013" y="321640188"/>
            <a:ext cx="3571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9" name="Straight Connector 4598">
            <a:extLst>
              <a:ext uri="{FF2B5EF4-FFF2-40B4-BE49-F238E27FC236}">
                <a16:creationId xmlns:a16="http://schemas.microsoft.com/office/drawing/2014/main" id="{96C9018C-62DE-D16C-77FE-4F4FF0EDF802}"/>
              </a:ext>
            </a:extLst>
          </xdr:cNvPr>
          <xdr:cNvCxnSpPr/>
        </xdr:nvCxnSpPr>
        <xdr:spPr>
          <a:xfrm>
            <a:off x="8739187" y="321640188"/>
            <a:ext cx="3286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0" name="Straight Connector 4599">
            <a:extLst>
              <a:ext uri="{FF2B5EF4-FFF2-40B4-BE49-F238E27FC236}">
                <a16:creationId xmlns:a16="http://schemas.microsoft.com/office/drawing/2014/main" id="{ACCB3F21-19D6-4A8A-58EF-8A752DCFAB58}"/>
              </a:ext>
            </a:extLst>
          </xdr:cNvPr>
          <xdr:cNvCxnSpPr/>
        </xdr:nvCxnSpPr>
        <xdr:spPr>
          <a:xfrm>
            <a:off x="9067789" y="321640187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1" name="Straight Connector 4600">
            <a:extLst>
              <a:ext uri="{FF2B5EF4-FFF2-40B4-BE49-F238E27FC236}">
                <a16:creationId xmlns:a16="http://schemas.microsoft.com/office/drawing/2014/main" id="{DAD22B87-FCA8-7FF0-D295-DE50CB408CC2}"/>
              </a:ext>
            </a:extLst>
          </xdr:cNvPr>
          <xdr:cNvCxnSpPr/>
        </xdr:nvCxnSpPr>
        <xdr:spPr>
          <a:xfrm>
            <a:off x="8101020" y="321640188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02" name="Arc 4601">
            <a:extLst>
              <a:ext uri="{FF2B5EF4-FFF2-40B4-BE49-F238E27FC236}">
                <a16:creationId xmlns:a16="http://schemas.microsoft.com/office/drawing/2014/main" id="{61330CA3-EDE0-363B-F7DD-E046A86BEF42}"/>
              </a:ext>
            </a:extLst>
          </xdr:cNvPr>
          <xdr:cNvSpPr/>
        </xdr:nvSpPr>
        <xdr:spPr>
          <a:xfrm rot="5400000">
            <a:off x="8324849" y="321430638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03" name="Arc 4602">
            <a:extLst>
              <a:ext uri="{FF2B5EF4-FFF2-40B4-BE49-F238E27FC236}">
                <a16:creationId xmlns:a16="http://schemas.microsoft.com/office/drawing/2014/main" id="{4C748900-A9C8-961A-7F47-95395058F7C4}"/>
              </a:ext>
            </a:extLst>
          </xdr:cNvPr>
          <xdr:cNvSpPr/>
        </xdr:nvSpPr>
        <xdr:spPr>
          <a:xfrm rot="10800000">
            <a:off x="8629651" y="321430637"/>
            <a:ext cx="209550" cy="20955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604" name="Straight Connector 4603">
            <a:extLst>
              <a:ext uri="{FF2B5EF4-FFF2-40B4-BE49-F238E27FC236}">
                <a16:creationId xmlns:a16="http://schemas.microsoft.com/office/drawing/2014/main" id="{1C90E77C-6A31-F90D-D5BF-6F6065F0C588}"/>
              </a:ext>
            </a:extLst>
          </xdr:cNvPr>
          <xdr:cNvCxnSpPr/>
        </xdr:nvCxnSpPr>
        <xdr:spPr>
          <a:xfrm>
            <a:off x="8472488" y="321211570"/>
            <a:ext cx="214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5" name="Straight Connector 4604">
            <a:extLst>
              <a:ext uri="{FF2B5EF4-FFF2-40B4-BE49-F238E27FC236}">
                <a16:creationId xmlns:a16="http://schemas.microsoft.com/office/drawing/2014/main" id="{AEE2EBAC-3327-E7F2-B839-6ED351EE53F7}"/>
              </a:ext>
            </a:extLst>
          </xdr:cNvPr>
          <xdr:cNvCxnSpPr/>
        </xdr:nvCxnSpPr>
        <xdr:spPr>
          <a:xfrm flipH="1">
            <a:off x="8496302" y="3211782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6" name="Straight Connector 4605">
            <a:extLst>
              <a:ext uri="{FF2B5EF4-FFF2-40B4-BE49-F238E27FC236}">
                <a16:creationId xmlns:a16="http://schemas.microsoft.com/office/drawing/2014/main" id="{3D932083-988F-B6E7-89AE-C957578DA6EB}"/>
              </a:ext>
            </a:extLst>
          </xdr:cNvPr>
          <xdr:cNvCxnSpPr/>
        </xdr:nvCxnSpPr>
        <xdr:spPr>
          <a:xfrm flipH="1">
            <a:off x="8591548" y="32117823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7" name="Straight Connector 4606">
            <a:extLst>
              <a:ext uri="{FF2B5EF4-FFF2-40B4-BE49-F238E27FC236}">
                <a16:creationId xmlns:a16="http://schemas.microsoft.com/office/drawing/2014/main" id="{240433DF-0837-4618-770A-EFF680CC88E7}"/>
              </a:ext>
            </a:extLst>
          </xdr:cNvPr>
          <xdr:cNvCxnSpPr/>
        </xdr:nvCxnSpPr>
        <xdr:spPr>
          <a:xfrm>
            <a:off x="8905876" y="321578275"/>
            <a:ext cx="0" cy="2666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8" name="Straight Connector 4607">
            <a:extLst>
              <a:ext uri="{FF2B5EF4-FFF2-40B4-BE49-F238E27FC236}">
                <a16:creationId xmlns:a16="http://schemas.microsoft.com/office/drawing/2014/main" id="{22FC3BF3-F51E-E41E-9949-CF1C2E89B0B1}"/>
              </a:ext>
            </a:extLst>
          </xdr:cNvPr>
          <xdr:cNvCxnSpPr/>
        </xdr:nvCxnSpPr>
        <xdr:spPr>
          <a:xfrm flipH="1">
            <a:off x="8867776" y="3216068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9" name="Straight Connector 4608">
            <a:extLst>
              <a:ext uri="{FF2B5EF4-FFF2-40B4-BE49-F238E27FC236}">
                <a16:creationId xmlns:a16="http://schemas.microsoft.com/office/drawing/2014/main" id="{37BAB41F-1852-11C0-6357-469999B2EFC7}"/>
              </a:ext>
            </a:extLst>
          </xdr:cNvPr>
          <xdr:cNvCxnSpPr/>
        </xdr:nvCxnSpPr>
        <xdr:spPr>
          <a:xfrm flipH="1">
            <a:off x="8867774" y="32174972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0" name="Straight Connector 4609">
            <a:extLst>
              <a:ext uri="{FF2B5EF4-FFF2-40B4-BE49-F238E27FC236}">
                <a16:creationId xmlns:a16="http://schemas.microsoft.com/office/drawing/2014/main" id="{1A6E7830-8648-F6F3-4368-824FF964F65F}"/>
              </a:ext>
            </a:extLst>
          </xdr:cNvPr>
          <xdr:cNvCxnSpPr/>
        </xdr:nvCxnSpPr>
        <xdr:spPr>
          <a:xfrm>
            <a:off x="8096255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1" name="Straight Connector 4610">
            <a:extLst>
              <a:ext uri="{FF2B5EF4-FFF2-40B4-BE49-F238E27FC236}">
                <a16:creationId xmlns:a16="http://schemas.microsoft.com/office/drawing/2014/main" id="{ECF6DC8F-C615-6247-E253-B6A0305313A0}"/>
              </a:ext>
            </a:extLst>
          </xdr:cNvPr>
          <xdr:cNvCxnSpPr/>
        </xdr:nvCxnSpPr>
        <xdr:spPr>
          <a:xfrm>
            <a:off x="8034343" y="322068819"/>
            <a:ext cx="10953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2" name="Straight Connector 4611">
            <a:extLst>
              <a:ext uri="{FF2B5EF4-FFF2-40B4-BE49-F238E27FC236}">
                <a16:creationId xmlns:a16="http://schemas.microsoft.com/office/drawing/2014/main" id="{425F720D-688E-4E83-F81E-45922FE9DB5C}"/>
              </a:ext>
            </a:extLst>
          </xdr:cNvPr>
          <xdr:cNvCxnSpPr/>
        </xdr:nvCxnSpPr>
        <xdr:spPr>
          <a:xfrm flipH="1">
            <a:off x="8058154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3" name="Straight Connector 4612">
            <a:extLst>
              <a:ext uri="{FF2B5EF4-FFF2-40B4-BE49-F238E27FC236}">
                <a16:creationId xmlns:a16="http://schemas.microsoft.com/office/drawing/2014/main" id="{3D91BDDB-C2B9-9A90-4BD1-6D1E1A17D409}"/>
              </a:ext>
            </a:extLst>
          </xdr:cNvPr>
          <xdr:cNvCxnSpPr/>
        </xdr:nvCxnSpPr>
        <xdr:spPr>
          <a:xfrm>
            <a:off x="9067798" y="321844982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4" name="Straight Connector 4613">
            <a:extLst>
              <a:ext uri="{FF2B5EF4-FFF2-40B4-BE49-F238E27FC236}">
                <a16:creationId xmlns:a16="http://schemas.microsoft.com/office/drawing/2014/main" id="{5E2E7618-C7BB-43B3-AE01-9F4ADAEE953E}"/>
              </a:ext>
            </a:extLst>
          </xdr:cNvPr>
          <xdr:cNvCxnSpPr/>
        </xdr:nvCxnSpPr>
        <xdr:spPr>
          <a:xfrm flipH="1">
            <a:off x="9029697" y="3220354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5" name="Straight Connector 4614">
            <a:extLst>
              <a:ext uri="{FF2B5EF4-FFF2-40B4-BE49-F238E27FC236}">
                <a16:creationId xmlns:a16="http://schemas.microsoft.com/office/drawing/2014/main" id="{86CA0FAC-BD57-1CF5-F203-8410212C5E33}"/>
              </a:ext>
            </a:extLst>
          </xdr:cNvPr>
          <xdr:cNvCxnSpPr/>
        </xdr:nvCxnSpPr>
        <xdr:spPr>
          <a:xfrm>
            <a:off x="7772406" y="320421000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6" name="Straight Connector 4615">
            <a:extLst>
              <a:ext uri="{FF2B5EF4-FFF2-40B4-BE49-F238E27FC236}">
                <a16:creationId xmlns:a16="http://schemas.microsoft.com/office/drawing/2014/main" id="{0773C1B2-E01E-8517-BA9D-606A58F0D81A}"/>
              </a:ext>
            </a:extLst>
          </xdr:cNvPr>
          <xdr:cNvCxnSpPr/>
        </xdr:nvCxnSpPr>
        <xdr:spPr>
          <a:xfrm flipH="1">
            <a:off x="7734310" y="3204638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7" name="Straight Connector 4616">
            <a:extLst>
              <a:ext uri="{FF2B5EF4-FFF2-40B4-BE49-F238E27FC236}">
                <a16:creationId xmlns:a16="http://schemas.microsoft.com/office/drawing/2014/main" id="{C9CD4CC6-46CB-47EE-0D01-84105FFDA2C6}"/>
              </a:ext>
            </a:extLst>
          </xdr:cNvPr>
          <xdr:cNvCxnSpPr/>
        </xdr:nvCxnSpPr>
        <xdr:spPr>
          <a:xfrm flipH="1">
            <a:off x="7734301" y="32174973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8" name="Straight Connector 4617">
            <a:extLst>
              <a:ext uri="{FF2B5EF4-FFF2-40B4-BE49-F238E27FC236}">
                <a16:creationId xmlns:a16="http://schemas.microsoft.com/office/drawing/2014/main" id="{D0C0814D-7900-B1F9-1E58-E9937089BDF9}"/>
              </a:ext>
            </a:extLst>
          </xdr:cNvPr>
          <xdr:cNvCxnSpPr/>
        </xdr:nvCxnSpPr>
        <xdr:spPr>
          <a:xfrm flipH="1">
            <a:off x="7705730" y="321783074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9" name="Straight Connector 4618">
            <a:extLst>
              <a:ext uri="{FF2B5EF4-FFF2-40B4-BE49-F238E27FC236}">
                <a16:creationId xmlns:a16="http://schemas.microsoft.com/office/drawing/2014/main" id="{2E5AD25B-9441-8FCF-1439-03C2B7774D30}"/>
              </a:ext>
            </a:extLst>
          </xdr:cNvPr>
          <xdr:cNvCxnSpPr/>
        </xdr:nvCxnSpPr>
        <xdr:spPr>
          <a:xfrm flipH="1">
            <a:off x="7705730" y="320497202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0</xdr:colOff>
      <xdr:row>2694</xdr:row>
      <xdr:rowOff>0</xdr:rowOff>
    </xdr:from>
    <xdr:to>
      <xdr:col>42</xdr:col>
      <xdr:colOff>2</xdr:colOff>
      <xdr:row>2707</xdr:row>
      <xdr:rowOff>71426</xdr:rowOff>
    </xdr:to>
    <xdr:grpSp>
      <xdr:nvGrpSpPr>
        <xdr:cNvPr id="4735" name="Group 4734">
          <a:extLst>
            <a:ext uri="{FF2B5EF4-FFF2-40B4-BE49-F238E27FC236}">
              <a16:creationId xmlns:a16="http://schemas.microsoft.com/office/drawing/2014/main" id="{DC95BD4D-78EA-2AF2-DA05-D97FF1562A67}"/>
            </a:ext>
          </a:extLst>
        </xdr:cNvPr>
        <xdr:cNvGrpSpPr/>
      </xdr:nvGrpSpPr>
      <xdr:grpSpPr>
        <a:xfrm>
          <a:off x="1295400" y="404088600"/>
          <a:ext cx="5505452" cy="1928801"/>
          <a:chOff x="1295400" y="499957725"/>
          <a:chExt cx="5505452" cy="1928801"/>
        </a:xfrm>
      </xdr:grpSpPr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B47999E6-DBF2-48BD-AC25-33468812F9D6}"/>
              </a:ext>
            </a:extLst>
          </xdr:cNvPr>
          <xdr:cNvSpPr/>
        </xdr:nvSpPr>
        <xdr:spPr>
          <a:xfrm>
            <a:off x="6477002" y="500748301"/>
            <a:ext cx="323850" cy="1000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 w="635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78D812B5-2DD3-421B-BEE3-F5F0807B4533}"/>
              </a:ext>
            </a:extLst>
          </xdr:cNvPr>
          <xdr:cNvSpPr/>
        </xdr:nvSpPr>
        <xdr:spPr>
          <a:xfrm>
            <a:off x="1295402" y="500719726"/>
            <a:ext cx="323850" cy="1000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 w="635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179E5B35-B22D-4148-A29E-E343A3604E70}"/>
              </a:ext>
            </a:extLst>
          </xdr:cNvPr>
          <xdr:cNvSpPr/>
        </xdr:nvSpPr>
        <xdr:spPr>
          <a:xfrm>
            <a:off x="1452564" y="500486362"/>
            <a:ext cx="5181600" cy="1047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28" name="Isosceles Triangle 4627">
            <a:extLst>
              <a:ext uri="{FF2B5EF4-FFF2-40B4-BE49-F238E27FC236}">
                <a16:creationId xmlns:a16="http://schemas.microsoft.com/office/drawing/2014/main" id="{0E22720C-FFB0-4921-A06B-6283E8877899}"/>
              </a:ext>
            </a:extLst>
          </xdr:cNvPr>
          <xdr:cNvSpPr/>
        </xdr:nvSpPr>
        <xdr:spPr>
          <a:xfrm>
            <a:off x="1385889" y="500595899"/>
            <a:ext cx="138112" cy="11906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629" name="Straight Connector 4628">
            <a:extLst>
              <a:ext uri="{FF2B5EF4-FFF2-40B4-BE49-F238E27FC236}">
                <a16:creationId xmlns:a16="http://schemas.microsoft.com/office/drawing/2014/main" id="{A1F32536-62A7-47AB-A657-E9581217311A}"/>
              </a:ext>
            </a:extLst>
          </xdr:cNvPr>
          <xdr:cNvCxnSpPr/>
        </xdr:nvCxnSpPr>
        <xdr:spPr>
          <a:xfrm>
            <a:off x="1295400" y="50070543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30" name="Isosceles Triangle 4629">
            <a:extLst>
              <a:ext uri="{FF2B5EF4-FFF2-40B4-BE49-F238E27FC236}">
                <a16:creationId xmlns:a16="http://schemas.microsoft.com/office/drawing/2014/main" id="{F36493F6-816B-46C6-A7F6-58728BA6389E}"/>
              </a:ext>
            </a:extLst>
          </xdr:cNvPr>
          <xdr:cNvSpPr/>
        </xdr:nvSpPr>
        <xdr:spPr>
          <a:xfrm>
            <a:off x="6567489" y="500591138"/>
            <a:ext cx="138112" cy="11906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631" name="Straight Connector 4630">
            <a:extLst>
              <a:ext uri="{FF2B5EF4-FFF2-40B4-BE49-F238E27FC236}">
                <a16:creationId xmlns:a16="http://schemas.microsoft.com/office/drawing/2014/main" id="{8475D175-7FC4-4F61-92E0-CCB8235562C5}"/>
              </a:ext>
            </a:extLst>
          </xdr:cNvPr>
          <xdr:cNvCxnSpPr/>
        </xdr:nvCxnSpPr>
        <xdr:spPr>
          <a:xfrm>
            <a:off x="6477000" y="500738779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2" name="Straight Arrow Connector 4631">
            <a:extLst>
              <a:ext uri="{FF2B5EF4-FFF2-40B4-BE49-F238E27FC236}">
                <a16:creationId xmlns:a16="http://schemas.microsoft.com/office/drawing/2014/main" id="{B0ED4283-8D54-41CF-92CD-F5AB118A2075}"/>
              </a:ext>
            </a:extLst>
          </xdr:cNvPr>
          <xdr:cNvCxnSpPr/>
        </xdr:nvCxnSpPr>
        <xdr:spPr>
          <a:xfrm>
            <a:off x="1938340" y="50026729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3" name="Straight Connector 4632">
            <a:extLst>
              <a:ext uri="{FF2B5EF4-FFF2-40B4-BE49-F238E27FC236}">
                <a16:creationId xmlns:a16="http://schemas.microsoft.com/office/drawing/2014/main" id="{AF5800A5-C054-4238-B97B-6AFA50EA114C}"/>
              </a:ext>
            </a:extLst>
          </xdr:cNvPr>
          <xdr:cNvCxnSpPr/>
        </xdr:nvCxnSpPr>
        <xdr:spPr>
          <a:xfrm>
            <a:off x="1452563" y="500267294"/>
            <a:ext cx="51816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4" name="Straight Arrow Connector 4633">
            <a:extLst>
              <a:ext uri="{FF2B5EF4-FFF2-40B4-BE49-F238E27FC236}">
                <a16:creationId xmlns:a16="http://schemas.microsoft.com/office/drawing/2014/main" id="{00DE8314-E5E7-4C69-8975-BD4681654295}"/>
              </a:ext>
            </a:extLst>
          </xdr:cNvPr>
          <xdr:cNvCxnSpPr/>
        </xdr:nvCxnSpPr>
        <xdr:spPr>
          <a:xfrm>
            <a:off x="2100265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5" name="Straight Arrow Connector 4634">
            <a:extLst>
              <a:ext uri="{FF2B5EF4-FFF2-40B4-BE49-F238E27FC236}">
                <a16:creationId xmlns:a16="http://schemas.microsoft.com/office/drawing/2014/main" id="{15CAFD6A-D975-451B-A5E7-288E93AEC640}"/>
              </a:ext>
            </a:extLst>
          </xdr:cNvPr>
          <xdr:cNvCxnSpPr/>
        </xdr:nvCxnSpPr>
        <xdr:spPr>
          <a:xfrm>
            <a:off x="2262190" y="50026729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6" name="Straight Arrow Connector 4635">
            <a:extLst>
              <a:ext uri="{FF2B5EF4-FFF2-40B4-BE49-F238E27FC236}">
                <a16:creationId xmlns:a16="http://schemas.microsoft.com/office/drawing/2014/main" id="{D5631EAB-38D5-43A5-8FD1-A989161D08A7}"/>
              </a:ext>
            </a:extLst>
          </xdr:cNvPr>
          <xdr:cNvCxnSpPr/>
        </xdr:nvCxnSpPr>
        <xdr:spPr>
          <a:xfrm>
            <a:off x="2424115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7" name="Straight Arrow Connector 4636">
            <a:extLst>
              <a:ext uri="{FF2B5EF4-FFF2-40B4-BE49-F238E27FC236}">
                <a16:creationId xmlns:a16="http://schemas.microsoft.com/office/drawing/2014/main" id="{B4FC856B-9AC6-4B16-A52E-497EF17A1B3B}"/>
              </a:ext>
            </a:extLst>
          </xdr:cNvPr>
          <xdr:cNvCxnSpPr/>
        </xdr:nvCxnSpPr>
        <xdr:spPr>
          <a:xfrm>
            <a:off x="2586041" y="50026729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8" name="Straight Arrow Connector 4637">
            <a:extLst>
              <a:ext uri="{FF2B5EF4-FFF2-40B4-BE49-F238E27FC236}">
                <a16:creationId xmlns:a16="http://schemas.microsoft.com/office/drawing/2014/main" id="{06B89092-D9A4-4CB7-8340-759BB707A650}"/>
              </a:ext>
            </a:extLst>
          </xdr:cNvPr>
          <xdr:cNvCxnSpPr/>
        </xdr:nvCxnSpPr>
        <xdr:spPr>
          <a:xfrm>
            <a:off x="2747966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9" name="Straight Arrow Connector 4638">
            <a:extLst>
              <a:ext uri="{FF2B5EF4-FFF2-40B4-BE49-F238E27FC236}">
                <a16:creationId xmlns:a16="http://schemas.microsoft.com/office/drawing/2014/main" id="{A8F5A6BD-BAD4-4517-8913-8A25D77EB914}"/>
              </a:ext>
            </a:extLst>
          </xdr:cNvPr>
          <xdr:cNvCxnSpPr/>
        </xdr:nvCxnSpPr>
        <xdr:spPr>
          <a:xfrm>
            <a:off x="2909891" y="50026729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0" name="Straight Arrow Connector 4639">
            <a:extLst>
              <a:ext uri="{FF2B5EF4-FFF2-40B4-BE49-F238E27FC236}">
                <a16:creationId xmlns:a16="http://schemas.microsoft.com/office/drawing/2014/main" id="{00C49013-11E4-422A-90A9-C5B542C94475}"/>
              </a:ext>
            </a:extLst>
          </xdr:cNvPr>
          <xdr:cNvCxnSpPr/>
        </xdr:nvCxnSpPr>
        <xdr:spPr>
          <a:xfrm>
            <a:off x="3071816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1" name="Straight Arrow Connector 4640">
            <a:extLst>
              <a:ext uri="{FF2B5EF4-FFF2-40B4-BE49-F238E27FC236}">
                <a16:creationId xmlns:a16="http://schemas.microsoft.com/office/drawing/2014/main" id="{42E7331F-F491-4E38-A412-DA1279C05F7A}"/>
              </a:ext>
            </a:extLst>
          </xdr:cNvPr>
          <xdr:cNvCxnSpPr/>
        </xdr:nvCxnSpPr>
        <xdr:spPr>
          <a:xfrm>
            <a:off x="1452567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2" name="Straight Arrow Connector 4641">
            <a:extLst>
              <a:ext uri="{FF2B5EF4-FFF2-40B4-BE49-F238E27FC236}">
                <a16:creationId xmlns:a16="http://schemas.microsoft.com/office/drawing/2014/main" id="{9C8B365A-346E-4510-B475-3BF01EC67390}"/>
              </a:ext>
            </a:extLst>
          </xdr:cNvPr>
          <xdr:cNvCxnSpPr/>
        </xdr:nvCxnSpPr>
        <xdr:spPr>
          <a:xfrm>
            <a:off x="1614492" y="50026729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3" name="Straight Arrow Connector 4642">
            <a:extLst>
              <a:ext uri="{FF2B5EF4-FFF2-40B4-BE49-F238E27FC236}">
                <a16:creationId xmlns:a16="http://schemas.microsoft.com/office/drawing/2014/main" id="{64BE920B-D76C-41B3-89CC-1B603630B25F}"/>
              </a:ext>
            </a:extLst>
          </xdr:cNvPr>
          <xdr:cNvCxnSpPr/>
        </xdr:nvCxnSpPr>
        <xdr:spPr>
          <a:xfrm>
            <a:off x="1776417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4" name="Straight Connector 4643">
            <a:extLst>
              <a:ext uri="{FF2B5EF4-FFF2-40B4-BE49-F238E27FC236}">
                <a16:creationId xmlns:a16="http://schemas.microsoft.com/office/drawing/2014/main" id="{BDA1CAB3-2103-44B8-8A9E-09D866CA3229}"/>
              </a:ext>
            </a:extLst>
          </xdr:cNvPr>
          <xdr:cNvCxnSpPr/>
        </xdr:nvCxnSpPr>
        <xdr:spPr>
          <a:xfrm flipH="1" flipV="1">
            <a:off x="2309813" y="500095837"/>
            <a:ext cx="114302" cy="233367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5" name="Straight Arrow Connector 4644">
            <a:extLst>
              <a:ext uri="{FF2B5EF4-FFF2-40B4-BE49-F238E27FC236}">
                <a16:creationId xmlns:a16="http://schemas.microsoft.com/office/drawing/2014/main" id="{F8F5AF2C-E9A6-4810-8A9B-E4C971A5DF83}"/>
              </a:ext>
            </a:extLst>
          </xdr:cNvPr>
          <xdr:cNvCxnSpPr/>
        </xdr:nvCxnSpPr>
        <xdr:spPr>
          <a:xfrm>
            <a:off x="3719515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6" name="Straight Arrow Connector 4645">
            <a:extLst>
              <a:ext uri="{FF2B5EF4-FFF2-40B4-BE49-F238E27FC236}">
                <a16:creationId xmlns:a16="http://schemas.microsoft.com/office/drawing/2014/main" id="{DEC1ADC1-E8A8-44F2-8A76-611CFC6558A0}"/>
              </a:ext>
            </a:extLst>
          </xdr:cNvPr>
          <xdr:cNvCxnSpPr/>
        </xdr:nvCxnSpPr>
        <xdr:spPr>
          <a:xfrm>
            <a:off x="3881440" y="500267294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7" name="Straight Arrow Connector 4646">
            <a:extLst>
              <a:ext uri="{FF2B5EF4-FFF2-40B4-BE49-F238E27FC236}">
                <a16:creationId xmlns:a16="http://schemas.microsoft.com/office/drawing/2014/main" id="{149C9516-F225-406F-97DE-23796DF88A3B}"/>
              </a:ext>
            </a:extLst>
          </xdr:cNvPr>
          <xdr:cNvCxnSpPr/>
        </xdr:nvCxnSpPr>
        <xdr:spPr>
          <a:xfrm>
            <a:off x="4205290" y="500267294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8" name="Straight Arrow Connector 4647">
            <a:extLst>
              <a:ext uri="{FF2B5EF4-FFF2-40B4-BE49-F238E27FC236}">
                <a16:creationId xmlns:a16="http://schemas.microsoft.com/office/drawing/2014/main" id="{43489531-DC79-4B40-9F55-191AB741E325}"/>
              </a:ext>
            </a:extLst>
          </xdr:cNvPr>
          <xdr:cNvCxnSpPr/>
        </xdr:nvCxnSpPr>
        <xdr:spPr>
          <a:xfrm>
            <a:off x="4367216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9" name="Straight Arrow Connector 4648">
            <a:extLst>
              <a:ext uri="{FF2B5EF4-FFF2-40B4-BE49-F238E27FC236}">
                <a16:creationId xmlns:a16="http://schemas.microsoft.com/office/drawing/2014/main" id="{9CD78A37-C7F5-4AC8-945A-4E77C493941D}"/>
              </a:ext>
            </a:extLst>
          </xdr:cNvPr>
          <xdr:cNvCxnSpPr/>
        </xdr:nvCxnSpPr>
        <xdr:spPr>
          <a:xfrm>
            <a:off x="4529141" y="500267294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0" name="Straight Arrow Connector 4649">
            <a:extLst>
              <a:ext uri="{FF2B5EF4-FFF2-40B4-BE49-F238E27FC236}">
                <a16:creationId xmlns:a16="http://schemas.microsoft.com/office/drawing/2014/main" id="{B17319AB-F708-485C-8B34-2AE881DFCC17}"/>
              </a:ext>
            </a:extLst>
          </xdr:cNvPr>
          <xdr:cNvCxnSpPr/>
        </xdr:nvCxnSpPr>
        <xdr:spPr>
          <a:xfrm>
            <a:off x="4691066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1" name="Straight Arrow Connector 4650">
            <a:extLst>
              <a:ext uri="{FF2B5EF4-FFF2-40B4-BE49-F238E27FC236}">
                <a16:creationId xmlns:a16="http://schemas.microsoft.com/office/drawing/2014/main" id="{34A86177-FE15-4C9E-8119-306B5A1B9D2C}"/>
              </a:ext>
            </a:extLst>
          </xdr:cNvPr>
          <xdr:cNvCxnSpPr/>
        </xdr:nvCxnSpPr>
        <xdr:spPr>
          <a:xfrm>
            <a:off x="4852991" y="500267294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2" name="Straight Arrow Connector 4651">
            <a:extLst>
              <a:ext uri="{FF2B5EF4-FFF2-40B4-BE49-F238E27FC236}">
                <a16:creationId xmlns:a16="http://schemas.microsoft.com/office/drawing/2014/main" id="{D62CC49C-3999-4A84-B09D-F8766392FF41}"/>
              </a:ext>
            </a:extLst>
          </xdr:cNvPr>
          <xdr:cNvCxnSpPr/>
        </xdr:nvCxnSpPr>
        <xdr:spPr>
          <a:xfrm>
            <a:off x="3233742" y="500267294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3" name="Straight Arrow Connector 4652">
            <a:extLst>
              <a:ext uri="{FF2B5EF4-FFF2-40B4-BE49-F238E27FC236}">
                <a16:creationId xmlns:a16="http://schemas.microsoft.com/office/drawing/2014/main" id="{AF1AD54E-CCFB-47F6-8F57-A2001F930FFA}"/>
              </a:ext>
            </a:extLst>
          </xdr:cNvPr>
          <xdr:cNvCxnSpPr/>
        </xdr:nvCxnSpPr>
        <xdr:spPr>
          <a:xfrm>
            <a:off x="3395667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4" name="Straight Arrow Connector 4653">
            <a:extLst>
              <a:ext uri="{FF2B5EF4-FFF2-40B4-BE49-F238E27FC236}">
                <a16:creationId xmlns:a16="http://schemas.microsoft.com/office/drawing/2014/main" id="{F9099AFE-9020-462F-9003-FAC952588ECE}"/>
              </a:ext>
            </a:extLst>
          </xdr:cNvPr>
          <xdr:cNvCxnSpPr/>
        </xdr:nvCxnSpPr>
        <xdr:spPr>
          <a:xfrm>
            <a:off x="3557592" y="500267294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5" name="Straight Arrow Connector 4654">
            <a:extLst>
              <a:ext uri="{FF2B5EF4-FFF2-40B4-BE49-F238E27FC236}">
                <a16:creationId xmlns:a16="http://schemas.microsoft.com/office/drawing/2014/main" id="{FAAB1317-3D31-4DEC-A864-58998DC2FF85}"/>
              </a:ext>
            </a:extLst>
          </xdr:cNvPr>
          <xdr:cNvCxnSpPr/>
        </xdr:nvCxnSpPr>
        <xdr:spPr>
          <a:xfrm>
            <a:off x="5338765" y="50026729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6" name="Straight Arrow Connector 4655">
            <a:extLst>
              <a:ext uri="{FF2B5EF4-FFF2-40B4-BE49-F238E27FC236}">
                <a16:creationId xmlns:a16="http://schemas.microsoft.com/office/drawing/2014/main" id="{9DC85EBC-F295-4843-8C46-979AE76E00BA}"/>
              </a:ext>
            </a:extLst>
          </xdr:cNvPr>
          <xdr:cNvCxnSpPr/>
        </xdr:nvCxnSpPr>
        <xdr:spPr>
          <a:xfrm>
            <a:off x="5500690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7" name="Straight Arrow Connector 4656">
            <a:extLst>
              <a:ext uri="{FF2B5EF4-FFF2-40B4-BE49-F238E27FC236}">
                <a16:creationId xmlns:a16="http://schemas.microsoft.com/office/drawing/2014/main" id="{137B0DD2-4996-452A-B5FC-A4FE151168A2}"/>
              </a:ext>
            </a:extLst>
          </xdr:cNvPr>
          <xdr:cNvCxnSpPr/>
        </xdr:nvCxnSpPr>
        <xdr:spPr>
          <a:xfrm>
            <a:off x="5662615" y="50026729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8" name="Straight Arrow Connector 4657">
            <a:extLst>
              <a:ext uri="{FF2B5EF4-FFF2-40B4-BE49-F238E27FC236}">
                <a16:creationId xmlns:a16="http://schemas.microsoft.com/office/drawing/2014/main" id="{257830DE-58AC-498E-AF05-67CF8AF7832A}"/>
              </a:ext>
            </a:extLst>
          </xdr:cNvPr>
          <xdr:cNvCxnSpPr/>
        </xdr:nvCxnSpPr>
        <xdr:spPr>
          <a:xfrm>
            <a:off x="5824540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9" name="Straight Arrow Connector 4658">
            <a:extLst>
              <a:ext uri="{FF2B5EF4-FFF2-40B4-BE49-F238E27FC236}">
                <a16:creationId xmlns:a16="http://schemas.microsoft.com/office/drawing/2014/main" id="{AD0DB08C-A77B-4023-A3C6-84CD98314592}"/>
              </a:ext>
            </a:extLst>
          </xdr:cNvPr>
          <xdr:cNvCxnSpPr/>
        </xdr:nvCxnSpPr>
        <xdr:spPr>
          <a:xfrm>
            <a:off x="5986466" y="50026729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0" name="Straight Arrow Connector 4659">
            <a:extLst>
              <a:ext uri="{FF2B5EF4-FFF2-40B4-BE49-F238E27FC236}">
                <a16:creationId xmlns:a16="http://schemas.microsoft.com/office/drawing/2014/main" id="{1B4F86E3-4355-40FF-8562-6F7EAF7227E3}"/>
              </a:ext>
            </a:extLst>
          </xdr:cNvPr>
          <xdr:cNvCxnSpPr/>
        </xdr:nvCxnSpPr>
        <xdr:spPr>
          <a:xfrm>
            <a:off x="6148391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1" name="Straight Arrow Connector 4660">
            <a:extLst>
              <a:ext uri="{FF2B5EF4-FFF2-40B4-BE49-F238E27FC236}">
                <a16:creationId xmlns:a16="http://schemas.microsoft.com/office/drawing/2014/main" id="{0EEAF7CD-886E-4200-B08D-173C9A859A83}"/>
              </a:ext>
            </a:extLst>
          </xdr:cNvPr>
          <xdr:cNvCxnSpPr/>
        </xdr:nvCxnSpPr>
        <xdr:spPr>
          <a:xfrm>
            <a:off x="6310316" y="50026729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2" name="Straight Arrow Connector 4661">
            <a:extLst>
              <a:ext uri="{FF2B5EF4-FFF2-40B4-BE49-F238E27FC236}">
                <a16:creationId xmlns:a16="http://schemas.microsoft.com/office/drawing/2014/main" id="{43A4275C-461A-4286-8302-384BC7053935}"/>
              </a:ext>
            </a:extLst>
          </xdr:cNvPr>
          <xdr:cNvCxnSpPr/>
        </xdr:nvCxnSpPr>
        <xdr:spPr>
          <a:xfrm>
            <a:off x="6472241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3" name="Straight Arrow Connector 4662">
            <a:extLst>
              <a:ext uri="{FF2B5EF4-FFF2-40B4-BE49-F238E27FC236}">
                <a16:creationId xmlns:a16="http://schemas.microsoft.com/office/drawing/2014/main" id="{6C0F58FD-DA32-42A7-A99F-63E13EB9D9C0}"/>
              </a:ext>
            </a:extLst>
          </xdr:cNvPr>
          <xdr:cNvCxnSpPr/>
        </xdr:nvCxnSpPr>
        <xdr:spPr>
          <a:xfrm>
            <a:off x="5014917" y="50026729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4" name="Straight Arrow Connector 4663">
            <a:extLst>
              <a:ext uri="{FF2B5EF4-FFF2-40B4-BE49-F238E27FC236}">
                <a16:creationId xmlns:a16="http://schemas.microsoft.com/office/drawing/2014/main" id="{3AA902E1-0C98-4EE7-9C55-5E15143E0BC4}"/>
              </a:ext>
            </a:extLst>
          </xdr:cNvPr>
          <xdr:cNvCxnSpPr/>
        </xdr:nvCxnSpPr>
        <xdr:spPr>
          <a:xfrm>
            <a:off x="5176842" y="500267293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5" name="Straight Arrow Connector 4664">
            <a:extLst>
              <a:ext uri="{FF2B5EF4-FFF2-40B4-BE49-F238E27FC236}">
                <a16:creationId xmlns:a16="http://schemas.microsoft.com/office/drawing/2014/main" id="{5906801B-E4BE-4253-83B1-900E27CE0E3E}"/>
              </a:ext>
            </a:extLst>
          </xdr:cNvPr>
          <xdr:cNvCxnSpPr/>
        </xdr:nvCxnSpPr>
        <xdr:spPr>
          <a:xfrm>
            <a:off x="6634163" y="50027205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8" name="Straight Arrow Connector 4667">
            <a:extLst>
              <a:ext uri="{FF2B5EF4-FFF2-40B4-BE49-F238E27FC236}">
                <a16:creationId xmlns:a16="http://schemas.microsoft.com/office/drawing/2014/main" id="{C5590114-9624-4AAE-9EB4-AFC347899AEE}"/>
              </a:ext>
            </a:extLst>
          </xdr:cNvPr>
          <xdr:cNvCxnSpPr/>
        </xdr:nvCxnSpPr>
        <xdr:spPr>
          <a:xfrm>
            <a:off x="4043363" y="499957725"/>
            <a:ext cx="0" cy="52864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1" name="Straight Arrow Connector 4670">
            <a:extLst>
              <a:ext uri="{FF2B5EF4-FFF2-40B4-BE49-F238E27FC236}">
                <a16:creationId xmlns:a16="http://schemas.microsoft.com/office/drawing/2014/main" id="{88CDD82A-9404-444C-B41F-BA99AF694D30}"/>
              </a:ext>
            </a:extLst>
          </xdr:cNvPr>
          <xdr:cNvCxnSpPr/>
        </xdr:nvCxnSpPr>
        <xdr:spPr>
          <a:xfrm flipV="1">
            <a:off x="4048125" y="500591144"/>
            <a:ext cx="0" cy="366706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3" name="Straight Connector 4672">
            <a:extLst>
              <a:ext uri="{FF2B5EF4-FFF2-40B4-BE49-F238E27FC236}">
                <a16:creationId xmlns:a16="http://schemas.microsoft.com/office/drawing/2014/main" id="{29495A59-F69C-437E-AB14-2B053A439E11}"/>
              </a:ext>
            </a:extLst>
          </xdr:cNvPr>
          <xdr:cNvCxnSpPr/>
        </xdr:nvCxnSpPr>
        <xdr:spPr>
          <a:xfrm>
            <a:off x="1457331" y="501300750"/>
            <a:ext cx="0" cy="5857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4" name="Straight Connector 4673">
            <a:extLst>
              <a:ext uri="{FF2B5EF4-FFF2-40B4-BE49-F238E27FC236}">
                <a16:creationId xmlns:a16="http://schemas.microsoft.com/office/drawing/2014/main" id="{9C5EBE93-9952-4C10-A9AF-EE27682C0AAE}"/>
              </a:ext>
            </a:extLst>
          </xdr:cNvPr>
          <xdr:cNvCxnSpPr/>
        </xdr:nvCxnSpPr>
        <xdr:spPr>
          <a:xfrm>
            <a:off x="1381131" y="501815088"/>
            <a:ext cx="5329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5" name="Straight Connector 4674">
            <a:extLst>
              <a:ext uri="{FF2B5EF4-FFF2-40B4-BE49-F238E27FC236}">
                <a16:creationId xmlns:a16="http://schemas.microsoft.com/office/drawing/2014/main" id="{AF01B3A8-15AA-423D-AF76-4333F4D86A49}"/>
              </a:ext>
            </a:extLst>
          </xdr:cNvPr>
          <xdr:cNvCxnSpPr/>
        </xdr:nvCxnSpPr>
        <xdr:spPr>
          <a:xfrm flipH="1">
            <a:off x="1414472" y="50177699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6" name="Straight Connector 4675">
            <a:extLst>
              <a:ext uri="{FF2B5EF4-FFF2-40B4-BE49-F238E27FC236}">
                <a16:creationId xmlns:a16="http://schemas.microsoft.com/office/drawing/2014/main" id="{2AEB53CF-9CE7-455F-95B1-6EAED02A1102}"/>
              </a:ext>
            </a:extLst>
          </xdr:cNvPr>
          <xdr:cNvCxnSpPr/>
        </xdr:nvCxnSpPr>
        <xdr:spPr>
          <a:xfrm>
            <a:off x="6638931" y="501262650"/>
            <a:ext cx="0" cy="6238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7" name="Straight Connector 4676">
            <a:extLst>
              <a:ext uri="{FF2B5EF4-FFF2-40B4-BE49-F238E27FC236}">
                <a16:creationId xmlns:a16="http://schemas.microsoft.com/office/drawing/2014/main" id="{330C07B4-3945-43EF-ADF7-8D5FDBB2C837}"/>
              </a:ext>
            </a:extLst>
          </xdr:cNvPr>
          <xdr:cNvCxnSpPr/>
        </xdr:nvCxnSpPr>
        <xdr:spPr>
          <a:xfrm flipH="1">
            <a:off x="6596072" y="50177699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0" name="Straight Arrow Connector 4699">
            <a:extLst>
              <a:ext uri="{FF2B5EF4-FFF2-40B4-BE49-F238E27FC236}">
                <a16:creationId xmlns:a16="http://schemas.microsoft.com/office/drawing/2014/main" id="{42975975-64B7-41CF-9AAA-FC47A325906F}"/>
              </a:ext>
            </a:extLst>
          </xdr:cNvPr>
          <xdr:cNvCxnSpPr/>
        </xdr:nvCxnSpPr>
        <xdr:spPr>
          <a:xfrm flipV="1">
            <a:off x="1457325" y="500819737"/>
            <a:ext cx="0" cy="285751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2" name="Straight Arrow Connector 4701">
            <a:extLst>
              <a:ext uri="{FF2B5EF4-FFF2-40B4-BE49-F238E27FC236}">
                <a16:creationId xmlns:a16="http://schemas.microsoft.com/office/drawing/2014/main" id="{100891CE-9A3D-4372-8645-FEDCA72FB92D}"/>
              </a:ext>
            </a:extLst>
          </xdr:cNvPr>
          <xdr:cNvCxnSpPr/>
        </xdr:nvCxnSpPr>
        <xdr:spPr>
          <a:xfrm flipV="1">
            <a:off x="6638925" y="500843549"/>
            <a:ext cx="0" cy="25241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6" name="Straight Arrow Connector 4705">
            <a:extLst>
              <a:ext uri="{FF2B5EF4-FFF2-40B4-BE49-F238E27FC236}">
                <a16:creationId xmlns:a16="http://schemas.microsoft.com/office/drawing/2014/main" id="{A827DE2A-8F18-491F-E33D-BA562F45BFE5}"/>
              </a:ext>
            </a:extLst>
          </xdr:cNvPr>
          <xdr:cNvCxnSpPr/>
        </xdr:nvCxnSpPr>
        <xdr:spPr>
          <a:xfrm>
            <a:off x="1462087" y="501019763"/>
            <a:ext cx="547688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8" name="Straight Arrow Connector 4707">
            <a:extLst>
              <a:ext uri="{FF2B5EF4-FFF2-40B4-BE49-F238E27FC236}">
                <a16:creationId xmlns:a16="http://schemas.microsoft.com/office/drawing/2014/main" id="{55CFD08E-9774-4865-B754-533D0BE898AC}"/>
              </a:ext>
            </a:extLst>
          </xdr:cNvPr>
          <xdr:cNvCxnSpPr/>
        </xdr:nvCxnSpPr>
        <xdr:spPr>
          <a:xfrm>
            <a:off x="4048126" y="500743536"/>
            <a:ext cx="547688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9" name="Straight Connector 4708">
            <a:extLst>
              <a:ext uri="{FF2B5EF4-FFF2-40B4-BE49-F238E27FC236}">
                <a16:creationId xmlns:a16="http://schemas.microsoft.com/office/drawing/2014/main" id="{C219970A-7678-437D-BA4E-DB15CD19DB2D}"/>
              </a:ext>
            </a:extLst>
          </xdr:cNvPr>
          <xdr:cNvCxnSpPr/>
        </xdr:nvCxnSpPr>
        <xdr:spPr>
          <a:xfrm>
            <a:off x="1381126" y="501529348"/>
            <a:ext cx="5329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0" name="Straight Connector 4709">
            <a:extLst>
              <a:ext uri="{FF2B5EF4-FFF2-40B4-BE49-F238E27FC236}">
                <a16:creationId xmlns:a16="http://schemas.microsoft.com/office/drawing/2014/main" id="{04217CA8-1BE0-4AFF-8735-1207EF52D74B}"/>
              </a:ext>
            </a:extLst>
          </xdr:cNvPr>
          <xdr:cNvCxnSpPr/>
        </xdr:nvCxnSpPr>
        <xdr:spPr>
          <a:xfrm flipH="1">
            <a:off x="1414467" y="50149125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1" name="Straight Connector 4710">
            <a:extLst>
              <a:ext uri="{FF2B5EF4-FFF2-40B4-BE49-F238E27FC236}">
                <a16:creationId xmlns:a16="http://schemas.microsoft.com/office/drawing/2014/main" id="{EF9F2C23-898E-431B-B18F-706853FADDAA}"/>
              </a:ext>
            </a:extLst>
          </xdr:cNvPr>
          <xdr:cNvCxnSpPr/>
        </xdr:nvCxnSpPr>
        <xdr:spPr>
          <a:xfrm flipH="1">
            <a:off x="6596067" y="50149125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2" name="Straight Connector 4711">
            <a:extLst>
              <a:ext uri="{FF2B5EF4-FFF2-40B4-BE49-F238E27FC236}">
                <a16:creationId xmlns:a16="http://schemas.microsoft.com/office/drawing/2014/main" id="{9C8982E3-22F0-473A-9CA3-734926316C1F}"/>
              </a:ext>
            </a:extLst>
          </xdr:cNvPr>
          <xdr:cNvCxnSpPr/>
        </xdr:nvCxnSpPr>
        <xdr:spPr>
          <a:xfrm>
            <a:off x="4048131" y="501181688"/>
            <a:ext cx="0" cy="4190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3" name="Straight Connector 4712">
            <a:extLst>
              <a:ext uri="{FF2B5EF4-FFF2-40B4-BE49-F238E27FC236}">
                <a16:creationId xmlns:a16="http://schemas.microsoft.com/office/drawing/2014/main" id="{5A451A57-0BF4-4F3A-885D-916290DE5811}"/>
              </a:ext>
            </a:extLst>
          </xdr:cNvPr>
          <xdr:cNvCxnSpPr/>
        </xdr:nvCxnSpPr>
        <xdr:spPr>
          <a:xfrm flipH="1">
            <a:off x="4005272" y="501491233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0</xdr:colOff>
      <xdr:row>2708</xdr:row>
      <xdr:rowOff>138113</xdr:rowOff>
    </xdr:from>
    <xdr:to>
      <xdr:col>33</xdr:col>
      <xdr:colOff>2</xdr:colOff>
      <xdr:row>2718</xdr:row>
      <xdr:rowOff>85725</xdr:rowOff>
    </xdr:to>
    <xdr:grpSp>
      <xdr:nvGrpSpPr>
        <xdr:cNvPr id="4734" name="Group 4733">
          <a:extLst>
            <a:ext uri="{FF2B5EF4-FFF2-40B4-BE49-F238E27FC236}">
              <a16:creationId xmlns:a16="http://schemas.microsoft.com/office/drawing/2014/main" id="{C9AD3E62-C1B6-1434-084C-E80BED4E1DED}"/>
            </a:ext>
          </a:extLst>
        </xdr:cNvPr>
        <xdr:cNvGrpSpPr/>
      </xdr:nvGrpSpPr>
      <xdr:grpSpPr>
        <a:xfrm>
          <a:off x="2752725" y="406226963"/>
          <a:ext cx="2590802" cy="1376362"/>
          <a:chOff x="2752725" y="502096088"/>
          <a:chExt cx="2590802" cy="1376362"/>
        </a:xfrm>
      </xdr:grpSpPr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1AE0CC1E-0122-4A2F-83D5-8B19788BF8C0}"/>
              </a:ext>
            </a:extLst>
          </xdr:cNvPr>
          <xdr:cNvSpPr/>
        </xdr:nvSpPr>
        <xdr:spPr>
          <a:xfrm>
            <a:off x="2909888" y="502486628"/>
            <a:ext cx="2266950" cy="95258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8C07A9C1-C3C6-48C2-AAEC-EFB6B79D9428}"/>
              </a:ext>
            </a:extLst>
          </xdr:cNvPr>
          <xdr:cNvSpPr/>
        </xdr:nvSpPr>
        <xdr:spPr>
          <a:xfrm>
            <a:off x="2752727" y="502710469"/>
            <a:ext cx="323850" cy="1000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 w="635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682" name="Isosceles Triangle 4681">
            <a:extLst>
              <a:ext uri="{FF2B5EF4-FFF2-40B4-BE49-F238E27FC236}">
                <a16:creationId xmlns:a16="http://schemas.microsoft.com/office/drawing/2014/main" id="{E813E6FB-1270-4936-B47B-B64E290C8DAA}"/>
              </a:ext>
            </a:extLst>
          </xdr:cNvPr>
          <xdr:cNvSpPr/>
        </xdr:nvSpPr>
        <xdr:spPr>
          <a:xfrm>
            <a:off x="2843214" y="502586643"/>
            <a:ext cx="138112" cy="11906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683" name="Straight Connector 4682">
            <a:extLst>
              <a:ext uri="{FF2B5EF4-FFF2-40B4-BE49-F238E27FC236}">
                <a16:creationId xmlns:a16="http://schemas.microsoft.com/office/drawing/2014/main" id="{965AE97F-7446-4964-9C8F-839B56EC147D}"/>
              </a:ext>
            </a:extLst>
          </xdr:cNvPr>
          <xdr:cNvCxnSpPr/>
        </xdr:nvCxnSpPr>
        <xdr:spPr>
          <a:xfrm>
            <a:off x="2752725" y="502705706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A34F8D5A-383F-4CD0-8697-5CA3D355C507}"/>
              </a:ext>
            </a:extLst>
          </xdr:cNvPr>
          <xdr:cNvSpPr/>
        </xdr:nvSpPr>
        <xdr:spPr>
          <a:xfrm>
            <a:off x="5019677" y="502734285"/>
            <a:ext cx="323850" cy="1000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 w="635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685" name="Isosceles Triangle 4684">
            <a:extLst>
              <a:ext uri="{FF2B5EF4-FFF2-40B4-BE49-F238E27FC236}">
                <a16:creationId xmlns:a16="http://schemas.microsoft.com/office/drawing/2014/main" id="{0B5EE7B9-4DCB-49FC-B0D8-AB78E79CE280}"/>
              </a:ext>
            </a:extLst>
          </xdr:cNvPr>
          <xdr:cNvSpPr/>
        </xdr:nvSpPr>
        <xdr:spPr>
          <a:xfrm>
            <a:off x="5110164" y="502581881"/>
            <a:ext cx="138112" cy="11906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686" name="Straight Connector 4685">
            <a:extLst>
              <a:ext uri="{FF2B5EF4-FFF2-40B4-BE49-F238E27FC236}">
                <a16:creationId xmlns:a16="http://schemas.microsoft.com/office/drawing/2014/main" id="{B2C4B6DA-222A-4148-918C-70CD0E1324BB}"/>
              </a:ext>
            </a:extLst>
          </xdr:cNvPr>
          <xdr:cNvCxnSpPr/>
        </xdr:nvCxnSpPr>
        <xdr:spPr>
          <a:xfrm>
            <a:off x="5019675" y="502729522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7" name="Straight Connector 4686">
            <a:extLst>
              <a:ext uri="{FF2B5EF4-FFF2-40B4-BE49-F238E27FC236}">
                <a16:creationId xmlns:a16="http://schemas.microsoft.com/office/drawing/2014/main" id="{DEFA8949-03A1-4A3F-8A01-0FEB8BC1A55A}"/>
              </a:ext>
            </a:extLst>
          </xdr:cNvPr>
          <xdr:cNvCxnSpPr/>
        </xdr:nvCxnSpPr>
        <xdr:spPr>
          <a:xfrm>
            <a:off x="2914650" y="503262897"/>
            <a:ext cx="0" cy="2095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9" name="Straight Connector 4688">
            <a:extLst>
              <a:ext uri="{FF2B5EF4-FFF2-40B4-BE49-F238E27FC236}">
                <a16:creationId xmlns:a16="http://schemas.microsoft.com/office/drawing/2014/main" id="{615A6A1F-D14C-4B8B-BB55-B35196EA59F0}"/>
              </a:ext>
            </a:extLst>
          </xdr:cNvPr>
          <xdr:cNvCxnSpPr/>
        </xdr:nvCxnSpPr>
        <xdr:spPr>
          <a:xfrm>
            <a:off x="5181600" y="503253374"/>
            <a:ext cx="0" cy="219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2" name="Straight Connector 4691">
            <a:extLst>
              <a:ext uri="{FF2B5EF4-FFF2-40B4-BE49-F238E27FC236}">
                <a16:creationId xmlns:a16="http://schemas.microsoft.com/office/drawing/2014/main" id="{4073BADC-CC1C-42D9-96F3-13A76DE182B7}"/>
              </a:ext>
            </a:extLst>
          </xdr:cNvPr>
          <xdr:cNvCxnSpPr/>
        </xdr:nvCxnSpPr>
        <xdr:spPr>
          <a:xfrm>
            <a:off x="2828925" y="503386721"/>
            <a:ext cx="24336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3" name="Straight Arrow Connector 4692">
            <a:extLst>
              <a:ext uri="{FF2B5EF4-FFF2-40B4-BE49-F238E27FC236}">
                <a16:creationId xmlns:a16="http://schemas.microsoft.com/office/drawing/2014/main" id="{82949747-4411-4E21-817D-41825501124C}"/>
              </a:ext>
            </a:extLst>
          </xdr:cNvPr>
          <xdr:cNvCxnSpPr/>
        </xdr:nvCxnSpPr>
        <xdr:spPr>
          <a:xfrm>
            <a:off x="4052888" y="502096088"/>
            <a:ext cx="0" cy="390531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8" name="Straight Arrow Connector 4727">
            <a:extLst>
              <a:ext uri="{FF2B5EF4-FFF2-40B4-BE49-F238E27FC236}">
                <a16:creationId xmlns:a16="http://schemas.microsoft.com/office/drawing/2014/main" id="{72BCE085-7D00-4688-8EE0-2F8A6D823C90}"/>
              </a:ext>
            </a:extLst>
          </xdr:cNvPr>
          <xdr:cNvCxnSpPr/>
        </xdr:nvCxnSpPr>
        <xdr:spPr>
          <a:xfrm flipV="1">
            <a:off x="2914650" y="502819987"/>
            <a:ext cx="0" cy="285751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9" name="Straight Arrow Connector 4728">
            <a:extLst>
              <a:ext uri="{FF2B5EF4-FFF2-40B4-BE49-F238E27FC236}">
                <a16:creationId xmlns:a16="http://schemas.microsoft.com/office/drawing/2014/main" id="{BD397B41-3D31-4AB2-8134-7EB5B7B2D685}"/>
              </a:ext>
            </a:extLst>
          </xdr:cNvPr>
          <xdr:cNvCxnSpPr/>
        </xdr:nvCxnSpPr>
        <xdr:spPr>
          <a:xfrm flipV="1">
            <a:off x="5181600" y="502824750"/>
            <a:ext cx="0" cy="285751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2" name="Straight Connector 4731">
            <a:extLst>
              <a:ext uri="{FF2B5EF4-FFF2-40B4-BE49-F238E27FC236}">
                <a16:creationId xmlns:a16="http://schemas.microsoft.com/office/drawing/2014/main" id="{B5DAD741-6056-435A-9B30-4E26EB55AAF3}"/>
              </a:ext>
            </a:extLst>
          </xdr:cNvPr>
          <xdr:cNvCxnSpPr/>
        </xdr:nvCxnSpPr>
        <xdr:spPr>
          <a:xfrm flipH="1">
            <a:off x="2871787" y="503348624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3" name="Straight Connector 4732">
            <a:extLst>
              <a:ext uri="{FF2B5EF4-FFF2-40B4-BE49-F238E27FC236}">
                <a16:creationId xmlns:a16="http://schemas.microsoft.com/office/drawing/2014/main" id="{DE720A41-116A-4D92-8087-85891D7DE9B1}"/>
              </a:ext>
            </a:extLst>
          </xdr:cNvPr>
          <xdr:cNvCxnSpPr/>
        </xdr:nvCxnSpPr>
        <xdr:spPr>
          <a:xfrm flipH="1">
            <a:off x="5138735" y="503348624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4762</xdr:colOff>
      <xdr:row>2678</xdr:row>
      <xdr:rowOff>138113</xdr:rowOff>
    </xdr:from>
    <xdr:to>
      <xdr:col>42</xdr:col>
      <xdr:colOff>4764</xdr:colOff>
      <xdr:row>2692</xdr:row>
      <xdr:rowOff>71438</xdr:rowOff>
    </xdr:to>
    <xdr:grpSp>
      <xdr:nvGrpSpPr>
        <xdr:cNvPr id="4678" name="Group 4677">
          <a:extLst>
            <a:ext uri="{FF2B5EF4-FFF2-40B4-BE49-F238E27FC236}">
              <a16:creationId xmlns:a16="http://schemas.microsoft.com/office/drawing/2014/main" id="{FF555571-F6E6-ED70-50B1-42B5ECF60BFE}"/>
            </a:ext>
          </a:extLst>
        </xdr:cNvPr>
        <xdr:cNvGrpSpPr/>
      </xdr:nvGrpSpPr>
      <xdr:grpSpPr>
        <a:xfrm>
          <a:off x="1300162" y="401940713"/>
          <a:ext cx="5505452" cy="1933575"/>
          <a:chOff x="1300162" y="401940713"/>
          <a:chExt cx="5505452" cy="1933575"/>
        </a:xfrm>
      </xdr:grpSpPr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CB8E21B9-D02C-409E-9ED9-73C3C9232C14}"/>
              </a:ext>
            </a:extLst>
          </xdr:cNvPr>
          <xdr:cNvSpPr/>
        </xdr:nvSpPr>
        <xdr:spPr>
          <a:xfrm>
            <a:off x="6481764" y="402731289"/>
            <a:ext cx="323850" cy="1000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 w="635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B39916EE-1294-8877-8D1A-C344CE69725D}"/>
              </a:ext>
            </a:extLst>
          </xdr:cNvPr>
          <xdr:cNvSpPr/>
        </xdr:nvSpPr>
        <xdr:spPr>
          <a:xfrm>
            <a:off x="1300164" y="402702714"/>
            <a:ext cx="323850" cy="1000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 w="635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E6F8A322-A422-4130-A2AD-1F62D8813681}"/>
              </a:ext>
            </a:extLst>
          </xdr:cNvPr>
          <xdr:cNvSpPr/>
        </xdr:nvSpPr>
        <xdr:spPr>
          <a:xfrm>
            <a:off x="1457326" y="402469350"/>
            <a:ext cx="5181600" cy="1047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91" name="Isosceles Triangle 4190">
            <a:extLst>
              <a:ext uri="{FF2B5EF4-FFF2-40B4-BE49-F238E27FC236}">
                <a16:creationId xmlns:a16="http://schemas.microsoft.com/office/drawing/2014/main" id="{BA6F8732-3DD5-D9F0-F392-8CBD8DD707FD}"/>
              </a:ext>
            </a:extLst>
          </xdr:cNvPr>
          <xdr:cNvSpPr/>
        </xdr:nvSpPr>
        <xdr:spPr>
          <a:xfrm>
            <a:off x="1390651" y="402578888"/>
            <a:ext cx="138112" cy="11906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197" name="Straight Connector 4196">
            <a:extLst>
              <a:ext uri="{FF2B5EF4-FFF2-40B4-BE49-F238E27FC236}">
                <a16:creationId xmlns:a16="http://schemas.microsoft.com/office/drawing/2014/main" id="{8A394A0F-AE2C-77F7-7739-F8AB3C9649A0}"/>
              </a:ext>
            </a:extLst>
          </xdr:cNvPr>
          <xdr:cNvCxnSpPr/>
        </xdr:nvCxnSpPr>
        <xdr:spPr>
          <a:xfrm>
            <a:off x="1300162" y="402697951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07" name="Isosceles Triangle 4206">
            <a:extLst>
              <a:ext uri="{FF2B5EF4-FFF2-40B4-BE49-F238E27FC236}">
                <a16:creationId xmlns:a16="http://schemas.microsoft.com/office/drawing/2014/main" id="{AC220968-262D-4694-8D02-2CEFB92AC829}"/>
              </a:ext>
            </a:extLst>
          </xdr:cNvPr>
          <xdr:cNvSpPr/>
        </xdr:nvSpPr>
        <xdr:spPr>
          <a:xfrm>
            <a:off x="6572251" y="402574126"/>
            <a:ext cx="138112" cy="11906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208" name="Straight Connector 4207">
            <a:extLst>
              <a:ext uri="{FF2B5EF4-FFF2-40B4-BE49-F238E27FC236}">
                <a16:creationId xmlns:a16="http://schemas.microsoft.com/office/drawing/2014/main" id="{CFF76DA3-E582-426B-B18B-6AA9F5B10CE9}"/>
              </a:ext>
            </a:extLst>
          </xdr:cNvPr>
          <xdr:cNvCxnSpPr/>
        </xdr:nvCxnSpPr>
        <xdr:spPr>
          <a:xfrm>
            <a:off x="6481762" y="402721767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9" name="Straight Arrow Connector 4208">
            <a:extLst>
              <a:ext uri="{FF2B5EF4-FFF2-40B4-BE49-F238E27FC236}">
                <a16:creationId xmlns:a16="http://schemas.microsoft.com/office/drawing/2014/main" id="{3F6F80CE-6A18-416D-B3BC-0AC7736A8AC1}"/>
              </a:ext>
            </a:extLst>
          </xdr:cNvPr>
          <xdr:cNvCxnSpPr/>
        </xdr:nvCxnSpPr>
        <xdr:spPr>
          <a:xfrm>
            <a:off x="1943102" y="402250280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3" name="Straight Connector 4212">
            <a:extLst>
              <a:ext uri="{FF2B5EF4-FFF2-40B4-BE49-F238E27FC236}">
                <a16:creationId xmlns:a16="http://schemas.microsoft.com/office/drawing/2014/main" id="{A19FFAD0-BC9F-42ED-808B-7B02B3F396B7}"/>
              </a:ext>
            </a:extLst>
          </xdr:cNvPr>
          <xdr:cNvCxnSpPr/>
        </xdr:nvCxnSpPr>
        <xdr:spPr>
          <a:xfrm>
            <a:off x="1457325" y="402250282"/>
            <a:ext cx="51816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5" name="Straight Arrow Connector 4214">
            <a:extLst>
              <a:ext uri="{FF2B5EF4-FFF2-40B4-BE49-F238E27FC236}">
                <a16:creationId xmlns:a16="http://schemas.microsoft.com/office/drawing/2014/main" id="{566F4AD2-09D3-4575-AE5C-673C378A7837}"/>
              </a:ext>
            </a:extLst>
          </xdr:cNvPr>
          <xdr:cNvCxnSpPr/>
        </xdr:nvCxnSpPr>
        <xdr:spPr>
          <a:xfrm>
            <a:off x="2105027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8" name="Straight Arrow Connector 4227">
            <a:extLst>
              <a:ext uri="{FF2B5EF4-FFF2-40B4-BE49-F238E27FC236}">
                <a16:creationId xmlns:a16="http://schemas.microsoft.com/office/drawing/2014/main" id="{40627768-4840-48BB-AF05-18DDA7519528}"/>
              </a:ext>
            </a:extLst>
          </xdr:cNvPr>
          <xdr:cNvCxnSpPr/>
        </xdr:nvCxnSpPr>
        <xdr:spPr>
          <a:xfrm>
            <a:off x="2266952" y="402250280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3" name="Straight Arrow Connector 4232">
            <a:extLst>
              <a:ext uri="{FF2B5EF4-FFF2-40B4-BE49-F238E27FC236}">
                <a16:creationId xmlns:a16="http://schemas.microsoft.com/office/drawing/2014/main" id="{37620AA9-94C3-461D-A818-B1DFCFA6AD0F}"/>
              </a:ext>
            </a:extLst>
          </xdr:cNvPr>
          <xdr:cNvCxnSpPr/>
        </xdr:nvCxnSpPr>
        <xdr:spPr>
          <a:xfrm>
            <a:off x="2428877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8" name="Straight Arrow Connector 4237">
            <a:extLst>
              <a:ext uri="{FF2B5EF4-FFF2-40B4-BE49-F238E27FC236}">
                <a16:creationId xmlns:a16="http://schemas.microsoft.com/office/drawing/2014/main" id="{89F4915D-3AF2-4DCD-949D-EFF0683939B4}"/>
              </a:ext>
            </a:extLst>
          </xdr:cNvPr>
          <xdr:cNvCxnSpPr/>
        </xdr:nvCxnSpPr>
        <xdr:spPr>
          <a:xfrm>
            <a:off x="2590803" y="402250280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9" name="Straight Arrow Connector 4238">
            <a:extLst>
              <a:ext uri="{FF2B5EF4-FFF2-40B4-BE49-F238E27FC236}">
                <a16:creationId xmlns:a16="http://schemas.microsoft.com/office/drawing/2014/main" id="{032B4F11-CF0E-4A7B-8005-23467798E51A}"/>
              </a:ext>
            </a:extLst>
          </xdr:cNvPr>
          <xdr:cNvCxnSpPr/>
        </xdr:nvCxnSpPr>
        <xdr:spPr>
          <a:xfrm>
            <a:off x="2752728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5" name="Straight Arrow Connector 4244">
            <a:extLst>
              <a:ext uri="{FF2B5EF4-FFF2-40B4-BE49-F238E27FC236}">
                <a16:creationId xmlns:a16="http://schemas.microsoft.com/office/drawing/2014/main" id="{8CB8BF1C-2F8D-4642-A8FA-E71B0ECFCE99}"/>
              </a:ext>
            </a:extLst>
          </xdr:cNvPr>
          <xdr:cNvCxnSpPr/>
        </xdr:nvCxnSpPr>
        <xdr:spPr>
          <a:xfrm>
            <a:off x="2914653" y="402250280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6" name="Straight Arrow Connector 4245">
            <a:extLst>
              <a:ext uri="{FF2B5EF4-FFF2-40B4-BE49-F238E27FC236}">
                <a16:creationId xmlns:a16="http://schemas.microsoft.com/office/drawing/2014/main" id="{A9240F6E-1FA0-4147-A4FC-55FD337DA195}"/>
              </a:ext>
            </a:extLst>
          </xdr:cNvPr>
          <xdr:cNvCxnSpPr/>
        </xdr:nvCxnSpPr>
        <xdr:spPr>
          <a:xfrm>
            <a:off x="3076578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3" name="Straight Arrow Connector 4252">
            <a:extLst>
              <a:ext uri="{FF2B5EF4-FFF2-40B4-BE49-F238E27FC236}">
                <a16:creationId xmlns:a16="http://schemas.microsoft.com/office/drawing/2014/main" id="{5C6CCC14-D35E-4D87-9F71-E7201664030C}"/>
              </a:ext>
            </a:extLst>
          </xdr:cNvPr>
          <xdr:cNvCxnSpPr/>
        </xdr:nvCxnSpPr>
        <xdr:spPr>
          <a:xfrm>
            <a:off x="1457329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4" name="Straight Arrow Connector 4253">
            <a:extLst>
              <a:ext uri="{FF2B5EF4-FFF2-40B4-BE49-F238E27FC236}">
                <a16:creationId xmlns:a16="http://schemas.microsoft.com/office/drawing/2014/main" id="{813CCE93-364F-4E64-BC74-D4A19AADEE0C}"/>
              </a:ext>
            </a:extLst>
          </xdr:cNvPr>
          <xdr:cNvCxnSpPr/>
        </xdr:nvCxnSpPr>
        <xdr:spPr>
          <a:xfrm>
            <a:off x="1619254" y="402250280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5" name="Straight Arrow Connector 4254">
            <a:extLst>
              <a:ext uri="{FF2B5EF4-FFF2-40B4-BE49-F238E27FC236}">
                <a16:creationId xmlns:a16="http://schemas.microsoft.com/office/drawing/2014/main" id="{7A7DC814-0398-43CF-8810-09A16B3A617A}"/>
              </a:ext>
            </a:extLst>
          </xdr:cNvPr>
          <xdr:cNvCxnSpPr/>
        </xdr:nvCxnSpPr>
        <xdr:spPr>
          <a:xfrm>
            <a:off x="1781179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8" name="Straight Connector 4257">
            <a:extLst>
              <a:ext uri="{FF2B5EF4-FFF2-40B4-BE49-F238E27FC236}">
                <a16:creationId xmlns:a16="http://schemas.microsoft.com/office/drawing/2014/main" id="{AB2D4D0E-79D1-4D49-884E-B4245FDFE032}"/>
              </a:ext>
            </a:extLst>
          </xdr:cNvPr>
          <xdr:cNvCxnSpPr/>
        </xdr:nvCxnSpPr>
        <xdr:spPr>
          <a:xfrm flipH="1" flipV="1">
            <a:off x="2314575" y="402078825"/>
            <a:ext cx="114302" cy="233367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0" name="Straight Arrow Connector 4259">
            <a:extLst>
              <a:ext uri="{FF2B5EF4-FFF2-40B4-BE49-F238E27FC236}">
                <a16:creationId xmlns:a16="http://schemas.microsoft.com/office/drawing/2014/main" id="{2C1FDE13-A538-4BF3-B4D0-ECB76A619622}"/>
              </a:ext>
            </a:extLst>
          </xdr:cNvPr>
          <xdr:cNvCxnSpPr/>
        </xdr:nvCxnSpPr>
        <xdr:spPr>
          <a:xfrm>
            <a:off x="3724277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0" name="Straight Arrow Connector 4279">
            <a:extLst>
              <a:ext uri="{FF2B5EF4-FFF2-40B4-BE49-F238E27FC236}">
                <a16:creationId xmlns:a16="http://schemas.microsoft.com/office/drawing/2014/main" id="{C9EE37A9-1C04-4805-8EF5-279D034DE0B8}"/>
              </a:ext>
            </a:extLst>
          </xdr:cNvPr>
          <xdr:cNvCxnSpPr/>
        </xdr:nvCxnSpPr>
        <xdr:spPr>
          <a:xfrm>
            <a:off x="3886202" y="40225028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6" name="Straight Arrow Connector 4355">
            <a:extLst>
              <a:ext uri="{FF2B5EF4-FFF2-40B4-BE49-F238E27FC236}">
                <a16:creationId xmlns:a16="http://schemas.microsoft.com/office/drawing/2014/main" id="{88752228-1870-47B3-845A-EDAF6CF977E9}"/>
              </a:ext>
            </a:extLst>
          </xdr:cNvPr>
          <xdr:cNvCxnSpPr/>
        </xdr:nvCxnSpPr>
        <xdr:spPr>
          <a:xfrm>
            <a:off x="4210052" y="40225028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8" name="Straight Arrow Connector 4357">
            <a:extLst>
              <a:ext uri="{FF2B5EF4-FFF2-40B4-BE49-F238E27FC236}">
                <a16:creationId xmlns:a16="http://schemas.microsoft.com/office/drawing/2014/main" id="{E6F70F4C-A0DB-4B72-8D0B-F51F4DD352FD}"/>
              </a:ext>
            </a:extLst>
          </xdr:cNvPr>
          <xdr:cNvCxnSpPr/>
        </xdr:nvCxnSpPr>
        <xdr:spPr>
          <a:xfrm>
            <a:off x="4371978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5" name="Straight Arrow Connector 4384">
            <a:extLst>
              <a:ext uri="{FF2B5EF4-FFF2-40B4-BE49-F238E27FC236}">
                <a16:creationId xmlns:a16="http://schemas.microsoft.com/office/drawing/2014/main" id="{DE4A172E-1F52-4CCE-BDDC-FA19A279732A}"/>
              </a:ext>
            </a:extLst>
          </xdr:cNvPr>
          <xdr:cNvCxnSpPr/>
        </xdr:nvCxnSpPr>
        <xdr:spPr>
          <a:xfrm>
            <a:off x="4533903" y="40225028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6" name="Straight Arrow Connector 4385">
            <a:extLst>
              <a:ext uri="{FF2B5EF4-FFF2-40B4-BE49-F238E27FC236}">
                <a16:creationId xmlns:a16="http://schemas.microsoft.com/office/drawing/2014/main" id="{28863339-66C1-423F-A475-28002E889980}"/>
              </a:ext>
            </a:extLst>
          </xdr:cNvPr>
          <xdr:cNvCxnSpPr/>
        </xdr:nvCxnSpPr>
        <xdr:spPr>
          <a:xfrm>
            <a:off x="4695828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4" name="Straight Arrow Connector 4393">
            <a:extLst>
              <a:ext uri="{FF2B5EF4-FFF2-40B4-BE49-F238E27FC236}">
                <a16:creationId xmlns:a16="http://schemas.microsoft.com/office/drawing/2014/main" id="{9800EE8F-BE6B-4570-B51D-34A9C6E3ACF3}"/>
              </a:ext>
            </a:extLst>
          </xdr:cNvPr>
          <xdr:cNvCxnSpPr/>
        </xdr:nvCxnSpPr>
        <xdr:spPr>
          <a:xfrm>
            <a:off x="4857753" y="40225028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1" name="Straight Arrow Connector 4410">
            <a:extLst>
              <a:ext uri="{FF2B5EF4-FFF2-40B4-BE49-F238E27FC236}">
                <a16:creationId xmlns:a16="http://schemas.microsoft.com/office/drawing/2014/main" id="{D97C6654-7F6D-42CA-8C6E-D44E7F1FD497}"/>
              </a:ext>
            </a:extLst>
          </xdr:cNvPr>
          <xdr:cNvCxnSpPr/>
        </xdr:nvCxnSpPr>
        <xdr:spPr>
          <a:xfrm>
            <a:off x="3238504" y="40225028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7" name="Straight Arrow Connector 4416">
            <a:extLst>
              <a:ext uri="{FF2B5EF4-FFF2-40B4-BE49-F238E27FC236}">
                <a16:creationId xmlns:a16="http://schemas.microsoft.com/office/drawing/2014/main" id="{C1303BA6-80BB-4811-B7AD-F6CC1CE9527D}"/>
              </a:ext>
            </a:extLst>
          </xdr:cNvPr>
          <xdr:cNvCxnSpPr/>
        </xdr:nvCxnSpPr>
        <xdr:spPr>
          <a:xfrm>
            <a:off x="3400429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8" name="Straight Arrow Connector 4417">
            <a:extLst>
              <a:ext uri="{FF2B5EF4-FFF2-40B4-BE49-F238E27FC236}">
                <a16:creationId xmlns:a16="http://schemas.microsoft.com/office/drawing/2014/main" id="{C242A67A-18DE-474A-A22E-AC561A7E7D58}"/>
              </a:ext>
            </a:extLst>
          </xdr:cNvPr>
          <xdr:cNvCxnSpPr/>
        </xdr:nvCxnSpPr>
        <xdr:spPr>
          <a:xfrm>
            <a:off x="3562354" y="402250282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2" name="Straight Arrow Connector 4421">
            <a:extLst>
              <a:ext uri="{FF2B5EF4-FFF2-40B4-BE49-F238E27FC236}">
                <a16:creationId xmlns:a16="http://schemas.microsoft.com/office/drawing/2014/main" id="{C9CAFE34-58D6-4DC4-871D-51D756BAF2D4}"/>
              </a:ext>
            </a:extLst>
          </xdr:cNvPr>
          <xdr:cNvCxnSpPr/>
        </xdr:nvCxnSpPr>
        <xdr:spPr>
          <a:xfrm>
            <a:off x="5343527" y="402250280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4" name="Straight Arrow Connector 4423">
            <a:extLst>
              <a:ext uri="{FF2B5EF4-FFF2-40B4-BE49-F238E27FC236}">
                <a16:creationId xmlns:a16="http://schemas.microsoft.com/office/drawing/2014/main" id="{EB970581-AE58-4333-B8C2-F59C415B4EC3}"/>
              </a:ext>
            </a:extLst>
          </xdr:cNvPr>
          <xdr:cNvCxnSpPr/>
        </xdr:nvCxnSpPr>
        <xdr:spPr>
          <a:xfrm>
            <a:off x="5505452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0" name="Straight Arrow Connector 4429">
            <a:extLst>
              <a:ext uri="{FF2B5EF4-FFF2-40B4-BE49-F238E27FC236}">
                <a16:creationId xmlns:a16="http://schemas.microsoft.com/office/drawing/2014/main" id="{177B04F9-9EFE-4AB3-B7A0-F1D0D6003568}"/>
              </a:ext>
            </a:extLst>
          </xdr:cNvPr>
          <xdr:cNvCxnSpPr/>
        </xdr:nvCxnSpPr>
        <xdr:spPr>
          <a:xfrm>
            <a:off x="5667377" y="402250280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3" name="Straight Arrow Connector 4432">
            <a:extLst>
              <a:ext uri="{FF2B5EF4-FFF2-40B4-BE49-F238E27FC236}">
                <a16:creationId xmlns:a16="http://schemas.microsoft.com/office/drawing/2014/main" id="{C85B1CB2-DD5D-4428-B257-2439F8D331AE}"/>
              </a:ext>
            </a:extLst>
          </xdr:cNvPr>
          <xdr:cNvCxnSpPr/>
        </xdr:nvCxnSpPr>
        <xdr:spPr>
          <a:xfrm>
            <a:off x="5829302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8" name="Straight Arrow Connector 4507">
            <a:extLst>
              <a:ext uri="{FF2B5EF4-FFF2-40B4-BE49-F238E27FC236}">
                <a16:creationId xmlns:a16="http://schemas.microsoft.com/office/drawing/2014/main" id="{8B684C78-11CF-40D1-84DE-4BD2374B46B1}"/>
              </a:ext>
            </a:extLst>
          </xdr:cNvPr>
          <xdr:cNvCxnSpPr/>
        </xdr:nvCxnSpPr>
        <xdr:spPr>
          <a:xfrm>
            <a:off x="5991228" y="402250280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0" name="Straight Arrow Connector 4509">
            <a:extLst>
              <a:ext uri="{FF2B5EF4-FFF2-40B4-BE49-F238E27FC236}">
                <a16:creationId xmlns:a16="http://schemas.microsoft.com/office/drawing/2014/main" id="{313F08C6-C516-47BB-9B53-51D76473A180}"/>
              </a:ext>
            </a:extLst>
          </xdr:cNvPr>
          <xdr:cNvCxnSpPr/>
        </xdr:nvCxnSpPr>
        <xdr:spPr>
          <a:xfrm>
            <a:off x="6153153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1" name="Straight Arrow Connector 4510">
            <a:extLst>
              <a:ext uri="{FF2B5EF4-FFF2-40B4-BE49-F238E27FC236}">
                <a16:creationId xmlns:a16="http://schemas.microsoft.com/office/drawing/2014/main" id="{1BD73F6B-99F9-4875-B0AB-ADED40E792AD}"/>
              </a:ext>
            </a:extLst>
          </xdr:cNvPr>
          <xdr:cNvCxnSpPr/>
        </xdr:nvCxnSpPr>
        <xdr:spPr>
          <a:xfrm>
            <a:off x="6315078" y="402250280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5" name="Straight Arrow Connector 4514">
            <a:extLst>
              <a:ext uri="{FF2B5EF4-FFF2-40B4-BE49-F238E27FC236}">
                <a16:creationId xmlns:a16="http://schemas.microsoft.com/office/drawing/2014/main" id="{0B97F29A-EFB1-41B7-AAB7-024069E0B375}"/>
              </a:ext>
            </a:extLst>
          </xdr:cNvPr>
          <xdr:cNvCxnSpPr/>
        </xdr:nvCxnSpPr>
        <xdr:spPr>
          <a:xfrm>
            <a:off x="6477003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6" name="Straight Arrow Connector 4515">
            <a:extLst>
              <a:ext uri="{FF2B5EF4-FFF2-40B4-BE49-F238E27FC236}">
                <a16:creationId xmlns:a16="http://schemas.microsoft.com/office/drawing/2014/main" id="{BBE83435-58B4-4973-B474-1B5A265B3087}"/>
              </a:ext>
            </a:extLst>
          </xdr:cNvPr>
          <xdr:cNvCxnSpPr/>
        </xdr:nvCxnSpPr>
        <xdr:spPr>
          <a:xfrm>
            <a:off x="5019679" y="402250280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7" name="Straight Arrow Connector 4516">
            <a:extLst>
              <a:ext uri="{FF2B5EF4-FFF2-40B4-BE49-F238E27FC236}">
                <a16:creationId xmlns:a16="http://schemas.microsoft.com/office/drawing/2014/main" id="{B27C7571-E1E8-49D4-A0AD-785C243416CF}"/>
              </a:ext>
            </a:extLst>
          </xdr:cNvPr>
          <xdr:cNvCxnSpPr/>
        </xdr:nvCxnSpPr>
        <xdr:spPr>
          <a:xfrm>
            <a:off x="5181604" y="402250281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8" name="Straight Arrow Connector 4517">
            <a:extLst>
              <a:ext uri="{FF2B5EF4-FFF2-40B4-BE49-F238E27FC236}">
                <a16:creationId xmlns:a16="http://schemas.microsoft.com/office/drawing/2014/main" id="{8CF475F7-4DD2-432C-8F1F-E269D28D5AB3}"/>
              </a:ext>
            </a:extLst>
          </xdr:cNvPr>
          <xdr:cNvCxnSpPr/>
        </xdr:nvCxnSpPr>
        <xdr:spPr>
          <a:xfrm>
            <a:off x="6638925" y="402255039"/>
            <a:ext cx="0" cy="21431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306C9DED-DDF1-4003-A4C9-6D261D6EC5C6}"/>
              </a:ext>
            </a:extLst>
          </xdr:cNvPr>
          <xdr:cNvSpPr/>
        </xdr:nvSpPr>
        <xdr:spPr>
          <a:xfrm>
            <a:off x="2909888" y="402755092"/>
            <a:ext cx="2266950" cy="95258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20" name="Oval 4519">
            <a:extLst>
              <a:ext uri="{FF2B5EF4-FFF2-40B4-BE49-F238E27FC236}">
                <a16:creationId xmlns:a16="http://schemas.microsoft.com/office/drawing/2014/main" id="{3239AC2C-0FC8-B318-F93F-CCC6E2B7D24D}"/>
              </a:ext>
            </a:extLst>
          </xdr:cNvPr>
          <xdr:cNvSpPr/>
        </xdr:nvSpPr>
        <xdr:spPr>
          <a:xfrm>
            <a:off x="3952873" y="402574124"/>
            <a:ext cx="180976" cy="180976"/>
          </a:xfrm>
          <a:prstGeom prst="ellips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A3F2816D-DDF7-49AF-BB81-230B785FDDDB}"/>
              </a:ext>
            </a:extLst>
          </xdr:cNvPr>
          <xdr:cNvSpPr/>
        </xdr:nvSpPr>
        <xdr:spPr>
          <a:xfrm>
            <a:off x="2752727" y="402978933"/>
            <a:ext cx="323850" cy="100012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 w="635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522" name="Isosceles Triangle 4521">
            <a:extLst>
              <a:ext uri="{FF2B5EF4-FFF2-40B4-BE49-F238E27FC236}">
                <a16:creationId xmlns:a16="http://schemas.microsoft.com/office/drawing/2014/main" id="{4A300264-FD25-49CB-B987-9E0C607F8F40}"/>
              </a:ext>
            </a:extLst>
          </xdr:cNvPr>
          <xdr:cNvSpPr/>
        </xdr:nvSpPr>
        <xdr:spPr>
          <a:xfrm>
            <a:off x="2843214" y="402855107"/>
            <a:ext cx="138112" cy="11906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523" name="Straight Connector 4522">
            <a:extLst>
              <a:ext uri="{FF2B5EF4-FFF2-40B4-BE49-F238E27FC236}">
                <a16:creationId xmlns:a16="http://schemas.microsoft.com/office/drawing/2014/main" id="{D7F157D0-B6A8-4EEE-B21A-72A41432658A}"/>
              </a:ext>
            </a:extLst>
          </xdr:cNvPr>
          <xdr:cNvCxnSpPr/>
        </xdr:nvCxnSpPr>
        <xdr:spPr>
          <a:xfrm>
            <a:off x="2752725" y="402974170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6F36F87-4004-4707-AA31-61C30827182A}"/>
              </a:ext>
            </a:extLst>
          </xdr:cNvPr>
          <xdr:cNvSpPr/>
        </xdr:nvSpPr>
        <xdr:spPr>
          <a:xfrm>
            <a:off x="5019677" y="403002749"/>
            <a:ext cx="323850" cy="104776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 w="635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525" name="Isosceles Triangle 4524">
            <a:extLst>
              <a:ext uri="{FF2B5EF4-FFF2-40B4-BE49-F238E27FC236}">
                <a16:creationId xmlns:a16="http://schemas.microsoft.com/office/drawing/2014/main" id="{C5E7DE3A-D140-4FC7-8B9A-A3458EB74AF1}"/>
              </a:ext>
            </a:extLst>
          </xdr:cNvPr>
          <xdr:cNvSpPr/>
        </xdr:nvSpPr>
        <xdr:spPr>
          <a:xfrm>
            <a:off x="5110164" y="402850345"/>
            <a:ext cx="138112" cy="11906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526" name="Straight Connector 4525">
            <a:extLst>
              <a:ext uri="{FF2B5EF4-FFF2-40B4-BE49-F238E27FC236}">
                <a16:creationId xmlns:a16="http://schemas.microsoft.com/office/drawing/2014/main" id="{ABE6233E-25EA-44AB-AF2A-C3A577207F66}"/>
              </a:ext>
            </a:extLst>
          </xdr:cNvPr>
          <xdr:cNvCxnSpPr/>
        </xdr:nvCxnSpPr>
        <xdr:spPr>
          <a:xfrm>
            <a:off x="5019675" y="402997986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8" name="Straight Connector 4527">
            <a:extLst>
              <a:ext uri="{FF2B5EF4-FFF2-40B4-BE49-F238E27FC236}">
                <a16:creationId xmlns:a16="http://schemas.microsoft.com/office/drawing/2014/main" id="{9B58CBB0-9EBC-5157-E642-E4F520FC69B0}"/>
              </a:ext>
            </a:extLst>
          </xdr:cNvPr>
          <xdr:cNvCxnSpPr/>
        </xdr:nvCxnSpPr>
        <xdr:spPr>
          <a:xfrm>
            <a:off x="1457325" y="402836063"/>
            <a:ext cx="0" cy="1038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1" name="Straight Connector 4530">
            <a:extLst>
              <a:ext uri="{FF2B5EF4-FFF2-40B4-BE49-F238E27FC236}">
                <a16:creationId xmlns:a16="http://schemas.microsoft.com/office/drawing/2014/main" id="{E7CC6ECE-0373-AB4B-8888-1902EE353A42}"/>
              </a:ext>
            </a:extLst>
          </xdr:cNvPr>
          <xdr:cNvCxnSpPr/>
        </xdr:nvCxnSpPr>
        <xdr:spPr>
          <a:xfrm>
            <a:off x="2914650" y="403126575"/>
            <a:ext cx="0" cy="471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3" name="Straight Connector 4532">
            <a:extLst>
              <a:ext uri="{FF2B5EF4-FFF2-40B4-BE49-F238E27FC236}">
                <a16:creationId xmlns:a16="http://schemas.microsoft.com/office/drawing/2014/main" id="{CCF56583-AC97-CC55-D546-12580142090F}"/>
              </a:ext>
            </a:extLst>
          </xdr:cNvPr>
          <xdr:cNvCxnSpPr/>
        </xdr:nvCxnSpPr>
        <xdr:spPr>
          <a:xfrm>
            <a:off x="1381125" y="403517101"/>
            <a:ext cx="5329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5" name="Straight Connector 4534">
            <a:extLst>
              <a:ext uri="{FF2B5EF4-FFF2-40B4-BE49-F238E27FC236}">
                <a16:creationId xmlns:a16="http://schemas.microsoft.com/office/drawing/2014/main" id="{7207C8F3-9DE9-62C0-F65E-943F0663325E}"/>
              </a:ext>
            </a:extLst>
          </xdr:cNvPr>
          <xdr:cNvCxnSpPr/>
        </xdr:nvCxnSpPr>
        <xdr:spPr>
          <a:xfrm flipH="1">
            <a:off x="2871788" y="4034790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7" name="Straight Connector 4536">
            <a:extLst>
              <a:ext uri="{FF2B5EF4-FFF2-40B4-BE49-F238E27FC236}">
                <a16:creationId xmlns:a16="http://schemas.microsoft.com/office/drawing/2014/main" id="{E0F0154A-79A9-410A-A562-69044A1C42C4}"/>
              </a:ext>
            </a:extLst>
          </xdr:cNvPr>
          <xdr:cNvCxnSpPr/>
        </xdr:nvCxnSpPr>
        <xdr:spPr>
          <a:xfrm>
            <a:off x="5181600" y="403140863"/>
            <a:ext cx="0" cy="457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8" name="Straight Connector 4537">
            <a:extLst>
              <a:ext uri="{FF2B5EF4-FFF2-40B4-BE49-F238E27FC236}">
                <a16:creationId xmlns:a16="http://schemas.microsoft.com/office/drawing/2014/main" id="{0C1582EC-6786-4327-B729-29BF862C21C9}"/>
              </a:ext>
            </a:extLst>
          </xdr:cNvPr>
          <xdr:cNvCxnSpPr/>
        </xdr:nvCxnSpPr>
        <xdr:spPr>
          <a:xfrm flipH="1">
            <a:off x="5138738" y="4034790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2" name="Straight Connector 4541">
            <a:extLst>
              <a:ext uri="{FF2B5EF4-FFF2-40B4-BE49-F238E27FC236}">
                <a16:creationId xmlns:a16="http://schemas.microsoft.com/office/drawing/2014/main" id="{61A0A2E1-608F-44A0-BCA5-1FC3F62D4CF0}"/>
              </a:ext>
            </a:extLst>
          </xdr:cNvPr>
          <xdr:cNvCxnSpPr/>
        </xdr:nvCxnSpPr>
        <xdr:spPr>
          <a:xfrm flipH="1">
            <a:off x="1414466" y="403479004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3" name="Straight Connector 4542">
            <a:extLst>
              <a:ext uri="{FF2B5EF4-FFF2-40B4-BE49-F238E27FC236}">
                <a16:creationId xmlns:a16="http://schemas.microsoft.com/office/drawing/2014/main" id="{2C0881A6-F5BF-4A1D-AC10-15F752B6EADC}"/>
              </a:ext>
            </a:extLst>
          </xdr:cNvPr>
          <xdr:cNvCxnSpPr/>
        </xdr:nvCxnSpPr>
        <xdr:spPr>
          <a:xfrm>
            <a:off x="1381125" y="403802850"/>
            <a:ext cx="5329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4" name="Straight Connector 4543">
            <a:extLst>
              <a:ext uri="{FF2B5EF4-FFF2-40B4-BE49-F238E27FC236}">
                <a16:creationId xmlns:a16="http://schemas.microsoft.com/office/drawing/2014/main" id="{55C50AFC-C9D8-4DA5-8F98-38C7567FC01E}"/>
              </a:ext>
            </a:extLst>
          </xdr:cNvPr>
          <xdr:cNvCxnSpPr/>
        </xdr:nvCxnSpPr>
        <xdr:spPr>
          <a:xfrm flipH="1">
            <a:off x="1414466" y="403764753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8" name="Straight Connector 4547">
            <a:extLst>
              <a:ext uri="{FF2B5EF4-FFF2-40B4-BE49-F238E27FC236}">
                <a16:creationId xmlns:a16="http://schemas.microsoft.com/office/drawing/2014/main" id="{749835EF-B133-4DA7-B46E-1EC9469D1E1E}"/>
              </a:ext>
            </a:extLst>
          </xdr:cNvPr>
          <xdr:cNvCxnSpPr/>
        </xdr:nvCxnSpPr>
        <xdr:spPr>
          <a:xfrm>
            <a:off x="6638925" y="402836063"/>
            <a:ext cx="0" cy="1038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9" name="Straight Connector 4548">
            <a:extLst>
              <a:ext uri="{FF2B5EF4-FFF2-40B4-BE49-F238E27FC236}">
                <a16:creationId xmlns:a16="http://schemas.microsoft.com/office/drawing/2014/main" id="{1C033EDD-E949-4C4D-811D-CD208E6D16BF}"/>
              </a:ext>
            </a:extLst>
          </xdr:cNvPr>
          <xdr:cNvCxnSpPr/>
        </xdr:nvCxnSpPr>
        <xdr:spPr>
          <a:xfrm flipH="1">
            <a:off x="6596066" y="403479004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0" name="Straight Connector 4549">
            <a:extLst>
              <a:ext uri="{FF2B5EF4-FFF2-40B4-BE49-F238E27FC236}">
                <a16:creationId xmlns:a16="http://schemas.microsoft.com/office/drawing/2014/main" id="{A2D6C42B-3436-42F4-81AB-D5E926064AA3}"/>
              </a:ext>
            </a:extLst>
          </xdr:cNvPr>
          <xdr:cNvCxnSpPr/>
        </xdr:nvCxnSpPr>
        <xdr:spPr>
          <a:xfrm flipH="1">
            <a:off x="6596066" y="403764753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2" name="Straight Arrow Connector 4551">
            <a:extLst>
              <a:ext uri="{FF2B5EF4-FFF2-40B4-BE49-F238E27FC236}">
                <a16:creationId xmlns:a16="http://schemas.microsoft.com/office/drawing/2014/main" id="{B84AE9D4-3625-416E-BE21-33233B7EEE1F}"/>
              </a:ext>
            </a:extLst>
          </xdr:cNvPr>
          <xdr:cNvCxnSpPr/>
        </xdr:nvCxnSpPr>
        <xdr:spPr>
          <a:xfrm>
            <a:off x="4048125" y="401940713"/>
            <a:ext cx="0" cy="528644"/>
          </a:xfrm>
          <a:prstGeom prst="straightConnector1">
            <a:avLst/>
          </a:prstGeom>
          <a:ln w="15875">
            <a:solidFill>
              <a:schemeClr val="bg1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0" name="Straight Connector 4619">
            <a:extLst>
              <a:ext uri="{FF2B5EF4-FFF2-40B4-BE49-F238E27FC236}">
                <a16:creationId xmlns:a16="http://schemas.microsoft.com/office/drawing/2014/main" id="{923CEA8A-96FD-45B2-8CF0-CCDF71BCB271}"/>
              </a:ext>
            </a:extLst>
          </xdr:cNvPr>
          <xdr:cNvCxnSpPr/>
        </xdr:nvCxnSpPr>
        <xdr:spPr>
          <a:xfrm>
            <a:off x="4981577" y="402788442"/>
            <a:ext cx="504823" cy="52383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2" name="Straight Connector 4621">
            <a:extLst>
              <a:ext uri="{FF2B5EF4-FFF2-40B4-BE49-F238E27FC236}">
                <a16:creationId xmlns:a16="http://schemas.microsoft.com/office/drawing/2014/main" id="{52A4B4F1-212F-4FF2-A977-DD889019D937}"/>
              </a:ext>
            </a:extLst>
          </xdr:cNvPr>
          <xdr:cNvCxnSpPr/>
        </xdr:nvCxnSpPr>
        <xdr:spPr>
          <a:xfrm flipV="1">
            <a:off x="5238750" y="402078825"/>
            <a:ext cx="180975" cy="4476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4" name="Straight Connector 4623">
            <a:extLst>
              <a:ext uri="{FF2B5EF4-FFF2-40B4-BE49-F238E27FC236}">
                <a16:creationId xmlns:a16="http://schemas.microsoft.com/office/drawing/2014/main" id="{31BF5279-39A8-A3FA-7003-98DE936D8605}"/>
              </a:ext>
            </a:extLst>
          </xdr:cNvPr>
          <xdr:cNvCxnSpPr/>
        </xdr:nvCxnSpPr>
        <xdr:spPr>
          <a:xfrm>
            <a:off x="2843213" y="403231349"/>
            <a:ext cx="24145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6" name="Straight Connector 4665">
            <a:extLst>
              <a:ext uri="{FF2B5EF4-FFF2-40B4-BE49-F238E27FC236}">
                <a16:creationId xmlns:a16="http://schemas.microsoft.com/office/drawing/2014/main" id="{F4AB7BF5-ABC4-4548-9A82-FBCE32B0EF0B}"/>
              </a:ext>
            </a:extLst>
          </xdr:cNvPr>
          <xdr:cNvCxnSpPr/>
        </xdr:nvCxnSpPr>
        <xdr:spPr>
          <a:xfrm flipH="1">
            <a:off x="2871787" y="4031932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7" name="Straight Connector 4666">
            <a:extLst>
              <a:ext uri="{FF2B5EF4-FFF2-40B4-BE49-F238E27FC236}">
                <a16:creationId xmlns:a16="http://schemas.microsoft.com/office/drawing/2014/main" id="{E64136EA-7C1A-4C82-B37D-346525D33924}"/>
              </a:ext>
            </a:extLst>
          </xdr:cNvPr>
          <xdr:cNvCxnSpPr/>
        </xdr:nvCxnSpPr>
        <xdr:spPr>
          <a:xfrm flipH="1">
            <a:off x="5138737" y="4031932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0" name="Straight Connector 4669">
            <a:extLst>
              <a:ext uri="{FF2B5EF4-FFF2-40B4-BE49-F238E27FC236}">
                <a16:creationId xmlns:a16="http://schemas.microsoft.com/office/drawing/2014/main" id="{6655D79E-71AF-B11E-3E25-C679DD3EDEB6}"/>
              </a:ext>
            </a:extLst>
          </xdr:cNvPr>
          <xdr:cNvCxnSpPr/>
        </xdr:nvCxnSpPr>
        <xdr:spPr>
          <a:xfrm>
            <a:off x="4048125" y="402936075"/>
            <a:ext cx="0" cy="371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2" name="Straight Connector 4671">
            <a:extLst>
              <a:ext uri="{FF2B5EF4-FFF2-40B4-BE49-F238E27FC236}">
                <a16:creationId xmlns:a16="http://schemas.microsoft.com/office/drawing/2014/main" id="{BEFEF11D-CCD2-4E1D-9BE1-C37316D7A5D5}"/>
              </a:ext>
            </a:extLst>
          </xdr:cNvPr>
          <xdr:cNvCxnSpPr/>
        </xdr:nvCxnSpPr>
        <xdr:spPr>
          <a:xfrm flipH="1">
            <a:off x="4005260" y="403193256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 w="6350">
          <a:solidFill>
            <a:schemeClr val="tx1"/>
          </a:solidFill>
        </a:ln>
      </a:spPr>
      <a:bodyPr vertOverflow="clip" horzOverflow="clip" rtlCol="0" anchor="t"/>
      <a:lstStyle>
        <a:defPPr marL="0" indent="0" algn="l">
          <a:defRPr sz="1100">
            <a:solidFill>
              <a:schemeClr val="lt1"/>
            </a:solidFill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D1EA-0D4C-4C48-BB41-16A2F79D4A4E}">
  <sheetPr>
    <pageSetUpPr fitToPage="1"/>
  </sheetPr>
  <dimension ref="B1:CN2980"/>
  <sheetViews>
    <sheetView showGridLines="0" tabSelected="1" topLeftCell="A1760" zoomScaleNormal="100" workbookViewId="0">
      <selection activeCell="AZ1791" sqref="AZ1791"/>
    </sheetView>
  </sheetViews>
  <sheetFormatPr defaultRowHeight="11.25"/>
  <cols>
    <col min="1" max="83" width="2.83203125" style="1" customWidth="1"/>
    <col min="84" max="84" width="8.1640625" style="1" customWidth="1"/>
    <col min="85" max="85" width="19.5" style="1" customWidth="1"/>
    <col min="86" max="89" width="8.1640625" style="1" customWidth="1"/>
    <col min="90" max="90" width="10.33203125" style="1" customWidth="1"/>
    <col min="91" max="91" width="12" style="1" customWidth="1"/>
    <col min="92" max="1300" width="2.83203125" style="1" customWidth="1"/>
    <col min="1301" max="16384" width="9.33203125" style="1"/>
  </cols>
  <sheetData>
    <row r="1" spans="2:92" ht="12" thickBot="1"/>
    <row r="2" spans="2:92" ht="48" customHeight="1">
      <c r="B2" s="73" t="s">
        <v>203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5"/>
      <c r="CF2" s="83" t="s">
        <v>296</v>
      </c>
      <c r="CG2" s="84"/>
      <c r="CH2" s="84"/>
      <c r="CI2" s="84"/>
      <c r="CJ2" s="84"/>
      <c r="CK2" s="84"/>
      <c r="CL2" s="85"/>
    </row>
    <row r="3" spans="2:92">
      <c r="B3" s="6"/>
      <c r="S3" s="8" t="s">
        <v>176</v>
      </c>
      <c r="CC3" s="7"/>
    </row>
    <row r="4" spans="2:92">
      <c r="B4" s="6"/>
      <c r="BD4" s="1" t="s">
        <v>290</v>
      </c>
      <c r="CC4" s="7"/>
      <c r="CF4" s="86" t="s">
        <v>224</v>
      </c>
      <c r="CG4" s="87"/>
      <c r="CH4" s="87"/>
      <c r="CI4" s="87"/>
      <c r="CJ4" s="87"/>
      <c r="CK4" s="87"/>
      <c r="CL4" s="88"/>
      <c r="CM4" s="27"/>
      <c r="CN4" s="28"/>
    </row>
    <row r="5" spans="2:92">
      <c r="B5" s="6"/>
      <c r="O5" s="67" t="s">
        <v>171</v>
      </c>
      <c r="P5" s="67"/>
      <c r="Q5" s="67"/>
      <c r="R5" s="67"/>
      <c r="S5" s="67"/>
      <c r="T5" s="67"/>
      <c r="Z5" s="67">
        <v>20</v>
      </c>
      <c r="AA5" s="67"/>
      <c r="AB5" s="1" t="s">
        <v>0</v>
      </c>
      <c r="AE5" s="67">
        <v>20</v>
      </c>
      <c r="AF5" s="67"/>
      <c r="AG5" s="1" t="s">
        <v>0</v>
      </c>
      <c r="AJ5" s="67">
        <v>20</v>
      </c>
      <c r="AK5" s="67"/>
      <c r="AL5" s="1" t="s">
        <v>0</v>
      </c>
      <c r="AO5" s="67">
        <v>20</v>
      </c>
      <c r="AP5" s="67"/>
      <c r="AQ5" s="1" t="s">
        <v>0</v>
      </c>
      <c r="AT5" s="67">
        <v>20</v>
      </c>
      <c r="AU5" s="67"/>
      <c r="AV5" s="1" t="s">
        <v>0</v>
      </c>
      <c r="AY5" s="67">
        <v>20</v>
      </c>
      <c r="AZ5" s="67"/>
      <c r="BA5" s="1" t="s">
        <v>0</v>
      </c>
      <c r="CC5" s="7"/>
      <c r="CF5" s="30"/>
      <c r="CG5" s="31"/>
      <c r="CH5" s="31"/>
      <c r="CI5" s="31"/>
      <c r="CJ5" s="31"/>
      <c r="CK5" s="31"/>
      <c r="CL5" s="32"/>
      <c r="CM5" s="25"/>
      <c r="CN5" s="26"/>
    </row>
    <row r="6" spans="2:92">
      <c r="B6" s="6"/>
      <c r="AL6" s="67">
        <v>13</v>
      </c>
      <c r="AM6" s="67"/>
      <c r="AN6" s="1" t="s">
        <v>187</v>
      </c>
      <c r="BI6" s="23" t="s">
        <v>341</v>
      </c>
      <c r="CC6" s="7"/>
      <c r="CF6" s="33" t="s">
        <v>225</v>
      </c>
      <c r="CG6" s="31"/>
      <c r="CH6" s="31"/>
      <c r="CI6" s="31"/>
      <c r="CJ6" s="31"/>
      <c r="CK6" s="31"/>
      <c r="CL6" s="32"/>
      <c r="CM6" s="25"/>
      <c r="CN6" s="26"/>
    </row>
    <row r="7" spans="2:92">
      <c r="B7" s="6"/>
      <c r="BI7" s="1" t="s">
        <v>301</v>
      </c>
      <c r="BK7" s="66">
        <f>+AK41</f>
        <v>1.1569488132086301</v>
      </c>
      <c r="BL7" s="66"/>
      <c r="BM7" s="66"/>
      <c r="CC7" s="7"/>
      <c r="CF7" s="30" t="s">
        <v>226</v>
      </c>
      <c r="CG7" s="31" t="s">
        <v>227</v>
      </c>
      <c r="CH7" s="31" t="s">
        <v>228</v>
      </c>
      <c r="CI7" s="31"/>
      <c r="CJ7" s="34"/>
      <c r="CK7" s="31"/>
      <c r="CL7" s="32"/>
      <c r="CM7" s="25"/>
      <c r="CN7" s="26"/>
    </row>
    <row r="8" spans="2:92">
      <c r="B8" s="6"/>
      <c r="BI8" s="1" t="s">
        <v>297</v>
      </c>
      <c r="BK8" s="66">
        <f>+BV33</f>
        <v>424.96153846153857</v>
      </c>
      <c r="BL8" s="66"/>
      <c r="BM8" s="66"/>
      <c r="BN8" s="1" t="s">
        <v>191</v>
      </c>
      <c r="BP8" s="1" t="s">
        <v>329</v>
      </c>
      <c r="CC8" s="7"/>
      <c r="CF8" s="30"/>
      <c r="CG8" s="31" t="s">
        <v>229</v>
      </c>
      <c r="CH8" s="31" t="s">
        <v>230</v>
      </c>
      <c r="CI8" s="31"/>
      <c r="CJ8" s="34"/>
      <c r="CK8" s="31"/>
      <c r="CL8" s="32"/>
      <c r="CM8" s="25"/>
      <c r="CN8" s="26"/>
    </row>
    <row r="9" spans="2:92">
      <c r="B9" s="6"/>
      <c r="C9" s="71">
        <f>INDEX($CI$24:$CI$138,MATCH(O5,$CG$24:$CG$138,0),0)</f>
        <v>600</v>
      </c>
      <c r="BI9" s="1" t="s">
        <v>330</v>
      </c>
      <c r="BL9" s="66">
        <f>MAX(U12,BD12)</f>
        <v>143</v>
      </c>
      <c r="BM9" s="66"/>
      <c r="BN9" s="66"/>
      <c r="BO9" s="1" t="s">
        <v>0</v>
      </c>
      <c r="BQ9" s="1" t="s">
        <v>331</v>
      </c>
      <c r="CC9" s="7"/>
      <c r="CF9" s="30" t="s">
        <v>231</v>
      </c>
      <c r="CG9" s="31"/>
      <c r="CH9" s="31" t="s">
        <v>232</v>
      </c>
      <c r="CI9" s="31"/>
      <c r="CJ9" s="34"/>
      <c r="CK9" s="31"/>
      <c r="CL9" s="32"/>
      <c r="CM9" s="25"/>
      <c r="CN9" s="26"/>
    </row>
    <row r="10" spans="2:92">
      <c r="B10" s="6"/>
      <c r="C10" s="71"/>
      <c r="Y10" s="1" t="s">
        <v>13</v>
      </c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C10" s="7"/>
      <c r="CF10" s="30" t="s">
        <v>233</v>
      </c>
      <c r="CG10" s="31"/>
      <c r="CH10" s="31" t="s">
        <v>232</v>
      </c>
      <c r="CI10" s="31"/>
      <c r="CJ10" s="34"/>
      <c r="CK10" s="31"/>
      <c r="CL10" s="32"/>
      <c r="CM10" s="25"/>
      <c r="CN10" s="26"/>
    </row>
    <row r="11" spans="2:92">
      <c r="B11" s="6"/>
      <c r="C11" s="71"/>
      <c r="J11" s="66">
        <f>INDEX($CK$24:$CK$138,MATCH(O5,$CG$24:$CG$138,0),0)</f>
        <v>12</v>
      </c>
      <c r="K11" s="66"/>
      <c r="CC11" s="7"/>
      <c r="CF11" s="30" t="s">
        <v>234</v>
      </c>
      <c r="CG11" s="31"/>
      <c r="CH11" s="31"/>
      <c r="CI11" s="31" t="s">
        <v>235</v>
      </c>
      <c r="CJ11" s="31"/>
      <c r="CK11" s="31" t="s">
        <v>236</v>
      </c>
      <c r="CL11" s="32"/>
      <c r="CM11" s="25"/>
      <c r="CN11" s="26"/>
    </row>
    <row r="12" spans="2:92">
      <c r="B12" s="6"/>
      <c r="T12" s="1" t="s">
        <v>2</v>
      </c>
      <c r="U12" s="66">
        <f>+E22</f>
        <v>133</v>
      </c>
      <c r="V12" s="66"/>
      <c r="W12" s="1" t="s">
        <v>0</v>
      </c>
      <c r="BC12" s="1" t="s">
        <v>3</v>
      </c>
      <c r="BD12" s="66">
        <f>+E25</f>
        <v>143</v>
      </c>
      <c r="BE12" s="66"/>
      <c r="BF12" s="1" t="s">
        <v>0</v>
      </c>
      <c r="CC12" s="7"/>
      <c r="CF12" s="30" t="s">
        <v>237</v>
      </c>
      <c r="CG12" s="31"/>
      <c r="CH12" s="31" t="s">
        <v>228</v>
      </c>
      <c r="CI12" s="31"/>
      <c r="CJ12" s="31"/>
      <c r="CK12" s="34"/>
      <c r="CL12" s="32"/>
      <c r="CM12" s="25"/>
      <c r="CN12" s="26"/>
    </row>
    <row r="13" spans="2:92">
      <c r="B13" s="6"/>
      <c r="W13" s="67">
        <v>1.5</v>
      </c>
      <c r="X13" s="67"/>
      <c r="Y13" s="1" t="s">
        <v>1</v>
      </c>
      <c r="Z13" s="1" t="s">
        <v>1</v>
      </c>
      <c r="AB13" s="67">
        <v>2.5</v>
      </c>
      <c r="AC13" s="67"/>
      <c r="AD13" s="1" t="s">
        <v>1</v>
      </c>
      <c r="AG13" s="67">
        <v>1.5</v>
      </c>
      <c r="AH13" s="67"/>
      <c r="AI13" s="1" t="s">
        <v>1</v>
      </c>
      <c r="AL13" s="67">
        <v>1</v>
      </c>
      <c r="AM13" s="67"/>
      <c r="AN13" s="1" t="s">
        <v>1</v>
      </c>
      <c r="AQ13" s="67">
        <v>3.5</v>
      </c>
      <c r="AR13" s="67"/>
      <c r="AS13" s="1" t="s">
        <v>1</v>
      </c>
      <c r="AV13" s="67">
        <v>1.5</v>
      </c>
      <c r="AW13" s="67"/>
      <c r="AX13" s="1" t="s">
        <v>1</v>
      </c>
      <c r="BA13" s="67">
        <v>0.5</v>
      </c>
      <c r="BB13" s="67"/>
      <c r="BC13" s="1" t="s">
        <v>1</v>
      </c>
      <c r="CC13" s="7"/>
      <c r="CF13" s="30" t="s">
        <v>238</v>
      </c>
      <c r="CG13" s="31"/>
      <c r="CH13" s="31" t="s">
        <v>232</v>
      </c>
      <c r="CI13" s="31"/>
      <c r="CJ13" s="31"/>
      <c r="CK13" s="34"/>
      <c r="CL13" s="32"/>
      <c r="CM13" s="25"/>
      <c r="CN13" s="26"/>
    </row>
    <row r="14" spans="2:92">
      <c r="B14" s="6"/>
      <c r="K14" s="66">
        <f>INDEX($CL$24:$CL$138,MATCH(O5,$CG$24:$CG$138,0),0)</f>
        <v>19</v>
      </c>
      <c r="L14" s="66"/>
      <c r="CC14" s="7"/>
      <c r="CF14" s="33" t="s">
        <v>239</v>
      </c>
      <c r="CG14" s="31"/>
      <c r="CH14" s="31"/>
      <c r="CI14" s="31"/>
      <c r="CJ14" s="31"/>
      <c r="CK14" s="31"/>
      <c r="CL14" s="32"/>
      <c r="CM14" s="25"/>
      <c r="CN14" s="26"/>
    </row>
    <row r="15" spans="2:92">
      <c r="B15" s="6"/>
      <c r="AK15" s="1" t="s">
        <v>197</v>
      </c>
      <c r="AL15" s="66">
        <f>+W13+AB13+AG13+AL13+AQ13+AV13+BA13</f>
        <v>12</v>
      </c>
      <c r="AM15" s="66"/>
      <c r="AN15" s="1" t="s">
        <v>1</v>
      </c>
      <c r="CC15" s="7"/>
      <c r="CF15" s="30" t="s">
        <v>240</v>
      </c>
      <c r="CG15" s="31"/>
      <c r="CH15" s="31" t="s">
        <v>236</v>
      </c>
      <c r="CI15" s="31"/>
      <c r="CJ15" s="31"/>
      <c r="CK15" s="31"/>
      <c r="CL15" s="32"/>
      <c r="CM15" s="25"/>
      <c r="CN15" s="26"/>
    </row>
    <row r="16" spans="2:92">
      <c r="B16" s="6"/>
      <c r="BG16" s="23" t="s">
        <v>266</v>
      </c>
      <c r="CC16" s="7"/>
      <c r="CF16" s="30" t="s">
        <v>241</v>
      </c>
      <c r="CG16" s="31"/>
      <c r="CH16" s="31" t="s">
        <v>228</v>
      </c>
      <c r="CI16" s="31"/>
      <c r="CJ16" s="31"/>
      <c r="CK16" s="34"/>
      <c r="CL16" s="35"/>
      <c r="CM16" s="25"/>
      <c r="CN16" s="26"/>
    </row>
    <row r="17" spans="2:92">
      <c r="B17" s="6"/>
      <c r="I17" s="66">
        <f>INDEX($CJ$24:$CJ$138,MATCH(O5,$CG$24:$CG$138,0),0)</f>
        <v>220</v>
      </c>
      <c r="J17" s="66"/>
      <c r="X17" s="10" t="s">
        <v>36</v>
      </c>
      <c r="Z17" s="66">
        <f>INDEX($CM$24:$CM$138,MATCH(O5,$CG$24:$CG$138,0),0)</f>
        <v>92080</v>
      </c>
      <c r="AA17" s="66"/>
      <c r="AB17" s="66"/>
      <c r="AC17" s="66"/>
      <c r="AD17" s="1" t="s">
        <v>37</v>
      </c>
      <c r="AG17" s="1" t="s">
        <v>175</v>
      </c>
      <c r="BG17" s="11" t="s">
        <v>265</v>
      </c>
      <c r="CC17" s="7"/>
      <c r="CF17" s="30" t="s">
        <v>238</v>
      </c>
      <c r="CG17" s="31"/>
      <c r="CH17" s="31" t="s">
        <v>242</v>
      </c>
      <c r="CI17" s="31"/>
      <c r="CJ17" s="31"/>
      <c r="CK17" s="34"/>
      <c r="CL17" s="35"/>
      <c r="CM17" s="25"/>
      <c r="CN17" s="26"/>
    </row>
    <row r="18" spans="2:92">
      <c r="B18" s="6"/>
      <c r="X18" s="1" t="s">
        <v>38</v>
      </c>
      <c r="Z18" s="67">
        <v>200000</v>
      </c>
      <c r="AA18" s="67"/>
      <c r="AB18" s="67"/>
      <c r="AC18" s="67"/>
      <c r="AD18" s="1" t="s">
        <v>39</v>
      </c>
      <c r="AG18" s="1" t="s">
        <v>302</v>
      </c>
      <c r="BG18" s="11" t="s">
        <v>263</v>
      </c>
      <c r="CC18" s="7"/>
      <c r="CF18" s="30" t="s">
        <v>243</v>
      </c>
      <c r="CG18" s="31"/>
      <c r="CH18" s="31" t="s">
        <v>244</v>
      </c>
      <c r="CI18" s="31"/>
      <c r="CJ18" s="31"/>
      <c r="CK18" s="34"/>
      <c r="CL18" s="35"/>
      <c r="CM18" s="25"/>
      <c r="CN18" s="26"/>
    </row>
    <row r="19" spans="2:92">
      <c r="B19" s="6"/>
      <c r="C19" s="23" t="s">
        <v>221</v>
      </c>
      <c r="BG19" s="11" t="s">
        <v>264</v>
      </c>
      <c r="CC19" s="7"/>
      <c r="CF19" s="36"/>
      <c r="CG19" s="34"/>
      <c r="CH19" s="34"/>
      <c r="CI19" s="34"/>
      <c r="CJ19" s="34"/>
      <c r="CK19" s="34"/>
      <c r="CL19" s="35"/>
      <c r="CM19" s="25"/>
      <c r="CN19" s="26"/>
    </row>
    <row r="20" spans="2:92">
      <c r="B20" s="6"/>
      <c r="C20" s="1" t="s">
        <v>177</v>
      </c>
      <c r="CC20" s="7"/>
      <c r="CF20" s="37" t="s">
        <v>245</v>
      </c>
      <c r="CG20" s="38"/>
      <c r="CH20" s="38"/>
      <c r="CI20" s="38"/>
      <c r="CJ20" s="38"/>
      <c r="CK20" s="38"/>
      <c r="CL20" s="39"/>
      <c r="CM20" s="25"/>
      <c r="CN20" s="26"/>
    </row>
    <row r="21" spans="2:92">
      <c r="B21" s="6"/>
      <c r="C21" s="1" t="s">
        <v>4</v>
      </c>
      <c r="D21" s="9" t="s">
        <v>5</v>
      </c>
      <c r="E21" s="66">
        <f>+AL15</f>
        <v>12</v>
      </c>
      <c r="F21" s="66"/>
      <c r="G21" s="9" t="s">
        <v>6</v>
      </c>
      <c r="H21" s="66">
        <f>+Z5</f>
        <v>20</v>
      </c>
      <c r="I21" s="66"/>
      <c r="J21" s="9" t="s">
        <v>5</v>
      </c>
      <c r="K21" s="66">
        <f>+AB13+AG13+AL13+AQ13+AV13+BA13</f>
        <v>10.5</v>
      </c>
      <c r="L21" s="66"/>
      <c r="M21" s="9" t="s">
        <v>6</v>
      </c>
      <c r="N21" s="66">
        <f>+AE5</f>
        <v>20</v>
      </c>
      <c r="O21" s="66"/>
      <c r="P21" s="9" t="s">
        <v>5</v>
      </c>
      <c r="Q21" s="66">
        <f>+AG13+AL13+AQ13+AV13+BA13</f>
        <v>8</v>
      </c>
      <c r="R21" s="66"/>
      <c r="S21" s="9" t="s">
        <v>6</v>
      </c>
      <c r="T21" s="66">
        <f>+AJ5</f>
        <v>20</v>
      </c>
      <c r="U21" s="66"/>
      <c r="V21" s="9" t="s">
        <v>5</v>
      </c>
      <c r="W21" s="66">
        <f>+AL13+AQ13+AV13+BA13</f>
        <v>6.5</v>
      </c>
      <c r="X21" s="66"/>
      <c r="Y21" s="9" t="s">
        <v>6</v>
      </c>
      <c r="Z21" s="66">
        <f>+AO5</f>
        <v>20</v>
      </c>
      <c r="AA21" s="66"/>
      <c r="AB21" s="9" t="s">
        <v>5</v>
      </c>
      <c r="AC21" s="66">
        <f>+AQ13+AV13+BA13</f>
        <v>5.5</v>
      </c>
      <c r="AD21" s="66"/>
      <c r="AE21" s="9" t="s">
        <v>6</v>
      </c>
      <c r="AF21" s="66">
        <f>+AT5</f>
        <v>20</v>
      </c>
      <c r="AG21" s="66"/>
      <c r="AH21" s="9" t="s">
        <v>5</v>
      </c>
      <c r="AI21" s="66">
        <f>+AV13+BA13</f>
        <v>2</v>
      </c>
      <c r="AJ21" s="66"/>
      <c r="AK21" s="9" t="s">
        <v>6</v>
      </c>
      <c r="AL21" s="66">
        <f>+AY5</f>
        <v>20</v>
      </c>
      <c r="AM21" s="66"/>
      <c r="AN21" s="9" t="s">
        <v>5</v>
      </c>
      <c r="AO21" s="66">
        <f>+BA13</f>
        <v>0.5</v>
      </c>
      <c r="AP21" s="66"/>
      <c r="AQ21" s="9" t="s">
        <v>6</v>
      </c>
      <c r="AR21" s="66">
        <f>+AL6</f>
        <v>13</v>
      </c>
      <c r="AS21" s="66"/>
      <c r="AT21" s="9" t="s">
        <v>5</v>
      </c>
      <c r="AU21" s="66">
        <f>+AL15</f>
        <v>12</v>
      </c>
      <c r="AV21" s="66"/>
      <c r="AW21" s="9" t="s">
        <v>5</v>
      </c>
      <c r="AX21" s="66">
        <f>+AL15/2</f>
        <v>6</v>
      </c>
      <c r="AY21" s="66"/>
      <c r="AZ21" s="9" t="s">
        <v>7</v>
      </c>
      <c r="BA21" s="1">
        <v>0</v>
      </c>
      <c r="CC21" s="7"/>
      <c r="CL21" s="29"/>
      <c r="CM21" s="26"/>
      <c r="CN21" s="26"/>
    </row>
    <row r="22" spans="2:92">
      <c r="B22" s="6"/>
      <c r="C22" s="1" t="s">
        <v>8</v>
      </c>
      <c r="D22" s="9"/>
      <c r="E22" s="66">
        <f>(H21*K21+N21*Q21+T21*W21+Z21*AC21+AF21*AI21+AL21*AO21+AR21*AU21*AX21)/E21</f>
        <v>133</v>
      </c>
      <c r="F22" s="66"/>
      <c r="G22" s="1" t="s">
        <v>0</v>
      </c>
      <c r="I22" s="1" t="s">
        <v>178</v>
      </c>
      <c r="CC22" s="7"/>
      <c r="CF22" s="2"/>
      <c r="CG22" s="90" t="s">
        <v>43</v>
      </c>
      <c r="CH22" s="90"/>
      <c r="CI22" s="90"/>
      <c r="CJ22" s="90"/>
      <c r="CK22" s="90"/>
      <c r="CL22" s="90"/>
      <c r="CM22" s="90"/>
    </row>
    <row r="23" spans="2:92">
      <c r="B23" s="6"/>
      <c r="C23" s="1" t="s">
        <v>189</v>
      </c>
      <c r="CC23" s="7"/>
      <c r="CF23" s="2"/>
      <c r="CG23" s="16" t="s">
        <v>44</v>
      </c>
      <c r="CH23" s="16" t="s">
        <v>749</v>
      </c>
      <c r="CI23" s="16" t="s">
        <v>45</v>
      </c>
      <c r="CJ23" s="16" t="s">
        <v>46</v>
      </c>
      <c r="CK23" s="16" t="s">
        <v>47</v>
      </c>
      <c r="CL23" s="16" t="s">
        <v>48</v>
      </c>
      <c r="CM23" s="16" t="s">
        <v>49</v>
      </c>
    </row>
    <row r="24" spans="2:92">
      <c r="B24" s="6"/>
      <c r="C24" s="1" t="s">
        <v>4</v>
      </c>
      <c r="D24" s="9" t="s">
        <v>9</v>
      </c>
      <c r="E24" s="9" t="s">
        <v>10</v>
      </c>
      <c r="F24" s="9" t="s">
        <v>6</v>
      </c>
      <c r="G24" s="66">
        <f>+Z5</f>
        <v>20</v>
      </c>
      <c r="H24" s="66"/>
      <c r="I24" s="9" t="s">
        <v>6</v>
      </c>
      <c r="J24" s="66">
        <f>+AE5</f>
        <v>20</v>
      </c>
      <c r="K24" s="66"/>
      <c r="L24" s="9" t="s">
        <v>6</v>
      </c>
      <c r="M24" s="66">
        <f>+AJ5</f>
        <v>20</v>
      </c>
      <c r="N24" s="66"/>
      <c r="O24" s="9" t="s">
        <v>5</v>
      </c>
      <c r="P24" s="66">
        <f>+AO5</f>
        <v>20</v>
      </c>
      <c r="Q24" s="66"/>
      <c r="R24" s="9" t="s">
        <v>6</v>
      </c>
      <c r="S24" s="66">
        <f>+AT5</f>
        <v>20</v>
      </c>
      <c r="T24" s="66"/>
      <c r="U24" s="9" t="s">
        <v>6</v>
      </c>
      <c r="V24" s="66">
        <f>+AY5</f>
        <v>20</v>
      </c>
      <c r="W24" s="66"/>
      <c r="X24" s="9" t="s">
        <v>6</v>
      </c>
      <c r="Y24" s="66">
        <f>+AL6</f>
        <v>13</v>
      </c>
      <c r="Z24" s="66"/>
      <c r="AA24" s="9" t="s">
        <v>5</v>
      </c>
      <c r="AB24" s="66">
        <f>+AL15</f>
        <v>12</v>
      </c>
      <c r="AC24" s="66"/>
      <c r="AD24" s="9" t="s">
        <v>7</v>
      </c>
      <c r="AE24" s="1">
        <v>0</v>
      </c>
      <c r="CC24" s="7"/>
      <c r="CF24" s="91" t="s">
        <v>50</v>
      </c>
      <c r="CG24" s="15" t="s">
        <v>51</v>
      </c>
      <c r="CH24" s="3">
        <v>7.57</v>
      </c>
      <c r="CI24" s="3">
        <v>80</v>
      </c>
      <c r="CJ24" s="3">
        <v>42</v>
      </c>
      <c r="CK24" s="3">
        <v>3.9</v>
      </c>
      <c r="CL24" s="3">
        <v>5.9</v>
      </c>
      <c r="CM24" s="3">
        <v>77.8</v>
      </c>
    </row>
    <row r="25" spans="2:92">
      <c r="B25" s="6"/>
      <c r="C25" s="1" t="s">
        <v>11</v>
      </c>
      <c r="D25" s="9"/>
      <c r="E25" s="66">
        <f>(G24+J24+M24+P24+S24+V24+Y24*AB24-E22)</f>
        <v>143</v>
      </c>
      <c r="F25" s="66"/>
      <c r="G25" s="1" t="s">
        <v>0</v>
      </c>
      <c r="I25" s="1" t="s">
        <v>179</v>
      </c>
      <c r="CC25" s="7"/>
      <c r="CF25" s="91"/>
      <c r="CG25" s="15" t="s">
        <v>52</v>
      </c>
      <c r="CH25" s="3">
        <v>10.6</v>
      </c>
      <c r="CI25" s="3">
        <v>100</v>
      </c>
      <c r="CJ25" s="3">
        <v>50</v>
      </c>
      <c r="CK25" s="3">
        <v>4.5</v>
      </c>
      <c r="CL25" s="3">
        <v>6.8</v>
      </c>
      <c r="CM25" s="3">
        <v>171</v>
      </c>
    </row>
    <row r="26" spans="2:92">
      <c r="B26" s="6"/>
      <c r="C26" s="23" t="s">
        <v>222</v>
      </c>
      <c r="D26" s="9"/>
      <c r="E26" s="9"/>
      <c r="F26" s="9"/>
      <c r="CC26" s="7"/>
      <c r="CF26" s="91"/>
      <c r="CG26" s="15" t="s">
        <v>53</v>
      </c>
      <c r="CH26" s="3">
        <v>14.2</v>
      </c>
      <c r="CI26" s="3">
        <v>120</v>
      </c>
      <c r="CJ26" s="3">
        <v>58</v>
      </c>
      <c r="CK26" s="3">
        <v>5.0999999999999996</v>
      </c>
      <c r="CL26" s="3">
        <v>7.7</v>
      </c>
      <c r="CM26" s="3">
        <v>328</v>
      </c>
    </row>
    <row r="27" spans="2:92">
      <c r="B27" s="6"/>
      <c r="C27" s="1" t="s">
        <v>12</v>
      </c>
      <c r="E27" s="66">
        <f>+U12</f>
        <v>133</v>
      </c>
      <c r="F27" s="66"/>
      <c r="G27" s="11" t="s">
        <v>17</v>
      </c>
      <c r="H27" s="9"/>
      <c r="I27" s="66">
        <f>+Z5</f>
        <v>20</v>
      </c>
      <c r="J27" s="66"/>
      <c r="K27" s="1" t="s">
        <v>15</v>
      </c>
      <c r="M27" s="66">
        <f>+W13</f>
        <v>1.5</v>
      </c>
      <c r="N27" s="66"/>
      <c r="O27" s="1" t="s">
        <v>16</v>
      </c>
      <c r="P27" s="66">
        <f>+AE5</f>
        <v>20</v>
      </c>
      <c r="Q27" s="66"/>
      <c r="R27" s="1" t="s">
        <v>15</v>
      </c>
      <c r="T27" s="66">
        <f>+W13+AB13</f>
        <v>4</v>
      </c>
      <c r="U27" s="66"/>
      <c r="V27" s="1" t="s">
        <v>16</v>
      </c>
      <c r="W27" s="66">
        <f>+AJ5</f>
        <v>20</v>
      </c>
      <c r="X27" s="66"/>
      <c r="Y27" s="1" t="s">
        <v>15</v>
      </c>
      <c r="AA27" s="66">
        <f>+W13+AB13+AG13</f>
        <v>5.5</v>
      </c>
      <c r="AB27" s="66"/>
      <c r="AC27" s="1" t="s">
        <v>16</v>
      </c>
      <c r="AD27" s="66">
        <f>+AO5</f>
        <v>20</v>
      </c>
      <c r="AE27" s="66"/>
      <c r="AF27" s="1" t="s">
        <v>15</v>
      </c>
      <c r="AH27" s="66">
        <f>+W13+AB13+AG13+AL13</f>
        <v>6.5</v>
      </c>
      <c r="AI27" s="66"/>
      <c r="AJ27" s="1" t="s">
        <v>16</v>
      </c>
      <c r="AK27" s="66">
        <f>+AT5</f>
        <v>20</v>
      </c>
      <c r="AL27" s="66"/>
      <c r="AM27" s="1" t="s">
        <v>15</v>
      </c>
      <c r="AO27" s="66">
        <f>+W13+AB13+AG13+AL13+AQ13</f>
        <v>10</v>
      </c>
      <c r="AP27" s="66"/>
      <c r="AQ27" s="1" t="s">
        <v>16</v>
      </c>
      <c r="AR27" s="66">
        <f>+AY5</f>
        <v>20</v>
      </c>
      <c r="AS27" s="66"/>
      <c r="AT27" s="1" t="s">
        <v>15</v>
      </c>
      <c r="AV27" s="66">
        <f>+W13+AB13+AG13+AL13+AQ13+AV13</f>
        <v>11.5</v>
      </c>
      <c r="AW27" s="66"/>
      <c r="AX27" s="1" t="s">
        <v>16</v>
      </c>
      <c r="AY27" s="66">
        <f>+AL6</f>
        <v>13</v>
      </c>
      <c r="AZ27" s="66"/>
      <c r="BA27" s="9" t="s">
        <v>5</v>
      </c>
      <c r="BB27" s="1" t="s">
        <v>183</v>
      </c>
      <c r="BC27" s="1" t="s">
        <v>173</v>
      </c>
      <c r="BD27" s="1">
        <v>2</v>
      </c>
      <c r="CC27" s="7"/>
      <c r="CF27" s="91"/>
      <c r="CG27" s="15" t="s">
        <v>54</v>
      </c>
      <c r="CH27" s="3">
        <v>18.2</v>
      </c>
      <c r="CI27" s="3">
        <v>140</v>
      </c>
      <c r="CJ27" s="3">
        <v>66</v>
      </c>
      <c r="CK27" s="3">
        <v>5.7</v>
      </c>
      <c r="CL27" s="3">
        <v>8.6</v>
      </c>
      <c r="CM27" s="3">
        <v>573</v>
      </c>
    </row>
    <row r="28" spans="2:92">
      <c r="B28" s="6"/>
      <c r="C28" s="1" t="s">
        <v>27</v>
      </c>
      <c r="D28" s="67">
        <f>+AL15/2</f>
        <v>6</v>
      </c>
      <c r="E28" s="67"/>
      <c r="F28" s="67"/>
      <c r="G28" s="1" t="s">
        <v>213</v>
      </c>
      <c r="H28" s="9"/>
      <c r="I28" s="9"/>
      <c r="J28" s="9"/>
      <c r="M28" s="9"/>
      <c r="N28" s="21"/>
      <c r="P28" s="9"/>
      <c r="Q28" s="9"/>
      <c r="U28" s="8" t="str">
        <f>IF(D28&lt;=AL15,"","azalt.")</f>
        <v/>
      </c>
      <c r="W28" s="9"/>
      <c r="X28" s="9"/>
      <c r="AA28" s="9"/>
      <c r="AB28" s="9"/>
      <c r="AD28" s="9"/>
      <c r="AE28" s="9"/>
      <c r="AH28" s="9"/>
      <c r="AI28" s="9"/>
      <c r="AK28" s="9"/>
      <c r="AL28" s="9"/>
      <c r="AO28" s="9"/>
      <c r="AP28" s="9"/>
      <c r="AR28" s="9"/>
      <c r="AS28" s="9"/>
      <c r="AV28" s="9"/>
      <c r="AW28" s="9"/>
      <c r="AY28" s="9"/>
      <c r="AZ28" s="9"/>
      <c r="BA28" s="9"/>
      <c r="CC28" s="7"/>
      <c r="CF28" s="91"/>
      <c r="CG28" s="15" t="s">
        <v>55</v>
      </c>
      <c r="CH28" s="3">
        <v>22.8</v>
      </c>
      <c r="CI28" s="3">
        <v>160</v>
      </c>
      <c r="CJ28" s="3">
        <v>74</v>
      </c>
      <c r="CK28" s="3">
        <v>6.3</v>
      </c>
      <c r="CL28" s="3">
        <v>9.5</v>
      </c>
      <c r="CM28" s="3">
        <v>935</v>
      </c>
    </row>
    <row r="29" spans="2:92">
      <c r="B29" s="6"/>
      <c r="C29" s="1" t="s">
        <v>12</v>
      </c>
      <c r="E29" s="66">
        <f>+E27</f>
        <v>133</v>
      </c>
      <c r="F29" s="66"/>
      <c r="G29" s="9" t="s">
        <v>5</v>
      </c>
      <c r="H29" s="66">
        <f>+D28</f>
        <v>6</v>
      </c>
      <c r="I29" s="66"/>
      <c r="J29" s="9" t="s">
        <v>6</v>
      </c>
      <c r="K29" s="66">
        <f>IF((N29-Q29)&lt;=0,0,+I27)</f>
        <v>20</v>
      </c>
      <c r="L29" s="66"/>
      <c r="M29" s="9" t="s">
        <v>14</v>
      </c>
      <c r="N29" s="66">
        <f>+H29</f>
        <v>6</v>
      </c>
      <c r="O29" s="66"/>
      <c r="P29" s="9" t="s">
        <v>6</v>
      </c>
      <c r="Q29" s="66">
        <f>+M27</f>
        <v>1.5</v>
      </c>
      <c r="R29" s="66"/>
      <c r="S29" s="1" t="s">
        <v>16</v>
      </c>
      <c r="T29" s="66">
        <f>IF((W29-Z29)&lt;=0,0,+P27)</f>
        <v>20</v>
      </c>
      <c r="U29" s="66"/>
      <c r="V29" s="9" t="s">
        <v>14</v>
      </c>
      <c r="W29" s="66">
        <f>+N29</f>
        <v>6</v>
      </c>
      <c r="X29" s="66"/>
      <c r="Y29" s="9" t="s">
        <v>6</v>
      </c>
      <c r="Z29" s="66">
        <f>+T27</f>
        <v>4</v>
      </c>
      <c r="AA29" s="66"/>
      <c r="AB29" s="1" t="s">
        <v>16</v>
      </c>
      <c r="AC29" s="66">
        <f>IF((AF29-AI29)&lt;=0,0,+W27)</f>
        <v>20</v>
      </c>
      <c r="AD29" s="66"/>
      <c r="AE29" s="9" t="s">
        <v>14</v>
      </c>
      <c r="AF29" s="66">
        <f>+W29</f>
        <v>6</v>
      </c>
      <c r="AG29" s="66"/>
      <c r="AH29" s="9" t="s">
        <v>6</v>
      </c>
      <c r="AI29" s="66">
        <f>+AA27</f>
        <v>5.5</v>
      </c>
      <c r="AJ29" s="66"/>
      <c r="AK29" s="1" t="s">
        <v>16</v>
      </c>
      <c r="AL29" s="66">
        <f>IF((AO29-AR29)&lt;=0,0,+AD27)</f>
        <v>0</v>
      </c>
      <c r="AM29" s="66"/>
      <c r="AN29" s="9" t="s">
        <v>14</v>
      </c>
      <c r="AO29" s="66">
        <f>+AF29</f>
        <v>6</v>
      </c>
      <c r="AP29" s="66"/>
      <c r="AQ29" s="9" t="s">
        <v>6</v>
      </c>
      <c r="AR29" s="66">
        <f>+AH27</f>
        <v>6.5</v>
      </c>
      <c r="AS29" s="66"/>
      <c r="AT29" s="1" t="s">
        <v>16</v>
      </c>
      <c r="AU29" s="66">
        <f>IF((AX29-BA29)&lt;=0,0,+AK27)</f>
        <v>0</v>
      </c>
      <c r="AV29" s="66"/>
      <c r="AW29" s="9" t="s">
        <v>14</v>
      </c>
      <c r="AX29" s="66">
        <f>+AO29</f>
        <v>6</v>
      </c>
      <c r="AY29" s="66"/>
      <c r="AZ29" s="9" t="s">
        <v>6</v>
      </c>
      <c r="BA29" s="66">
        <f>+AO27</f>
        <v>10</v>
      </c>
      <c r="BB29" s="66"/>
      <c r="BC29" s="1" t="s">
        <v>16</v>
      </c>
      <c r="BD29" s="66">
        <f>IF((BG29-BJ29)&lt;=0,0,+AR27)</f>
        <v>0</v>
      </c>
      <c r="BE29" s="66"/>
      <c r="BF29" s="9" t="s">
        <v>14</v>
      </c>
      <c r="BG29" s="66">
        <f>+AX29</f>
        <v>6</v>
      </c>
      <c r="BH29" s="66"/>
      <c r="BI29" s="9" t="s">
        <v>6</v>
      </c>
      <c r="BJ29" s="66">
        <f>+AV27</f>
        <v>11.5</v>
      </c>
      <c r="BK29" s="66"/>
      <c r="BL29" s="1" t="s">
        <v>16</v>
      </c>
      <c r="BM29" s="66">
        <f>+AY27</f>
        <v>13</v>
      </c>
      <c r="BN29" s="66"/>
      <c r="BO29" s="9" t="s">
        <v>5</v>
      </c>
      <c r="BP29" s="66">
        <f>+BG29</f>
        <v>6</v>
      </c>
      <c r="BQ29" s="66"/>
      <c r="BR29" s="1" t="s">
        <v>190</v>
      </c>
      <c r="BS29" s="1">
        <v>2</v>
      </c>
      <c r="BT29" s="9" t="s">
        <v>7</v>
      </c>
      <c r="BU29" s="66">
        <f>E29*H29-K29*(N29-Q29)-T29*(W29-Z29)-AC29*(AF29-AI29)-AL29*(AO29-AR29)-AU29*(AX29-BA29)-BD29*(BG29-BJ29)-BM29*BP29^2/BS29</f>
        <v>424</v>
      </c>
      <c r="BV29" s="66"/>
      <c r="BW29" s="66"/>
      <c r="BX29" s="1" t="s">
        <v>191</v>
      </c>
      <c r="CC29" s="7"/>
      <c r="CF29" s="91"/>
      <c r="CG29" s="15" t="s">
        <v>56</v>
      </c>
      <c r="CH29" s="3">
        <v>27.9</v>
      </c>
      <c r="CI29" s="3">
        <v>180</v>
      </c>
      <c r="CJ29" s="3">
        <v>82</v>
      </c>
      <c r="CK29" s="3">
        <v>6.9</v>
      </c>
      <c r="CL29" s="3">
        <v>10.4</v>
      </c>
      <c r="CM29" s="3">
        <v>1450</v>
      </c>
    </row>
    <row r="30" spans="2:92">
      <c r="B30" s="6"/>
      <c r="C30" s="1" t="s">
        <v>220</v>
      </c>
      <c r="E30" s="66">
        <f>+E29</f>
        <v>133</v>
      </c>
      <c r="F30" s="66"/>
      <c r="G30" s="9" t="s">
        <v>6</v>
      </c>
      <c r="H30" s="66">
        <f>+K29</f>
        <v>20</v>
      </c>
      <c r="I30" s="66"/>
      <c r="J30" s="9" t="s">
        <v>6</v>
      </c>
      <c r="K30" s="66">
        <f>+T29</f>
        <v>20</v>
      </c>
      <c r="L30" s="66"/>
      <c r="M30" s="9" t="s">
        <v>6</v>
      </c>
      <c r="N30" s="66">
        <f>+AC29</f>
        <v>20</v>
      </c>
      <c r="O30" s="66"/>
      <c r="P30" s="9" t="s">
        <v>6</v>
      </c>
      <c r="Q30" s="66">
        <f>+AL29</f>
        <v>0</v>
      </c>
      <c r="R30" s="66"/>
      <c r="S30" s="9" t="s">
        <v>6</v>
      </c>
      <c r="T30" s="66">
        <f>+AU29</f>
        <v>0</v>
      </c>
      <c r="U30" s="66"/>
      <c r="V30" s="9" t="s">
        <v>6</v>
      </c>
      <c r="W30" s="66">
        <f>+BD29</f>
        <v>0</v>
      </c>
      <c r="X30" s="66"/>
      <c r="Y30" s="9" t="s">
        <v>6</v>
      </c>
      <c r="Z30" s="66">
        <f>+BM29</f>
        <v>13</v>
      </c>
      <c r="AA30" s="66"/>
      <c r="AB30" s="9" t="s">
        <v>5</v>
      </c>
      <c r="AC30" s="66">
        <f>+BP29</f>
        <v>6</v>
      </c>
      <c r="AD30" s="66"/>
      <c r="AE30" s="9" t="s">
        <v>7</v>
      </c>
      <c r="AF30" s="66">
        <f>+E30-H30-K30-N30-Q30-T30-W30-Z30*AC30</f>
        <v>-5</v>
      </c>
      <c r="AG30" s="66"/>
      <c r="AH30" s="66"/>
      <c r="AI30" s="9" t="s">
        <v>0</v>
      </c>
      <c r="AJ30" s="9"/>
      <c r="AL30" s="9"/>
      <c r="AM30" s="9"/>
      <c r="AN30" s="9"/>
      <c r="AO30" s="9"/>
      <c r="AP30" s="9"/>
      <c r="AQ30" s="9"/>
      <c r="AR30" s="9"/>
      <c r="AS30" s="9"/>
      <c r="AU30" s="9"/>
      <c r="AV30" s="9"/>
      <c r="AW30" s="9"/>
      <c r="AX30" s="9"/>
      <c r="AY30" s="9"/>
      <c r="AZ30" s="9"/>
      <c r="BA30" s="9"/>
      <c r="BB30" s="9"/>
      <c r="BD30" s="9"/>
      <c r="BE30" s="9"/>
      <c r="BF30" s="9"/>
      <c r="BG30" s="9"/>
      <c r="BH30" s="9"/>
      <c r="BI30" s="9"/>
      <c r="BJ30" s="9"/>
      <c r="BK30" s="9"/>
      <c r="BM30" s="9"/>
      <c r="BN30" s="9"/>
      <c r="BO30" s="9"/>
      <c r="BP30" s="9"/>
      <c r="BQ30" s="9"/>
      <c r="BT30" s="9"/>
      <c r="BU30" s="9"/>
      <c r="BV30" s="9"/>
      <c r="BW30" s="9"/>
      <c r="CC30" s="7"/>
      <c r="CF30" s="91"/>
      <c r="CG30" s="15" t="s">
        <v>57</v>
      </c>
      <c r="CH30" s="3">
        <v>33.4</v>
      </c>
      <c r="CI30" s="3">
        <v>200</v>
      </c>
      <c r="CJ30" s="3">
        <v>90</v>
      </c>
      <c r="CK30" s="3">
        <v>7.5</v>
      </c>
      <c r="CL30" s="3">
        <v>11.3</v>
      </c>
      <c r="CM30" s="3">
        <v>2140</v>
      </c>
    </row>
    <row r="31" spans="2:92">
      <c r="B31" s="6"/>
      <c r="C31" s="23" t="s">
        <v>253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L31" s="9"/>
      <c r="AM31" s="9"/>
      <c r="AN31" s="9"/>
      <c r="AO31" s="9"/>
      <c r="AP31" s="9"/>
      <c r="AQ31" s="9"/>
      <c r="AR31" s="9"/>
      <c r="AS31" s="9"/>
      <c r="AU31" s="9"/>
      <c r="AV31" s="9"/>
      <c r="AW31" s="9"/>
      <c r="AX31" s="9"/>
      <c r="AY31" s="9"/>
      <c r="AZ31" s="9"/>
      <c r="BA31" s="9"/>
      <c r="BB31" s="9"/>
      <c r="BD31" s="9"/>
      <c r="BE31" s="9"/>
      <c r="BF31" s="9"/>
      <c r="BG31" s="9"/>
      <c r="BH31" s="9"/>
      <c r="BI31" s="9"/>
      <c r="BJ31" s="9"/>
      <c r="BK31" s="9"/>
      <c r="BM31" s="9"/>
      <c r="BN31" s="9"/>
      <c r="BO31" s="9"/>
      <c r="BP31" s="9"/>
      <c r="BQ31" s="9"/>
      <c r="BT31" s="9"/>
      <c r="BU31" s="9"/>
      <c r="BV31" s="9"/>
      <c r="BW31" s="9"/>
      <c r="CC31" s="7"/>
      <c r="CF31" s="91"/>
      <c r="CG31" s="15" t="s">
        <v>58</v>
      </c>
      <c r="CH31" s="3">
        <v>39.5</v>
      </c>
      <c r="CI31" s="3">
        <v>220</v>
      </c>
      <c r="CJ31" s="3">
        <v>98</v>
      </c>
      <c r="CK31" s="3">
        <v>8.1</v>
      </c>
      <c r="CL31" s="3">
        <v>12.2</v>
      </c>
      <c r="CM31" s="3">
        <v>3060</v>
      </c>
    </row>
    <row r="32" spans="2:92">
      <c r="B32" s="6"/>
      <c r="C32" s="1" t="s">
        <v>27</v>
      </c>
      <c r="D32" s="66">
        <f>(E30-H30-K30-N30-Q30-T30-W30)/Z30</f>
        <v>5.615384615384615</v>
      </c>
      <c r="E32" s="66"/>
      <c r="F32" s="66"/>
      <c r="G32" s="1" t="s">
        <v>257</v>
      </c>
      <c r="H32" s="9"/>
      <c r="I32" s="9"/>
      <c r="J32" s="9"/>
      <c r="M32" s="9"/>
      <c r="P32" s="9"/>
      <c r="Q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L32" s="9"/>
      <c r="AM32" s="9"/>
      <c r="AN32" s="9"/>
      <c r="AO32" s="9"/>
      <c r="AP32" s="9"/>
      <c r="AQ32" s="9"/>
      <c r="AR32" s="9"/>
      <c r="AS32" s="9"/>
      <c r="AU32" s="9"/>
      <c r="AV32" s="9"/>
      <c r="AW32" s="9"/>
      <c r="AX32" s="9"/>
      <c r="AY32" s="9"/>
      <c r="AZ32" s="9"/>
      <c r="BA32" s="9"/>
      <c r="BB32" s="9"/>
      <c r="BD32" s="9"/>
      <c r="BE32" s="9"/>
      <c r="BF32" s="9"/>
      <c r="BG32" s="9"/>
      <c r="BH32" s="9"/>
      <c r="BI32" s="9"/>
      <c r="BJ32" s="9"/>
      <c r="BK32" s="9"/>
      <c r="BM32" s="9"/>
      <c r="BN32" s="9"/>
      <c r="BO32" s="9"/>
      <c r="BP32" s="9"/>
      <c r="BQ32" s="9"/>
      <c r="BT32" s="9"/>
      <c r="BU32" s="9"/>
      <c r="BV32" s="9"/>
      <c r="BW32" s="9"/>
      <c r="CC32" s="7"/>
      <c r="CF32" s="91"/>
      <c r="CG32" s="15" t="s">
        <v>59</v>
      </c>
      <c r="CH32" s="3">
        <v>46.1</v>
      </c>
      <c r="CI32" s="3">
        <v>240</v>
      </c>
      <c r="CJ32" s="3">
        <v>106</v>
      </c>
      <c r="CK32" s="3">
        <v>8.6999999999999993</v>
      </c>
      <c r="CL32" s="3">
        <v>13.1</v>
      </c>
      <c r="CM32" s="3">
        <v>4250</v>
      </c>
    </row>
    <row r="33" spans="2:91">
      <c r="B33" s="6"/>
      <c r="C33" s="1" t="s">
        <v>260</v>
      </c>
      <c r="E33" s="9"/>
      <c r="F33" s="66">
        <f>+E27</f>
        <v>133</v>
      </c>
      <c r="G33" s="66"/>
      <c r="H33" s="9" t="s">
        <v>5</v>
      </c>
      <c r="I33" s="66">
        <f>+D32</f>
        <v>5.615384615384615</v>
      </c>
      <c r="J33" s="66"/>
      <c r="K33" s="9" t="s">
        <v>6</v>
      </c>
      <c r="L33" s="66">
        <f>IF((O33-R33)&lt;=0,0,+I27)</f>
        <v>20</v>
      </c>
      <c r="M33" s="66"/>
      <c r="N33" s="9" t="s">
        <v>14</v>
      </c>
      <c r="O33" s="66">
        <f>+I33</f>
        <v>5.615384615384615</v>
      </c>
      <c r="P33" s="66"/>
      <c r="Q33" s="9" t="s">
        <v>6</v>
      </c>
      <c r="R33" s="66">
        <f>+M27</f>
        <v>1.5</v>
      </c>
      <c r="S33" s="66"/>
      <c r="T33" s="1" t="s">
        <v>16</v>
      </c>
      <c r="U33" s="66">
        <f>IF((X33-AA33)&lt;=0,0,+P27)</f>
        <v>20</v>
      </c>
      <c r="V33" s="66"/>
      <c r="W33" s="9" t="s">
        <v>14</v>
      </c>
      <c r="X33" s="66">
        <f>+O33</f>
        <v>5.615384615384615</v>
      </c>
      <c r="Y33" s="66"/>
      <c r="Z33" s="9" t="s">
        <v>6</v>
      </c>
      <c r="AA33" s="66">
        <f>+T27</f>
        <v>4</v>
      </c>
      <c r="AB33" s="66"/>
      <c r="AC33" s="1" t="s">
        <v>16</v>
      </c>
      <c r="AD33" s="66">
        <f>IF((AG33-AJ33)&lt;=0,0,+W27)</f>
        <v>20</v>
      </c>
      <c r="AE33" s="66"/>
      <c r="AF33" s="9" t="s">
        <v>14</v>
      </c>
      <c r="AG33" s="66">
        <f>+X33</f>
        <v>5.615384615384615</v>
      </c>
      <c r="AH33" s="66"/>
      <c r="AI33" s="9" t="s">
        <v>6</v>
      </c>
      <c r="AJ33" s="66">
        <f>+AA27</f>
        <v>5.5</v>
      </c>
      <c r="AK33" s="66"/>
      <c r="AL33" s="1" t="s">
        <v>16</v>
      </c>
      <c r="AM33" s="66">
        <f>IF((AP33-AS33)&lt;=0,0,+AD27)</f>
        <v>0</v>
      </c>
      <c r="AN33" s="66"/>
      <c r="AO33" s="9" t="s">
        <v>14</v>
      </c>
      <c r="AP33" s="66">
        <f>+AG33</f>
        <v>5.615384615384615</v>
      </c>
      <c r="AQ33" s="66"/>
      <c r="AR33" s="9" t="s">
        <v>6</v>
      </c>
      <c r="AS33" s="66">
        <f>+AH27</f>
        <v>6.5</v>
      </c>
      <c r="AT33" s="66"/>
      <c r="AU33" s="1" t="s">
        <v>16</v>
      </c>
      <c r="AV33" s="66">
        <f>IF((AY33-BB33)&lt;=0,0,+AK27)</f>
        <v>0</v>
      </c>
      <c r="AW33" s="66"/>
      <c r="AX33" s="9" t="s">
        <v>14</v>
      </c>
      <c r="AY33" s="66">
        <f>+AP33</f>
        <v>5.615384615384615</v>
      </c>
      <c r="AZ33" s="66"/>
      <c r="BA33" s="9" t="s">
        <v>6</v>
      </c>
      <c r="BB33" s="66">
        <f>+AO27</f>
        <v>10</v>
      </c>
      <c r="BC33" s="66"/>
      <c r="BD33" s="1" t="s">
        <v>16</v>
      </c>
      <c r="BE33" s="66">
        <f>IF((BH33-BK33)&lt;=0,0,+AR27)</f>
        <v>0</v>
      </c>
      <c r="BF33" s="66"/>
      <c r="BG33" s="9" t="s">
        <v>14</v>
      </c>
      <c r="BH33" s="66">
        <f>+AY33</f>
        <v>5.615384615384615</v>
      </c>
      <c r="BI33" s="66"/>
      <c r="BJ33" s="9" t="s">
        <v>6</v>
      </c>
      <c r="BK33" s="66">
        <f>+AV27</f>
        <v>11.5</v>
      </c>
      <c r="BL33" s="66"/>
      <c r="BM33" s="1" t="s">
        <v>16</v>
      </c>
      <c r="BN33" s="66">
        <f>+AY27</f>
        <v>13</v>
      </c>
      <c r="BO33" s="66"/>
      <c r="BP33" s="9" t="s">
        <v>5</v>
      </c>
      <c r="BQ33" s="66">
        <f>+BH33</f>
        <v>5.615384615384615</v>
      </c>
      <c r="BR33" s="66"/>
      <c r="BS33" s="1" t="s">
        <v>190</v>
      </c>
      <c r="BT33" s="1">
        <v>2</v>
      </c>
      <c r="BU33" s="9" t="s">
        <v>7</v>
      </c>
      <c r="BV33" s="66">
        <f>F33*I33-L33*(O33-R33)-U33*(X33-AA33)-AD33*(AG33-AJ33)-AM33*(AP33-AS33)-AV33*(AY33-BB33)-BE33*(BH33-BK33)-BN33*BQ33^2/BT33</f>
        <v>424.96153846153857</v>
      </c>
      <c r="BW33" s="66"/>
      <c r="BX33" s="66"/>
      <c r="BY33" s="1" t="s">
        <v>191</v>
      </c>
      <c r="CC33" s="7"/>
      <c r="CF33" s="91"/>
      <c r="CG33" s="15" t="s">
        <v>60</v>
      </c>
      <c r="CH33" s="3">
        <v>53.3</v>
      </c>
      <c r="CI33" s="3">
        <v>260</v>
      </c>
      <c r="CJ33" s="3">
        <v>113</v>
      </c>
      <c r="CK33" s="3">
        <v>9.4</v>
      </c>
      <c r="CL33" s="3">
        <v>14.1</v>
      </c>
      <c r="CM33" s="3">
        <v>5740</v>
      </c>
    </row>
    <row r="34" spans="2:91">
      <c r="B34" s="6"/>
      <c r="C34" s="1" t="s">
        <v>247</v>
      </c>
      <c r="E34" s="66">
        <f>+AL15/2</f>
        <v>6</v>
      </c>
      <c r="F34" s="66"/>
      <c r="G34" s="66"/>
      <c r="H34" s="1" t="s">
        <v>252</v>
      </c>
      <c r="I34" s="9"/>
      <c r="J34" s="9"/>
      <c r="M34" s="9"/>
      <c r="N34" s="21"/>
      <c r="P34" s="9"/>
      <c r="Q34" s="9"/>
      <c r="T34" s="8"/>
      <c r="U34" s="9"/>
      <c r="W34" s="9"/>
      <c r="X34" s="9"/>
      <c r="AA34" s="9"/>
      <c r="AB34" s="9"/>
      <c r="AH34" s="9"/>
      <c r="AI34" s="9"/>
      <c r="AK34" s="9"/>
      <c r="AL34" s="9"/>
      <c r="AO34" s="9"/>
      <c r="AP34" s="9"/>
      <c r="AR34" s="9"/>
      <c r="AS34" s="9"/>
      <c r="AV34" s="9"/>
      <c r="AW34" s="9"/>
      <c r="AY34" s="9"/>
      <c r="AZ34" s="9"/>
      <c r="BA34" s="9"/>
      <c r="CC34" s="7"/>
      <c r="CF34" s="91"/>
      <c r="CG34" s="15" t="s">
        <v>61</v>
      </c>
      <c r="CH34" s="3">
        <v>61</v>
      </c>
      <c r="CI34" s="3">
        <v>280</v>
      </c>
      <c r="CJ34" s="3">
        <v>119</v>
      </c>
      <c r="CK34" s="3">
        <v>10.1</v>
      </c>
      <c r="CL34" s="3">
        <v>15.2</v>
      </c>
      <c r="CM34" s="3">
        <v>7590</v>
      </c>
    </row>
    <row r="35" spans="2:91">
      <c r="B35" s="6"/>
      <c r="C35" s="1" t="s">
        <v>261</v>
      </c>
      <c r="E35" s="66">
        <f>+E29</f>
        <v>133</v>
      </c>
      <c r="F35" s="66"/>
      <c r="G35" s="9" t="s">
        <v>5</v>
      </c>
      <c r="H35" s="66">
        <f>+E34</f>
        <v>6</v>
      </c>
      <c r="I35" s="66"/>
      <c r="J35" s="9" t="s">
        <v>6</v>
      </c>
      <c r="K35" s="66">
        <f>IF((N35-Q35)&lt;=0,0,+I27)</f>
        <v>20</v>
      </c>
      <c r="L35" s="66"/>
      <c r="M35" s="9" t="s">
        <v>14</v>
      </c>
      <c r="N35" s="66">
        <f>+H35</f>
        <v>6</v>
      </c>
      <c r="O35" s="66"/>
      <c r="P35" s="9" t="s">
        <v>6</v>
      </c>
      <c r="Q35" s="66">
        <f>+M27</f>
        <v>1.5</v>
      </c>
      <c r="R35" s="66"/>
      <c r="S35" s="1" t="s">
        <v>16</v>
      </c>
      <c r="T35" s="66">
        <f>IF((W35-Z35)&lt;=0,0,+P27)</f>
        <v>20</v>
      </c>
      <c r="U35" s="66"/>
      <c r="V35" s="9" t="s">
        <v>14</v>
      </c>
      <c r="W35" s="66">
        <f>+N35</f>
        <v>6</v>
      </c>
      <c r="X35" s="66"/>
      <c r="Y35" s="9" t="s">
        <v>6</v>
      </c>
      <c r="Z35" s="66">
        <f>+T27</f>
        <v>4</v>
      </c>
      <c r="AA35" s="66"/>
      <c r="AB35" s="1" t="s">
        <v>16</v>
      </c>
      <c r="AC35" s="66">
        <f>IF((AF35-AI35)&lt;=0,0,+W27)</f>
        <v>20</v>
      </c>
      <c r="AD35" s="66"/>
      <c r="AE35" s="9" t="s">
        <v>14</v>
      </c>
      <c r="AF35" s="66">
        <f>+W35</f>
        <v>6</v>
      </c>
      <c r="AG35" s="66"/>
      <c r="AH35" s="9" t="s">
        <v>6</v>
      </c>
      <c r="AI35" s="66">
        <f>+AA27</f>
        <v>5.5</v>
      </c>
      <c r="AJ35" s="66"/>
      <c r="AK35" s="1" t="s">
        <v>16</v>
      </c>
      <c r="AL35" s="66">
        <f>IF((AO35-AR35)&lt;=0,0,+AD27)</f>
        <v>0</v>
      </c>
      <c r="AM35" s="66"/>
      <c r="AN35" s="9" t="s">
        <v>14</v>
      </c>
      <c r="AO35" s="66">
        <f>+AF35</f>
        <v>6</v>
      </c>
      <c r="AP35" s="66"/>
      <c r="AQ35" s="9" t="s">
        <v>6</v>
      </c>
      <c r="AR35" s="66">
        <f>+AH27</f>
        <v>6.5</v>
      </c>
      <c r="AS35" s="66"/>
      <c r="AT35" s="1" t="s">
        <v>16</v>
      </c>
      <c r="AU35" s="66">
        <f>IF((AX35-BA35)&lt;=0,0,+AK27)</f>
        <v>0</v>
      </c>
      <c r="AV35" s="66"/>
      <c r="AW35" s="9" t="s">
        <v>14</v>
      </c>
      <c r="AX35" s="66">
        <f>+AO35</f>
        <v>6</v>
      </c>
      <c r="AY35" s="66"/>
      <c r="AZ35" s="9" t="s">
        <v>6</v>
      </c>
      <c r="BA35" s="66">
        <f>+AO27</f>
        <v>10</v>
      </c>
      <c r="BB35" s="66"/>
      <c r="BC35" s="1" t="s">
        <v>16</v>
      </c>
      <c r="BD35" s="66">
        <f>IF((BG35-BJ35)&lt;=0,0,+AR27)</f>
        <v>0</v>
      </c>
      <c r="BE35" s="66"/>
      <c r="BF35" s="9" t="s">
        <v>14</v>
      </c>
      <c r="BG35" s="66">
        <f>+AX35</f>
        <v>6</v>
      </c>
      <c r="BH35" s="66"/>
      <c r="BI35" s="9" t="s">
        <v>6</v>
      </c>
      <c r="BJ35" s="66">
        <f>+AV27</f>
        <v>11.5</v>
      </c>
      <c r="BK35" s="66"/>
      <c r="BL35" s="1" t="s">
        <v>16</v>
      </c>
      <c r="BM35" s="66">
        <f>+AY27</f>
        <v>13</v>
      </c>
      <c r="BN35" s="66"/>
      <c r="BO35" s="9" t="s">
        <v>5</v>
      </c>
      <c r="BP35" s="66">
        <f>+BG35</f>
        <v>6</v>
      </c>
      <c r="BQ35" s="66"/>
      <c r="BR35" s="1" t="s">
        <v>190</v>
      </c>
      <c r="BS35" s="1">
        <v>2</v>
      </c>
      <c r="BT35" s="9" t="s">
        <v>7</v>
      </c>
      <c r="BU35" s="66">
        <f>E35*H35-K35*(N35-Q35)-T35*(W35-Z35)-AC35*(AF35-AI35)-AL35*(AO35-AR35)-AU35*(AX35-BA35)-BD35*(BG35-BJ35)-BM35*BP35^2/BS35</f>
        <v>424</v>
      </c>
      <c r="BV35" s="66"/>
      <c r="BW35" s="66"/>
      <c r="BX35" s="1" t="s">
        <v>191</v>
      </c>
      <c r="CC35" s="7"/>
      <c r="CF35" s="91"/>
      <c r="CG35" s="15" t="s">
        <v>62</v>
      </c>
      <c r="CH35" s="3">
        <v>69</v>
      </c>
      <c r="CI35" s="3">
        <v>300</v>
      </c>
      <c r="CJ35" s="3">
        <v>125</v>
      </c>
      <c r="CK35" s="3">
        <v>10.8</v>
      </c>
      <c r="CL35" s="3">
        <v>16.2</v>
      </c>
      <c r="CM35" s="3">
        <v>9800</v>
      </c>
    </row>
    <row r="36" spans="2:91">
      <c r="B36" s="6"/>
      <c r="C36" s="1" t="s">
        <v>248</v>
      </c>
      <c r="E36" s="66">
        <f>+AL15/4</f>
        <v>3</v>
      </c>
      <c r="F36" s="66"/>
      <c r="G36" s="66"/>
      <c r="H36" s="1" t="s">
        <v>252</v>
      </c>
      <c r="I36" s="9"/>
      <c r="J36" s="9"/>
      <c r="M36" s="9"/>
      <c r="N36" s="21"/>
      <c r="P36" s="9"/>
      <c r="Q36" s="9"/>
      <c r="T36" s="8"/>
      <c r="U36" s="9"/>
      <c r="W36" s="9"/>
      <c r="X36" s="9"/>
      <c r="AA36" s="9"/>
      <c r="AB36" s="9"/>
      <c r="AH36" s="9"/>
      <c r="AI36" s="9"/>
      <c r="AK36" s="9"/>
      <c r="AL36" s="9"/>
      <c r="AO36" s="9"/>
      <c r="AP36" s="9"/>
      <c r="AR36" s="9"/>
      <c r="AS36" s="9"/>
      <c r="AV36" s="9"/>
      <c r="AW36" s="9"/>
      <c r="AY36" s="9"/>
      <c r="AZ36" s="9"/>
      <c r="BA36" s="9"/>
      <c r="CC36" s="7"/>
      <c r="CF36" s="91"/>
      <c r="CG36" s="15" t="s">
        <v>63</v>
      </c>
      <c r="CH36" s="3">
        <v>77.7</v>
      </c>
      <c r="CI36" s="3">
        <v>320</v>
      </c>
      <c r="CJ36" s="3">
        <v>131</v>
      </c>
      <c r="CK36" s="3">
        <v>11.5</v>
      </c>
      <c r="CL36" s="3">
        <v>17.3</v>
      </c>
      <c r="CM36" s="3">
        <v>12510</v>
      </c>
    </row>
    <row r="37" spans="2:91">
      <c r="B37" s="6"/>
      <c r="C37" s="1" t="s">
        <v>249</v>
      </c>
      <c r="E37" s="66">
        <f>+E35</f>
        <v>133</v>
      </c>
      <c r="F37" s="66"/>
      <c r="G37" s="9" t="s">
        <v>5</v>
      </c>
      <c r="H37" s="66">
        <f>+E36</f>
        <v>3</v>
      </c>
      <c r="I37" s="66"/>
      <c r="J37" s="9" t="s">
        <v>6</v>
      </c>
      <c r="K37" s="66">
        <f>IF((N37-Q37)&lt;=0,0,+I27)</f>
        <v>20</v>
      </c>
      <c r="L37" s="66"/>
      <c r="M37" s="9" t="s">
        <v>14</v>
      </c>
      <c r="N37" s="66">
        <f>+H37</f>
        <v>3</v>
      </c>
      <c r="O37" s="66"/>
      <c r="P37" s="9" t="s">
        <v>6</v>
      </c>
      <c r="Q37" s="66">
        <f>+Q35</f>
        <v>1.5</v>
      </c>
      <c r="R37" s="66"/>
      <c r="S37" s="1" t="s">
        <v>16</v>
      </c>
      <c r="T37" s="66">
        <f>IF((W37-Z37)&lt;=0,0,+P27)</f>
        <v>0</v>
      </c>
      <c r="U37" s="66"/>
      <c r="V37" s="9" t="s">
        <v>14</v>
      </c>
      <c r="W37" s="66">
        <f>+N37</f>
        <v>3</v>
      </c>
      <c r="X37" s="66"/>
      <c r="Y37" s="9" t="s">
        <v>6</v>
      </c>
      <c r="Z37" s="66">
        <f>+Z35</f>
        <v>4</v>
      </c>
      <c r="AA37" s="66"/>
      <c r="AB37" s="1" t="s">
        <v>16</v>
      </c>
      <c r="AC37" s="66">
        <f>IF((AF37-AI37)&lt;=0,0,+W27)</f>
        <v>0</v>
      </c>
      <c r="AD37" s="66"/>
      <c r="AE37" s="9" t="s">
        <v>14</v>
      </c>
      <c r="AF37" s="66">
        <f>+W37</f>
        <v>3</v>
      </c>
      <c r="AG37" s="66"/>
      <c r="AH37" s="9" t="s">
        <v>6</v>
      </c>
      <c r="AI37" s="66">
        <f>+AI35</f>
        <v>5.5</v>
      </c>
      <c r="AJ37" s="66"/>
      <c r="AK37" s="1" t="s">
        <v>16</v>
      </c>
      <c r="AL37" s="66">
        <f>IF((AO37-AR37)&lt;=0,0,+AD27)</f>
        <v>0</v>
      </c>
      <c r="AM37" s="66"/>
      <c r="AN37" s="9" t="s">
        <v>14</v>
      </c>
      <c r="AO37" s="66">
        <f>+AF37</f>
        <v>3</v>
      </c>
      <c r="AP37" s="66"/>
      <c r="AQ37" s="9" t="s">
        <v>6</v>
      </c>
      <c r="AR37" s="66">
        <f>+AR35</f>
        <v>6.5</v>
      </c>
      <c r="AS37" s="66"/>
      <c r="AT37" s="1" t="s">
        <v>16</v>
      </c>
      <c r="AU37" s="66">
        <f>IF((AX37-BA37)&lt;=0,0,+AK27)</f>
        <v>0</v>
      </c>
      <c r="AV37" s="66"/>
      <c r="AW37" s="9" t="s">
        <v>14</v>
      </c>
      <c r="AX37" s="66">
        <f>+AO37</f>
        <v>3</v>
      </c>
      <c r="AY37" s="66"/>
      <c r="AZ37" s="9" t="s">
        <v>6</v>
      </c>
      <c r="BA37" s="66">
        <f>+BA35</f>
        <v>10</v>
      </c>
      <c r="BB37" s="66"/>
      <c r="BC37" s="1" t="s">
        <v>16</v>
      </c>
      <c r="BD37" s="66">
        <f>IF((BG37-BJ37)&lt;=0,0,+AR27)</f>
        <v>0</v>
      </c>
      <c r="BE37" s="66"/>
      <c r="BF37" s="9" t="s">
        <v>14</v>
      </c>
      <c r="BG37" s="66">
        <f>+AX37</f>
        <v>3</v>
      </c>
      <c r="BH37" s="66"/>
      <c r="BI37" s="9" t="s">
        <v>6</v>
      </c>
      <c r="BJ37" s="66">
        <f>+BJ35</f>
        <v>11.5</v>
      </c>
      <c r="BK37" s="66"/>
      <c r="BL37" s="1" t="s">
        <v>16</v>
      </c>
      <c r="BM37" s="66">
        <f>+BM35</f>
        <v>13</v>
      </c>
      <c r="BN37" s="66"/>
      <c r="BO37" s="9" t="s">
        <v>5</v>
      </c>
      <c r="BP37" s="66">
        <f>+BG37</f>
        <v>3</v>
      </c>
      <c r="BQ37" s="66"/>
      <c r="BR37" s="1" t="s">
        <v>190</v>
      </c>
      <c r="BS37" s="1">
        <v>2</v>
      </c>
      <c r="BT37" s="9" t="s">
        <v>7</v>
      </c>
      <c r="BU37" s="66">
        <f>E37*H37-K37*(N37-Q37)-T37*(W37-Z37)-AC37*(AF37-AI37)-AL37*(AO37-AR37)-AU37*(AX37-BA37)-BD37*(BG37-BJ37)-BM37*BP37^2/BS37</f>
        <v>310.5</v>
      </c>
      <c r="BV37" s="66"/>
      <c r="BW37" s="66"/>
      <c r="BX37" s="1" t="s">
        <v>191</v>
      </c>
      <c r="CC37" s="7"/>
      <c r="CF37" s="91"/>
      <c r="CG37" s="15" t="s">
        <v>64</v>
      </c>
      <c r="CH37" s="3">
        <v>86.7</v>
      </c>
      <c r="CI37" s="3">
        <v>340</v>
      </c>
      <c r="CJ37" s="3">
        <v>137</v>
      </c>
      <c r="CK37" s="3">
        <v>12.2</v>
      </c>
      <c r="CL37" s="3">
        <v>18.3</v>
      </c>
      <c r="CM37" s="3">
        <v>15700</v>
      </c>
    </row>
    <row r="38" spans="2:91">
      <c r="B38" s="6"/>
      <c r="C38" s="1" t="s">
        <v>250</v>
      </c>
      <c r="F38" s="66">
        <f>3*AL15/4</f>
        <v>9</v>
      </c>
      <c r="G38" s="66"/>
      <c r="H38" s="66"/>
      <c r="I38" s="1" t="s">
        <v>252</v>
      </c>
      <c r="J38" s="9"/>
      <c r="M38" s="9"/>
      <c r="N38" s="21"/>
      <c r="P38" s="9"/>
      <c r="Q38" s="9"/>
      <c r="T38" s="8"/>
      <c r="U38" s="9"/>
      <c r="W38" s="9"/>
      <c r="AH38" s="9"/>
      <c r="AI38" s="9"/>
      <c r="AK38" s="9"/>
      <c r="AL38" s="9"/>
      <c r="AO38" s="9"/>
      <c r="AP38" s="9"/>
      <c r="AR38" s="9"/>
      <c r="AS38" s="9"/>
      <c r="AV38" s="9"/>
      <c r="AW38" s="9"/>
      <c r="AY38" s="9"/>
      <c r="AZ38" s="9"/>
      <c r="BA38" s="9"/>
      <c r="CC38" s="7"/>
      <c r="CF38" s="91"/>
      <c r="CG38" s="15" t="s">
        <v>65</v>
      </c>
      <c r="CH38" s="3">
        <v>97</v>
      </c>
      <c r="CI38" s="3">
        <v>360</v>
      </c>
      <c r="CJ38" s="3">
        <v>143</v>
      </c>
      <c r="CK38" s="3">
        <v>13</v>
      </c>
      <c r="CL38" s="3">
        <v>19.5</v>
      </c>
      <c r="CM38" s="3">
        <v>19610</v>
      </c>
    </row>
    <row r="39" spans="2:91">
      <c r="B39" s="6"/>
      <c r="C39" s="1" t="s">
        <v>251</v>
      </c>
      <c r="F39" s="66">
        <f>+E37</f>
        <v>133</v>
      </c>
      <c r="G39" s="66"/>
      <c r="H39" s="9" t="s">
        <v>5</v>
      </c>
      <c r="I39" s="66">
        <f>+F38</f>
        <v>9</v>
      </c>
      <c r="J39" s="66"/>
      <c r="K39" s="9" t="s">
        <v>6</v>
      </c>
      <c r="L39" s="66">
        <f>IF((O39-R39)&lt;=0,0,+I27)</f>
        <v>20</v>
      </c>
      <c r="M39" s="66"/>
      <c r="N39" s="9" t="s">
        <v>14</v>
      </c>
      <c r="O39" s="66">
        <f>+I39</f>
        <v>9</v>
      </c>
      <c r="P39" s="66"/>
      <c r="Q39" s="9" t="s">
        <v>6</v>
      </c>
      <c r="R39" s="66">
        <f>+Q37</f>
        <v>1.5</v>
      </c>
      <c r="S39" s="66"/>
      <c r="T39" s="1" t="s">
        <v>16</v>
      </c>
      <c r="U39" s="66">
        <f>IF((X39-AA39)&lt;=0,0,+P27)</f>
        <v>20</v>
      </c>
      <c r="V39" s="66"/>
      <c r="W39" s="9" t="s">
        <v>14</v>
      </c>
      <c r="X39" s="66">
        <f>+O39</f>
        <v>9</v>
      </c>
      <c r="Y39" s="66"/>
      <c r="Z39" s="9" t="s">
        <v>6</v>
      </c>
      <c r="AA39" s="66">
        <f>+Z37</f>
        <v>4</v>
      </c>
      <c r="AB39" s="66"/>
      <c r="AC39" s="1" t="s">
        <v>16</v>
      </c>
      <c r="AD39" s="66">
        <f>IF((AG39-AJ39)&lt;=0,0,+W27)</f>
        <v>20</v>
      </c>
      <c r="AE39" s="66"/>
      <c r="AF39" s="9" t="s">
        <v>14</v>
      </c>
      <c r="AG39" s="66">
        <f>+X39</f>
        <v>9</v>
      </c>
      <c r="AH39" s="66"/>
      <c r="AI39" s="9" t="s">
        <v>6</v>
      </c>
      <c r="AJ39" s="66">
        <f>+AI37</f>
        <v>5.5</v>
      </c>
      <c r="AK39" s="66"/>
      <c r="AL39" s="1" t="s">
        <v>16</v>
      </c>
      <c r="AM39" s="66">
        <f>IF((AP39-AS39)&lt;=0,0,+AD27)</f>
        <v>20</v>
      </c>
      <c r="AN39" s="66"/>
      <c r="AO39" s="9" t="s">
        <v>14</v>
      </c>
      <c r="AP39" s="66">
        <f>+AG39</f>
        <v>9</v>
      </c>
      <c r="AQ39" s="66"/>
      <c r="AR39" s="9" t="s">
        <v>6</v>
      </c>
      <c r="AS39" s="66">
        <f>+AR37</f>
        <v>6.5</v>
      </c>
      <c r="AT39" s="66"/>
      <c r="AU39" s="1" t="s">
        <v>16</v>
      </c>
      <c r="AV39" s="66">
        <f>IF((AY39-BB39)&lt;=0,0,+AK27)</f>
        <v>0</v>
      </c>
      <c r="AW39" s="66"/>
      <c r="AX39" s="9" t="s">
        <v>14</v>
      </c>
      <c r="AY39" s="66">
        <f>+AP39</f>
        <v>9</v>
      </c>
      <c r="AZ39" s="66"/>
      <c r="BA39" s="9" t="s">
        <v>6</v>
      </c>
      <c r="BB39" s="66">
        <f>+BA37</f>
        <v>10</v>
      </c>
      <c r="BC39" s="66"/>
      <c r="BD39" s="1" t="s">
        <v>16</v>
      </c>
      <c r="BE39" s="66">
        <f>IF((BH39-BK39)&lt;=0,0,+AR27)</f>
        <v>0</v>
      </c>
      <c r="BF39" s="66"/>
      <c r="BG39" s="9" t="s">
        <v>14</v>
      </c>
      <c r="BH39" s="66">
        <f>+AY39</f>
        <v>9</v>
      </c>
      <c r="BI39" s="66"/>
      <c r="BJ39" s="9" t="s">
        <v>6</v>
      </c>
      <c r="BK39" s="66">
        <f>+BJ37</f>
        <v>11.5</v>
      </c>
      <c r="BL39" s="66"/>
      <c r="BM39" s="1" t="s">
        <v>16</v>
      </c>
      <c r="BN39" s="66">
        <f>+BM37</f>
        <v>13</v>
      </c>
      <c r="BO39" s="66"/>
      <c r="BP39" s="9" t="s">
        <v>5</v>
      </c>
      <c r="BQ39" s="66">
        <f>+BH39</f>
        <v>9</v>
      </c>
      <c r="BR39" s="66"/>
      <c r="BS39" s="1" t="s">
        <v>190</v>
      </c>
      <c r="BT39" s="1">
        <v>2</v>
      </c>
      <c r="BU39" s="9" t="s">
        <v>7</v>
      </c>
      <c r="BV39" s="66">
        <f>F39*I39-L39*(O39-R39)-U39*(X39-AA39)-AD39*(AG39-AJ39)-AM39*(AP39-AS39)-AV39*(AY39-BB39)-BE39*(BH39-BK39)-BN39*BQ39^2/BT39</f>
        <v>300.5</v>
      </c>
      <c r="BW39" s="66"/>
      <c r="BX39" s="66"/>
      <c r="BY39" s="1" t="s">
        <v>191</v>
      </c>
      <c r="CC39" s="7"/>
      <c r="CF39" s="91"/>
      <c r="CG39" s="15" t="s">
        <v>66</v>
      </c>
      <c r="CH39" s="3">
        <v>107</v>
      </c>
      <c r="CI39" s="3">
        <v>380</v>
      </c>
      <c r="CJ39" s="3">
        <v>149</v>
      </c>
      <c r="CK39" s="3">
        <v>13.7</v>
      </c>
      <c r="CL39" s="3">
        <v>20.5</v>
      </c>
      <c r="CM39" s="3">
        <v>24010</v>
      </c>
    </row>
    <row r="40" spans="2:91">
      <c r="B40" s="6"/>
      <c r="C40" s="1" t="s">
        <v>300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U40" s="9"/>
      <c r="V40" s="9"/>
      <c r="W40" s="9"/>
      <c r="X40" s="9"/>
      <c r="Y40" s="9"/>
      <c r="Z40" s="9"/>
      <c r="AA40" s="9"/>
      <c r="AB40" s="9"/>
      <c r="AD40" s="9"/>
      <c r="AE40" s="9"/>
      <c r="AF40" s="9"/>
      <c r="AG40" s="9"/>
      <c r="AH40" s="9"/>
      <c r="AI40" s="9"/>
      <c r="AJ40" s="9"/>
      <c r="AK40" s="9"/>
      <c r="AM40" s="9"/>
      <c r="AN40" s="9"/>
      <c r="AO40" s="9"/>
      <c r="AP40" s="9"/>
      <c r="AQ40" s="9"/>
      <c r="AR40" s="9"/>
      <c r="AS40" s="9"/>
      <c r="AT40" s="9"/>
      <c r="AV40" s="9"/>
      <c r="AW40" s="9"/>
      <c r="AX40" s="9"/>
      <c r="AY40" s="9"/>
      <c r="AZ40" s="9"/>
      <c r="BA40" s="9"/>
      <c r="BB40" s="9"/>
      <c r="BC40" s="9"/>
      <c r="BE40" s="9"/>
      <c r="BF40" s="9"/>
      <c r="BG40" s="9"/>
      <c r="BH40" s="9"/>
      <c r="BI40" s="9"/>
      <c r="BJ40" s="9"/>
      <c r="BK40" s="9"/>
      <c r="BL40" s="9"/>
      <c r="BN40" s="9"/>
      <c r="BO40" s="9"/>
      <c r="BP40" s="9"/>
      <c r="BQ40" s="9"/>
      <c r="BR40" s="9"/>
      <c r="BU40" s="9"/>
      <c r="BV40" s="9"/>
      <c r="BW40" s="9"/>
      <c r="BX40" s="9"/>
      <c r="CC40" s="7"/>
      <c r="CF40" s="91"/>
      <c r="CG40" s="15" t="s">
        <v>67</v>
      </c>
      <c r="CH40" s="3">
        <v>118</v>
      </c>
      <c r="CI40" s="3">
        <v>400</v>
      </c>
      <c r="CJ40" s="3">
        <v>155</v>
      </c>
      <c r="CK40" s="3">
        <v>14.4</v>
      </c>
      <c r="CL40" s="3">
        <v>21.6</v>
      </c>
      <c r="CM40" s="3">
        <v>29210</v>
      </c>
    </row>
    <row r="41" spans="2:91">
      <c r="B41" s="6"/>
      <c r="C41" s="1" t="s">
        <v>301</v>
      </c>
      <c r="E41" s="66">
        <v>12.5</v>
      </c>
      <c r="F41" s="66"/>
      <c r="G41" s="9" t="s">
        <v>5</v>
      </c>
      <c r="H41" s="66">
        <f>+BV33</f>
        <v>424.96153846153857</v>
      </c>
      <c r="I41" s="66"/>
      <c r="J41" s="66"/>
      <c r="K41" s="9" t="s">
        <v>275</v>
      </c>
      <c r="L41" s="66">
        <v>2.5</v>
      </c>
      <c r="M41" s="66"/>
      <c r="N41" s="9" t="s">
        <v>5</v>
      </c>
      <c r="O41" s="66">
        <f>+H41</f>
        <v>424.96153846153857</v>
      </c>
      <c r="P41" s="66"/>
      <c r="Q41" s="66"/>
      <c r="R41" s="9" t="s">
        <v>9</v>
      </c>
      <c r="S41" s="9">
        <v>3</v>
      </c>
      <c r="T41" s="9" t="s">
        <v>5</v>
      </c>
      <c r="U41" s="66">
        <f>+BU37</f>
        <v>310.5</v>
      </c>
      <c r="V41" s="66"/>
      <c r="W41" s="66"/>
      <c r="X41" s="9" t="s">
        <v>9</v>
      </c>
      <c r="Y41" s="9">
        <v>4</v>
      </c>
      <c r="Z41" s="9" t="s">
        <v>5</v>
      </c>
      <c r="AA41" s="66">
        <f>+BU35</f>
        <v>424</v>
      </c>
      <c r="AB41" s="66"/>
      <c r="AC41" s="66"/>
      <c r="AD41" s="9" t="s">
        <v>9</v>
      </c>
      <c r="AE41" s="9">
        <v>3</v>
      </c>
      <c r="AF41" s="9" t="s">
        <v>5</v>
      </c>
      <c r="AG41" s="66">
        <f>+BV39</f>
        <v>300.5</v>
      </c>
      <c r="AH41" s="66"/>
      <c r="AI41" s="66"/>
      <c r="AJ41" s="9" t="s">
        <v>201</v>
      </c>
      <c r="AK41" s="66">
        <f>E41*H41/(L41*O41+S41*U41+Y41*AA41+AE41*AG41)</f>
        <v>1.1569488132086301</v>
      </c>
      <c r="AL41" s="66"/>
      <c r="AM41" s="66"/>
      <c r="AN41" s="9"/>
      <c r="AO41" s="9"/>
      <c r="AP41" s="9"/>
      <c r="AQ41" s="9"/>
      <c r="AR41" s="9"/>
      <c r="AS41" s="9"/>
      <c r="AT41" s="9"/>
      <c r="AV41" s="9"/>
      <c r="AW41" s="9"/>
      <c r="AX41" s="9"/>
      <c r="AY41" s="9"/>
      <c r="AZ41" s="9"/>
      <c r="BA41" s="9"/>
      <c r="BB41" s="9"/>
      <c r="BC41" s="9"/>
      <c r="BE41" s="9"/>
      <c r="BF41" s="9"/>
      <c r="BG41" s="9"/>
      <c r="BH41" s="9"/>
      <c r="BI41" s="9"/>
      <c r="BJ41" s="9"/>
      <c r="BK41" s="9"/>
      <c r="BL41" s="9"/>
      <c r="BN41" s="9"/>
      <c r="BO41" s="9"/>
      <c r="BP41" s="9"/>
      <c r="BQ41" s="9"/>
      <c r="BR41" s="9"/>
      <c r="BU41" s="9"/>
      <c r="BV41" s="9"/>
      <c r="BW41" s="9"/>
      <c r="BX41" s="9"/>
      <c r="CC41" s="7"/>
      <c r="CF41" s="91"/>
      <c r="CG41" s="15" t="s">
        <v>68</v>
      </c>
      <c r="CH41" s="3">
        <v>132</v>
      </c>
      <c r="CI41" s="3">
        <v>425</v>
      </c>
      <c r="CJ41" s="3">
        <v>163</v>
      </c>
      <c r="CK41" s="3">
        <v>15.3</v>
      </c>
      <c r="CL41" s="3">
        <v>23</v>
      </c>
      <c r="CM41" s="3">
        <v>36970</v>
      </c>
    </row>
    <row r="42" spans="2:91">
      <c r="B42" s="6"/>
      <c r="C42" s="23" t="s">
        <v>223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L42" s="9"/>
      <c r="AM42" s="9"/>
      <c r="AN42" s="9"/>
      <c r="AO42" s="9"/>
      <c r="AP42" s="9"/>
      <c r="AQ42" s="9"/>
      <c r="AR42" s="9"/>
      <c r="AS42" s="9"/>
      <c r="AU42" s="9"/>
      <c r="AV42" s="9"/>
      <c r="AW42" s="9"/>
      <c r="AX42" s="9"/>
      <c r="AY42" s="9"/>
      <c r="AZ42" s="9"/>
      <c r="BA42" s="9"/>
      <c r="BB42" s="9"/>
      <c r="BD42" s="9"/>
      <c r="BE42" s="9"/>
      <c r="BF42" s="9"/>
      <c r="BG42" s="9"/>
      <c r="BH42" s="9"/>
      <c r="BI42" s="9"/>
      <c r="BJ42" s="9"/>
      <c r="BK42" s="9"/>
      <c r="BM42" s="9"/>
      <c r="BN42" s="9"/>
      <c r="BO42" s="9"/>
      <c r="BP42" s="9"/>
      <c r="BQ42" s="9"/>
      <c r="BT42" s="9"/>
      <c r="BU42" s="9"/>
      <c r="BV42" s="9"/>
      <c r="BW42" s="9"/>
      <c r="CC42" s="7"/>
      <c r="CF42" s="91"/>
      <c r="CG42" s="15" t="s">
        <v>69</v>
      </c>
      <c r="CH42" s="3">
        <v>147</v>
      </c>
      <c r="CI42" s="3">
        <v>450</v>
      </c>
      <c r="CJ42" s="3">
        <v>170</v>
      </c>
      <c r="CK42" s="3">
        <v>16.2</v>
      </c>
      <c r="CL42" s="3">
        <v>24.3</v>
      </c>
      <c r="CM42" s="3">
        <v>45850</v>
      </c>
    </row>
    <row r="43" spans="2:91">
      <c r="B43" s="6"/>
      <c r="C43" s="1" t="s">
        <v>194</v>
      </c>
      <c r="I43" s="66">
        <f>+E27</f>
        <v>133</v>
      </c>
      <c r="J43" s="66"/>
      <c r="K43" s="1" t="s">
        <v>18</v>
      </c>
      <c r="M43" s="1">
        <v>2</v>
      </c>
      <c r="N43" s="9" t="s">
        <v>6</v>
      </c>
      <c r="O43" s="66">
        <f>+I27</f>
        <v>20</v>
      </c>
      <c r="P43" s="66"/>
      <c r="Q43" s="1" t="s">
        <v>15</v>
      </c>
      <c r="S43" s="66">
        <f>+M27</f>
        <v>1.5</v>
      </c>
      <c r="T43" s="66"/>
      <c r="U43" s="1" t="s">
        <v>19</v>
      </c>
      <c r="W43" s="66">
        <f>+P27</f>
        <v>20</v>
      </c>
      <c r="X43" s="66"/>
      <c r="Y43" s="1" t="s">
        <v>15</v>
      </c>
      <c r="AA43" s="66">
        <f>+T27</f>
        <v>4</v>
      </c>
      <c r="AB43" s="66"/>
      <c r="AC43" s="1" t="s">
        <v>19</v>
      </c>
      <c r="AE43" s="66">
        <f>+W27</f>
        <v>20</v>
      </c>
      <c r="AF43" s="66"/>
      <c r="AG43" s="1" t="s">
        <v>15</v>
      </c>
      <c r="AI43" s="66">
        <f>+AA27</f>
        <v>5.5</v>
      </c>
      <c r="AJ43" s="66"/>
      <c r="AK43" s="1" t="s">
        <v>19</v>
      </c>
      <c r="AM43" s="66">
        <f>+AD27</f>
        <v>20</v>
      </c>
      <c r="AN43" s="66"/>
      <c r="AO43" s="1" t="s">
        <v>15</v>
      </c>
      <c r="AQ43" s="66">
        <f>+AH27</f>
        <v>6.5</v>
      </c>
      <c r="AR43" s="66"/>
      <c r="AS43" s="1" t="s">
        <v>19</v>
      </c>
      <c r="AU43" s="66">
        <f>+AK27</f>
        <v>20</v>
      </c>
      <c r="AV43" s="66"/>
      <c r="AW43" s="1" t="s">
        <v>15</v>
      </c>
      <c r="AY43" s="66">
        <f>+AO27</f>
        <v>10</v>
      </c>
      <c r="AZ43" s="66"/>
      <c r="BA43" s="1" t="s">
        <v>19</v>
      </c>
      <c r="BC43" s="66">
        <f>+AR27</f>
        <v>20</v>
      </c>
      <c r="BD43" s="66"/>
      <c r="BE43" s="1" t="s">
        <v>15</v>
      </c>
      <c r="BG43" s="66">
        <f>+AV27</f>
        <v>11.5</v>
      </c>
      <c r="BH43" s="66"/>
      <c r="BI43" s="1" t="s">
        <v>20</v>
      </c>
      <c r="BK43" s="9" t="s">
        <v>6</v>
      </c>
      <c r="BL43" s="66">
        <f>+AY27</f>
        <v>13</v>
      </c>
      <c r="BM43" s="66"/>
      <c r="BN43" s="9" t="s">
        <v>5</v>
      </c>
      <c r="BO43" s="1" t="s">
        <v>184</v>
      </c>
      <c r="BP43" s="1" t="s">
        <v>173</v>
      </c>
      <c r="BQ43" s="1">
        <v>6</v>
      </c>
      <c r="BR43" s="9" t="s">
        <v>9</v>
      </c>
      <c r="BS43" s="1" t="s">
        <v>24</v>
      </c>
      <c r="BV43" s="1" t="s">
        <v>180</v>
      </c>
      <c r="CC43" s="7"/>
      <c r="CF43" s="91"/>
      <c r="CG43" s="15" t="s">
        <v>70</v>
      </c>
      <c r="CH43" s="3">
        <v>163</v>
      </c>
      <c r="CI43" s="3">
        <v>475</v>
      </c>
      <c r="CJ43" s="3">
        <v>178</v>
      </c>
      <c r="CK43" s="3">
        <v>17.100000000000001</v>
      </c>
      <c r="CL43" s="3">
        <v>25.6</v>
      </c>
      <c r="CM43" s="3">
        <v>46480</v>
      </c>
    </row>
    <row r="44" spans="2:91">
      <c r="B44" s="6"/>
      <c r="C44" s="1" t="s">
        <v>195</v>
      </c>
      <c r="H44" s="66">
        <f>+I43</f>
        <v>133</v>
      </c>
      <c r="I44" s="66"/>
      <c r="J44" s="1" t="s">
        <v>21</v>
      </c>
      <c r="L44" s="1">
        <v>6</v>
      </c>
      <c r="M44" s="9" t="s">
        <v>6</v>
      </c>
      <c r="N44" s="66">
        <f>+O43</f>
        <v>20</v>
      </c>
      <c r="O44" s="66"/>
      <c r="P44" s="1" t="s">
        <v>15</v>
      </c>
      <c r="R44" s="66">
        <f>+S43</f>
        <v>1.5</v>
      </c>
      <c r="S44" s="66"/>
      <c r="T44" s="1" t="s">
        <v>22</v>
      </c>
      <c r="V44" s="66">
        <f>+W43</f>
        <v>20</v>
      </c>
      <c r="W44" s="66"/>
      <c r="X44" s="1" t="s">
        <v>15</v>
      </c>
      <c r="Z44" s="66">
        <f>+AA43</f>
        <v>4</v>
      </c>
      <c r="AA44" s="66"/>
      <c r="AB44" s="1" t="s">
        <v>22</v>
      </c>
      <c r="AD44" s="66">
        <f>+AE43</f>
        <v>20</v>
      </c>
      <c r="AE44" s="66"/>
      <c r="AF44" s="1" t="s">
        <v>15</v>
      </c>
      <c r="AH44" s="66">
        <f>+AI43</f>
        <v>5.5</v>
      </c>
      <c r="AI44" s="66"/>
      <c r="AJ44" s="1" t="s">
        <v>22</v>
      </c>
      <c r="AL44" s="66">
        <f>+AM43</f>
        <v>20</v>
      </c>
      <c r="AM44" s="66"/>
      <c r="AN44" s="1" t="s">
        <v>15</v>
      </c>
      <c r="AP44" s="66">
        <f>+AQ43</f>
        <v>6.5</v>
      </c>
      <c r="AQ44" s="66"/>
      <c r="AR44" s="1" t="s">
        <v>22</v>
      </c>
      <c r="AT44" s="66">
        <f>+AU43</f>
        <v>20</v>
      </c>
      <c r="AU44" s="66"/>
      <c r="AV44" s="1" t="s">
        <v>15</v>
      </c>
      <c r="AX44" s="66">
        <f>+AY43</f>
        <v>10</v>
      </c>
      <c r="AY44" s="66"/>
      <c r="AZ44" s="1" t="s">
        <v>22</v>
      </c>
      <c r="BB44" s="66">
        <f>+BC43</f>
        <v>20</v>
      </c>
      <c r="BC44" s="66"/>
      <c r="BD44" s="1" t="s">
        <v>15</v>
      </c>
      <c r="BF44" s="66">
        <f>+BG43</f>
        <v>11.5</v>
      </c>
      <c r="BG44" s="66"/>
      <c r="BH44" s="1" t="s">
        <v>23</v>
      </c>
      <c r="BJ44" s="9" t="s">
        <v>6</v>
      </c>
      <c r="BK44" s="66">
        <f>+BL43</f>
        <v>13</v>
      </c>
      <c r="BL44" s="66"/>
      <c r="BM44" s="9" t="s">
        <v>5</v>
      </c>
      <c r="BN44" s="1" t="s">
        <v>185</v>
      </c>
      <c r="BO44" s="1" t="s">
        <v>173</v>
      </c>
      <c r="BP44" s="66">
        <v>24</v>
      </c>
      <c r="BQ44" s="66"/>
      <c r="BR44" s="1" t="s">
        <v>25</v>
      </c>
      <c r="BX44" s="1" t="s">
        <v>180</v>
      </c>
      <c r="CC44" s="7"/>
      <c r="CF44" s="91"/>
      <c r="CG44" s="15" t="s">
        <v>71</v>
      </c>
      <c r="CH44" s="3">
        <v>179</v>
      </c>
      <c r="CI44" s="3">
        <v>500</v>
      </c>
      <c r="CJ44" s="3">
        <v>185</v>
      </c>
      <c r="CK44" s="3">
        <v>18</v>
      </c>
      <c r="CL44" s="3">
        <v>27</v>
      </c>
      <c r="CM44" s="3">
        <v>68740</v>
      </c>
    </row>
    <row r="45" spans="2:91">
      <c r="B45" s="6"/>
      <c r="C45" s="1" t="s">
        <v>26</v>
      </c>
      <c r="CC45" s="7"/>
      <c r="CF45" s="91"/>
      <c r="CG45" s="15" t="s">
        <v>72</v>
      </c>
      <c r="CH45" s="3">
        <v>212</v>
      </c>
      <c r="CI45" s="3">
        <v>550</v>
      </c>
      <c r="CJ45" s="3">
        <v>200</v>
      </c>
      <c r="CK45" s="3">
        <v>19</v>
      </c>
      <c r="CL45" s="3">
        <v>30</v>
      </c>
      <c r="CM45" s="3">
        <v>99180</v>
      </c>
    </row>
    <row r="46" spans="2:91">
      <c r="B46" s="6"/>
      <c r="C46" s="1" t="s">
        <v>27</v>
      </c>
      <c r="D46" s="66">
        <f>+AL15</f>
        <v>12</v>
      </c>
      <c r="E46" s="66"/>
      <c r="F46" s="1" t="s">
        <v>1</v>
      </c>
      <c r="G46" s="1" t="s">
        <v>28</v>
      </c>
      <c r="H46" s="1" t="s">
        <v>29</v>
      </c>
      <c r="CC46" s="7"/>
      <c r="CF46" s="91"/>
      <c r="CG46" s="15" t="s">
        <v>73</v>
      </c>
      <c r="CH46" s="3">
        <v>254</v>
      </c>
      <c r="CI46" s="3">
        <v>600</v>
      </c>
      <c r="CJ46" s="3">
        <v>215</v>
      </c>
      <c r="CK46" s="3">
        <v>21.6</v>
      </c>
      <c r="CL46" s="3">
        <v>32.4</v>
      </c>
      <c r="CM46" s="3">
        <v>139000</v>
      </c>
    </row>
    <row r="47" spans="2:91">
      <c r="B47" s="6"/>
      <c r="C47" s="66">
        <f>+H44</f>
        <v>133</v>
      </c>
      <c r="D47" s="66"/>
      <c r="E47" s="9" t="s">
        <v>5</v>
      </c>
      <c r="F47" s="66">
        <f>+D46</f>
        <v>12</v>
      </c>
      <c r="G47" s="66"/>
      <c r="H47" s="1" t="s">
        <v>30</v>
      </c>
      <c r="I47" s="1">
        <v>6</v>
      </c>
      <c r="J47" s="9" t="s">
        <v>6</v>
      </c>
      <c r="K47" s="66">
        <f>+N44</f>
        <v>20</v>
      </c>
      <c r="L47" s="66"/>
      <c r="M47" s="1" t="s">
        <v>14</v>
      </c>
      <c r="N47" s="66">
        <f>+D46</f>
        <v>12</v>
      </c>
      <c r="O47" s="66"/>
      <c r="P47" s="9" t="s">
        <v>6</v>
      </c>
      <c r="Q47" s="66">
        <f>+R44</f>
        <v>1.5</v>
      </c>
      <c r="R47" s="66"/>
      <c r="S47" s="1" t="s">
        <v>31</v>
      </c>
      <c r="T47" s="1">
        <v>6</v>
      </c>
      <c r="U47" s="9" t="s">
        <v>6</v>
      </c>
      <c r="V47" s="66">
        <f>+V44</f>
        <v>20</v>
      </c>
      <c r="W47" s="66"/>
      <c r="X47" s="1" t="s">
        <v>14</v>
      </c>
      <c r="Y47" s="66">
        <f>+N47</f>
        <v>12</v>
      </c>
      <c r="Z47" s="66"/>
      <c r="AA47" s="9" t="s">
        <v>6</v>
      </c>
      <c r="AB47" s="66">
        <f>+Z44</f>
        <v>4</v>
      </c>
      <c r="AC47" s="66"/>
      <c r="AD47" s="1" t="s">
        <v>31</v>
      </c>
      <c r="AE47" s="1">
        <v>6</v>
      </c>
      <c r="AF47" s="9" t="s">
        <v>6</v>
      </c>
      <c r="AG47" s="66">
        <f>+AD44</f>
        <v>20</v>
      </c>
      <c r="AH47" s="66"/>
      <c r="AI47" s="1" t="s">
        <v>14</v>
      </c>
      <c r="AJ47" s="66">
        <f>+Y47</f>
        <v>12</v>
      </c>
      <c r="AK47" s="66"/>
      <c r="AL47" s="9" t="s">
        <v>6</v>
      </c>
      <c r="AM47" s="66">
        <f>+AH44</f>
        <v>5.5</v>
      </c>
      <c r="AN47" s="66"/>
      <c r="AO47" s="1" t="s">
        <v>31</v>
      </c>
      <c r="AP47" s="1">
        <v>6</v>
      </c>
      <c r="AQ47" s="9" t="s">
        <v>6</v>
      </c>
      <c r="AR47" s="66">
        <f>+AL44</f>
        <v>20</v>
      </c>
      <c r="AS47" s="66"/>
      <c r="AT47" s="1" t="s">
        <v>14</v>
      </c>
      <c r="AU47" s="66">
        <f>+AJ47</f>
        <v>12</v>
      </c>
      <c r="AV47" s="66"/>
      <c r="AW47" s="9" t="s">
        <v>6</v>
      </c>
      <c r="AX47" s="66">
        <f>+AP44</f>
        <v>6.5</v>
      </c>
      <c r="AY47" s="66"/>
      <c r="AZ47" s="1" t="s">
        <v>31</v>
      </c>
      <c r="BA47" s="1">
        <v>6</v>
      </c>
      <c r="BB47" s="9" t="s">
        <v>6</v>
      </c>
      <c r="BC47" s="66">
        <f>+AT44</f>
        <v>20</v>
      </c>
      <c r="BD47" s="66"/>
      <c r="BE47" s="1" t="s">
        <v>14</v>
      </c>
      <c r="BF47" s="66">
        <f>+AU47</f>
        <v>12</v>
      </c>
      <c r="BG47" s="66"/>
      <c r="BH47" s="9" t="s">
        <v>6</v>
      </c>
      <c r="BI47" s="66">
        <f>+AX44</f>
        <v>10</v>
      </c>
      <c r="BJ47" s="66"/>
      <c r="BK47" s="1" t="s">
        <v>31</v>
      </c>
      <c r="BL47" s="1">
        <v>6</v>
      </c>
      <c r="BM47" s="9" t="s">
        <v>6</v>
      </c>
      <c r="CC47" s="7"/>
      <c r="CF47" s="89" t="s">
        <v>74</v>
      </c>
      <c r="CG47" s="17" t="s">
        <v>75</v>
      </c>
      <c r="CH47" s="3">
        <v>7.64</v>
      </c>
      <c r="CI47" s="3">
        <v>80</v>
      </c>
      <c r="CJ47" s="3">
        <v>46</v>
      </c>
      <c r="CK47" s="3">
        <v>3.8</v>
      </c>
      <c r="CL47" s="3">
        <v>5.2</v>
      </c>
      <c r="CM47" s="3">
        <v>80.099999999999994</v>
      </c>
    </row>
    <row r="48" spans="2:91">
      <c r="B48" s="6"/>
      <c r="C48" s="9"/>
      <c r="D48" s="9" t="s">
        <v>6</v>
      </c>
      <c r="E48" s="66">
        <f>+BB44</f>
        <v>20</v>
      </c>
      <c r="F48" s="66"/>
      <c r="G48" s="1" t="s">
        <v>14</v>
      </c>
      <c r="H48" s="66">
        <f>+BF47</f>
        <v>12</v>
      </c>
      <c r="I48" s="66"/>
      <c r="J48" s="9" t="s">
        <v>6</v>
      </c>
      <c r="K48" s="66">
        <f>+BF44</f>
        <v>11.5</v>
      </c>
      <c r="L48" s="66"/>
      <c r="M48" s="1" t="s">
        <v>31</v>
      </c>
      <c r="N48" s="1">
        <v>6</v>
      </c>
      <c r="O48" s="9" t="s">
        <v>6</v>
      </c>
      <c r="P48" s="66">
        <f>+BK44</f>
        <v>13</v>
      </c>
      <c r="Q48" s="66"/>
      <c r="R48" s="9" t="s">
        <v>5</v>
      </c>
      <c r="S48" s="66">
        <f>+H48</f>
        <v>12</v>
      </c>
      <c r="T48" s="66"/>
      <c r="U48" s="1" t="s">
        <v>188</v>
      </c>
      <c r="V48" s="66">
        <v>24</v>
      </c>
      <c r="W48" s="66"/>
      <c r="X48" s="9" t="s">
        <v>9</v>
      </c>
      <c r="Y48" s="66">
        <f>+BF47</f>
        <v>12</v>
      </c>
      <c r="Z48" s="66"/>
      <c r="AA48" s="9" t="s">
        <v>5</v>
      </c>
      <c r="AB48" s="1" t="s">
        <v>24</v>
      </c>
      <c r="AC48" s="9" t="s">
        <v>7</v>
      </c>
      <c r="AD48" s="1">
        <v>0</v>
      </c>
      <c r="AF48" s="9"/>
      <c r="AG48" s="9"/>
      <c r="AH48" s="9"/>
      <c r="AJ48" s="9"/>
      <c r="AK48" s="9"/>
      <c r="AL48" s="9"/>
      <c r="AM48" s="9"/>
      <c r="AN48" s="9"/>
      <c r="AQ48" s="9"/>
      <c r="AR48" s="9"/>
      <c r="AS48" s="9"/>
      <c r="AU48" s="9"/>
      <c r="AV48" s="9"/>
      <c r="AW48" s="9"/>
      <c r="AX48" s="9"/>
      <c r="AY48" s="9"/>
      <c r="BB48" s="9"/>
      <c r="BC48" s="9"/>
      <c r="BD48" s="9"/>
      <c r="BF48" s="9"/>
      <c r="BG48" s="9"/>
      <c r="BH48" s="9"/>
      <c r="BI48" s="9"/>
      <c r="BJ48" s="9"/>
      <c r="BM48" s="9"/>
      <c r="BN48" s="9"/>
      <c r="BO48" s="9"/>
      <c r="BQ48" s="9"/>
      <c r="BR48" s="9"/>
      <c r="BS48" s="9"/>
      <c r="BT48" s="9"/>
      <c r="BU48" s="9"/>
      <c r="BX48" s="9"/>
      <c r="BY48" s="9"/>
      <c r="BZ48" s="9"/>
      <c r="CA48" s="9"/>
      <c r="CC48" s="7"/>
      <c r="CF48" s="89"/>
      <c r="CG48" s="17" t="s">
        <v>76</v>
      </c>
      <c r="CH48" s="3">
        <v>10.3</v>
      </c>
      <c r="CI48" s="3">
        <v>100</v>
      </c>
      <c r="CJ48" s="3">
        <v>55</v>
      </c>
      <c r="CK48" s="3">
        <v>4.0999999999999996</v>
      </c>
      <c r="CL48" s="3">
        <v>5.7</v>
      </c>
      <c r="CM48" s="3">
        <v>171</v>
      </c>
    </row>
    <row r="49" spans="2:91">
      <c r="B49" s="6"/>
      <c r="C49" s="1" t="s">
        <v>32</v>
      </c>
      <c r="E49" s="66">
        <f>-(C47*F47^3/I47-K47*(N47-Q47)^3/T47-V47*(Y47-AB47)^3/AE47-AG47*(AJ47-AM47)^3/AP47-AR47*(AU47-AX47)^3/BA47-BC47*(BF47-BI47)^3/BL47-E48*(H48-K48)^3/N48-P48*S48^4/V48)/Y48</f>
        <v>-1667.458333333333</v>
      </c>
      <c r="F49" s="66"/>
      <c r="G49" s="66"/>
      <c r="CC49" s="7"/>
      <c r="CF49" s="89"/>
      <c r="CG49" s="17" t="s">
        <v>77</v>
      </c>
      <c r="CH49" s="3">
        <v>13.2</v>
      </c>
      <c r="CI49" s="3">
        <v>120</v>
      </c>
      <c r="CJ49" s="3">
        <v>64</v>
      </c>
      <c r="CK49" s="3">
        <v>4.4000000000000004</v>
      </c>
      <c r="CL49" s="3">
        <v>6.3</v>
      </c>
      <c r="CM49" s="3">
        <v>318</v>
      </c>
    </row>
    <row r="50" spans="2:91">
      <c r="B50" s="6"/>
      <c r="C50" s="1" t="s">
        <v>195</v>
      </c>
      <c r="H50" s="66">
        <f>+H44</f>
        <v>133</v>
      </c>
      <c r="I50" s="66"/>
      <c r="J50" s="1" t="s">
        <v>21</v>
      </c>
      <c r="L50" s="1">
        <v>6</v>
      </c>
      <c r="M50" s="9" t="s">
        <v>6</v>
      </c>
      <c r="N50" s="66">
        <f>+N44</f>
        <v>20</v>
      </c>
      <c r="O50" s="66"/>
      <c r="P50" s="1" t="s">
        <v>15</v>
      </c>
      <c r="R50" s="66">
        <f>+R44</f>
        <v>1.5</v>
      </c>
      <c r="S50" s="66"/>
      <c r="T50" s="1" t="s">
        <v>22</v>
      </c>
      <c r="V50" s="66">
        <f>+V44</f>
        <v>20</v>
      </c>
      <c r="W50" s="66"/>
      <c r="X50" s="1" t="s">
        <v>15</v>
      </c>
      <c r="Z50" s="66">
        <f>+Z44</f>
        <v>4</v>
      </c>
      <c r="AA50" s="66"/>
      <c r="AB50" s="1" t="s">
        <v>22</v>
      </c>
      <c r="AD50" s="66">
        <f>+AD44</f>
        <v>20</v>
      </c>
      <c r="AE50" s="66"/>
      <c r="AF50" s="1" t="s">
        <v>15</v>
      </c>
      <c r="AH50" s="66">
        <f>+AH44</f>
        <v>5.5</v>
      </c>
      <c r="AI50" s="66"/>
      <c r="AJ50" s="1" t="s">
        <v>22</v>
      </c>
      <c r="AL50" s="66">
        <f>+AL44</f>
        <v>20</v>
      </c>
      <c r="AM50" s="66"/>
      <c r="AN50" s="1" t="s">
        <v>15</v>
      </c>
      <c r="AP50" s="66">
        <f>+AP44</f>
        <v>6.5</v>
      </c>
      <c r="AQ50" s="66"/>
      <c r="AR50" s="1" t="s">
        <v>22</v>
      </c>
      <c r="AT50" s="66">
        <f>+AT44</f>
        <v>20</v>
      </c>
      <c r="AU50" s="66"/>
      <c r="AV50" s="1" t="s">
        <v>15</v>
      </c>
      <c r="AX50" s="66">
        <f>+AX44</f>
        <v>10</v>
      </c>
      <c r="AY50" s="66"/>
      <c r="AZ50" s="1" t="s">
        <v>22</v>
      </c>
      <c r="BB50" s="66">
        <f>+BB44</f>
        <v>20</v>
      </c>
      <c r="BC50" s="66"/>
      <c r="BD50" s="1" t="s">
        <v>15</v>
      </c>
      <c r="BF50" s="66">
        <f>+BF44</f>
        <v>11.5</v>
      </c>
      <c r="BG50" s="66"/>
      <c r="BH50" s="1" t="s">
        <v>23</v>
      </c>
      <c r="BJ50" s="9" t="s">
        <v>6</v>
      </c>
      <c r="BK50" s="66">
        <f>+P48</f>
        <v>13</v>
      </c>
      <c r="BL50" s="66"/>
      <c r="BM50" s="9" t="s">
        <v>5</v>
      </c>
      <c r="BN50" s="1" t="s">
        <v>185</v>
      </c>
      <c r="BO50" s="1" t="s">
        <v>173</v>
      </c>
      <c r="BP50" s="66">
        <v>24</v>
      </c>
      <c r="BQ50" s="66"/>
      <c r="BR50" s="9" t="s">
        <v>9</v>
      </c>
      <c r="BS50" s="66">
        <f>+E49</f>
        <v>-1667.458333333333</v>
      </c>
      <c r="BT50" s="66"/>
      <c r="BU50" s="66"/>
      <c r="BV50" s="9" t="s">
        <v>5</v>
      </c>
      <c r="BW50" s="1" t="s">
        <v>13</v>
      </c>
      <c r="CC50" s="7"/>
      <c r="CF50" s="89"/>
      <c r="CG50" s="17" t="s">
        <v>78</v>
      </c>
      <c r="CH50" s="3">
        <v>16.399999999999999</v>
      </c>
      <c r="CI50" s="3">
        <v>140</v>
      </c>
      <c r="CJ50" s="3">
        <v>73</v>
      </c>
      <c r="CK50" s="3">
        <v>4.7</v>
      </c>
      <c r="CL50" s="3">
        <v>6.9</v>
      </c>
      <c r="CM50" s="3">
        <v>541</v>
      </c>
    </row>
    <row r="51" spans="2:91">
      <c r="B51" s="6"/>
      <c r="C51" s="1" t="s">
        <v>35</v>
      </c>
      <c r="E51" s="66">
        <f>+H50</f>
        <v>133</v>
      </c>
      <c r="F51" s="66"/>
      <c r="G51" s="1" t="s">
        <v>21</v>
      </c>
      <c r="I51" s="1">
        <v>6</v>
      </c>
      <c r="J51" s="9" t="s">
        <v>6</v>
      </c>
      <c r="K51" s="66">
        <f>+N50</f>
        <v>20</v>
      </c>
      <c r="L51" s="66"/>
      <c r="M51" s="1" t="s">
        <v>15</v>
      </c>
      <c r="O51" s="66">
        <f>+R50</f>
        <v>1.5</v>
      </c>
      <c r="P51" s="66"/>
      <c r="Q51" s="1" t="s">
        <v>22</v>
      </c>
      <c r="S51" s="66">
        <f>+V50</f>
        <v>20</v>
      </c>
      <c r="T51" s="66"/>
      <c r="U51" s="1" t="s">
        <v>15</v>
      </c>
      <c r="W51" s="66">
        <f>+Z50</f>
        <v>4</v>
      </c>
      <c r="X51" s="66"/>
      <c r="Y51" s="1" t="s">
        <v>22</v>
      </c>
      <c r="AA51" s="66">
        <f>+AD50</f>
        <v>20</v>
      </c>
      <c r="AB51" s="66"/>
      <c r="AC51" s="1" t="s">
        <v>15</v>
      </c>
      <c r="AE51" s="66">
        <f>+AH50</f>
        <v>5.5</v>
      </c>
      <c r="AF51" s="66"/>
      <c r="AG51" s="1" t="s">
        <v>22</v>
      </c>
      <c r="AI51" s="66">
        <f>+AL50</f>
        <v>20</v>
      </c>
      <c r="AJ51" s="66"/>
      <c r="AK51" s="1" t="s">
        <v>15</v>
      </c>
      <c r="AM51" s="66">
        <f>+AP50</f>
        <v>6.5</v>
      </c>
      <c r="AN51" s="66"/>
      <c r="AO51" s="1" t="s">
        <v>22</v>
      </c>
      <c r="AQ51" s="66">
        <f>+AT50</f>
        <v>20</v>
      </c>
      <c r="AR51" s="66"/>
      <c r="AS51" s="1" t="s">
        <v>15</v>
      </c>
      <c r="AU51" s="66">
        <f>+AX50</f>
        <v>10</v>
      </c>
      <c r="AV51" s="66"/>
      <c r="AW51" s="1" t="s">
        <v>22</v>
      </c>
      <c r="AY51" s="66">
        <f>+BB50</f>
        <v>20</v>
      </c>
      <c r="AZ51" s="66"/>
      <c r="BA51" s="1" t="s">
        <v>15</v>
      </c>
      <c r="BC51" s="66">
        <f>+BF50</f>
        <v>11.5</v>
      </c>
      <c r="BD51" s="66"/>
      <c r="BE51" s="1" t="s">
        <v>23</v>
      </c>
      <c r="BG51" s="9" t="s">
        <v>6</v>
      </c>
      <c r="BH51" s="66">
        <f>+BK50</f>
        <v>13</v>
      </c>
      <c r="BI51" s="66"/>
      <c r="BJ51" s="9" t="s">
        <v>5</v>
      </c>
      <c r="BK51" s="1" t="s">
        <v>185</v>
      </c>
      <c r="BL51" s="1" t="s">
        <v>173</v>
      </c>
      <c r="BM51" s="66">
        <v>24</v>
      </c>
      <c r="BN51" s="66"/>
      <c r="BO51" s="9" t="s">
        <v>9</v>
      </c>
      <c r="BP51" s="66">
        <f>+BS50</f>
        <v>-1667.458333333333</v>
      </c>
      <c r="BQ51" s="66"/>
      <c r="BR51" s="66"/>
      <c r="BS51" s="9" t="s">
        <v>5</v>
      </c>
      <c r="BT51" s="1" t="s">
        <v>196</v>
      </c>
      <c r="CC51" s="7"/>
      <c r="CF51" s="89"/>
      <c r="CG51" s="17" t="s">
        <v>79</v>
      </c>
      <c r="CH51" s="3">
        <v>20.100000000000001</v>
      </c>
      <c r="CI51" s="3">
        <v>160</v>
      </c>
      <c r="CJ51" s="3">
        <v>82</v>
      </c>
      <c r="CK51" s="3">
        <v>5</v>
      </c>
      <c r="CL51" s="3">
        <v>7.4</v>
      </c>
      <c r="CM51" s="3">
        <v>869</v>
      </c>
    </row>
    <row r="52" spans="2:91">
      <c r="B52" s="6"/>
      <c r="C52" s="1" t="s">
        <v>27</v>
      </c>
      <c r="D52" s="67">
        <f>+AL15/2</f>
        <v>6</v>
      </c>
      <c r="E52" s="67"/>
      <c r="F52" s="67"/>
      <c r="G52" s="1" t="s">
        <v>42</v>
      </c>
      <c r="P52" s="8" t="str">
        <f>IF(D52&lt;=AL15,"","azalt.")</f>
        <v/>
      </c>
      <c r="CC52" s="7"/>
      <c r="CF52" s="89"/>
      <c r="CG52" s="17" t="s">
        <v>80</v>
      </c>
      <c r="CH52" s="3">
        <v>23.9</v>
      </c>
      <c r="CI52" s="3">
        <v>180</v>
      </c>
      <c r="CJ52" s="3">
        <v>91</v>
      </c>
      <c r="CK52" s="3">
        <v>5.3</v>
      </c>
      <c r="CL52" s="3">
        <v>8</v>
      </c>
      <c r="CM52" s="3">
        <v>1320</v>
      </c>
    </row>
    <row r="53" spans="2:91">
      <c r="B53" s="6"/>
      <c r="C53" s="1" t="s">
        <v>35</v>
      </c>
      <c r="E53" s="66">
        <f>+E51</f>
        <v>133</v>
      </c>
      <c r="F53" s="66"/>
      <c r="G53" s="9" t="s">
        <v>5</v>
      </c>
      <c r="H53" s="66">
        <f>+D52</f>
        <v>6</v>
      </c>
      <c r="I53" s="66"/>
      <c r="J53" s="1" t="s">
        <v>30</v>
      </c>
      <c r="K53" s="1">
        <v>6</v>
      </c>
      <c r="L53" s="9" t="s">
        <v>6</v>
      </c>
      <c r="M53" s="66">
        <f>IF((P53-S53)&lt;=0,0,+K51)</f>
        <v>20</v>
      </c>
      <c r="N53" s="66"/>
      <c r="O53" s="1" t="s">
        <v>14</v>
      </c>
      <c r="P53" s="66">
        <f>+D52</f>
        <v>6</v>
      </c>
      <c r="Q53" s="66"/>
      <c r="R53" s="9" t="s">
        <v>6</v>
      </c>
      <c r="S53" s="66">
        <f>+O51</f>
        <v>1.5</v>
      </c>
      <c r="T53" s="66"/>
      <c r="U53" s="1" t="s">
        <v>31</v>
      </c>
      <c r="V53" s="1">
        <v>6</v>
      </c>
      <c r="W53" s="9" t="s">
        <v>6</v>
      </c>
      <c r="X53" s="66">
        <f>IF((AA53-AD53)&lt;=0,0,+S51)</f>
        <v>20</v>
      </c>
      <c r="Y53" s="66"/>
      <c r="Z53" s="1" t="s">
        <v>14</v>
      </c>
      <c r="AA53" s="66">
        <f>+P53</f>
        <v>6</v>
      </c>
      <c r="AB53" s="66"/>
      <c r="AC53" s="9" t="s">
        <v>6</v>
      </c>
      <c r="AD53" s="66">
        <f>+W51</f>
        <v>4</v>
      </c>
      <c r="AE53" s="66"/>
      <c r="AF53" s="1" t="s">
        <v>31</v>
      </c>
      <c r="AG53" s="1">
        <v>6</v>
      </c>
      <c r="AH53" s="9" t="s">
        <v>6</v>
      </c>
      <c r="AI53" s="66">
        <f>IF((AL53-AO53)&lt;=0,0,+AA51)</f>
        <v>20</v>
      </c>
      <c r="AJ53" s="66"/>
      <c r="AK53" s="1" t="s">
        <v>14</v>
      </c>
      <c r="AL53" s="66">
        <f>+AA53</f>
        <v>6</v>
      </c>
      <c r="AM53" s="66"/>
      <c r="AN53" s="9" t="s">
        <v>6</v>
      </c>
      <c r="AO53" s="66">
        <f>+AE51</f>
        <v>5.5</v>
      </c>
      <c r="AP53" s="66"/>
      <c r="AQ53" s="1" t="s">
        <v>31</v>
      </c>
      <c r="AR53" s="1">
        <v>6</v>
      </c>
      <c r="AS53" s="9" t="s">
        <v>6</v>
      </c>
      <c r="AT53" s="66">
        <f>IF((AW53-AZ53)&lt;=0,0,+AI51)</f>
        <v>0</v>
      </c>
      <c r="AU53" s="66"/>
      <c r="AV53" s="1" t="s">
        <v>14</v>
      </c>
      <c r="AW53" s="66">
        <f>+AL53</f>
        <v>6</v>
      </c>
      <c r="AX53" s="66"/>
      <c r="AY53" s="9" t="s">
        <v>6</v>
      </c>
      <c r="AZ53" s="66">
        <f>+AM51</f>
        <v>6.5</v>
      </c>
      <c r="BA53" s="66"/>
      <c r="BB53" s="1" t="s">
        <v>31</v>
      </c>
      <c r="BC53" s="1">
        <v>6</v>
      </c>
      <c r="BD53" s="9" t="s">
        <v>6</v>
      </c>
      <c r="BE53" s="66">
        <f>IF((BH53-BK53)&lt;=0,0,+AQ51)</f>
        <v>0</v>
      </c>
      <c r="BF53" s="66"/>
      <c r="BG53" s="1" t="s">
        <v>14</v>
      </c>
      <c r="BH53" s="66">
        <f>+AW53</f>
        <v>6</v>
      </c>
      <c r="BI53" s="66"/>
      <c r="BJ53" s="9" t="s">
        <v>6</v>
      </c>
      <c r="BK53" s="66">
        <f>+AU51</f>
        <v>10</v>
      </c>
      <c r="BL53" s="66"/>
      <c r="BM53" s="1" t="s">
        <v>31</v>
      </c>
      <c r="BN53" s="1">
        <v>6</v>
      </c>
      <c r="BO53" s="9" t="s">
        <v>6</v>
      </c>
      <c r="BP53" s="66">
        <f>IF((BS53-BV53)&lt;=0,0,+AY51)</f>
        <v>0</v>
      </c>
      <c r="BQ53" s="66"/>
      <c r="BR53" s="1" t="s">
        <v>14</v>
      </c>
      <c r="BS53" s="66">
        <f>+BH53</f>
        <v>6</v>
      </c>
      <c r="BT53" s="66"/>
      <c r="BU53" s="9" t="s">
        <v>6</v>
      </c>
      <c r="BV53" s="66">
        <f>+BC51</f>
        <v>11.5</v>
      </c>
      <c r="BW53" s="66"/>
      <c r="BX53" s="1" t="s">
        <v>31</v>
      </c>
      <c r="BY53" s="1">
        <v>6</v>
      </c>
      <c r="BZ53" s="9" t="s">
        <v>6</v>
      </c>
      <c r="CC53" s="7"/>
      <c r="CF53" s="89"/>
      <c r="CG53" s="17" t="s">
        <v>81</v>
      </c>
      <c r="CH53" s="3">
        <v>28.5</v>
      </c>
      <c r="CI53" s="3">
        <v>200</v>
      </c>
      <c r="CJ53" s="3">
        <v>100</v>
      </c>
      <c r="CK53" s="3">
        <v>5.6</v>
      </c>
      <c r="CL53" s="3">
        <v>8.5</v>
      </c>
      <c r="CM53" s="3">
        <v>1940</v>
      </c>
    </row>
    <row r="54" spans="2:91">
      <c r="B54" s="6"/>
      <c r="D54" s="9" t="s">
        <v>6</v>
      </c>
      <c r="E54" s="66">
        <f>+BH51</f>
        <v>13</v>
      </c>
      <c r="F54" s="66"/>
      <c r="G54" s="9" t="s">
        <v>5</v>
      </c>
      <c r="H54" s="66">
        <f>+BS53</f>
        <v>6</v>
      </c>
      <c r="I54" s="66"/>
      <c r="J54" s="1" t="s">
        <v>186</v>
      </c>
      <c r="K54" s="66">
        <v>24</v>
      </c>
      <c r="L54" s="66"/>
      <c r="M54" s="9" t="s">
        <v>9</v>
      </c>
      <c r="N54" s="66">
        <f>+BP51</f>
        <v>-1667.458333333333</v>
      </c>
      <c r="O54" s="66"/>
      <c r="P54" s="66"/>
      <c r="Q54" s="9" t="s">
        <v>5</v>
      </c>
      <c r="R54" s="66">
        <f>+BH53</f>
        <v>6</v>
      </c>
      <c r="S54" s="66"/>
      <c r="T54" s="1" t="s">
        <v>193</v>
      </c>
      <c r="W54" s="66">
        <f>+Z18</f>
        <v>200000</v>
      </c>
      <c r="X54" s="66"/>
      <c r="Y54" s="66"/>
      <c r="Z54" s="9" t="s">
        <v>5</v>
      </c>
      <c r="AA54" s="66">
        <f>+Z17</f>
        <v>92080</v>
      </c>
      <c r="AB54" s="66"/>
      <c r="AC54" s="66"/>
      <c r="AD54" s="1" t="s">
        <v>40</v>
      </c>
      <c r="AE54" s="9"/>
      <c r="AY54" s="9"/>
      <c r="AZ54" s="9"/>
      <c r="BA54" s="9"/>
      <c r="BD54" s="9"/>
      <c r="BE54" s="9"/>
      <c r="BF54" s="9"/>
      <c r="BH54" s="9"/>
      <c r="BI54" s="9"/>
      <c r="BJ54" s="9"/>
      <c r="BK54" s="9"/>
      <c r="BL54" s="9"/>
      <c r="BO54" s="9"/>
      <c r="BP54" s="9"/>
      <c r="BQ54" s="9"/>
      <c r="BS54" s="9"/>
      <c r="BT54" s="9"/>
      <c r="BU54" s="9"/>
      <c r="BV54" s="9"/>
      <c r="BW54" s="9"/>
      <c r="BZ54" s="9"/>
      <c r="CC54" s="7"/>
      <c r="CF54" s="89"/>
      <c r="CG54" s="17" t="s">
        <v>82</v>
      </c>
      <c r="CH54" s="3">
        <v>33.4</v>
      </c>
      <c r="CI54" s="3">
        <v>220</v>
      </c>
      <c r="CJ54" s="3">
        <v>110</v>
      </c>
      <c r="CK54" s="3">
        <v>5.9</v>
      </c>
      <c r="CL54" s="3">
        <v>9.1999999999999993</v>
      </c>
      <c r="CM54" s="3">
        <v>2770</v>
      </c>
    </row>
    <row r="55" spans="2:91">
      <c r="B55" s="6"/>
      <c r="C55" s="1" t="s">
        <v>33</v>
      </c>
      <c r="E55" s="66">
        <f>-(E53*H53^3/K53-M53*(P53-S53)^3/V53-X53*(AA53-AD53)^3/AG53-AI53*(AL53-AO53)^3/AR53-AT53*(AW53-AZ53)^3/BC53-BE53*(BH53-BK53)^3/BN53-BP53*(BS53-BV53)^3/BY53-E54*H54^4/K54+N54*R54)*100000000/(W54*AA54)</f>
        <v>33.935617578916876</v>
      </c>
      <c r="F55" s="66"/>
      <c r="G55" s="66"/>
      <c r="H55" s="1" t="s">
        <v>41</v>
      </c>
      <c r="CC55" s="7"/>
      <c r="CF55" s="89"/>
      <c r="CG55" s="17" t="s">
        <v>83</v>
      </c>
      <c r="CH55" s="3">
        <v>39.1</v>
      </c>
      <c r="CI55" s="3">
        <v>240</v>
      </c>
      <c r="CJ55" s="3">
        <v>120</v>
      </c>
      <c r="CK55" s="3">
        <v>6.2</v>
      </c>
      <c r="CL55" s="3">
        <v>9.8000000000000007</v>
      </c>
      <c r="CM55" s="3">
        <v>3890</v>
      </c>
    </row>
    <row r="56" spans="2:91">
      <c r="B56" s="6"/>
      <c r="C56" s="1" t="s">
        <v>172</v>
      </c>
      <c r="H56" s="66">
        <f>+AL15*1000</f>
        <v>12000</v>
      </c>
      <c r="I56" s="66"/>
      <c r="J56" s="66"/>
      <c r="K56" s="1" t="s">
        <v>173</v>
      </c>
      <c r="L56" s="66">
        <v>300</v>
      </c>
      <c r="M56" s="66"/>
      <c r="N56" s="9" t="s">
        <v>7</v>
      </c>
      <c r="O56" s="66">
        <f>+H56/L56</f>
        <v>40</v>
      </c>
      <c r="P56" s="66"/>
      <c r="Q56" s="66"/>
      <c r="R56" s="1" t="s">
        <v>41</v>
      </c>
      <c r="U56" s="1" t="s">
        <v>192</v>
      </c>
      <c r="CC56" s="7"/>
      <c r="CF56" s="89"/>
      <c r="CG56" s="17" t="s">
        <v>84</v>
      </c>
      <c r="CH56" s="3">
        <v>45.9</v>
      </c>
      <c r="CI56" s="3">
        <v>270</v>
      </c>
      <c r="CJ56" s="3">
        <v>135</v>
      </c>
      <c r="CK56" s="3">
        <v>6.6</v>
      </c>
      <c r="CL56" s="3">
        <v>10.199999999999999</v>
      </c>
      <c r="CM56" s="3">
        <v>5790</v>
      </c>
    </row>
    <row r="57" spans="2:91">
      <c r="B57" s="6"/>
      <c r="C57" s="1" t="s">
        <v>34</v>
      </c>
      <c r="D57" s="66">
        <f>+E55</f>
        <v>33.935617578916876</v>
      </c>
      <c r="E57" s="66"/>
      <c r="F57" s="66"/>
      <c r="G57" s="1" t="s">
        <v>41</v>
      </c>
      <c r="I57" s="1" t="str">
        <f>IF(D57&lt;M57,"&lt;","&gt;")</f>
        <v>&lt;</v>
      </c>
      <c r="J57" s="1" t="s">
        <v>174</v>
      </c>
      <c r="M57" s="66">
        <f>+O56</f>
        <v>40</v>
      </c>
      <c r="N57" s="66"/>
      <c r="O57" s="66"/>
      <c r="P57" s="1" t="s">
        <v>41</v>
      </c>
      <c r="R57" s="8" t="str">
        <f>IF(D57&lt;M57,"uygun.","uygun değil.")</f>
        <v>uygun.</v>
      </c>
      <c r="CC57" s="7"/>
      <c r="CF57" s="89"/>
      <c r="CG57" s="17" t="s">
        <v>85</v>
      </c>
      <c r="CH57" s="3">
        <v>53.8</v>
      </c>
      <c r="CI57" s="3">
        <v>300</v>
      </c>
      <c r="CJ57" s="3">
        <v>150</v>
      </c>
      <c r="CK57" s="3">
        <v>7.1</v>
      </c>
      <c r="CL57" s="3">
        <v>10.7</v>
      </c>
      <c r="CM57" s="3">
        <v>8360</v>
      </c>
    </row>
    <row r="58" spans="2:91" ht="12" thickBot="1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4"/>
      <c r="CF58" s="89"/>
      <c r="CG58" s="17" t="s">
        <v>86</v>
      </c>
      <c r="CH58" s="3">
        <v>62.6</v>
      </c>
      <c r="CI58" s="3">
        <v>330</v>
      </c>
      <c r="CJ58" s="3">
        <v>160</v>
      </c>
      <c r="CK58" s="3">
        <v>7.5</v>
      </c>
      <c r="CL58" s="3">
        <v>11.5</v>
      </c>
      <c r="CM58" s="3">
        <v>11770</v>
      </c>
    </row>
    <row r="59" spans="2:91" ht="12" thickBot="1">
      <c r="CF59" s="89"/>
      <c r="CG59" s="17" t="s">
        <v>87</v>
      </c>
      <c r="CH59" s="3">
        <v>72.7</v>
      </c>
      <c r="CI59" s="3">
        <v>360</v>
      </c>
      <c r="CJ59" s="3">
        <v>170</v>
      </c>
      <c r="CK59" s="3">
        <v>8</v>
      </c>
      <c r="CL59" s="3">
        <v>12.7</v>
      </c>
      <c r="CM59" s="3">
        <v>16270</v>
      </c>
    </row>
    <row r="60" spans="2:91" ht="48" customHeight="1">
      <c r="B60" s="73" t="s">
        <v>204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5"/>
      <c r="CF60" s="89"/>
      <c r="CG60" s="17" t="s">
        <v>88</v>
      </c>
      <c r="CH60" s="3">
        <v>84.5</v>
      </c>
      <c r="CI60" s="3">
        <v>400</v>
      </c>
      <c r="CJ60" s="3">
        <v>180</v>
      </c>
      <c r="CK60" s="3">
        <v>8.6</v>
      </c>
      <c r="CL60" s="3">
        <v>13.5</v>
      </c>
      <c r="CM60" s="3">
        <v>23130</v>
      </c>
    </row>
    <row r="61" spans="2:91">
      <c r="B61" s="6"/>
      <c r="S61" s="8" t="s">
        <v>176</v>
      </c>
      <c r="CC61" s="7"/>
      <c r="CF61" s="89"/>
      <c r="CG61" s="17" t="s">
        <v>89</v>
      </c>
      <c r="CH61" s="3">
        <v>98.8</v>
      </c>
      <c r="CI61" s="3">
        <v>450</v>
      </c>
      <c r="CJ61" s="3">
        <v>190</v>
      </c>
      <c r="CK61" s="3">
        <v>9.4</v>
      </c>
      <c r="CL61" s="3">
        <v>14.6</v>
      </c>
      <c r="CM61" s="3">
        <v>33740</v>
      </c>
    </row>
    <row r="62" spans="2:91">
      <c r="B62" s="6"/>
      <c r="BA62" s="1" t="s">
        <v>290</v>
      </c>
      <c r="CC62" s="7"/>
      <c r="CF62" s="89"/>
      <c r="CG62" s="17" t="s">
        <v>90</v>
      </c>
      <c r="CH62" s="3">
        <v>116</v>
      </c>
      <c r="CI62" s="3">
        <v>500</v>
      </c>
      <c r="CJ62" s="3">
        <v>200</v>
      </c>
      <c r="CK62" s="3">
        <v>10.199999999999999</v>
      </c>
      <c r="CL62" s="3">
        <v>16</v>
      </c>
      <c r="CM62" s="3">
        <v>48200</v>
      </c>
    </row>
    <row r="63" spans="2:91">
      <c r="B63" s="6"/>
      <c r="O63" s="67" t="s">
        <v>171</v>
      </c>
      <c r="P63" s="67"/>
      <c r="Q63" s="67"/>
      <c r="R63" s="67"/>
      <c r="S63" s="67"/>
      <c r="T63" s="67"/>
      <c r="Z63" s="67">
        <v>20</v>
      </c>
      <c r="AA63" s="67"/>
      <c r="AB63" s="1" t="s">
        <v>0</v>
      </c>
      <c r="AE63" s="67">
        <v>20</v>
      </c>
      <c r="AF63" s="67"/>
      <c r="AG63" s="1" t="s">
        <v>0</v>
      </c>
      <c r="AJ63" s="67">
        <v>20</v>
      </c>
      <c r="AK63" s="67"/>
      <c r="AL63" s="1" t="s">
        <v>0</v>
      </c>
      <c r="AO63" s="67">
        <v>20</v>
      </c>
      <c r="AP63" s="67"/>
      <c r="AQ63" s="1" t="s">
        <v>0</v>
      </c>
      <c r="AT63" s="67">
        <v>20</v>
      </c>
      <c r="AU63" s="67"/>
      <c r="AV63" s="1" t="s">
        <v>0</v>
      </c>
      <c r="CC63" s="7"/>
      <c r="CF63" s="89"/>
      <c r="CG63" s="17" t="s">
        <v>91</v>
      </c>
      <c r="CH63" s="3">
        <v>134</v>
      </c>
      <c r="CI63" s="3">
        <v>550</v>
      </c>
      <c r="CJ63" s="3">
        <v>210</v>
      </c>
      <c r="CK63" s="3">
        <v>11.1</v>
      </c>
      <c r="CL63" s="3">
        <v>17.2</v>
      </c>
      <c r="CM63" s="3">
        <v>67120</v>
      </c>
    </row>
    <row r="64" spans="2:91">
      <c r="B64" s="6"/>
      <c r="AL64" s="67">
        <v>20</v>
      </c>
      <c r="AM64" s="67"/>
      <c r="AN64" s="1" t="s">
        <v>187</v>
      </c>
      <c r="CC64" s="7"/>
      <c r="CF64" s="89"/>
      <c r="CG64" s="17" t="s">
        <v>92</v>
      </c>
      <c r="CH64" s="3">
        <v>156</v>
      </c>
      <c r="CI64" s="3">
        <v>600</v>
      </c>
      <c r="CJ64" s="3">
        <v>220</v>
      </c>
      <c r="CK64" s="3">
        <v>12</v>
      </c>
      <c r="CL64" s="3">
        <v>19</v>
      </c>
      <c r="CM64" s="3">
        <v>92080</v>
      </c>
    </row>
    <row r="65" spans="2:91">
      <c r="B65" s="6"/>
      <c r="BE65" s="23" t="s">
        <v>341</v>
      </c>
      <c r="CC65" s="7"/>
      <c r="CF65" s="89" t="s">
        <v>93</v>
      </c>
      <c r="CG65" s="17" t="s">
        <v>94</v>
      </c>
      <c r="CH65" s="3">
        <v>21.2</v>
      </c>
      <c r="CI65" s="3">
        <v>96</v>
      </c>
      <c r="CJ65" s="3">
        <v>100</v>
      </c>
      <c r="CK65" s="3">
        <v>5</v>
      </c>
      <c r="CL65" s="3">
        <v>8</v>
      </c>
      <c r="CM65" s="3">
        <v>349</v>
      </c>
    </row>
    <row r="66" spans="2:91">
      <c r="B66" s="6"/>
      <c r="BE66" s="1" t="s">
        <v>301</v>
      </c>
      <c r="BG66" s="66">
        <f>+AK99</f>
        <v>1.1372064276885043</v>
      </c>
      <c r="BH66" s="66"/>
      <c r="BI66" s="66"/>
      <c r="CC66" s="7"/>
      <c r="CF66" s="89"/>
      <c r="CG66" s="17" t="s">
        <v>95</v>
      </c>
      <c r="CH66" s="3">
        <v>25.3</v>
      </c>
      <c r="CI66" s="3">
        <v>114</v>
      </c>
      <c r="CJ66" s="3">
        <v>120</v>
      </c>
      <c r="CK66" s="3">
        <v>5</v>
      </c>
      <c r="CL66" s="3">
        <v>8</v>
      </c>
      <c r="CM66" s="3">
        <v>606</v>
      </c>
    </row>
    <row r="67" spans="2:91">
      <c r="B67" s="6"/>
      <c r="C67" s="71">
        <f>INDEX($CI$24:$CI$138,MATCH(O63,$CG$24:$CG$138,0),0)</f>
        <v>600</v>
      </c>
      <c r="BE67" s="1" t="s">
        <v>297</v>
      </c>
      <c r="BG67" s="66">
        <f>+BM91</f>
        <v>460</v>
      </c>
      <c r="BH67" s="66"/>
      <c r="BI67" s="66"/>
      <c r="BJ67" s="1" t="s">
        <v>191</v>
      </c>
      <c r="BL67" s="1" t="s">
        <v>329</v>
      </c>
      <c r="CC67" s="7"/>
      <c r="CF67" s="89"/>
      <c r="CG67" s="17" t="s">
        <v>96</v>
      </c>
      <c r="CH67" s="3">
        <v>31.4</v>
      </c>
      <c r="CI67" s="3">
        <v>133</v>
      </c>
      <c r="CJ67" s="3">
        <v>140</v>
      </c>
      <c r="CK67" s="3">
        <v>5.5</v>
      </c>
      <c r="CL67" s="3">
        <v>8.5</v>
      </c>
      <c r="CM67" s="3">
        <v>1030</v>
      </c>
    </row>
    <row r="68" spans="2:91">
      <c r="B68" s="6"/>
      <c r="C68" s="71"/>
      <c r="Y68" s="1" t="s">
        <v>13</v>
      </c>
      <c r="BE68" s="1" t="s">
        <v>330</v>
      </c>
      <c r="BH68" s="66">
        <f>MAX(U70,AY70)</f>
        <v>160</v>
      </c>
      <c r="BI68" s="66"/>
      <c r="BJ68" s="66"/>
      <c r="BK68" s="1" t="s">
        <v>0</v>
      </c>
      <c r="BM68" s="1" t="s">
        <v>331</v>
      </c>
      <c r="CC68" s="7"/>
      <c r="CF68" s="89"/>
      <c r="CG68" s="17" t="s">
        <v>97</v>
      </c>
      <c r="CH68" s="3">
        <v>38.799999999999997</v>
      </c>
      <c r="CI68" s="3">
        <v>152</v>
      </c>
      <c r="CJ68" s="3">
        <v>160</v>
      </c>
      <c r="CK68" s="3">
        <v>6</v>
      </c>
      <c r="CL68" s="3">
        <v>9</v>
      </c>
      <c r="CM68" s="3">
        <v>1670</v>
      </c>
    </row>
    <row r="69" spans="2:91">
      <c r="B69" s="6"/>
      <c r="C69" s="71"/>
      <c r="D69" s="1">
        <v>0</v>
      </c>
      <c r="J69" s="66">
        <f>INDEX($CK$24:$CK$138,MATCH(O63,$CG$24:$CG$138,0),0)</f>
        <v>12</v>
      </c>
      <c r="K69" s="66"/>
      <c r="CC69" s="7"/>
      <c r="CF69" s="89"/>
      <c r="CG69" s="17" t="s">
        <v>98</v>
      </c>
      <c r="CH69" s="3">
        <v>45.3</v>
      </c>
      <c r="CI69" s="3">
        <v>171</v>
      </c>
      <c r="CJ69" s="3">
        <v>180</v>
      </c>
      <c r="CK69" s="3">
        <v>6</v>
      </c>
      <c r="CL69" s="3">
        <v>9.5</v>
      </c>
      <c r="CM69" s="3">
        <v>2510</v>
      </c>
    </row>
    <row r="70" spans="2:91">
      <c r="B70" s="6"/>
      <c r="T70" s="1" t="s">
        <v>2</v>
      </c>
      <c r="U70" s="66">
        <f>+E80</f>
        <v>160</v>
      </c>
      <c r="V70" s="66"/>
      <c r="W70" s="1" t="s">
        <v>0</v>
      </c>
      <c r="AX70" s="1" t="s">
        <v>3</v>
      </c>
      <c r="AY70" s="66">
        <f>+E83</f>
        <v>160</v>
      </c>
      <c r="AZ70" s="66"/>
      <c r="BA70" s="1" t="s">
        <v>0</v>
      </c>
      <c r="CC70" s="7"/>
      <c r="CF70" s="89"/>
      <c r="CG70" s="17" t="s">
        <v>99</v>
      </c>
      <c r="CH70" s="3">
        <v>53.8</v>
      </c>
      <c r="CI70" s="3">
        <v>190</v>
      </c>
      <c r="CJ70" s="3">
        <v>200</v>
      </c>
      <c r="CK70" s="3">
        <v>6.5</v>
      </c>
      <c r="CL70" s="3">
        <v>10</v>
      </c>
      <c r="CM70" s="3">
        <v>3690</v>
      </c>
    </row>
    <row r="71" spans="2:91">
      <c r="B71" s="6"/>
      <c r="W71" s="67">
        <v>1.5</v>
      </c>
      <c r="X71" s="67"/>
      <c r="Y71" s="1" t="s">
        <v>1</v>
      </c>
      <c r="AB71" s="67">
        <v>2.5</v>
      </c>
      <c r="AC71" s="67"/>
      <c r="AD71" s="1" t="s">
        <v>1</v>
      </c>
      <c r="AG71" s="67">
        <v>1.5</v>
      </c>
      <c r="AH71" s="67"/>
      <c r="AI71" s="1" t="s">
        <v>1</v>
      </c>
      <c r="AL71" s="67">
        <v>1.5</v>
      </c>
      <c r="AM71" s="67"/>
      <c r="AN71" s="1" t="s">
        <v>1</v>
      </c>
      <c r="AQ71" s="67">
        <v>2.5</v>
      </c>
      <c r="AR71" s="67"/>
      <c r="AS71" s="1" t="s">
        <v>1</v>
      </c>
      <c r="AV71" s="67">
        <v>1.5</v>
      </c>
      <c r="AW71" s="67"/>
      <c r="AX71" s="1" t="s">
        <v>1</v>
      </c>
      <c r="CC71" s="7"/>
      <c r="CF71" s="89"/>
      <c r="CG71" s="17" t="s">
        <v>100</v>
      </c>
      <c r="CH71" s="3">
        <v>64.3</v>
      </c>
      <c r="CI71" s="3">
        <v>210</v>
      </c>
      <c r="CJ71" s="3">
        <v>220</v>
      </c>
      <c r="CK71" s="3">
        <v>7</v>
      </c>
      <c r="CL71" s="3">
        <v>11</v>
      </c>
      <c r="CM71" s="3">
        <v>5410</v>
      </c>
    </row>
    <row r="72" spans="2:91">
      <c r="B72" s="6"/>
      <c r="K72" s="66">
        <f>INDEX($CL$24:$CL$138,MATCH(O63,$CG$24:$CG$138,0),0)</f>
        <v>19</v>
      </c>
      <c r="L72" s="66"/>
      <c r="CC72" s="7"/>
      <c r="CF72" s="89"/>
      <c r="CG72" s="17" t="s">
        <v>101</v>
      </c>
      <c r="CH72" s="3">
        <v>76.8</v>
      </c>
      <c r="CI72" s="3">
        <v>230</v>
      </c>
      <c r="CJ72" s="3">
        <v>240</v>
      </c>
      <c r="CK72" s="3">
        <v>7.5</v>
      </c>
      <c r="CL72" s="3">
        <v>12</v>
      </c>
      <c r="CM72" s="3">
        <v>7760</v>
      </c>
    </row>
    <row r="73" spans="2:91">
      <c r="B73" s="6"/>
      <c r="AI73" s="1" t="s">
        <v>197</v>
      </c>
      <c r="AJ73" s="66">
        <f>+W71+AB71+AG71+AL71+AQ71+AV71</f>
        <v>11</v>
      </c>
      <c r="AK73" s="66"/>
      <c r="AL73" s="1" t="s">
        <v>1</v>
      </c>
      <c r="BF73" s="23" t="s">
        <v>266</v>
      </c>
      <c r="CC73" s="7"/>
      <c r="CF73" s="89"/>
      <c r="CG73" s="17" t="s">
        <v>102</v>
      </c>
      <c r="CH73" s="3">
        <v>86.8</v>
      </c>
      <c r="CI73" s="3">
        <v>250</v>
      </c>
      <c r="CJ73" s="3">
        <v>260</v>
      </c>
      <c r="CK73" s="3">
        <v>7.5</v>
      </c>
      <c r="CL73" s="3">
        <v>12.5</v>
      </c>
      <c r="CM73" s="3">
        <v>10450</v>
      </c>
    </row>
    <row r="74" spans="2:91">
      <c r="B74" s="6"/>
      <c r="BF74" s="11" t="s">
        <v>265</v>
      </c>
      <c r="CC74" s="7"/>
      <c r="CF74" s="89"/>
      <c r="CG74" s="17" t="s">
        <v>103</v>
      </c>
      <c r="CH74" s="3">
        <v>97.3</v>
      </c>
      <c r="CI74" s="3">
        <v>270</v>
      </c>
      <c r="CJ74" s="3">
        <v>280</v>
      </c>
      <c r="CK74" s="3">
        <v>8</v>
      </c>
      <c r="CL74" s="3">
        <v>13</v>
      </c>
      <c r="CM74" s="3">
        <v>13670</v>
      </c>
    </row>
    <row r="75" spans="2:91">
      <c r="B75" s="6"/>
      <c r="I75" s="66">
        <f>INDEX($CJ$24:$CJ$138,MATCH(O63,$CG$24:$CG$138,0),0)</f>
        <v>220</v>
      </c>
      <c r="J75" s="66"/>
      <c r="X75" s="10" t="s">
        <v>36</v>
      </c>
      <c r="Z75" s="66">
        <f>INDEX($CM$24:$CM$138,MATCH(O63,$CG$24:$CG$138,0),0)</f>
        <v>92080</v>
      </c>
      <c r="AA75" s="66"/>
      <c r="AB75" s="66"/>
      <c r="AC75" s="66"/>
      <c r="AD75" s="1" t="s">
        <v>37</v>
      </c>
      <c r="AG75" s="1" t="s">
        <v>175</v>
      </c>
      <c r="BF75" s="11" t="s">
        <v>263</v>
      </c>
      <c r="CC75" s="7"/>
      <c r="CF75" s="89"/>
      <c r="CG75" s="17" t="s">
        <v>104</v>
      </c>
      <c r="CH75" s="3">
        <v>113</v>
      </c>
      <c r="CI75" s="3">
        <v>290</v>
      </c>
      <c r="CJ75" s="3">
        <v>300</v>
      </c>
      <c r="CK75" s="3">
        <v>8.5</v>
      </c>
      <c r="CL75" s="3">
        <v>14</v>
      </c>
      <c r="CM75" s="3">
        <v>18260</v>
      </c>
    </row>
    <row r="76" spans="2:91">
      <c r="B76" s="6"/>
      <c r="X76" s="1" t="s">
        <v>38</v>
      </c>
      <c r="Z76" s="67">
        <v>200000</v>
      </c>
      <c r="AA76" s="67"/>
      <c r="AB76" s="67"/>
      <c r="AC76" s="67"/>
      <c r="AD76" s="1" t="s">
        <v>39</v>
      </c>
      <c r="AG76" s="1" t="s">
        <v>302</v>
      </c>
      <c r="BF76" s="11" t="s">
        <v>264</v>
      </c>
      <c r="CC76" s="7"/>
      <c r="CF76" s="89"/>
      <c r="CG76" s="17" t="s">
        <v>105</v>
      </c>
      <c r="CH76" s="3">
        <v>124</v>
      </c>
      <c r="CI76" s="3">
        <v>310</v>
      </c>
      <c r="CJ76" s="3">
        <v>300</v>
      </c>
      <c r="CK76" s="3">
        <v>9</v>
      </c>
      <c r="CL76" s="3">
        <v>15.5</v>
      </c>
      <c r="CM76" s="3">
        <v>22930</v>
      </c>
    </row>
    <row r="77" spans="2:91">
      <c r="B77" s="6"/>
      <c r="C77" s="23" t="s">
        <v>221</v>
      </c>
      <c r="CC77" s="7"/>
      <c r="CF77" s="89"/>
      <c r="CG77" s="17" t="s">
        <v>106</v>
      </c>
      <c r="CH77" s="3">
        <v>133</v>
      </c>
      <c r="CI77" s="3">
        <v>330</v>
      </c>
      <c r="CJ77" s="3">
        <v>300</v>
      </c>
      <c r="CK77" s="3">
        <v>9.5</v>
      </c>
      <c r="CL77" s="3">
        <v>16.5</v>
      </c>
      <c r="CM77" s="3">
        <v>27690</v>
      </c>
    </row>
    <row r="78" spans="2:91">
      <c r="B78" s="6"/>
      <c r="C78" s="1" t="s">
        <v>177</v>
      </c>
      <c r="CC78" s="7"/>
      <c r="CF78" s="89"/>
      <c r="CG78" s="17" t="s">
        <v>107</v>
      </c>
      <c r="CH78" s="3">
        <v>143</v>
      </c>
      <c r="CI78" s="3">
        <v>350</v>
      </c>
      <c r="CJ78" s="3">
        <v>300</v>
      </c>
      <c r="CK78" s="3">
        <v>10</v>
      </c>
      <c r="CL78" s="3">
        <v>17.5</v>
      </c>
      <c r="CM78" s="3">
        <v>33090</v>
      </c>
    </row>
    <row r="79" spans="2:91">
      <c r="B79" s="6"/>
      <c r="C79" s="1" t="s">
        <v>4</v>
      </c>
      <c r="D79" s="9" t="s">
        <v>5</v>
      </c>
      <c r="E79" s="66">
        <f>+AJ73</f>
        <v>11</v>
      </c>
      <c r="F79" s="66"/>
      <c r="G79" s="9" t="s">
        <v>6</v>
      </c>
      <c r="H79" s="66">
        <f>+Z63</f>
        <v>20</v>
      </c>
      <c r="I79" s="66"/>
      <c r="J79" s="9" t="s">
        <v>5</v>
      </c>
      <c r="K79" s="66">
        <f>+AB71+AG71+AL71+AQ71+AV71</f>
        <v>9.5</v>
      </c>
      <c r="L79" s="66"/>
      <c r="M79" s="9" t="s">
        <v>6</v>
      </c>
      <c r="N79" s="66">
        <f>+AE63</f>
        <v>20</v>
      </c>
      <c r="O79" s="66"/>
      <c r="P79" s="9" t="s">
        <v>5</v>
      </c>
      <c r="Q79" s="66">
        <f>+AG71+AL71+AQ71+AV71</f>
        <v>7</v>
      </c>
      <c r="R79" s="66"/>
      <c r="S79" s="9" t="s">
        <v>6</v>
      </c>
      <c r="T79" s="66">
        <f>+AJ63</f>
        <v>20</v>
      </c>
      <c r="U79" s="66"/>
      <c r="V79" s="9" t="s">
        <v>5</v>
      </c>
      <c r="W79" s="66">
        <f>+AL71+AQ71+AV71</f>
        <v>5.5</v>
      </c>
      <c r="X79" s="66"/>
      <c r="Y79" s="9" t="s">
        <v>6</v>
      </c>
      <c r="Z79" s="66">
        <f>+AO63</f>
        <v>20</v>
      </c>
      <c r="AA79" s="66"/>
      <c r="AB79" s="9" t="s">
        <v>5</v>
      </c>
      <c r="AC79" s="66">
        <f>+AQ71+AV71</f>
        <v>4</v>
      </c>
      <c r="AD79" s="66"/>
      <c r="AE79" s="9" t="s">
        <v>6</v>
      </c>
      <c r="AF79" s="66">
        <f>+AT63</f>
        <v>20</v>
      </c>
      <c r="AG79" s="66"/>
      <c r="AH79" s="9" t="s">
        <v>5</v>
      </c>
      <c r="AI79" s="66">
        <f>+AV71</f>
        <v>1.5</v>
      </c>
      <c r="AJ79" s="66"/>
      <c r="AK79" s="9" t="s">
        <v>6</v>
      </c>
      <c r="AL79" s="66">
        <f>+AL64</f>
        <v>20</v>
      </c>
      <c r="AM79" s="66"/>
      <c r="AN79" s="9" t="s">
        <v>5</v>
      </c>
      <c r="AO79" s="66">
        <f>+AJ73</f>
        <v>11</v>
      </c>
      <c r="AP79" s="66"/>
      <c r="AQ79" s="9" t="s">
        <v>5</v>
      </c>
      <c r="AR79" s="66">
        <f>+AJ73/2</f>
        <v>5.5</v>
      </c>
      <c r="AS79" s="66"/>
      <c r="AT79" s="9" t="s">
        <v>7</v>
      </c>
      <c r="AU79" s="1">
        <v>0</v>
      </c>
      <c r="CC79" s="7"/>
      <c r="CF79" s="89"/>
      <c r="CG79" s="17" t="s">
        <v>108</v>
      </c>
      <c r="CH79" s="3">
        <v>159</v>
      </c>
      <c r="CI79" s="3">
        <v>390</v>
      </c>
      <c r="CJ79" s="3">
        <v>300</v>
      </c>
      <c r="CK79" s="3">
        <v>11</v>
      </c>
      <c r="CL79" s="3">
        <v>19</v>
      </c>
      <c r="CM79" s="3">
        <v>45070</v>
      </c>
    </row>
    <row r="80" spans="2:91">
      <c r="B80" s="6"/>
      <c r="C80" s="1" t="s">
        <v>8</v>
      </c>
      <c r="D80" s="9"/>
      <c r="E80" s="66">
        <f>(H79*K79+N79*Q79+T79*W79+Z79*AC79+AF79*AI79+AL79*AO79*AR79)/E79</f>
        <v>160</v>
      </c>
      <c r="F80" s="66"/>
      <c r="G80" s="1" t="s">
        <v>0</v>
      </c>
      <c r="I80" s="1" t="s">
        <v>178</v>
      </c>
      <c r="CC80" s="7"/>
      <c r="CF80" s="89"/>
      <c r="CG80" s="17" t="s">
        <v>109</v>
      </c>
      <c r="CH80" s="3">
        <v>178</v>
      </c>
      <c r="CI80" s="3">
        <v>440</v>
      </c>
      <c r="CJ80" s="3">
        <v>300</v>
      </c>
      <c r="CK80" s="3">
        <v>11.5</v>
      </c>
      <c r="CL80" s="3">
        <v>21</v>
      </c>
      <c r="CM80" s="3">
        <v>63720</v>
      </c>
    </row>
    <row r="81" spans="2:91">
      <c r="B81" s="6"/>
      <c r="C81" s="1" t="s">
        <v>189</v>
      </c>
      <c r="CC81" s="7"/>
      <c r="CF81" s="89"/>
      <c r="CG81" s="17" t="s">
        <v>110</v>
      </c>
      <c r="CH81" s="3">
        <v>198</v>
      </c>
      <c r="CI81" s="3">
        <v>490</v>
      </c>
      <c r="CJ81" s="3">
        <v>300</v>
      </c>
      <c r="CK81" s="3">
        <v>12</v>
      </c>
      <c r="CL81" s="3">
        <v>23</v>
      </c>
      <c r="CM81" s="3">
        <v>86970</v>
      </c>
    </row>
    <row r="82" spans="2:91">
      <c r="B82" s="6"/>
      <c r="C82" s="1" t="s">
        <v>4</v>
      </c>
      <c r="D82" s="9" t="s">
        <v>9</v>
      </c>
      <c r="E82" s="9" t="s">
        <v>10</v>
      </c>
      <c r="F82" s="9" t="s">
        <v>6</v>
      </c>
      <c r="G82" s="66">
        <f>+Z63</f>
        <v>20</v>
      </c>
      <c r="H82" s="66"/>
      <c r="I82" s="9" t="s">
        <v>6</v>
      </c>
      <c r="J82" s="66">
        <f>+AE63</f>
        <v>20</v>
      </c>
      <c r="K82" s="66"/>
      <c r="L82" s="9" t="s">
        <v>6</v>
      </c>
      <c r="M82" s="66">
        <f>+AJ63</f>
        <v>20</v>
      </c>
      <c r="N82" s="66"/>
      <c r="O82" s="9" t="s">
        <v>5</v>
      </c>
      <c r="P82" s="66">
        <f>+AO63</f>
        <v>20</v>
      </c>
      <c r="Q82" s="66"/>
      <c r="R82" s="9" t="s">
        <v>6</v>
      </c>
      <c r="S82" s="66">
        <f>+AT63</f>
        <v>20</v>
      </c>
      <c r="T82" s="66"/>
      <c r="U82" s="9" t="s">
        <v>6</v>
      </c>
      <c r="V82" s="66">
        <f>+AL64</f>
        <v>20</v>
      </c>
      <c r="W82" s="66"/>
      <c r="X82" s="9" t="s">
        <v>5</v>
      </c>
      <c r="Y82" s="66">
        <f>+AJ73</f>
        <v>11</v>
      </c>
      <c r="Z82" s="66"/>
      <c r="AA82" s="9" t="s">
        <v>7</v>
      </c>
      <c r="AB82" s="1">
        <v>0</v>
      </c>
      <c r="CC82" s="7"/>
      <c r="CF82" s="89"/>
      <c r="CG82" s="17" t="s">
        <v>111</v>
      </c>
      <c r="CH82" s="3">
        <v>212</v>
      </c>
      <c r="CI82" s="3">
        <v>540</v>
      </c>
      <c r="CJ82" s="3">
        <v>300</v>
      </c>
      <c r="CK82" s="3">
        <v>12.5</v>
      </c>
      <c r="CL82" s="3">
        <v>24</v>
      </c>
      <c r="CM82" s="3">
        <v>111900</v>
      </c>
    </row>
    <row r="83" spans="2:91">
      <c r="B83" s="6"/>
      <c r="C83" s="1" t="s">
        <v>11</v>
      </c>
      <c r="D83" s="9"/>
      <c r="E83" s="66">
        <f>(G82+J82+M82+P82+S82+V82*Y82-E80)</f>
        <v>160</v>
      </c>
      <c r="F83" s="66"/>
      <c r="G83" s="1" t="s">
        <v>0</v>
      </c>
      <c r="I83" s="1" t="s">
        <v>179</v>
      </c>
      <c r="CC83" s="7"/>
      <c r="CF83" s="89"/>
      <c r="CG83" s="17" t="s">
        <v>112</v>
      </c>
      <c r="CH83" s="3">
        <v>226</v>
      </c>
      <c r="CI83" s="3">
        <v>590</v>
      </c>
      <c r="CJ83" s="3">
        <v>300</v>
      </c>
      <c r="CK83" s="3">
        <v>13</v>
      </c>
      <c r="CL83" s="3">
        <v>25</v>
      </c>
      <c r="CM83" s="3">
        <v>141200</v>
      </c>
    </row>
    <row r="84" spans="2:91">
      <c r="B84" s="6"/>
      <c r="C84" s="23" t="s">
        <v>222</v>
      </c>
      <c r="D84" s="9"/>
      <c r="E84" s="9"/>
      <c r="F84" s="9"/>
      <c r="CC84" s="7"/>
      <c r="CF84" s="89"/>
      <c r="CG84" s="17" t="s">
        <v>113</v>
      </c>
      <c r="CH84" s="3">
        <v>242</v>
      </c>
      <c r="CI84" s="3">
        <v>640</v>
      </c>
      <c r="CJ84" s="3">
        <v>300</v>
      </c>
      <c r="CK84" s="3">
        <v>13.5</v>
      </c>
      <c r="CL84" s="3">
        <v>26</v>
      </c>
      <c r="CM84" s="3">
        <v>175200</v>
      </c>
    </row>
    <row r="85" spans="2:91">
      <c r="B85" s="6"/>
      <c r="C85" s="1" t="s">
        <v>12</v>
      </c>
      <c r="E85" s="66">
        <f>+U70</f>
        <v>160</v>
      </c>
      <c r="F85" s="66"/>
      <c r="G85" s="11" t="s">
        <v>17</v>
      </c>
      <c r="H85" s="9"/>
      <c r="I85" s="66">
        <f>+Z63</f>
        <v>20</v>
      </c>
      <c r="J85" s="66"/>
      <c r="K85" s="1" t="s">
        <v>15</v>
      </c>
      <c r="M85" s="66">
        <f>+W71</f>
        <v>1.5</v>
      </c>
      <c r="N85" s="66"/>
      <c r="O85" s="1" t="s">
        <v>16</v>
      </c>
      <c r="P85" s="66">
        <f>+AE63</f>
        <v>20</v>
      </c>
      <c r="Q85" s="66"/>
      <c r="R85" s="1" t="s">
        <v>15</v>
      </c>
      <c r="T85" s="66">
        <f>+W71+AB71</f>
        <v>4</v>
      </c>
      <c r="U85" s="66"/>
      <c r="V85" s="1" t="s">
        <v>16</v>
      </c>
      <c r="W85" s="66">
        <f>+AJ63</f>
        <v>20</v>
      </c>
      <c r="X85" s="66"/>
      <c r="Y85" s="1" t="s">
        <v>15</v>
      </c>
      <c r="AA85" s="66">
        <f>+W71+AB71+AG71</f>
        <v>5.5</v>
      </c>
      <c r="AB85" s="66"/>
      <c r="AC85" s="1" t="s">
        <v>16</v>
      </c>
      <c r="AD85" s="66">
        <f>+AO63</f>
        <v>20</v>
      </c>
      <c r="AE85" s="66"/>
      <c r="AF85" s="1" t="s">
        <v>15</v>
      </c>
      <c r="AH85" s="66">
        <f>+W71+AB71+AG71+AL71</f>
        <v>7</v>
      </c>
      <c r="AI85" s="66"/>
      <c r="AJ85" s="1" t="s">
        <v>16</v>
      </c>
      <c r="AK85" s="66">
        <f>+AT63</f>
        <v>20</v>
      </c>
      <c r="AL85" s="66"/>
      <c r="AM85" s="1" t="s">
        <v>15</v>
      </c>
      <c r="AO85" s="66">
        <f>+W71+AB71+AG71+AL71+AQ71</f>
        <v>9.5</v>
      </c>
      <c r="AP85" s="66"/>
      <c r="AQ85" s="1" t="s">
        <v>16</v>
      </c>
      <c r="AR85" s="66">
        <f>+AL64</f>
        <v>20</v>
      </c>
      <c r="AS85" s="66"/>
      <c r="AT85" s="9" t="s">
        <v>5</v>
      </c>
      <c r="AU85" s="1" t="s">
        <v>183</v>
      </c>
      <c r="AV85" s="1" t="s">
        <v>173</v>
      </c>
      <c r="AW85" s="1">
        <v>2</v>
      </c>
      <c r="CC85" s="7"/>
      <c r="CF85" s="89"/>
      <c r="CG85" s="17" t="s">
        <v>114</v>
      </c>
      <c r="CH85" s="3">
        <v>260</v>
      </c>
      <c r="CI85" s="3">
        <v>690</v>
      </c>
      <c r="CJ85" s="3">
        <v>300</v>
      </c>
      <c r="CK85" s="3">
        <v>14.5</v>
      </c>
      <c r="CL85" s="3">
        <v>27</v>
      </c>
      <c r="CM85" s="3">
        <v>215300</v>
      </c>
    </row>
    <row r="86" spans="2:91">
      <c r="B86" s="6"/>
      <c r="C86" s="1" t="s">
        <v>27</v>
      </c>
      <c r="D86" s="67">
        <f>+AJ73/2</f>
        <v>5.5</v>
      </c>
      <c r="E86" s="67"/>
      <c r="F86" s="67"/>
      <c r="G86" s="1" t="s">
        <v>213</v>
      </c>
      <c r="H86" s="9"/>
      <c r="I86" s="9"/>
      <c r="J86" s="9"/>
      <c r="M86" s="9"/>
      <c r="N86" s="21"/>
      <c r="P86" s="9"/>
      <c r="Q86" s="9"/>
      <c r="U86" s="8" t="str">
        <f>IF(D86&lt;=AJ73,"","azalt.")</f>
        <v/>
      </c>
      <c r="W86" s="9"/>
      <c r="X86" s="9"/>
      <c r="AA86" s="9"/>
      <c r="AB86" s="9"/>
      <c r="AD86" s="9"/>
      <c r="AE86" s="9"/>
      <c r="AH86" s="9"/>
      <c r="AI86" s="9"/>
      <c r="AK86" s="9"/>
      <c r="AL86" s="9"/>
      <c r="AO86" s="9"/>
      <c r="AP86" s="9"/>
      <c r="AR86" s="9"/>
      <c r="AS86" s="9"/>
      <c r="AV86" s="9"/>
      <c r="AW86" s="9"/>
      <c r="AY86" s="9"/>
      <c r="AZ86" s="9"/>
      <c r="BA86" s="9"/>
      <c r="CC86" s="7"/>
      <c r="CF86" s="89"/>
      <c r="CG86" s="17" t="s">
        <v>115</v>
      </c>
      <c r="CH86" s="3">
        <v>286</v>
      </c>
      <c r="CI86" s="3">
        <v>790</v>
      </c>
      <c r="CJ86" s="3">
        <v>300</v>
      </c>
      <c r="CK86" s="3">
        <v>15</v>
      </c>
      <c r="CL86" s="3">
        <v>28</v>
      </c>
      <c r="CM86" s="3">
        <v>303400</v>
      </c>
    </row>
    <row r="87" spans="2:91">
      <c r="B87" s="6"/>
      <c r="C87" s="1" t="s">
        <v>12</v>
      </c>
      <c r="E87" s="66">
        <f>+E85</f>
        <v>160</v>
      </c>
      <c r="F87" s="66"/>
      <c r="G87" s="9" t="s">
        <v>5</v>
      </c>
      <c r="H87" s="66">
        <f>+D86</f>
        <v>5.5</v>
      </c>
      <c r="I87" s="66"/>
      <c r="J87" s="9" t="s">
        <v>6</v>
      </c>
      <c r="K87" s="66">
        <f>IF((N87-Q87)&lt;=0,0,+I85)</f>
        <v>20</v>
      </c>
      <c r="L87" s="66"/>
      <c r="M87" s="9" t="s">
        <v>14</v>
      </c>
      <c r="N87" s="66">
        <f>+H87</f>
        <v>5.5</v>
      </c>
      <c r="O87" s="66"/>
      <c r="P87" s="9" t="s">
        <v>6</v>
      </c>
      <c r="Q87" s="66">
        <f>+M85</f>
        <v>1.5</v>
      </c>
      <c r="R87" s="66"/>
      <c r="S87" s="1" t="s">
        <v>16</v>
      </c>
      <c r="T87" s="66">
        <f>IF((W87-Z87)&lt;=0,0,+P85)</f>
        <v>20</v>
      </c>
      <c r="U87" s="66"/>
      <c r="V87" s="9" t="s">
        <v>14</v>
      </c>
      <c r="W87" s="66">
        <f>+N87</f>
        <v>5.5</v>
      </c>
      <c r="X87" s="66"/>
      <c r="Y87" s="9" t="s">
        <v>6</v>
      </c>
      <c r="Z87" s="66">
        <f>+T85</f>
        <v>4</v>
      </c>
      <c r="AA87" s="66"/>
      <c r="AB87" s="1" t="s">
        <v>16</v>
      </c>
      <c r="AC87" s="66">
        <f>IF((AF87-AI87)&lt;=0,0,+W85)</f>
        <v>0</v>
      </c>
      <c r="AD87" s="66"/>
      <c r="AE87" s="9" t="s">
        <v>14</v>
      </c>
      <c r="AF87" s="66">
        <f>+W87</f>
        <v>5.5</v>
      </c>
      <c r="AG87" s="66"/>
      <c r="AH87" s="9" t="s">
        <v>6</v>
      </c>
      <c r="AI87" s="66">
        <f>+AA85</f>
        <v>5.5</v>
      </c>
      <c r="AJ87" s="66"/>
      <c r="AK87" s="1" t="s">
        <v>16</v>
      </c>
      <c r="AL87" s="66">
        <f>IF((AO87-AR87)&lt;=0,0,+AD85)</f>
        <v>0</v>
      </c>
      <c r="AM87" s="66"/>
      <c r="AN87" s="9" t="s">
        <v>14</v>
      </c>
      <c r="AO87" s="66">
        <f>+AF87</f>
        <v>5.5</v>
      </c>
      <c r="AP87" s="66"/>
      <c r="AQ87" s="9" t="s">
        <v>6</v>
      </c>
      <c r="AR87" s="66">
        <f>+AH85</f>
        <v>7</v>
      </c>
      <c r="AS87" s="66"/>
      <c r="AT87" s="1" t="s">
        <v>16</v>
      </c>
      <c r="AU87" s="66">
        <f>IF((AX87-BA87)&lt;=0,0,+AK85)</f>
        <v>0</v>
      </c>
      <c r="AV87" s="66"/>
      <c r="AW87" s="9" t="s">
        <v>14</v>
      </c>
      <c r="AX87" s="66">
        <f>+AO87</f>
        <v>5.5</v>
      </c>
      <c r="AY87" s="66"/>
      <c r="AZ87" s="9" t="s">
        <v>6</v>
      </c>
      <c r="BA87" s="66">
        <f>+AO85</f>
        <v>9.5</v>
      </c>
      <c r="BB87" s="66"/>
      <c r="BC87" s="1" t="s">
        <v>16</v>
      </c>
      <c r="BD87" s="66">
        <f>+AR85</f>
        <v>20</v>
      </c>
      <c r="BE87" s="66"/>
      <c r="BF87" s="9" t="s">
        <v>5</v>
      </c>
      <c r="BG87" s="66">
        <f>+AX87</f>
        <v>5.5</v>
      </c>
      <c r="BH87" s="66"/>
      <c r="BI87" s="1" t="s">
        <v>190</v>
      </c>
      <c r="BJ87" s="1">
        <v>2</v>
      </c>
      <c r="BK87" s="9" t="s">
        <v>7</v>
      </c>
      <c r="BL87" s="66">
        <f>E87*H87-K87*(N87-Q87)-T87*(W87-Z87)-AC87*(AF87-AI87)-AL87*(AO87-AR87)-AU87*(AX87-BA87)-BD87*BG87^2/BJ87</f>
        <v>467.5</v>
      </c>
      <c r="BM87" s="66"/>
      <c r="BN87" s="66"/>
      <c r="BO87" s="1" t="s">
        <v>191</v>
      </c>
      <c r="CC87" s="7"/>
      <c r="CF87" s="89"/>
      <c r="CG87" s="17" t="s">
        <v>116</v>
      </c>
      <c r="CH87" s="3">
        <v>321</v>
      </c>
      <c r="CI87" s="3">
        <v>890</v>
      </c>
      <c r="CJ87" s="3">
        <v>300</v>
      </c>
      <c r="CK87" s="3">
        <v>16</v>
      </c>
      <c r="CL87" s="3">
        <v>30</v>
      </c>
      <c r="CM87" s="3">
        <v>422100</v>
      </c>
    </row>
    <row r="88" spans="2:91">
      <c r="B88" s="6"/>
      <c r="C88" s="1" t="s">
        <v>220</v>
      </c>
      <c r="E88" s="66">
        <f>+E87</f>
        <v>160</v>
      </c>
      <c r="F88" s="66"/>
      <c r="G88" s="9" t="s">
        <v>6</v>
      </c>
      <c r="H88" s="66">
        <f>+K87</f>
        <v>20</v>
      </c>
      <c r="I88" s="66"/>
      <c r="J88" s="9" t="s">
        <v>6</v>
      </c>
      <c r="K88" s="66">
        <f>+T87</f>
        <v>20</v>
      </c>
      <c r="L88" s="66"/>
      <c r="M88" s="9" t="s">
        <v>6</v>
      </c>
      <c r="N88" s="66">
        <f>+AC87</f>
        <v>0</v>
      </c>
      <c r="O88" s="66"/>
      <c r="P88" s="9" t="s">
        <v>6</v>
      </c>
      <c r="Q88" s="66">
        <f>+AL87</f>
        <v>0</v>
      </c>
      <c r="R88" s="66"/>
      <c r="S88" s="9" t="s">
        <v>6</v>
      </c>
      <c r="T88" s="66">
        <f>+AU87</f>
        <v>0</v>
      </c>
      <c r="U88" s="66"/>
      <c r="V88" s="9" t="s">
        <v>6</v>
      </c>
      <c r="W88" s="66">
        <f>+BD87</f>
        <v>20</v>
      </c>
      <c r="X88" s="66"/>
      <c r="Y88" s="9" t="s">
        <v>5</v>
      </c>
      <c r="Z88" s="66">
        <f>+BG87</f>
        <v>5.5</v>
      </c>
      <c r="AA88" s="66"/>
      <c r="AB88" s="9" t="s">
        <v>7</v>
      </c>
      <c r="AC88" s="66">
        <f>+E88-H88-K88-N88-Q88-T88-W88*Z88</f>
        <v>10</v>
      </c>
      <c r="AD88" s="66"/>
      <c r="AE88" s="66"/>
      <c r="AF88" s="9" t="s">
        <v>0</v>
      </c>
      <c r="AJ88" s="9"/>
      <c r="AW88" s="9"/>
      <c r="AX88" s="9"/>
      <c r="AY88" s="9"/>
      <c r="AZ88" s="9"/>
      <c r="BA88" s="9"/>
      <c r="BB88" s="9"/>
      <c r="BD88" s="9"/>
      <c r="BE88" s="9"/>
      <c r="BF88" s="9"/>
      <c r="BG88" s="9"/>
      <c r="BH88" s="9"/>
      <c r="BI88" s="9"/>
      <c r="BJ88" s="9"/>
      <c r="BK88" s="9"/>
      <c r="BM88" s="9"/>
      <c r="BN88" s="9"/>
      <c r="BO88" s="9"/>
      <c r="BP88" s="9"/>
      <c r="BQ88" s="9"/>
      <c r="BT88" s="9"/>
      <c r="BU88" s="9"/>
      <c r="BV88" s="9"/>
      <c r="BW88" s="9"/>
      <c r="CC88" s="7"/>
      <c r="CF88" s="89"/>
      <c r="CG88" s="17" t="s">
        <v>117</v>
      </c>
      <c r="CH88" s="3">
        <v>347</v>
      </c>
      <c r="CI88" s="3">
        <v>990</v>
      </c>
      <c r="CJ88" s="3">
        <v>300</v>
      </c>
      <c r="CK88" s="3">
        <v>16.5</v>
      </c>
      <c r="CL88" s="3">
        <v>31</v>
      </c>
      <c r="CM88" s="3">
        <v>553800</v>
      </c>
    </row>
    <row r="89" spans="2:91">
      <c r="B89" s="6"/>
      <c r="C89" s="23" t="s">
        <v>253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L89" s="9"/>
      <c r="AM89" s="9"/>
      <c r="AN89" s="9"/>
      <c r="AO89" s="9"/>
      <c r="AP89" s="9"/>
      <c r="AQ89" s="9"/>
      <c r="AR89" s="9"/>
      <c r="AS89" s="9"/>
      <c r="AU89" s="9"/>
      <c r="AV89" s="9"/>
      <c r="AW89" s="9"/>
      <c r="AX89" s="9"/>
      <c r="AY89" s="9"/>
      <c r="AZ89" s="9"/>
      <c r="BA89" s="9"/>
      <c r="BB89" s="9"/>
      <c r="BD89" s="9"/>
      <c r="BE89" s="9"/>
      <c r="BF89" s="9"/>
      <c r="BG89" s="9"/>
      <c r="BH89" s="9"/>
      <c r="BI89" s="9"/>
      <c r="BJ89" s="9"/>
      <c r="BK89" s="9"/>
      <c r="BM89" s="9"/>
      <c r="BN89" s="9"/>
      <c r="BO89" s="9"/>
      <c r="BP89" s="9"/>
      <c r="BQ89" s="9"/>
      <c r="BT89" s="9"/>
      <c r="BU89" s="9"/>
      <c r="BV89" s="9"/>
      <c r="BW89" s="9"/>
      <c r="CC89" s="7"/>
      <c r="CF89" s="89" t="s">
        <v>118</v>
      </c>
      <c r="CG89" s="17" t="s">
        <v>119</v>
      </c>
      <c r="CH89" s="3">
        <v>26</v>
      </c>
      <c r="CI89" s="3">
        <v>100</v>
      </c>
      <c r="CJ89" s="3">
        <v>100</v>
      </c>
      <c r="CK89" s="3">
        <v>6</v>
      </c>
      <c r="CL89" s="3">
        <v>10</v>
      </c>
      <c r="CM89" s="3">
        <v>450</v>
      </c>
    </row>
    <row r="90" spans="2:91">
      <c r="B90" s="6"/>
      <c r="C90" s="1" t="s">
        <v>27</v>
      </c>
      <c r="D90" s="66">
        <f>(E88-H88-K88-N88-Q88-T88)/W88</f>
        <v>6</v>
      </c>
      <c r="E90" s="66"/>
      <c r="F90" s="66"/>
      <c r="G90" s="1" t="s">
        <v>257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L90" s="9"/>
      <c r="AM90" s="9"/>
      <c r="AN90" s="9"/>
      <c r="AO90" s="9"/>
      <c r="AP90" s="9"/>
      <c r="AQ90" s="9"/>
      <c r="AR90" s="9"/>
      <c r="AS90" s="9"/>
      <c r="AU90" s="9"/>
      <c r="AV90" s="9"/>
      <c r="AW90" s="9"/>
      <c r="AX90" s="9"/>
      <c r="AY90" s="9"/>
      <c r="AZ90" s="9"/>
      <c r="BA90" s="9"/>
      <c r="BB90" s="9"/>
      <c r="BD90" s="9"/>
      <c r="BE90" s="9"/>
      <c r="BF90" s="9"/>
      <c r="BG90" s="9"/>
      <c r="BH90" s="9"/>
      <c r="BI90" s="9"/>
      <c r="BJ90" s="9"/>
      <c r="BK90" s="9"/>
      <c r="BM90" s="9"/>
      <c r="BN90" s="9"/>
      <c r="BO90" s="9"/>
      <c r="BP90" s="9"/>
      <c r="BQ90" s="9"/>
      <c r="BT90" s="9"/>
      <c r="BU90" s="9"/>
      <c r="BV90" s="9"/>
      <c r="BW90" s="9"/>
      <c r="CC90" s="7"/>
      <c r="CF90" s="89"/>
      <c r="CG90" s="17" t="s">
        <v>120</v>
      </c>
      <c r="CH90" s="3">
        <v>34</v>
      </c>
      <c r="CI90" s="3">
        <v>120</v>
      </c>
      <c r="CJ90" s="3">
        <v>120</v>
      </c>
      <c r="CK90" s="3">
        <v>6.5</v>
      </c>
      <c r="CL90" s="3">
        <v>11</v>
      </c>
      <c r="CM90" s="3">
        <v>864</v>
      </c>
    </row>
    <row r="91" spans="2:91">
      <c r="B91" s="6"/>
      <c r="C91" s="1" t="s">
        <v>260</v>
      </c>
      <c r="F91" s="66">
        <f>+E85</f>
        <v>160</v>
      </c>
      <c r="G91" s="66"/>
      <c r="H91" s="9" t="s">
        <v>5</v>
      </c>
      <c r="I91" s="66">
        <f>+D90</f>
        <v>6</v>
      </c>
      <c r="J91" s="66"/>
      <c r="K91" s="9" t="s">
        <v>6</v>
      </c>
      <c r="L91" s="66">
        <f>IF((O91-R91)&lt;=0,0,+I85)</f>
        <v>20</v>
      </c>
      <c r="M91" s="66"/>
      <c r="N91" s="9" t="s">
        <v>14</v>
      </c>
      <c r="O91" s="66">
        <f>+I91</f>
        <v>6</v>
      </c>
      <c r="P91" s="66"/>
      <c r="Q91" s="9" t="s">
        <v>6</v>
      </c>
      <c r="R91" s="66">
        <f>+M85</f>
        <v>1.5</v>
      </c>
      <c r="S91" s="66"/>
      <c r="T91" s="1" t="s">
        <v>16</v>
      </c>
      <c r="U91" s="66">
        <f>IF((X91-AA91)&lt;=0,0,+P85)</f>
        <v>20</v>
      </c>
      <c r="V91" s="66"/>
      <c r="W91" s="9" t="s">
        <v>14</v>
      </c>
      <c r="X91" s="66">
        <f>+O91</f>
        <v>6</v>
      </c>
      <c r="Y91" s="66"/>
      <c r="Z91" s="9" t="s">
        <v>6</v>
      </c>
      <c r="AA91" s="66">
        <f>+T85</f>
        <v>4</v>
      </c>
      <c r="AB91" s="66"/>
      <c r="AC91" s="1" t="s">
        <v>16</v>
      </c>
      <c r="AD91" s="66">
        <f>IF((AG91-AJ91)&lt;=0,0,+W85)</f>
        <v>20</v>
      </c>
      <c r="AE91" s="66"/>
      <c r="AF91" s="9" t="s">
        <v>14</v>
      </c>
      <c r="AG91" s="66">
        <f>+X91</f>
        <v>6</v>
      </c>
      <c r="AH91" s="66"/>
      <c r="AI91" s="9" t="s">
        <v>6</v>
      </c>
      <c r="AJ91" s="66">
        <f>+AA85</f>
        <v>5.5</v>
      </c>
      <c r="AK91" s="66"/>
      <c r="AL91" s="1" t="s">
        <v>16</v>
      </c>
      <c r="AM91" s="66">
        <f>IF((AP91-AS91)&lt;=0,0,+AD85)</f>
        <v>0</v>
      </c>
      <c r="AN91" s="66"/>
      <c r="AO91" s="9" t="s">
        <v>14</v>
      </c>
      <c r="AP91" s="66">
        <f>+AG91</f>
        <v>6</v>
      </c>
      <c r="AQ91" s="66"/>
      <c r="AR91" s="9" t="s">
        <v>6</v>
      </c>
      <c r="AS91" s="66">
        <f>+AH85</f>
        <v>7</v>
      </c>
      <c r="AT91" s="66"/>
      <c r="AU91" s="1" t="s">
        <v>16</v>
      </c>
      <c r="AV91" s="66">
        <f>IF((AY91-BB91)&lt;=0,0,+AK85)</f>
        <v>0</v>
      </c>
      <c r="AW91" s="66"/>
      <c r="AX91" s="9" t="s">
        <v>14</v>
      </c>
      <c r="AY91" s="66">
        <f>+AP91</f>
        <v>6</v>
      </c>
      <c r="AZ91" s="66"/>
      <c r="BA91" s="9" t="s">
        <v>6</v>
      </c>
      <c r="BB91" s="66">
        <f>+AO85</f>
        <v>9.5</v>
      </c>
      <c r="BC91" s="66"/>
      <c r="BD91" s="1" t="s">
        <v>16</v>
      </c>
      <c r="BE91" s="66">
        <f>+AR85</f>
        <v>20</v>
      </c>
      <c r="BF91" s="66"/>
      <c r="BG91" s="9" t="s">
        <v>5</v>
      </c>
      <c r="BH91" s="66">
        <f>+AY91</f>
        <v>6</v>
      </c>
      <c r="BI91" s="66"/>
      <c r="BJ91" s="1" t="s">
        <v>190</v>
      </c>
      <c r="BK91" s="1">
        <v>2</v>
      </c>
      <c r="BL91" s="9" t="s">
        <v>7</v>
      </c>
      <c r="BM91" s="66">
        <f>F91*I91-L91*(O91-R91)-U91*(X91-AA91)-AD91*(AG91-AJ91)-AM91*(AP91-AS91)-AV91*(AY91-BB91)-BE91*BH91^2/BK91</f>
        <v>460</v>
      </c>
      <c r="BN91" s="66"/>
      <c r="BO91" s="66"/>
      <c r="BP91" s="1" t="s">
        <v>191</v>
      </c>
      <c r="BT91" s="9"/>
      <c r="BU91" s="9"/>
      <c r="BV91" s="9"/>
      <c r="BW91" s="9"/>
      <c r="CC91" s="7"/>
      <c r="CF91" s="89"/>
      <c r="CG91" s="17" t="s">
        <v>121</v>
      </c>
      <c r="CH91" s="3">
        <v>43</v>
      </c>
      <c r="CI91" s="3">
        <v>140</v>
      </c>
      <c r="CJ91" s="3">
        <v>140</v>
      </c>
      <c r="CK91" s="3">
        <v>7</v>
      </c>
      <c r="CL91" s="3">
        <v>12</v>
      </c>
      <c r="CM91" s="3">
        <v>1510</v>
      </c>
    </row>
    <row r="92" spans="2:91">
      <c r="B92" s="6"/>
      <c r="C92" s="1" t="s">
        <v>247</v>
      </c>
      <c r="E92" s="66">
        <f>+AJ73/2</f>
        <v>5.5</v>
      </c>
      <c r="F92" s="66"/>
      <c r="G92" s="66"/>
      <c r="H92" s="1" t="s">
        <v>252</v>
      </c>
      <c r="I92" s="9"/>
      <c r="J92" s="9"/>
      <c r="M92" s="9"/>
      <c r="N92" s="21"/>
      <c r="P92" s="9"/>
      <c r="Q92" s="9"/>
      <c r="T92" s="8"/>
      <c r="U92" s="9"/>
      <c r="W92" s="9"/>
      <c r="X92" s="9"/>
      <c r="AA92" s="9"/>
      <c r="AB92" s="9"/>
      <c r="AD92" s="9"/>
      <c r="AE92" s="9"/>
      <c r="AH92" s="9"/>
      <c r="AI92" s="9"/>
      <c r="AK92" s="9"/>
      <c r="AL92" s="9"/>
      <c r="AO92" s="9"/>
      <c r="AP92" s="9"/>
      <c r="AR92" s="9"/>
      <c r="AS92" s="9"/>
      <c r="AV92" s="9"/>
      <c r="AW92" s="9"/>
      <c r="AY92" s="9"/>
      <c r="AZ92" s="9"/>
      <c r="BA92" s="9"/>
      <c r="BT92" s="9"/>
      <c r="BU92" s="9"/>
      <c r="BV92" s="9"/>
      <c r="BW92" s="9"/>
      <c r="CC92" s="7"/>
      <c r="CF92" s="89"/>
      <c r="CG92" s="17" t="s">
        <v>122</v>
      </c>
      <c r="CH92" s="3">
        <v>54.3</v>
      </c>
      <c r="CI92" s="3">
        <v>160</v>
      </c>
      <c r="CJ92" s="3">
        <v>160</v>
      </c>
      <c r="CK92" s="3">
        <v>8</v>
      </c>
      <c r="CL92" s="3">
        <v>13</v>
      </c>
      <c r="CM92" s="3">
        <v>2490</v>
      </c>
    </row>
    <row r="93" spans="2:91">
      <c r="B93" s="6"/>
      <c r="C93" s="1" t="s">
        <v>261</v>
      </c>
      <c r="E93" s="66">
        <f>+E85</f>
        <v>160</v>
      </c>
      <c r="F93" s="66"/>
      <c r="G93" s="9" t="s">
        <v>5</v>
      </c>
      <c r="H93" s="66">
        <f>+E92</f>
        <v>5.5</v>
      </c>
      <c r="I93" s="66"/>
      <c r="J93" s="9" t="s">
        <v>6</v>
      </c>
      <c r="K93" s="66">
        <f>IF((N93-Q93)&lt;=0,0,+I85)</f>
        <v>20</v>
      </c>
      <c r="L93" s="66"/>
      <c r="M93" s="9" t="s">
        <v>14</v>
      </c>
      <c r="N93" s="66">
        <f>+H93</f>
        <v>5.5</v>
      </c>
      <c r="O93" s="66"/>
      <c r="P93" s="9" t="s">
        <v>6</v>
      </c>
      <c r="Q93" s="66">
        <f>+M85</f>
        <v>1.5</v>
      </c>
      <c r="R93" s="66"/>
      <c r="S93" s="1" t="s">
        <v>16</v>
      </c>
      <c r="T93" s="66">
        <f>IF((W93-Z93)&lt;=0,0,+P85)</f>
        <v>20</v>
      </c>
      <c r="U93" s="66"/>
      <c r="V93" s="9" t="s">
        <v>14</v>
      </c>
      <c r="W93" s="66">
        <f>+N93</f>
        <v>5.5</v>
      </c>
      <c r="X93" s="66"/>
      <c r="Y93" s="9" t="s">
        <v>6</v>
      </c>
      <c r="Z93" s="66">
        <f>+T85</f>
        <v>4</v>
      </c>
      <c r="AA93" s="66"/>
      <c r="AB93" s="1" t="s">
        <v>16</v>
      </c>
      <c r="AC93" s="66">
        <f>IF((AF93-AI93)&lt;=0,0,+W85)</f>
        <v>0</v>
      </c>
      <c r="AD93" s="66"/>
      <c r="AE93" s="9" t="s">
        <v>14</v>
      </c>
      <c r="AF93" s="66">
        <f>+W93</f>
        <v>5.5</v>
      </c>
      <c r="AG93" s="66"/>
      <c r="AH93" s="9" t="s">
        <v>6</v>
      </c>
      <c r="AI93" s="66">
        <f>+AA85</f>
        <v>5.5</v>
      </c>
      <c r="AJ93" s="66"/>
      <c r="AK93" s="1" t="s">
        <v>16</v>
      </c>
      <c r="AL93" s="66">
        <f>IF((AO93-AR93)&lt;=0,0,+AD85)</f>
        <v>0</v>
      </c>
      <c r="AM93" s="66"/>
      <c r="AN93" s="9" t="s">
        <v>14</v>
      </c>
      <c r="AO93" s="66">
        <f>+AF93</f>
        <v>5.5</v>
      </c>
      <c r="AP93" s="66"/>
      <c r="AQ93" s="9" t="s">
        <v>6</v>
      </c>
      <c r="AR93" s="66">
        <f>+AH85</f>
        <v>7</v>
      </c>
      <c r="AS93" s="66"/>
      <c r="AT93" s="1" t="s">
        <v>16</v>
      </c>
      <c r="AU93" s="66">
        <f>IF((AX93-BA93)&lt;=0,0,+AK85)</f>
        <v>0</v>
      </c>
      <c r="AV93" s="66"/>
      <c r="AW93" s="9" t="s">
        <v>14</v>
      </c>
      <c r="AX93" s="66">
        <f>+AO93</f>
        <v>5.5</v>
      </c>
      <c r="AY93" s="66"/>
      <c r="AZ93" s="9" t="s">
        <v>6</v>
      </c>
      <c r="BA93" s="66">
        <f>+AO85</f>
        <v>9.5</v>
      </c>
      <c r="BB93" s="66"/>
      <c r="BC93" s="1" t="s">
        <v>16</v>
      </c>
      <c r="BD93" s="66">
        <f>+AR85</f>
        <v>20</v>
      </c>
      <c r="BE93" s="66"/>
      <c r="BF93" s="9" t="s">
        <v>5</v>
      </c>
      <c r="BG93" s="66">
        <f>+AX93</f>
        <v>5.5</v>
      </c>
      <c r="BH93" s="66"/>
      <c r="BI93" s="1" t="s">
        <v>190</v>
      </c>
      <c r="BJ93" s="1">
        <v>2</v>
      </c>
      <c r="BK93" s="9" t="s">
        <v>7</v>
      </c>
      <c r="BL93" s="66">
        <f>E93*H93-K93*(N93-Q93)-T93*(W93-Z93)-AC93*(AF93-AI93)-AL93*(AO93-AR93)-AU93*(AX93-BA93)-BD93*BG93^2/BJ93</f>
        <v>467.5</v>
      </c>
      <c r="BM93" s="66"/>
      <c r="BN93" s="66"/>
      <c r="BO93" s="1" t="s">
        <v>191</v>
      </c>
      <c r="BT93" s="9"/>
      <c r="BU93" s="9"/>
      <c r="BV93" s="9"/>
      <c r="BW93" s="9"/>
      <c r="CC93" s="7"/>
      <c r="CF93" s="89"/>
      <c r="CG93" s="17" t="s">
        <v>123</v>
      </c>
      <c r="CH93" s="3">
        <v>65.3</v>
      </c>
      <c r="CI93" s="3">
        <v>180</v>
      </c>
      <c r="CJ93" s="3">
        <v>180</v>
      </c>
      <c r="CK93" s="3">
        <v>8.5</v>
      </c>
      <c r="CL93" s="3">
        <v>14</v>
      </c>
      <c r="CM93" s="3">
        <v>3830</v>
      </c>
    </row>
    <row r="94" spans="2:91">
      <c r="B94" s="6"/>
      <c r="C94" s="1" t="s">
        <v>248</v>
      </c>
      <c r="E94" s="66">
        <f>+AJ73/4</f>
        <v>2.75</v>
      </c>
      <c r="F94" s="66"/>
      <c r="G94" s="66"/>
      <c r="H94" s="1" t="s">
        <v>252</v>
      </c>
      <c r="I94" s="9"/>
      <c r="J94" s="9"/>
      <c r="M94" s="9"/>
      <c r="N94" s="21"/>
      <c r="BP94" s="9"/>
      <c r="BQ94" s="9"/>
      <c r="BT94" s="9"/>
      <c r="BU94" s="9"/>
      <c r="BV94" s="9"/>
      <c r="BW94" s="9"/>
      <c r="CC94" s="7"/>
      <c r="CF94" s="89"/>
      <c r="CG94" s="17" t="s">
        <v>124</v>
      </c>
      <c r="CH94" s="3">
        <v>78.099999999999994</v>
      </c>
      <c r="CI94" s="3">
        <v>200</v>
      </c>
      <c r="CJ94" s="3">
        <v>200</v>
      </c>
      <c r="CK94" s="3">
        <v>9</v>
      </c>
      <c r="CL94" s="3">
        <v>15</v>
      </c>
      <c r="CM94" s="3">
        <v>5700</v>
      </c>
    </row>
    <row r="95" spans="2:91">
      <c r="B95" s="6"/>
      <c r="C95" s="1" t="s">
        <v>249</v>
      </c>
      <c r="E95" s="66">
        <f>+E93</f>
        <v>160</v>
      </c>
      <c r="F95" s="66"/>
      <c r="G95" s="9" t="s">
        <v>5</v>
      </c>
      <c r="H95" s="66">
        <f>+E94</f>
        <v>2.75</v>
      </c>
      <c r="I95" s="66"/>
      <c r="J95" s="9" t="s">
        <v>6</v>
      </c>
      <c r="K95" s="66">
        <f>IF((N95-Q95)&lt;=0,0,+I85)</f>
        <v>20</v>
      </c>
      <c r="L95" s="66"/>
      <c r="M95" s="9" t="s">
        <v>14</v>
      </c>
      <c r="N95" s="66">
        <f>+H95</f>
        <v>2.75</v>
      </c>
      <c r="O95" s="66"/>
      <c r="P95" s="9" t="s">
        <v>6</v>
      </c>
      <c r="Q95" s="66">
        <f>+Q93</f>
        <v>1.5</v>
      </c>
      <c r="R95" s="66"/>
      <c r="S95" s="1" t="s">
        <v>16</v>
      </c>
      <c r="T95" s="66">
        <f>IF((W95-Z95)&lt;=0,0,+P85)</f>
        <v>0</v>
      </c>
      <c r="U95" s="66"/>
      <c r="V95" s="9" t="s">
        <v>14</v>
      </c>
      <c r="W95" s="66">
        <f>+N95</f>
        <v>2.75</v>
      </c>
      <c r="X95" s="66"/>
      <c r="Y95" s="9" t="s">
        <v>6</v>
      </c>
      <c r="Z95" s="66">
        <f>+Z93</f>
        <v>4</v>
      </c>
      <c r="AA95" s="66"/>
      <c r="AB95" s="1" t="s">
        <v>16</v>
      </c>
      <c r="AC95" s="66">
        <f>IF((AF95-AI95)&lt;=0,0,+W85)</f>
        <v>0</v>
      </c>
      <c r="AD95" s="66"/>
      <c r="AE95" s="9" t="s">
        <v>14</v>
      </c>
      <c r="AF95" s="66">
        <f>+W95</f>
        <v>2.75</v>
      </c>
      <c r="AG95" s="66"/>
      <c r="AH95" s="9" t="s">
        <v>6</v>
      </c>
      <c r="AI95" s="66">
        <f>+AI93</f>
        <v>5.5</v>
      </c>
      <c r="AJ95" s="66"/>
      <c r="AK95" s="1" t="s">
        <v>16</v>
      </c>
      <c r="AL95" s="66">
        <f>IF((AO95-AR95)&lt;=0,0,+AD85)</f>
        <v>0</v>
      </c>
      <c r="AM95" s="66"/>
      <c r="AN95" s="9" t="s">
        <v>14</v>
      </c>
      <c r="AO95" s="66">
        <f>+AF95</f>
        <v>2.75</v>
      </c>
      <c r="AP95" s="66"/>
      <c r="AQ95" s="9" t="s">
        <v>6</v>
      </c>
      <c r="AR95" s="66">
        <f>+AR93</f>
        <v>7</v>
      </c>
      <c r="AS95" s="66"/>
      <c r="AT95" s="1" t="s">
        <v>16</v>
      </c>
      <c r="AU95" s="66">
        <f>IF((AX95-BA95)&lt;=0,0,+AK85)</f>
        <v>0</v>
      </c>
      <c r="AV95" s="66"/>
      <c r="AW95" s="9" t="s">
        <v>14</v>
      </c>
      <c r="AX95" s="66">
        <f>+AO95</f>
        <v>2.75</v>
      </c>
      <c r="AY95" s="66"/>
      <c r="AZ95" s="9" t="s">
        <v>6</v>
      </c>
      <c r="BA95" s="66">
        <f>+BA93</f>
        <v>9.5</v>
      </c>
      <c r="BB95" s="66"/>
      <c r="BC95" s="1" t="s">
        <v>16</v>
      </c>
      <c r="BD95" s="66">
        <f>+AR85</f>
        <v>20</v>
      </c>
      <c r="BE95" s="66"/>
      <c r="BF95" s="9" t="s">
        <v>5</v>
      </c>
      <c r="BG95" s="66">
        <f>+AX95</f>
        <v>2.75</v>
      </c>
      <c r="BH95" s="66"/>
      <c r="BI95" s="1" t="s">
        <v>190</v>
      </c>
      <c r="BJ95" s="1">
        <v>2</v>
      </c>
      <c r="BK95" s="9" t="s">
        <v>7</v>
      </c>
      <c r="BL95" s="66">
        <f>E95*H95-K95*(N95-Q95)-T95*(W95-Z95)-AC95*(AF95-AI95)-AL95*(AO95-AR95)-AU95*(AX95-BA95)-BD95*BG95^2/BJ95</f>
        <v>339.375</v>
      </c>
      <c r="BM95" s="66"/>
      <c r="BN95" s="66"/>
      <c r="BO95" s="1" t="s">
        <v>191</v>
      </c>
      <c r="BT95" s="9"/>
      <c r="BU95" s="9"/>
      <c r="BV95" s="9"/>
      <c r="BW95" s="9"/>
      <c r="CC95" s="7"/>
      <c r="CF95" s="89"/>
      <c r="CG95" s="17" t="s">
        <v>125</v>
      </c>
      <c r="CH95" s="3">
        <v>91</v>
      </c>
      <c r="CI95" s="3">
        <v>220</v>
      </c>
      <c r="CJ95" s="3">
        <v>220</v>
      </c>
      <c r="CK95" s="3">
        <v>9.5</v>
      </c>
      <c r="CL95" s="3">
        <v>16</v>
      </c>
      <c r="CM95" s="3">
        <v>8090</v>
      </c>
    </row>
    <row r="96" spans="2:91">
      <c r="B96" s="6"/>
      <c r="C96" s="1" t="s">
        <v>250</v>
      </c>
      <c r="F96" s="66">
        <f>3*AJ73/4</f>
        <v>8.25</v>
      </c>
      <c r="G96" s="66"/>
      <c r="H96" s="66"/>
      <c r="I96" s="1" t="s">
        <v>252</v>
      </c>
      <c r="J96" s="9"/>
      <c r="M96" s="9"/>
      <c r="N96" s="21"/>
      <c r="P96" s="9"/>
      <c r="Q96" s="9"/>
      <c r="BT96" s="9"/>
      <c r="BU96" s="9"/>
      <c r="BV96" s="9"/>
      <c r="BW96" s="9"/>
      <c r="CC96" s="7"/>
      <c r="CF96" s="89"/>
      <c r="CG96" s="17" t="s">
        <v>126</v>
      </c>
      <c r="CH96" s="3">
        <v>106</v>
      </c>
      <c r="CI96" s="3">
        <v>240</v>
      </c>
      <c r="CJ96" s="3">
        <v>240</v>
      </c>
      <c r="CK96" s="3">
        <v>10</v>
      </c>
      <c r="CL96" s="3">
        <v>17</v>
      </c>
      <c r="CM96" s="3">
        <v>11260</v>
      </c>
    </row>
    <row r="97" spans="2:91">
      <c r="B97" s="6"/>
      <c r="C97" s="1" t="s">
        <v>251</v>
      </c>
      <c r="E97" s="66">
        <f>+E95</f>
        <v>160</v>
      </c>
      <c r="F97" s="66"/>
      <c r="G97" s="9" t="s">
        <v>5</v>
      </c>
      <c r="H97" s="66">
        <f>+F96</f>
        <v>8.25</v>
      </c>
      <c r="I97" s="66"/>
      <c r="J97" s="9" t="s">
        <v>6</v>
      </c>
      <c r="K97" s="66">
        <f>IF((N97-Q97)&lt;=0,0,+I85)</f>
        <v>20</v>
      </c>
      <c r="L97" s="66"/>
      <c r="M97" s="9" t="s">
        <v>14</v>
      </c>
      <c r="N97" s="66">
        <f>+H97</f>
        <v>8.25</v>
      </c>
      <c r="O97" s="66"/>
      <c r="P97" s="9" t="s">
        <v>6</v>
      </c>
      <c r="Q97" s="66">
        <f>+Q95</f>
        <v>1.5</v>
      </c>
      <c r="R97" s="66"/>
      <c r="S97" s="1" t="s">
        <v>16</v>
      </c>
      <c r="T97" s="66">
        <f>IF((W97-Z97)&lt;=0,0,+P85)</f>
        <v>20</v>
      </c>
      <c r="U97" s="66"/>
      <c r="V97" s="9" t="s">
        <v>14</v>
      </c>
      <c r="W97" s="66">
        <f>+N97</f>
        <v>8.25</v>
      </c>
      <c r="X97" s="66"/>
      <c r="Y97" s="9" t="s">
        <v>6</v>
      </c>
      <c r="Z97" s="66">
        <f>+Z95</f>
        <v>4</v>
      </c>
      <c r="AA97" s="66"/>
      <c r="AB97" s="1" t="s">
        <v>16</v>
      </c>
      <c r="AC97" s="66">
        <f>IF((AF97-AI97)&lt;=0,0,+W85)</f>
        <v>20</v>
      </c>
      <c r="AD97" s="66"/>
      <c r="AE97" s="9" t="s">
        <v>14</v>
      </c>
      <c r="AF97" s="66">
        <f>+W97</f>
        <v>8.25</v>
      </c>
      <c r="AG97" s="66"/>
      <c r="AH97" s="9" t="s">
        <v>6</v>
      </c>
      <c r="AI97" s="66">
        <f>+AI95</f>
        <v>5.5</v>
      </c>
      <c r="AJ97" s="66"/>
      <c r="AK97" s="1" t="s">
        <v>16</v>
      </c>
      <c r="AL97" s="66">
        <f>IF((AO97-AR97)&lt;=0,0,+AD85)</f>
        <v>20</v>
      </c>
      <c r="AM97" s="66"/>
      <c r="AN97" s="9" t="s">
        <v>14</v>
      </c>
      <c r="AO97" s="66">
        <f>+AF97</f>
        <v>8.25</v>
      </c>
      <c r="AP97" s="66"/>
      <c r="AQ97" s="9" t="s">
        <v>6</v>
      </c>
      <c r="AR97" s="66">
        <f>+AR95</f>
        <v>7</v>
      </c>
      <c r="AS97" s="66"/>
      <c r="AT97" s="1" t="s">
        <v>16</v>
      </c>
      <c r="AU97" s="66">
        <f>IF((AX97-BA97)&lt;=0,0,+AK85)</f>
        <v>0</v>
      </c>
      <c r="AV97" s="66"/>
      <c r="AW97" s="9" t="s">
        <v>14</v>
      </c>
      <c r="AX97" s="66">
        <f>+AO97</f>
        <v>8.25</v>
      </c>
      <c r="AY97" s="66"/>
      <c r="AZ97" s="9" t="s">
        <v>6</v>
      </c>
      <c r="BA97" s="66">
        <f>+BA95</f>
        <v>9.5</v>
      </c>
      <c r="BB97" s="66"/>
      <c r="BC97" s="1" t="s">
        <v>16</v>
      </c>
      <c r="BD97" s="66">
        <f>+BD95</f>
        <v>20</v>
      </c>
      <c r="BE97" s="66"/>
      <c r="BF97" s="9" t="s">
        <v>5</v>
      </c>
      <c r="BG97" s="66">
        <f>+AX97</f>
        <v>8.25</v>
      </c>
      <c r="BH97" s="66"/>
      <c r="BI97" s="1" t="s">
        <v>190</v>
      </c>
      <c r="BJ97" s="1">
        <v>2</v>
      </c>
      <c r="BK97" s="9" t="s">
        <v>7</v>
      </c>
      <c r="BL97" s="66">
        <f>E97*H97-K97*(N97-Q97)-T97*(W97-Z97)-AC97*(AF97-AI97)-AL97*(AO97-AR97)-AU97*(AX97-BA97)-BD97*BG97^2/BJ97</f>
        <v>339.375</v>
      </c>
      <c r="BM97" s="66"/>
      <c r="BN97" s="66"/>
      <c r="BO97" s="1" t="s">
        <v>191</v>
      </c>
      <c r="BQ97" s="9"/>
      <c r="BT97" s="9"/>
      <c r="BU97" s="9"/>
      <c r="BV97" s="9"/>
      <c r="BW97" s="9"/>
      <c r="CC97" s="7"/>
      <c r="CF97" s="89"/>
      <c r="CG97" s="17" t="s">
        <v>127</v>
      </c>
      <c r="CH97" s="3">
        <v>118</v>
      </c>
      <c r="CI97" s="3">
        <v>260</v>
      </c>
      <c r="CJ97" s="3">
        <v>260</v>
      </c>
      <c r="CK97" s="3">
        <v>10</v>
      </c>
      <c r="CL97" s="3">
        <v>17.5</v>
      </c>
      <c r="CM97" s="3">
        <v>14920</v>
      </c>
    </row>
    <row r="98" spans="2:91">
      <c r="B98" s="6"/>
      <c r="C98" s="1" t="s">
        <v>300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U98" s="9"/>
      <c r="V98" s="9"/>
      <c r="W98" s="9"/>
      <c r="X98" s="9"/>
      <c r="Y98" s="9"/>
      <c r="Z98" s="9"/>
      <c r="AA98" s="9"/>
      <c r="AB98" s="9"/>
      <c r="AD98" s="9"/>
      <c r="AE98" s="9"/>
      <c r="AF98" s="9"/>
      <c r="AG98" s="9"/>
      <c r="AH98" s="9"/>
      <c r="AI98" s="9"/>
      <c r="AJ98" s="9"/>
      <c r="AK98" s="9"/>
      <c r="AM98" s="9"/>
      <c r="AN98" s="9"/>
      <c r="AO98" s="9"/>
      <c r="AP98" s="9"/>
      <c r="AQ98" s="9"/>
      <c r="AR98" s="9"/>
      <c r="AS98" s="9"/>
      <c r="AT98" s="9"/>
      <c r="AV98" s="9"/>
      <c r="AW98" s="9"/>
      <c r="AX98" s="9"/>
      <c r="AY98" s="9"/>
      <c r="AZ98" s="9"/>
      <c r="BA98" s="9"/>
      <c r="BB98" s="9"/>
      <c r="BC98" s="9"/>
      <c r="BE98" s="9"/>
      <c r="BF98" s="9"/>
      <c r="BG98" s="9"/>
      <c r="BH98" s="9"/>
      <c r="BI98" s="9"/>
      <c r="BJ98" s="9"/>
      <c r="BK98" s="9"/>
      <c r="BL98" s="9"/>
      <c r="BN98" s="9"/>
      <c r="BO98" s="9"/>
      <c r="BP98" s="9"/>
      <c r="BQ98" s="9"/>
      <c r="BR98" s="9"/>
      <c r="BU98" s="9"/>
      <c r="BV98" s="9"/>
      <c r="BW98" s="9"/>
      <c r="BX98" s="9"/>
      <c r="CC98" s="7"/>
      <c r="CF98" s="89"/>
      <c r="CG98" s="17" t="s">
        <v>128</v>
      </c>
      <c r="CH98" s="3">
        <v>131</v>
      </c>
      <c r="CI98" s="3">
        <v>280</v>
      </c>
      <c r="CJ98" s="3">
        <v>280</v>
      </c>
      <c r="CK98" s="3">
        <v>10.5</v>
      </c>
      <c r="CL98" s="3">
        <v>18</v>
      </c>
      <c r="CM98" s="3">
        <v>19270</v>
      </c>
    </row>
    <row r="99" spans="2:91">
      <c r="B99" s="6"/>
      <c r="C99" s="1" t="s">
        <v>301</v>
      </c>
      <c r="E99" s="66">
        <v>12.5</v>
      </c>
      <c r="F99" s="66"/>
      <c r="G99" s="9" t="s">
        <v>5</v>
      </c>
      <c r="H99" s="66">
        <f>+BM91</f>
        <v>460</v>
      </c>
      <c r="I99" s="66"/>
      <c r="J99" s="66"/>
      <c r="K99" s="9" t="s">
        <v>275</v>
      </c>
      <c r="L99" s="66">
        <v>2.5</v>
      </c>
      <c r="M99" s="66"/>
      <c r="N99" s="9" t="s">
        <v>5</v>
      </c>
      <c r="O99" s="66">
        <f>+H99</f>
        <v>460</v>
      </c>
      <c r="P99" s="66"/>
      <c r="Q99" s="66"/>
      <c r="R99" s="9" t="s">
        <v>9</v>
      </c>
      <c r="S99" s="9">
        <v>3</v>
      </c>
      <c r="T99" s="9" t="s">
        <v>5</v>
      </c>
      <c r="U99" s="66">
        <f>+BL95</f>
        <v>339.375</v>
      </c>
      <c r="V99" s="66"/>
      <c r="W99" s="66"/>
      <c r="X99" s="9" t="s">
        <v>9</v>
      </c>
      <c r="Y99" s="9">
        <v>4</v>
      </c>
      <c r="Z99" s="9" t="s">
        <v>5</v>
      </c>
      <c r="AA99" s="66">
        <f>+BL93</f>
        <v>467.5</v>
      </c>
      <c r="AB99" s="66"/>
      <c r="AC99" s="66"/>
      <c r="AD99" s="9" t="s">
        <v>9</v>
      </c>
      <c r="AE99" s="9">
        <v>3</v>
      </c>
      <c r="AF99" s="9" t="s">
        <v>5</v>
      </c>
      <c r="AG99" s="66">
        <f>+BL97</f>
        <v>339.375</v>
      </c>
      <c r="AH99" s="66"/>
      <c r="AI99" s="66"/>
      <c r="AJ99" s="9" t="s">
        <v>201</v>
      </c>
      <c r="AK99" s="66">
        <f>E99*H99/(L99*O99+S99*U99+Y99*AA99+AE99*AG99)</f>
        <v>1.1372064276885043</v>
      </c>
      <c r="AL99" s="66"/>
      <c r="AM99" s="66"/>
      <c r="AN99" s="9"/>
      <c r="AO99" s="9"/>
      <c r="AP99" s="9"/>
      <c r="AQ99" s="9"/>
      <c r="AR99" s="9"/>
      <c r="AS99" s="9"/>
      <c r="AT99" s="9"/>
      <c r="AV99" s="9"/>
      <c r="AW99" s="9"/>
      <c r="AX99" s="9"/>
      <c r="AY99" s="9"/>
      <c r="AZ99" s="9"/>
      <c r="BA99" s="9"/>
      <c r="BB99" s="9"/>
      <c r="BC99" s="9"/>
      <c r="BE99" s="9"/>
      <c r="BF99" s="9"/>
      <c r="BG99" s="9"/>
      <c r="BH99" s="9"/>
      <c r="BI99" s="9"/>
      <c r="BJ99" s="9"/>
      <c r="BK99" s="9"/>
      <c r="BL99" s="9"/>
      <c r="BN99" s="9"/>
      <c r="BO99" s="9"/>
      <c r="BP99" s="9"/>
      <c r="BQ99" s="9"/>
      <c r="BR99" s="9"/>
      <c r="BU99" s="9"/>
      <c r="BV99" s="9"/>
      <c r="BW99" s="9"/>
      <c r="BX99" s="9"/>
      <c r="CC99" s="7"/>
      <c r="CF99" s="89"/>
      <c r="CG99" s="17" t="s">
        <v>129</v>
      </c>
      <c r="CH99" s="3">
        <v>149</v>
      </c>
      <c r="CI99" s="3">
        <v>300</v>
      </c>
      <c r="CJ99" s="3">
        <v>300</v>
      </c>
      <c r="CK99" s="3">
        <v>11</v>
      </c>
      <c r="CL99" s="3">
        <v>19</v>
      </c>
      <c r="CM99" s="3">
        <v>25170</v>
      </c>
    </row>
    <row r="100" spans="2:91">
      <c r="B100" s="6"/>
      <c r="C100" s="23" t="s">
        <v>223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L100" s="9"/>
      <c r="AM100" s="9"/>
      <c r="AN100" s="9"/>
      <c r="AO100" s="9"/>
      <c r="AP100" s="9"/>
      <c r="AQ100" s="9"/>
      <c r="AR100" s="9"/>
      <c r="AS100" s="9"/>
      <c r="AU100" s="9"/>
      <c r="AV100" s="9"/>
      <c r="AW100" s="9"/>
      <c r="AX100" s="9"/>
      <c r="AY100" s="9"/>
      <c r="AZ100" s="9"/>
      <c r="BA100" s="9"/>
      <c r="BB100" s="9"/>
      <c r="BD100" s="9"/>
      <c r="BE100" s="9"/>
      <c r="BF100" s="9"/>
      <c r="BG100" s="9"/>
      <c r="BH100" s="9"/>
      <c r="BI100" s="9"/>
      <c r="BJ100" s="9"/>
      <c r="BK100" s="9"/>
      <c r="BM100" s="9"/>
      <c r="BN100" s="9"/>
      <c r="BO100" s="9"/>
      <c r="BP100" s="9"/>
      <c r="BQ100" s="9"/>
      <c r="BT100" s="9"/>
      <c r="BU100" s="9"/>
      <c r="BV100" s="9"/>
      <c r="BW100" s="9"/>
      <c r="CC100" s="7"/>
      <c r="CF100" s="89"/>
      <c r="CG100" s="17" t="s">
        <v>130</v>
      </c>
      <c r="CH100" s="3">
        <v>161</v>
      </c>
      <c r="CI100" s="3">
        <v>320</v>
      </c>
      <c r="CJ100" s="3">
        <v>300</v>
      </c>
      <c r="CK100" s="3">
        <v>11.5</v>
      </c>
      <c r="CL100" s="3">
        <v>20.5</v>
      </c>
      <c r="CM100" s="3">
        <v>30820</v>
      </c>
    </row>
    <row r="101" spans="2:91">
      <c r="B101" s="6"/>
      <c r="C101" s="1" t="s">
        <v>194</v>
      </c>
      <c r="I101" s="66">
        <f>+E85</f>
        <v>160</v>
      </c>
      <c r="J101" s="66"/>
      <c r="K101" s="1" t="s">
        <v>18</v>
      </c>
      <c r="M101" s="1">
        <v>2</v>
      </c>
      <c r="N101" s="9" t="s">
        <v>6</v>
      </c>
      <c r="O101" s="66">
        <f>+I85</f>
        <v>20</v>
      </c>
      <c r="P101" s="66"/>
      <c r="Q101" s="1" t="s">
        <v>15</v>
      </c>
      <c r="S101" s="66">
        <f>+M85</f>
        <v>1.5</v>
      </c>
      <c r="T101" s="66"/>
      <c r="U101" s="1" t="s">
        <v>19</v>
      </c>
      <c r="W101" s="66">
        <f>+P85</f>
        <v>20</v>
      </c>
      <c r="X101" s="66"/>
      <c r="Y101" s="1" t="s">
        <v>15</v>
      </c>
      <c r="AA101" s="66">
        <f>+T85</f>
        <v>4</v>
      </c>
      <c r="AB101" s="66"/>
      <c r="AC101" s="1" t="s">
        <v>19</v>
      </c>
      <c r="AE101" s="66">
        <f>+W85</f>
        <v>20</v>
      </c>
      <c r="AF101" s="66"/>
      <c r="AG101" s="1" t="s">
        <v>15</v>
      </c>
      <c r="AI101" s="66">
        <f>+AA85</f>
        <v>5.5</v>
      </c>
      <c r="AJ101" s="66"/>
      <c r="AK101" s="1" t="s">
        <v>19</v>
      </c>
      <c r="AM101" s="66">
        <f>+AD85</f>
        <v>20</v>
      </c>
      <c r="AN101" s="66"/>
      <c r="AO101" s="1" t="s">
        <v>15</v>
      </c>
      <c r="AQ101" s="66">
        <f>+AH85</f>
        <v>7</v>
      </c>
      <c r="AR101" s="66"/>
      <c r="AS101" s="1" t="s">
        <v>19</v>
      </c>
      <c r="AU101" s="66">
        <f>+AK85</f>
        <v>20</v>
      </c>
      <c r="AV101" s="66"/>
      <c r="AW101" s="1" t="s">
        <v>15</v>
      </c>
      <c r="AY101" s="66">
        <f>+AO85</f>
        <v>9.5</v>
      </c>
      <c r="AZ101" s="66"/>
      <c r="BA101" s="1" t="s">
        <v>20</v>
      </c>
      <c r="BC101" s="9" t="s">
        <v>6</v>
      </c>
      <c r="BD101" s="66">
        <f>+AR85</f>
        <v>20</v>
      </c>
      <c r="BE101" s="66"/>
      <c r="BF101" s="9" t="s">
        <v>5</v>
      </c>
      <c r="BG101" s="1" t="s">
        <v>184</v>
      </c>
      <c r="BH101" s="1" t="s">
        <v>173</v>
      </c>
      <c r="BI101" s="1">
        <v>6</v>
      </c>
      <c r="BJ101" s="9" t="s">
        <v>9</v>
      </c>
      <c r="BK101" s="1" t="s">
        <v>24</v>
      </c>
      <c r="BN101" s="1" t="s">
        <v>180</v>
      </c>
      <c r="CC101" s="7"/>
      <c r="CF101" s="89"/>
      <c r="CG101" s="17" t="s">
        <v>131</v>
      </c>
      <c r="CH101" s="3">
        <v>171</v>
      </c>
      <c r="CI101" s="3">
        <v>340</v>
      </c>
      <c r="CJ101" s="3">
        <v>300</v>
      </c>
      <c r="CK101" s="3">
        <v>12</v>
      </c>
      <c r="CL101" s="3">
        <v>21.5</v>
      </c>
      <c r="CM101" s="3">
        <v>36660</v>
      </c>
    </row>
    <row r="102" spans="2:91">
      <c r="B102" s="6"/>
      <c r="C102" s="1" t="s">
        <v>195</v>
      </c>
      <c r="H102" s="66">
        <f>+I101</f>
        <v>160</v>
      </c>
      <c r="I102" s="66"/>
      <c r="J102" s="1" t="s">
        <v>21</v>
      </c>
      <c r="L102" s="1">
        <v>6</v>
      </c>
      <c r="M102" s="9" t="s">
        <v>6</v>
      </c>
      <c r="N102" s="66">
        <f>+O101</f>
        <v>20</v>
      </c>
      <c r="O102" s="66"/>
      <c r="P102" s="1" t="s">
        <v>15</v>
      </c>
      <c r="R102" s="66">
        <f>+S101</f>
        <v>1.5</v>
      </c>
      <c r="S102" s="66"/>
      <c r="T102" s="1" t="s">
        <v>22</v>
      </c>
      <c r="V102" s="66">
        <f>+W101</f>
        <v>20</v>
      </c>
      <c r="W102" s="66"/>
      <c r="X102" s="1" t="s">
        <v>15</v>
      </c>
      <c r="Z102" s="66">
        <f>+AA101</f>
        <v>4</v>
      </c>
      <c r="AA102" s="66"/>
      <c r="AB102" s="1" t="s">
        <v>22</v>
      </c>
      <c r="AD102" s="66">
        <f>+AE101</f>
        <v>20</v>
      </c>
      <c r="AE102" s="66"/>
      <c r="AF102" s="1" t="s">
        <v>15</v>
      </c>
      <c r="AH102" s="66">
        <f>+AI101</f>
        <v>5.5</v>
      </c>
      <c r="AI102" s="66"/>
      <c r="AJ102" s="1" t="s">
        <v>22</v>
      </c>
      <c r="AL102" s="66">
        <f>+AM101</f>
        <v>20</v>
      </c>
      <c r="AM102" s="66"/>
      <c r="AN102" s="1" t="s">
        <v>15</v>
      </c>
      <c r="AP102" s="66">
        <f>+AQ101</f>
        <v>7</v>
      </c>
      <c r="AQ102" s="66"/>
      <c r="AR102" s="1" t="s">
        <v>22</v>
      </c>
      <c r="AT102" s="66">
        <f>+AU101</f>
        <v>20</v>
      </c>
      <c r="AU102" s="66"/>
      <c r="AV102" s="1" t="s">
        <v>15</v>
      </c>
      <c r="AX102" s="66">
        <f>+AY101</f>
        <v>9.5</v>
      </c>
      <c r="AY102" s="66"/>
      <c r="AZ102" s="1" t="s">
        <v>23</v>
      </c>
      <c r="BB102" s="9" t="s">
        <v>6</v>
      </c>
      <c r="BC102" s="66">
        <f>+BD101</f>
        <v>20</v>
      </c>
      <c r="BD102" s="66"/>
      <c r="BE102" s="9" t="s">
        <v>5</v>
      </c>
      <c r="BF102" s="1" t="s">
        <v>185</v>
      </c>
      <c r="BG102" s="1" t="s">
        <v>173</v>
      </c>
      <c r="BH102" s="66">
        <v>24</v>
      </c>
      <c r="BI102" s="66"/>
      <c r="BJ102" s="1" t="s">
        <v>25</v>
      </c>
      <c r="BP102" s="1" t="s">
        <v>180</v>
      </c>
      <c r="CC102" s="7"/>
      <c r="CF102" s="89"/>
      <c r="CG102" s="17" t="s">
        <v>132</v>
      </c>
      <c r="CH102" s="3">
        <v>181</v>
      </c>
      <c r="CI102" s="3">
        <v>360</v>
      </c>
      <c r="CJ102" s="3">
        <v>300</v>
      </c>
      <c r="CK102" s="3">
        <v>12.5</v>
      </c>
      <c r="CL102" s="3">
        <v>22.5</v>
      </c>
      <c r="CM102" s="3">
        <v>43190</v>
      </c>
    </row>
    <row r="103" spans="2:91">
      <c r="B103" s="6"/>
      <c r="C103" s="1" t="s">
        <v>26</v>
      </c>
      <c r="CC103" s="7"/>
      <c r="CF103" s="89"/>
      <c r="CG103" s="17" t="s">
        <v>133</v>
      </c>
      <c r="CH103" s="3">
        <v>198</v>
      </c>
      <c r="CI103" s="3">
        <v>400</v>
      </c>
      <c r="CJ103" s="3">
        <v>300</v>
      </c>
      <c r="CK103" s="3">
        <v>13.5</v>
      </c>
      <c r="CL103" s="3">
        <v>24</v>
      </c>
      <c r="CM103" s="3">
        <v>57680</v>
      </c>
    </row>
    <row r="104" spans="2:91">
      <c r="B104" s="6"/>
      <c r="C104" s="1" t="s">
        <v>27</v>
      </c>
      <c r="D104" s="66">
        <f>+AJ73</f>
        <v>11</v>
      </c>
      <c r="E104" s="66"/>
      <c r="F104" s="1" t="s">
        <v>1</v>
      </c>
      <c r="G104" s="1" t="s">
        <v>28</v>
      </c>
      <c r="H104" s="1" t="s">
        <v>29</v>
      </c>
      <c r="CC104" s="7"/>
      <c r="CF104" s="89"/>
      <c r="CG104" s="17" t="s">
        <v>134</v>
      </c>
      <c r="CH104" s="3">
        <v>218</v>
      </c>
      <c r="CI104" s="3">
        <v>450</v>
      </c>
      <c r="CJ104" s="3">
        <v>300</v>
      </c>
      <c r="CK104" s="3">
        <v>14</v>
      </c>
      <c r="CL104" s="3">
        <v>26</v>
      </c>
      <c r="CM104" s="3">
        <v>79890</v>
      </c>
    </row>
    <row r="105" spans="2:91">
      <c r="B105" s="6"/>
      <c r="C105" s="66">
        <f>+H102</f>
        <v>160</v>
      </c>
      <c r="D105" s="66"/>
      <c r="E105" s="9" t="s">
        <v>5</v>
      </c>
      <c r="F105" s="66">
        <f>+D104</f>
        <v>11</v>
      </c>
      <c r="G105" s="66"/>
      <c r="H105" s="1" t="s">
        <v>30</v>
      </c>
      <c r="I105" s="1">
        <v>6</v>
      </c>
      <c r="J105" s="9" t="s">
        <v>6</v>
      </c>
      <c r="K105" s="66">
        <f>+N102</f>
        <v>20</v>
      </c>
      <c r="L105" s="66"/>
      <c r="M105" s="1" t="s">
        <v>14</v>
      </c>
      <c r="N105" s="66">
        <f>+D104</f>
        <v>11</v>
      </c>
      <c r="O105" s="66"/>
      <c r="P105" s="9" t="s">
        <v>6</v>
      </c>
      <c r="Q105" s="66">
        <f>+R102</f>
        <v>1.5</v>
      </c>
      <c r="R105" s="66"/>
      <c r="S105" s="1" t="s">
        <v>31</v>
      </c>
      <c r="T105" s="1">
        <v>6</v>
      </c>
      <c r="U105" s="9" t="s">
        <v>6</v>
      </c>
      <c r="V105" s="66">
        <f>+V102</f>
        <v>20</v>
      </c>
      <c r="W105" s="66"/>
      <c r="X105" s="1" t="s">
        <v>14</v>
      </c>
      <c r="Y105" s="66">
        <f>+N105</f>
        <v>11</v>
      </c>
      <c r="Z105" s="66"/>
      <c r="AA105" s="9" t="s">
        <v>6</v>
      </c>
      <c r="AB105" s="66">
        <f>+Z102</f>
        <v>4</v>
      </c>
      <c r="AC105" s="66"/>
      <c r="AD105" s="1" t="s">
        <v>31</v>
      </c>
      <c r="AE105" s="1">
        <v>6</v>
      </c>
      <c r="AF105" s="9" t="s">
        <v>6</v>
      </c>
      <c r="AG105" s="66">
        <f>+AD102</f>
        <v>20</v>
      </c>
      <c r="AH105" s="66"/>
      <c r="AI105" s="1" t="s">
        <v>14</v>
      </c>
      <c r="AJ105" s="66">
        <f>+Y105</f>
        <v>11</v>
      </c>
      <c r="AK105" s="66"/>
      <c r="AL105" s="9" t="s">
        <v>6</v>
      </c>
      <c r="AM105" s="66">
        <f>+AH102</f>
        <v>5.5</v>
      </c>
      <c r="AN105" s="66"/>
      <c r="AO105" s="1" t="s">
        <v>31</v>
      </c>
      <c r="AP105" s="1">
        <v>6</v>
      </c>
      <c r="AQ105" s="9" t="s">
        <v>6</v>
      </c>
      <c r="AR105" s="66">
        <f>+AL102</f>
        <v>20</v>
      </c>
      <c r="AS105" s="66"/>
      <c r="AT105" s="1" t="s">
        <v>14</v>
      </c>
      <c r="AU105" s="66">
        <f>+AJ105</f>
        <v>11</v>
      </c>
      <c r="AV105" s="66"/>
      <c r="AW105" s="9" t="s">
        <v>6</v>
      </c>
      <c r="AX105" s="66">
        <f>+AP102</f>
        <v>7</v>
      </c>
      <c r="AY105" s="66"/>
      <c r="AZ105" s="1" t="s">
        <v>31</v>
      </c>
      <c r="BA105" s="1">
        <v>6</v>
      </c>
      <c r="BB105" s="9" t="s">
        <v>6</v>
      </c>
      <c r="BC105" s="66">
        <f>+AT102</f>
        <v>20</v>
      </c>
      <c r="BD105" s="66"/>
      <c r="BE105" s="1" t="s">
        <v>14</v>
      </c>
      <c r="BF105" s="66">
        <f>+AU105</f>
        <v>11</v>
      </c>
      <c r="BG105" s="66"/>
      <c r="BH105" s="9" t="s">
        <v>6</v>
      </c>
      <c r="BI105" s="66">
        <f>+AX102</f>
        <v>9.5</v>
      </c>
      <c r="BJ105" s="66"/>
      <c r="BK105" s="1" t="s">
        <v>31</v>
      </c>
      <c r="BL105" s="1">
        <v>6</v>
      </c>
      <c r="BM105" s="9" t="s">
        <v>6</v>
      </c>
      <c r="BN105" s="66">
        <f>+BC102</f>
        <v>20</v>
      </c>
      <c r="BO105" s="66"/>
      <c r="BP105" s="9" t="s">
        <v>5</v>
      </c>
      <c r="BQ105" s="66">
        <f>+BF105</f>
        <v>11</v>
      </c>
      <c r="BR105" s="66"/>
      <c r="BS105" s="1" t="s">
        <v>188</v>
      </c>
      <c r="BT105" s="66">
        <v>24</v>
      </c>
      <c r="BU105" s="66"/>
      <c r="BV105" s="9" t="s">
        <v>9</v>
      </c>
      <c r="BW105" s="66">
        <f>+BF105</f>
        <v>11</v>
      </c>
      <c r="BX105" s="66"/>
      <c r="BY105" s="9" t="s">
        <v>5</v>
      </c>
      <c r="BZ105" s="1" t="s">
        <v>24</v>
      </c>
      <c r="CA105" s="9" t="s">
        <v>7</v>
      </c>
      <c r="CB105" s="1">
        <v>0</v>
      </c>
      <c r="CC105" s="7"/>
      <c r="CF105" s="89"/>
      <c r="CG105" s="17" t="s">
        <v>135</v>
      </c>
      <c r="CH105" s="3">
        <v>239</v>
      </c>
      <c r="CI105" s="3">
        <v>500</v>
      </c>
      <c r="CJ105" s="3">
        <v>300</v>
      </c>
      <c r="CK105" s="3">
        <v>14.5</v>
      </c>
      <c r="CL105" s="3">
        <v>28</v>
      </c>
      <c r="CM105" s="3">
        <v>107200</v>
      </c>
    </row>
    <row r="106" spans="2:91">
      <c r="B106" s="6"/>
      <c r="C106" s="1" t="s">
        <v>32</v>
      </c>
      <c r="E106" s="66">
        <f>-(C105*F105^3/I105-K105*(N105-Q105)^3/T105-V105*(Y105-AB105)^3/AE105-AG105*(AJ105-AM105)^3/AP105-AR105*(AU105-AX105)^3/BA105-BC105*(BF105-BI105)^3/BL105-BN105*BQ105^4/BT105)/BW105</f>
        <v>-1682.916666666667</v>
      </c>
      <c r="F106" s="66"/>
      <c r="G106" s="66"/>
      <c r="CC106" s="7"/>
      <c r="CF106" s="89"/>
      <c r="CG106" s="17" t="s">
        <v>136</v>
      </c>
      <c r="CH106" s="3">
        <v>254</v>
      </c>
      <c r="CI106" s="3">
        <v>550</v>
      </c>
      <c r="CJ106" s="3">
        <v>300</v>
      </c>
      <c r="CK106" s="3">
        <v>15</v>
      </c>
      <c r="CL106" s="3">
        <v>29</v>
      </c>
      <c r="CM106" s="3">
        <v>136700</v>
      </c>
    </row>
    <row r="107" spans="2:91">
      <c r="B107" s="6"/>
      <c r="C107" s="1" t="s">
        <v>195</v>
      </c>
      <c r="H107" s="66">
        <f>+H102</f>
        <v>160</v>
      </c>
      <c r="I107" s="66"/>
      <c r="J107" s="1" t="s">
        <v>21</v>
      </c>
      <c r="L107" s="1">
        <v>6</v>
      </c>
      <c r="M107" s="9" t="s">
        <v>6</v>
      </c>
      <c r="N107" s="66">
        <f>+N102</f>
        <v>20</v>
      </c>
      <c r="O107" s="66"/>
      <c r="P107" s="1" t="s">
        <v>15</v>
      </c>
      <c r="R107" s="66">
        <f>+R102</f>
        <v>1.5</v>
      </c>
      <c r="S107" s="66"/>
      <c r="T107" s="1" t="s">
        <v>22</v>
      </c>
      <c r="V107" s="66">
        <f>+V102</f>
        <v>20</v>
      </c>
      <c r="W107" s="66"/>
      <c r="X107" s="1" t="s">
        <v>15</v>
      </c>
      <c r="Z107" s="66">
        <f>+Z102</f>
        <v>4</v>
      </c>
      <c r="AA107" s="66"/>
      <c r="AB107" s="1" t="s">
        <v>22</v>
      </c>
      <c r="AD107" s="66">
        <f>+AD102</f>
        <v>20</v>
      </c>
      <c r="AE107" s="66"/>
      <c r="AF107" s="1" t="s">
        <v>15</v>
      </c>
      <c r="AH107" s="66">
        <f>+AH102</f>
        <v>5.5</v>
      </c>
      <c r="AI107" s="66"/>
      <c r="AJ107" s="1" t="s">
        <v>22</v>
      </c>
      <c r="AL107" s="66">
        <f>+AL102</f>
        <v>20</v>
      </c>
      <c r="AM107" s="66"/>
      <c r="AN107" s="1" t="s">
        <v>15</v>
      </c>
      <c r="AP107" s="66">
        <f>+AP102</f>
        <v>7</v>
      </c>
      <c r="AQ107" s="66"/>
      <c r="AR107" s="1" t="s">
        <v>22</v>
      </c>
      <c r="AT107" s="66">
        <f>+AT102</f>
        <v>20</v>
      </c>
      <c r="AU107" s="66"/>
      <c r="AV107" s="1" t="s">
        <v>15</v>
      </c>
      <c r="AX107" s="66">
        <f>+AX102</f>
        <v>9.5</v>
      </c>
      <c r="AY107" s="66"/>
      <c r="AZ107" s="1" t="s">
        <v>23</v>
      </c>
      <c r="BB107" s="9" t="s">
        <v>6</v>
      </c>
      <c r="BC107" s="66">
        <f>+BN105</f>
        <v>20</v>
      </c>
      <c r="BD107" s="66"/>
      <c r="BE107" s="9" t="s">
        <v>5</v>
      </c>
      <c r="BF107" s="1" t="s">
        <v>185</v>
      </c>
      <c r="BG107" s="1" t="s">
        <v>173</v>
      </c>
      <c r="BH107" s="66">
        <v>24</v>
      </c>
      <c r="BI107" s="66"/>
      <c r="BJ107" s="9" t="s">
        <v>9</v>
      </c>
      <c r="BK107" s="66">
        <f>+E106</f>
        <v>-1682.916666666667</v>
      </c>
      <c r="BL107" s="66"/>
      <c r="BM107" s="66"/>
      <c r="BN107" s="9" t="s">
        <v>5</v>
      </c>
      <c r="BO107" s="1" t="s">
        <v>13</v>
      </c>
      <c r="CC107" s="7"/>
      <c r="CF107" s="89"/>
      <c r="CG107" s="17" t="s">
        <v>137</v>
      </c>
      <c r="CH107" s="3">
        <v>270</v>
      </c>
      <c r="CI107" s="3">
        <v>600</v>
      </c>
      <c r="CJ107" s="3">
        <v>300</v>
      </c>
      <c r="CK107" s="3">
        <v>15.5</v>
      </c>
      <c r="CL107" s="3">
        <v>30</v>
      </c>
      <c r="CM107" s="3">
        <v>171000</v>
      </c>
    </row>
    <row r="108" spans="2:91">
      <c r="B108" s="6"/>
      <c r="C108" s="1" t="s">
        <v>35</v>
      </c>
      <c r="E108" s="66">
        <f>+H107</f>
        <v>160</v>
      </c>
      <c r="F108" s="66"/>
      <c r="G108" s="1" t="s">
        <v>21</v>
      </c>
      <c r="I108" s="1">
        <v>6</v>
      </c>
      <c r="J108" s="9" t="s">
        <v>6</v>
      </c>
      <c r="K108" s="66">
        <f>+N107</f>
        <v>20</v>
      </c>
      <c r="L108" s="66"/>
      <c r="M108" s="1" t="s">
        <v>15</v>
      </c>
      <c r="O108" s="66">
        <f>+R107</f>
        <v>1.5</v>
      </c>
      <c r="P108" s="66"/>
      <c r="Q108" s="1" t="s">
        <v>22</v>
      </c>
      <c r="S108" s="66">
        <f>+V107</f>
        <v>20</v>
      </c>
      <c r="T108" s="66"/>
      <c r="U108" s="1" t="s">
        <v>15</v>
      </c>
      <c r="W108" s="66">
        <f>+Z107</f>
        <v>4</v>
      </c>
      <c r="X108" s="66"/>
      <c r="Y108" s="1" t="s">
        <v>22</v>
      </c>
      <c r="AA108" s="66">
        <f>+AD107</f>
        <v>20</v>
      </c>
      <c r="AB108" s="66"/>
      <c r="AC108" s="1" t="s">
        <v>15</v>
      </c>
      <c r="AE108" s="66">
        <f>+AH107</f>
        <v>5.5</v>
      </c>
      <c r="AF108" s="66"/>
      <c r="AG108" s="1" t="s">
        <v>22</v>
      </c>
      <c r="AI108" s="66">
        <f>+AL107</f>
        <v>20</v>
      </c>
      <c r="AJ108" s="66"/>
      <c r="AK108" s="1" t="s">
        <v>15</v>
      </c>
      <c r="AM108" s="66">
        <f>+AP107</f>
        <v>7</v>
      </c>
      <c r="AN108" s="66"/>
      <c r="AO108" s="1" t="s">
        <v>22</v>
      </c>
      <c r="AQ108" s="66">
        <f>+AT107</f>
        <v>20</v>
      </c>
      <c r="AR108" s="66"/>
      <c r="AS108" s="1" t="s">
        <v>15</v>
      </c>
      <c r="AU108" s="66">
        <f>+AX107</f>
        <v>9.5</v>
      </c>
      <c r="AV108" s="66"/>
      <c r="AW108" s="1" t="s">
        <v>23</v>
      </c>
      <c r="AY108" s="9" t="s">
        <v>6</v>
      </c>
      <c r="AZ108" s="66">
        <f>+BC107</f>
        <v>20</v>
      </c>
      <c r="BA108" s="66"/>
      <c r="BB108" s="9" t="s">
        <v>5</v>
      </c>
      <c r="BC108" s="1" t="s">
        <v>185</v>
      </c>
      <c r="BD108" s="1" t="s">
        <v>173</v>
      </c>
      <c r="BE108" s="66">
        <v>24</v>
      </c>
      <c r="BF108" s="66"/>
      <c r="BG108" s="9" t="s">
        <v>9</v>
      </c>
      <c r="BH108" s="66">
        <f>+BK107</f>
        <v>-1682.916666666667</v>
      </c>
      <c r="BI108" s="66"/>
      <c r="BJ108" s="66"/>
      <c r="BK108" s="9" t="s">
        <v>5</v>
      </c>
      <c r="BL108" s="1" t="s">
        <v>196</v>
      </c>
      <c r="CC108" s="7"/>
      <c r="CF108" s="89"/>
      <c r="CG108" s="17" t="s">
        <v>138</v>
      </c>
      <c r="CH108" s="3">
        <v>286</v>
      </c>
      <c r="CI108" s="3">
        <v>650</v>
      </c>
      <c r="CJ108" s="3">
        <v>300</v>
      </c>
      <c r="CK108" s="3">
        <v>16</v>
      </c>
      <c r="CL108" s="3">
        <v>31</v>
      </c>
      <c r="CM108" s="3">
        <v>210600</v>
      </c>
    </row>
    <row r="109" spans="2:91">
      <c r="B109" s="6"/>
      <c r="C109" s="1" t="s">
        <v>27</v>
      </c>
      <c r="D109" s="67">
        <f>+AJ73/2</f>
        <v>5.5</v>
      </c>
      <c r="E109" s="67"/>
      <c r="F109" s="67"/>
      <c r="G109" s="1" t="s">
        <v>42</v>
      </c>
      <c r="P109" s="8" t="str">
        <f>IF(D109&lt;=AJ73,"","azalt.")</f>
        <v/>
      </c>
      <c r="CC109" s="7"/>
      <c r="CF109" s="89"/>
      <c r="CG109" s="17" t="s">
        <v>139</v>
      </c>
      <c r="CH109" s="3">
        <v>306</v>
      </c>
      <c r="CI109" s="3">
        <v>700</v>
      </c>
      <c r="CJ109" s="3">
        <v>300</v>
      </c>
      <c r="CK109" s="3">
        <v>17</v>
      </c>
      <c r="CL109" s="3">
        <v>32</v>
      </c>
      <c r="CM109" s="3">
        <v>256900</v>
      </c>
    </row>
    <row r="110" spans="2:91">
      <c r="B110" s="6"/>
      <c r="C110" s="1" t="s">
        <v>35</v>
      </c>
      <c r="E110" s="66">
        <f>+E108</f>
        <v>160</v>
      </c>
      <c r="F110" s="66"/>
      <c r="G110" s="9" t="s">
        <v>5</v>
      </c>
      <c r="H110" s="66">
        <f>+D109</f>
        <v>5.5</v>
      </c>
      <c r="I110" s="66"/>
      <c r="J110" s="1" t="s">
        <v>30</v>
      </c>
      <c r="K110" s="1">
        <v>6</v>
      </c>
      <c r="L110" s="9" t="s">
        <v>6</v>
      </c>
      <c r="M110" s="66">
        <f>IF((P110-S110)&lt;=0,0,+K108)</f>
        <v>20</v>
      </c>
      <c r="N110" s="66"/>
      <c r="O110" s="1" t="s">
        <v>14</v>
      </c>
      <c r="P110" s="66">
        <f>+D109</f>
        <v>5.5</v>
      </c>
      <c r="Q110" s="66"/>
      <c r="R110" s="9" t="s">
        <v>6</v>
      </c>
      <c r="S110" s="66">
        <f>+O108</f>
        <v>1.5</v>
      </c>
      <c r="T110" s="66"/>
      <c r="U110" s="1" t="s">
        <v>31</v>
      </c>
      <c r="V110" s="1">
        <v>6</v>
      </c>
      <c r="W110" s="9" t="s">
        <v>6</v>
      </c>
      <c r="X110" s="66">
        <f>IF((AA110-AD110)&lt;=0,0,+S108)</f>
        <v>20</v>
      </c>
      <c r="Y110" s="66"/>
      <c r="Z110" s="1" t="s">
        <v>14</v>
      </c>
      <c r="AA110" s="66">
        <f>+P110</f>
        <v>5.5</v>
      </c>
      <c r="AB110" s="66"/>
      <c r="AC110" s="9" t="s">
        <v>6</v>
      </c>
      <c r="AD110" s="66">
        <f>+W108</f>
        <v>4</v>
      </c>
      <c r="AE110" s="66"/>
      <c r="AF110" s="1" t="s">
        <v>31</v>
      </c>
      <c r="AG110" s="1">
        <v>6</v>
      </c>
      <c r="AH110" s="9" t="s">
        <v>6</v>
      </c>
      <c r="AI110" s="66">
        <f>IF((AL110-AO110)&lt;=0,0,+AA108)</f>
        <v>0</v>
      </c>
      <c r="AJ110" s="66"/>
      <c r="AK110" s="1" t="s">
        <v>14</v>
      </c>
      <c r="AL110" s="66">
        <f>+AA110</f>
        <v>5.5</v>
      </c>
      <c r="AM110" s="66"/>
      <c r="AN110" s="9" t="s">
        <v>6</v>
      </c>
      <c r="AO110" s="66">
        <f>+AE108</f>
        <v>5.5</v>
      </c>
      <c r="AP110" s="66"/>
      <c r="AQ110" s="1" t="s">
        <v>31</v>
      </c>
      <c r="AR110" s="1">
        <v>6</v>
      </c>
      <c r="AS110" s="9" t="s">
        <v>6</v>
      </c>
      <c r="AT110" s="66">
        <f>IF((AW110-AZ110)&lt;=0,0,+AI108)</f>
        <v>0</v>
      </c>
      <c r="AU110" s="66"/>
      <c r="AV110" s="1" t="s">
        <v>14</v>
      </c>
      <c r="AW110" s="66">
        <f>+AL110</f>
        <v>5.5</v>
      </c>
      <c r="AX110" s="66"/>
      <c r="AY110" s="9" t="s">
        <v>6</v>
      </c>
      <c r="AZ110" s="66">
        <f>+AM108</f>
        <v>7</v>
      </c>
      <c r="BA110" s="66"/>
      <c r="BB110" s="1" t="s">
        <v>31</v>
      </c>
      <c r="BC110" s="1">
        <v>6</v>
      </c>
      <c r="BD110" s="9" t="s">
        <v>6</v>
      </c>
      <c r="BE110" s="66">
        <f>IF((BH110-BK110)&lt;=0,0,+AQ108)</f>
        <v>0</v>
      </c>
      <c r="BF110" s="66"/>
      <c r="BG110" s="1" t="s">
        <v>14</v>
      </c>
      <c r="BH110" s="66">
        <f>+AW110</f>
        <v>5.5</v>
      </c>
      <c r="BI110" s="66"/>
      <c r="BJ110" s="9" t="s">
        <v>6</v>
      </c>
      <c r="BK110" s="66">
        <f>+AU108</f>
        <v>9.5</v>
      </c>
      <c r="BL110" s="66"/>
      <c r="BM110" s="1" t="s">
        <v>31</v>
      </c>
      <c r="BN110" s="1">
        <v>6</v>
      </c>
      <c r="BO110" s="9" t="s">
        <v>6</v>
      </c>
      <c r="BP110" s="66">
        <f>+AZ108</f>
        <v>20</v>
      </c>
      <c r="BQ110" s="66"/>
      <c r="BR110" s="9" t="s">
        <v>5</v>
      </c>
      <c r="BS110" s="66">
        <f>+BH110</f>
        <v>5.5</v>
      </c>
      <c r="BT110" s="66"/>
      <c r="BU110" s="1" t="s">
        <v>186</v>
      </c>
      <c r="BV110" s="66">
        <v>24</v>
      </c>
      <c r="BW110" s="66"/>
      <c r="BX110" s="9" t="s">
        <v>9</v>
      </c>
      <c r="CC110" s="7"/>
      <c r="CF110" s="89"/>
      <c r="CG110" s="17" t="s">
        <v>140</v>
      </c>
      <c r="CH110" s="3">
        <v>334</v>
      </c>
      <c r="CI110" s="3">
        <v>800</v>
      </c>
      <c r="CJ110" s="3">
        <v>300</v>
      </c>
      <c r="CK110" s="3">
        <v>17.5</v>
      </c>
      <c r="CL110" s="3">
        <v>33</v>
      </c>
      <c r="CM110" s="3">
        <v>359100</v>
      </c>
    </row>
    <row r="111" spans="2:91">
      <c r="B111" s="6"/>
      <c r="E111" s="9" t="s">
        <v>9</v>
      </c>
      <c r="F111" s="66">
        <f>+BH108</f>
        <v>-1682.916666666667</v>
      </c>
      <c r="G111" s="66"/>
      <c r="H111" s="66"/>
      <c r="I111" s="9" t="s">
        <v>5</v>
      </c>
      <c r="J111" s="66">
        <f>+BH110</f>
        <v>5.5</v>
      </c>
      <c r="K111" s="66"/>
      <c r="L111" s="1" t="s">
        <v>193</v>
      </c>
      <c r="O111" s="66">
        <f>+Z76</f>
        <v>200000</v>
      </c>
      <c r="P111" s="66"/>
      <c r="Q111" s="66"/>
      <c r="R111" s="9" t="s">
        <v>5</v>
      </c>
      <c r="S111" s="66">
        <f>+Z75</f>
        <v>92080</v>
      </c>
      <c r="T111" s="66"/>
      <c r="U111" s="66"/>
      <c r="V111" s="1" t="s">
        <v>40</v>
      </c>
      <c r="W111" s="9"/>
      <c r="X111" s="9"/>
      <c r="Y111" s="9"/>
      <c r="AA111" s="9"/>
      <c r="AB111" s="9"/>
      <c r="AC111" s="9"/>
      <c r="AD111" s="9"/>
      <c r="AE111" s="9"/>
      <c r="AH111" s="9"/>
      <c r="AI111" s="9"/>
      <c r="AJ111" s="9"/>
      <c r="AL111" s="9"/>
      <c r="AM111" s="9"/>
      <c r="AN111" s="9"/>
      <c r="AO111" s="9"/>
      <c r="AP111" s="9"/>
      <c r="AS111" s="9"/>
      <c r="AT111" s="9"/>
      <c r="AU111" s="9"/>
      <c r="AW111" s="9"/>
      <c r="AX111" s="9"/>
      <c r="AY111" s="9"/>
      <c r="AZ111" s="9"/>
      <c r="BA111" s="9"/>
      <c r="BD111" s="9"/>
      <c r="BE111" s="9"/>
      <c r="BF111" s="9"/>
      <c r="BH111" s="9"/>
      <c r="BI111" s="9"/>
      <c r="BJ111" s="9"/>
      <c r="BK111" s="9"/>
      <c r="BL111" s="9"/>
      <c r="BO111" s="9"/>
      <c r="BP111" s="9"/>
      <c r="BQ111" s="9"/>
      <c r="BR111" s="9"/>
      <c r="BS111" s="9"/>
      <c r="BT111" s="9"/>
      <c r="BU111" s="9"/>
      <c r="BY111" s="9"/>
      <c r="BZ111" s="9"/>
      <c r="CA111" s="9"/>
      <c r="CB111" s="9"/>
      <c r="CC111" s="7"/>
      <c r="CF111" s="89"/>
      <c r="CG111" s="17" t="s">
        <v>141</v>
      </c>
      <c r="CH111" s="3">
        <v>371</v>
      </c>
      <c r="CI111" s="3">
        <v>900</v>
      </c>
      <c r="CJ111" s="3">
        <v>300</v>
      </c>
      <c r="CK111" s="3">
        <v>18.5</v>
      </c>
      <c r="CL111" s="3">
        <v>35</v>
      </c>
      <c r="CM111" s="3">
        <v>494100</v>
      </c>
    </row>
    <row r="112" spans="2:91">
      <c r="B112" s="6"/>
      <c r="C112" s="1" t="s">
        <v>33</v>
      </c>
      <c r="E112" s="66">
        <f>-(E110*H110^3/K110-M110*(P110-S110)^3/V110-X110*(AA110-AD110)^3/AG110-AI110*(AL110-AO110)^3/AR110-AT110*(AW110-AZ110)^3/BC110-BE110*(BH110-BK110)^3/BN110-BP110*BS110^4/BV110+F111*J111)*100000000/(O111*S111)</f>
        <v>31.529704695192592</v>
      </c>
      <c r="F112" s="66"/>
      <c r="G112" s="66"/>
      <c r="H112" s="1" t="s">
        <v>41</v>
      </c>
      <c r="AM112" s="66"/>
      <c r="AN112" s="66"/>
      <c r="AO112" s="66"/>
      <c r="CC112" s="7"/>
      <c r="CF112" s="89"/>
      <c r="CG112" s="17" t="s">
        <v>142</v>
      </c>
      <c r="CH112" s="3">
        <v>400</v>
      </c>
      <c r="CI112" s="3">
        <v>1000</v>
      </c>
      <c r="CJ112" s="3">
        <v>300</v>
      </c>
      <c r="CK112" s="3">
        <v>19</v>
      </c>
      <c r="CL112" s="3">
        <v>36</v>
      </c>
      <c r="CM112" s="3">
        <v>644700</v>
      </c>
    </row>
    <row r="113" spans="2:91">
      <c r="B113" s="6"/>
      <c r="C113" s="1" t="s">
        <v>172</v>
      </c>
      <c r="H113" s="66">
        <f>+AJ73*1000</f>
        <v>11000</v>
      </c>
      <c r="I113" s="66"/>
      <c r="J113" s="66"/>
      <c r="K113" s="1" t="s">
        <v>173</v>
      </c>
      <c r="L113" s="66">
        <v>300</v>
      </c>
      <c r="M113" s="66"/>
      <c r="N113" s="9" t="s">
        <v>7</v>
      </c>
      <c r="O113" s="66">
        <f>+H113/L113</f>
        <v>36.666666666666664</v>
      </c>
      <c r="P113" s="66"/>
      <c r="Q113" s="66"/>
      <c r="R113" s="1" t="s">
        <v>41</v>
      </c>
      <c r="U113" s="1" t="s">
        <v>192</v>
      </c>
      <c r="CC113" s="7"/>
      <c r="CF113" s="89" t="s">
        <v>143</v>
      </c>
      <c r="CG113" s="17" t="s">
        <v>144</v>
      </c>
      <c r="CH113" s="3">
        <v>53.2</v>
      </c>
      <c r="CI113" s="3">
        <v>120</v>
      </c>
      <c r="CJ113" s="3">
        <v>106</v>
      </c>
      <c r="CK113" s="3">
        <v>12</v>
      </c>
      <c r="CL113" s="3">
        <v>20</v>
      </c>
      <c r="CM113" s="3">
        <v>1140</v>
      </c>
    </row>
    <row r="114" spans="2:91">
      <c r="B114" s="6"/>
      <c r="C114" s="1" t="s">
        <v>34</v>
      </c>
      <c r="D114" s="66">
        <f>+E112</f>
        <v>31.529704695192592</v>
      </c>
      <c r="E114" s="66"/>
      <c r="F114" s="66"/>
      <c r="G114" s="1" t="s">
        <v>41</v>
      </c>
      <c r="I114" s="1" t="str">
        <f>IF(D114&lt;M114,"&lt;","&gt;")</f>
        <v>&lt;</v>
      </c>
      <c r="J114" s="1" t="s">
        <v>174</v>
      </c>
      <c r="M114" s="66">
        <f>+O113</f>
        <v>36.666666666666664</v>
      </c>
      <c r="N114" s="66"/>
      <c r="O114" s="66"/>
      <c r="P114" s="1" t="s">
        <v>41</v>
      </c>
      <c r="R114" s="8" t="str">
        <f>IF(D114&lt;M114,"uygun.","uygun değil.")</f>
        <v>uygun.</v>
      </c>
      <c r="CC114" s="7"/>
      <c r="CF114" s="89"/>
      <c r="CG114" s="17" t="s">
        <v>145</v>
      </c>
      <c r="CH114" s="3">
        <v>66.400000000000006</v>
      </c>
      <c r="CI114" s="3">
        <v>140</v>
      </c>
      <c r="CJ114" s="3">
        <v>126</v>
      </c>
      <c r="CK114" s="3">
        <v>12.5</v>
      </c>
      <c r="CL114" s="3">
        <v>21</v>
      </c>
      <c r="CM114" s="3">
        <v>2020</v>
      </c>
    </row>
    <row r="115" spans="2:91" ht="12" thickBot="1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4"/>
      <c r="CF115" s="89"/>
      <c r="CG115" s="17" t="s">
        <v>146</v>
      </c>
      <c r="CH115" s="3">
        <v>80.599999999999994</v>
      </c>
      <c r="CI115" s="3">
        <v>160</v>
      </c>
      <c r="CJ115" s="3">
        <v>146</v>
      </c>
      <c r="CK115" s="3">
        <v>13</v>
      </c>
      <c r="CL115" s="3">
        <v>22</v>
      </c>
      <c r="CM115" s="3">
        <v>3290</v>
      </c>
    </row>
    <row r="116" spans="2:91" ht="12" thickBot="1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F116" s="89"/>
      <c r="CG116" s="17" t="s">
        <v>147</v>
      </c>
      <c r="CH116" s="3">
        <v>97.1</v>
      </c>
      <c r="CI116" s="3">
        <v>180</v>
      </c>
      <c r="CJ116" s="3">
        <v>166</v>
      </c>
      <c r="CK116" s="3">
        <v>14</v>
      </c>
      <c r="CL116" s="3">
        <v>23</v>
      </c>
      <c r="CM116" s="3">
        <v>5100</v>
      </c>
    </row>
    <row r="117" spans="2:91" ht="48" customHeight="1">
      <c r="B117" s="73" t="s">
        <v>205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5"/>
      <c r="CF117" s="89"/>
      <c r="CG117" s="17" t="s">
        <v>148</v>
      </c>
      <c r="CH117" s="3">
        <v>113</v>
      </c>
      <c r="CI117" s="3">
        <v>200</v>
      </c>
      <c r="CJ117" s="3">
        <v>186</v>
      </c>
      <c r="CK117" s="3">
        <v>14.5</v>
      </c>
      <c r="CL117" s="3">
        <v>24</v>
      </c>
      <c r="CM117" s="3">
        <v>7480</v>
      </c>
    </row>
    <row r="118" spans="2:91">
      <c r="B118" s="6"/>
      <c r="S118" s="8" t="s">
        <v>176</v>
      </c>
      <c r="CC118" s="7"/>
      <c r="CF118" s="89"/>
      <c r="CG118" s="17" t="s">
        <v>149</v>
      </c>
      <c r="CH118" s="3">
        <v>131</v>
      </c>
      <c r="CI118" s="3">
        <v>220</v>
      </c>
      <c r="CJ118" s="3">
        <v>206</v>
      </c>
      <c r="CK118" s="3">
        <v>15</v>
      </c>
      <c r="CL118" s="3">
        <v>25</v>
      </c>
      <c r="CM118" s="3">
        <v>10640</v>
      </c>
    </row>
    <row r="119" spans="2:91">
      <c r="B119" s="6"/>
      <c r="AW119" s="1" t="s">
        <v>290</v>
      </c>
      <c r="CC119" s="7"/>
      <c r="CF119" s="89"/>
      <c r="CG119" s="17" t="s">
        <v>150</v>
      </c>
      <c r="CH119" s="3">
        <v>149</v>
      </c>
      <c r="CI119" s="3">
        <v>240</v>
      </c>
      <c r="CJ119" s="3">
        <v>226</v>
      </c>
      <c r="CK119" s="3">
        <v>15.5</v>
      </c>
      <c r="CL119" s="3">
        <v>26</v>
      </c>
      <c r="CM119" s="3">
        <v>14600</v>
      </c>
    </row>
    <row r="120" spans="2:91">
      <c r="B120" s="6"/>
      <c r="O120" s="67" t="s">
        <v>171</v>
      </c>
      <c r="P120" s="67"/>
      <c r="Q120" s="67"/>
      <c r="R120" s="67"/>
      <c r="S120" s="67"/>
      <c r="T120" s="67"/>
      <c r="Z120" s="67">
        <v>20</v>
      </c>
      <c r="AA120" s="67"/>
      <c r="AB120" s="1" t="s">
        <v>0</v>
      </c>
      <c r="AE120" s="67">
        <v>20</v>
      </c>
      <c r="AF120" s="67"/>
      <c r="AG120" s="1" t="s">
        <v>0</v>
      </c>
      <c r="AJ120" s="67">
        <v>20</v>
      </c>
      <c r="AK120" s="67"/>
      <c r="AL120" s="1" t="s">
        <v>0</v>
      </c>
      <c r="AO120" s="67">
        <v>20</v>
      </c>
      <c r="AP120" s="67"/>
      <c r="AQ120" s="1" t="s">
        <v>0</v>
      </c>
      <c r="CC120" s="7"/>
      <c r="CF120" s="89"/>
      <c r="CG120" s="17" t="s">
        <v>151</v>
      </c>
      <c r="CH120" s="3">
        <v>200</v>
      </c>
      <c r="CI120" s="3">
        <v>270</v>
      </c>
      <c r="CJ120" s="3">
        <v>248</v>
      </c>
      <c r="CK120" s="3">
        <v>18</v>
      </c>
      <c r="CL120" s="3">
        <v>32</v>
      </c>
      <c r="CM120" s="3">
        <v>24290</v>
      </c>
    </row>
    <row r="121" spans="2:91">
      <c r="B121" s="6"/>
      <c r="AG121" s="67">
        <v>30</v>
      </c>
      <c r="AH121" s="67"/>
      <c r="AI121" s="1" t="s">
        <v>187</v>
      </c>
      <c r="CC121" s="7"/>
      <c r="CF121" s="89"/>
      <c r="CG121" s="17" t="s">
        <v>152</v>
      </c>
      <c r="CH121" s="3">
        <v>220</v>
      </c>
      <c r="CI121" s="3">
        <v>290</v>
      </c>
      <c r="CJ121" s="3">
        <v>268</v>
      </c>
      <c r="CK121" s="3">
        <v>18</v>
      </c>
      <c r="CL121" s="3">
        <v>32.5</v>
      </c>
      <c r="CM121" s="3">
        <v>31310</v>
      </c>
    </row>
    <row r="122" spans="2:91">
      <c r="B122" s="6"/>
      <c r="BE122" s="23" t="s">
        <v>341</v>
      </c>
      <c r="CC122" s="7"/>
      <c r="CF122" s="89"/>
      <c r="CG122" s="17" t="s">
        <v>153</v>
      </c>
      <c r="CH122" s="3">
        <v>240</v>
      </c>
      <c r="CI122" s="3">
        <v>310</v>
      </c>
      <c r="CJ122" s="3">
        <v>288</v>
      </c>
      <c r="CK122" s="3">
        <v>18.5</v>
      </c>
      <c r="CL122" s="3">
        <v>33</v>
      </c>
      <c r="CM122" s="3">
        <v>39550</v>
      </c>
    </row>
    <row r="123" spans="2:91">
      <c r="B123" s="6"/>
      <c r="BE123" s="1" t="s">
        <v>301</v>
      </c>
      <c r="BG123" s="66">
        <f>+AK156</f>
        <v>1.1407755241105437</v>
      </c>
      <c r="BH123" s="66"/>
      <c r="BI123" s="66"/>
      <c r="CC123" s="7"/>
      <c r="CF123" s="89"/>
      <c r="CG123" s="17" t="s">
        <v>154</v>
      </c>
      <c r="CH123" s="3">
        <v>303</v>
      </c>
      <c r="CI123" s="3">
        <v>340</v>
      </c>
      <c r="CJ123" s="3">
        <v>310</v>
      </c>
      <c r="CK123" s="3">
        <v>21</v>
      </c>
      <c r="CL123" s="3">
        <v>39</v>
      </c>
      <c r="CM123" s="3">
        <v>59200</v>
      </c>
    </row>
    <row r="124" spans="2:91">
      <c r="B124" s="6"/>
      <c r="C124" s="71">
        <f>INDEX($CI$24:$CI$138,MATCH(O120,$CG$24:$CG$138,0),0)</f>
        <v>600</v>
      </c>
      <c r="BE124" s="1" t="s">
        <v>297</v>
      </c>
      <c r="BG124" s="66">
        <f>+BD148</f>
        <v>371.02977220299891</v>
      </c>
      <c r="BH124" s="66"/>
      <c r="BI124" s="66"/>
      <c r="BJ124" s="1" t="s">
        <v>191</v>
      </c>
      <c r="BL124" s="1" t="s">
        <v>329</v>
      </c>
      <c r="CC124" s="7"/>
      <c r="CF124" s="89"/>
      <c r="CG124" s="17" t="s">
        <v>155</v>
      </c>
      <c r="CH124" s="3">
        <v>225</v>
      </c>
      <c r="CI124" s="3">
        <v>320</v>
      </c>
      <c r="CJ124" s="3">
        <v>305</v>
      </c>
      <c r="CK124" s="3">
        <v>16</v>
      </c>
      <c r="CL124" s="3">
        <v>29</v>
      </c>
      <c r="CM124" s="3">
        <v>40950</v>
      </c>
    </row>
    <row r="125" spans="2:91">
      <c r="B125" s="6"/>
      <c r="C125" s="71"/>
      <c r="Y125" s="1" t="s">
        <v>13</v>
      </c>
      <c r="BE125" s="1" t="s">
        <v>330</v>
      </c>
      <c r="BH125" s="66">
        <f>MAX(U127,AT127)</f>
        <v>169.85294117647058</v>
      </c>
      <c r="BI125" s="66"/>
      <c r="BJ125" s="66"/>
      <c r="BK125" s="1" t="s">
        <v>0</v>
      </c>
      <c r="BM125" s="1" t="s">
        <v>331</v>
      </c>
      <c r="CC125" s="7"/>
      <c r="CF125" s="89"/>
      <c r="CG125" s="17" t="s">
        <v>156</v>
      </c>
      <c r="CH125" s="3">
        <v>312</v>
      </c>
      <c r="CI125" s="3">
        <v>359</v>
      </c>
      <c r="CJ125" s="3">
        <v>309</v>
      </c>
      <c r="CK125" s="3">
        <v>21</v>
      </c>
      <c r="CL125" s="3">
        <v>40</v>
      </c>
      <c r="CM125" s="3">
        <v>68130</v>
      </c>
    </row>
    <row r="126" spans="2:91">
      <c r="B126" s="6"/>
      <c r="C126" s="71"/>
      <c r="J126" s="66">
        <f>INDEX($CK$24:$CK$138,MATCH(O120,$CG$24:$CG$138,0),0)</f>
        <v>12</v>
      </c>
      <c r="K126" s="66"/>
      <c r="CC126" s="7"/>
      <c r="CF126" s="89"/>
      <c r="CG126" s="17" t="s">
        <v>157</v>
      </c>
      <c r="CH126" s="3">
        <v>316</v>
      </c>
      <c r="CI126" s="3">
        <v>377</v>
      </c>
      <c r="CJ126" s="3">
        <v>309</v>
      </c>
      <c r="CK126" s="3">
        <v>21</v>
      </c>
      <c r="CL126" s="3">
        <v>40</v>
      </c>
      <c r="CM126" s="3">
        <v>76770</v>
      </c>
    </row>
    <row r="127" spans="2:91">
      <c r="B127" s="6"/>
      <c r="T127" s="1" t="s">
        <v>2</v>
      </c>
      <c r="U127" s="66">
        <f>+E137</f>
        <v>169.85294117647058</v>
      </c>
      <c r="V127" s="66"/>
      <c r="W127" s="1" t="s">
        <v>0</v>
      </c>
      <c r="AS127" s="1" t="s">
        <v>3</v>
      </c>
      <c r="AT127" s="66">
        <f>+E140</f>
        <v>165.14705882352942</v>
      </c>
      <c r="AU127" s="66"/>
      <c r="AV127" s="1" t="s">
        <v>0</v>
      </c>
      <c r="CC127" s="7"/>
      <c r="CF127" s="89"/>
      <c r="CG127" s="17" t="s">
        <v>158</v>
      </c>
      <c r="CH127" s="3">
        <v>319</v>
      </c>
      <c r="CI127" s="3">
        <v>395</v>
      </c>
      <c r="CJ127" s="3">
        <v>308</v>
      </c>
      <c r="CK127" s="3">
        <v>21</v>
      </c>
      <c r="CL127" s="3">
        <v>40</v>
      </c>
      <c r="CM127" s="3">
        <v>84870</v>
      </c>
    </row>
    <row r="128" spans="2:91">
      <c r="B128" s="6"/>
      <c r="W128" s="67">
        <v>1.5</v>
      </c>
      <c r="X128" s="67"/>
      <c r="Y128" s="1" t="s">
        <v>1</v>
      </c>
      <c r="AB128" s="67">
        <v>1.5</v>
      </c>
      <c r="AC128" s="67"/>
      <c r="AD128" s="1" t="s">
        <v>1</v>
      </c>
      <c r="AG128" s="67">
        <v>1.5</v>
      </c>
      <c r="AH128" s="67"/>
      <c r="AI128" s="1" t="s">
        <v>1</v>
      </c>
      <c r="AL128" s="67">
        <v>2.5</v>
      </c>
      <c r="AM128" s="67"/>
      <c r="AN128" s="1" t="s">
        <v>1</v>
      </c>
      <c r="AQ128" s="67">
        <v>1.5</v>
      </c>
      <c r="AR128" s="67"/>
      <c r="AS128" s="1" t="s">
        <v>1</v>
      </c>
      <c r="CC128" s="7"/>
      <c r="CF128" s="89"/>
      <c r="CG128" s="17" t="s">
        <v>159</v>
      </c>
      <c r="CH128" s="3">
        <v>326</v>
      </c>
      <c r="CI128" s="3">
        <v>432</v>
      </c>
      <c r="CJ128" s="3">
        <v>307</v>
      </c>
      <c r="CK128" s="3">
        <v>21</v>
      </c>
      <c r="CL128" s="3">
        <v>40</v>
      </c>
      <c r="CM128" s="3">
        <v>104100</v>
      </c>
    </row>
    <row r="129" spans="2:91">
      <c r="B129" s="6"/>
      <c r="K129" s="66">
        <f>INDEX($CL$24:$CL$138,MATCH(O120,$CG$24:$CG$138,0),0)</f>
        <v>19</v>
      </c>
      <c r="L129" s="66"/>
      <c r="CC129" s="7"/>
      <c r="CF129" s="89"/>
      <c r="CG129" s="17" t="s">
        <v>160</v>
      </c>
      <c r="CH129" s="3">
        <v>335</v>
      </c>
      <c r="CI129" s="3">
        <v>478</v>
      </c>
      <c r="CJ129" s="3">
        <v>307</v>
      </c>
      <c r="CK129" s="3">
        <v>21</v>
      </c>
      <c r="CL129" s="3">
        <v>40</v>
      </c>
      <c r="CM129" s="3">
        <v>131500</v>
      </c>
    </row>
    <row r="130" spans="2:91">
      <c r="B130" s="6"/>
      <c r="AF130" s="1" t="s">
        <v>197</v>
      </c>
      <c r="AG130" s="66">
        <f>+W128+AB128+AG128+AL128+AQ128</f>
        <v>8.5</v>
      </c>
      <c r="AH130" s="66"/>
      <c r="AI130" s="1" t="s">
        <v>1</v>
      </c>
      <c r="BC130" s="23" t="s">
        <v>266</v>
      </c>
      <c r="CC130" s="7"/>
      <c r="CF130" s="89"/>
      <c r="CG130" s="17" t="s">
        <v>161</v>
      </c>
      <c r="CH130" s="3">
        <v>344</v>
      </c>
      <c r="CI130" s="3">
        <v>524</v>
      </c>
      <c r="CJ130" s="3">
        <v>306</v>
      </c>
      <c r="CK130" s="3">
        <v>21</v>
      </c>
      <c r="CL130" s="3">
        <v>40</v>
      </c>
      <c r="CM130" s="3">
        <v>161900</v>
      </c>
    </row>
    <row r="131" spans="2:91">
      <c r="B131" s="6"/>
      <c r="BC131" s="11" t="s">
        <v>265</v>
      </c>
      <c r="CC131" s="7"/>
      <c r="CF131" s="89"/>
      <c r="CG131" s="17" t="s">
        <v>162</v>
      </c>
      <c r="CH131" s="3">
        <v>354</v>
      </c>
      <c r="CI131" s="3">
        <v>572</v>
      </c>
      <c r="CJ131" s="3">
        <v>306</v>
      </c>
      <c r="CK131" s="3">
        <v>21</v>
      </c>
      <c r="CL131" s="3">
        <v>40</v>
      </c>
      <c r="CM131" s="3">
        <v>198000</v>
      </c>
    </row>
    <row r="132" spans="2:91">
      <c r="B132" s="6"/>
      <c r="I132" s="66">
        <f>INDEX($CJ$24:$CJ$138,MATCH(O120,$CG$24:$CG$138,0),0)</f>
        <v>220</v>
      </c>
      <c r="J132" s="66"/>
      <c r="X132" s="10" t="s">
        <v>36</v>
      </c>
      <c r="Z132" s="66">
        <f>INDEX($CM$24:$CM$138,MATCH(O120,$CG$24:$CG$138,0),0)</f>
        <v>92080</v>
      </c>
      <c r="AA132" s="66"/>
      <c r="AB132" s="66"/>
      <c r="AC132" s="66"/>
      <c r="AD132" s="1" t="s">
        <v>37</v>
      </c>
      <c r="AG132" s="1" t="s">
        <v>175</v>
      </c>
      <c r="BC132" s="11" t="s">
        <v>263</v>
      </c>
      <c r="CC132" s="7"/>
      <c r="CF132" s="89"/>
      <c r="CG132" s="17" t="s">
        <v>163</v>
      </c>
      <c r="CH132" s="3">
        <v>364</v>
      </c>
      <c r="CI132" s="3">
        <v>620</v>
      </c>
      <c r="CJ132" s="3">
        <v>305</v>
      </c>
      <c r="CK132" s="3">
        <v>21</v>
      </c>
      <c r="CL132" s="3">
        <v>40</v>
      </c>
      <c r="CM132" s="3">
        <v>237400</v>
      </c>
    </row>
    <row r="133" spans="2:91">
      <c r="B133" s="6"/>
      <c r="X133" s="1" t="s">
        <v>38</v>
      </c>
      <c r="Z133" s="67">
        <v>200000</v>
      </c>
      <c r="AA133" s="67"/>
      <c r="AB133" s="67"/>
      <c r="AC133" s="67"/>
      <c r="AD133" s="1" t="s">
        <v>39</v>
      </c>
      <c r="AG133" s="1" t="s">
        <v>302</v>
      </c>
      <c r="BC133" s="11" t="s">
        <v>264</v>
      </c>
      <c r="CC133" s="7"/>
      <c r="CF133" s="89"/>
      <c r="CG133" s="17" t="s">
        <v>164</v>
      </c>
      <c r="CH133" s="3">
        <v>374</v>
      </c>
      <c r="CI133" s="3">
        <v>668</v>
      </c>
      <c r="CJ133" s="3">
        <v>305</v>
      </c>
      <c r="CK133" s="3">
        <v>21</v>
      </c>
      <c r="CL133" s="3">
        <v>40</v>
      </c>
      <c r="CM133" s="3">
        <v>281700</v>
      </c>
    </row>
    <row r="134" spans="2:91">
      <c r="B134" s="6"/>
      <c r="C134" s="23" t="s">
        <v>221</v>
      </c>
      <c r="CC134" s="7"/>
      <c r="CF134" s="89"/>
      <c r="CG134" s="17" t="s">
        <v>165</v>
      </c>
      <c r="CH134" s="3">
        <v>383</v>
      </c>
      <c r="CI134" s="3">
        <v>716</v>
      </c>
      <c r="CJ134" s="3">
        <v>304</v>
      </c>
      <c r="CK134" s="3">
        <v>21</v>
      </c>
      <c r="CL134" s="3">
        <v>40</v>
      </c>
      <c r="CM134" s="3">
        <v>329300</v>
      </c>
    </row>
    <row r="135" spans="2:91">
      <c r="B135" s="6"/>
      <c r="C135" s="1" t="s">
        <v>177</v>
      </c>
      <c r="CC135" s="7"/>
      <c r="CF135" s="89"/>
      <c r="CG135" s="17" t="s">
        <v>166</v>
      </c>
      <c r="CH135" s="3">
        <v>404</v>
      </c>
      <c r="CI135" s="3">
        <v>814</v>
      </c>
      <c r="CJ135" s="3">
        <v>303</v>
      </c>
      <c r="CK135" s="3">
        <v>21</v>
      </c>
      <c r="CL135" s="3">
        <v>40</v>
      </c>
      <c r="CM135" s="3">
        <v>442600</v>
      </c>
    </row>
    <row r="136" spans="2:91">
      <c r="B136" s="6"/>
      <c r="C136" s="1" t="s">
        <v>4</v>
      </c>
      <c r="D136" s="9" t="s">
        <v>5</v>
      </c>
      <c r="E136" s="66">
        <f>+AG130</f>
        <v>8.5</v>
      </c>
      <c r="F136" s="66"/>
      <c r="G136" s="9" t="s">
        <v>6</v>
      </c>
      <c r="H136" s="66">
        <f>+Z120</f>
        <v>20</v>
      </c>
      <c r="I136" s="66"/>
      <c r="J136" s="9" t="s">
        <v>5</v>
      </c>
      <c r="K136" s="66">
        <f>+AB128+AG128+AL128+AQ128</f>
        <v>7</v>
      </c>
      <c r="L136" s="66"/>
      <c r="M136" s="9" t="s">
        <v>6</v>
      </c>
      <c r="N136" s="66">
        <f>+AE120</f>
        <v>20</v>
      </c>
      <c r="O136" s="66"/>
      <c r="P136" s="9" t="s">
        <v>5</v>
      </c>
      <c r="Q136" s="66">
        <f>+AG128+AL128+AQ128</f>
        <v>5.5</v>
      </c>
      <c r="R136" s="66"/>
      <c r="S136" s="9" t="s">
        <v>6</v>
      </c>
      <c r="T136" s="66">
        <f>+AJ120</f>
        <v>20</v>
      </c>
      <c r="U136" s="66"/>
      <c r="V136" s="9" t="s">
        <v>5</v>
      </c>
      <c r="W136" s="66">
        <f>+AL128+AQ128</f>
        <v>4</v>
      </c>
      <c r="X136" s="66"/>
      <c r="Y136" s="9" t="s">
        <v>6</v>
      </c>
      <c r="Z136" s="66">
        <f>+AO120</f>
        <v>20</v>
      </c>
      <c r="AA136" s="66"/>
      <c r="AB136" s="9" t="s">
        <v>5</v>
      </c>
      <c r="AC136" s="66">
        <f>+AQ128</f>
        <v>1.5</v>
      </c>
      <c r="AD136" s="66"/>
      <c r="AE136" s="9" t="s">
        <v>6</v>
      </c>
      <c r="AF136" s="66">
        <f>+AG121</f>
        <v>30</v>
      </c>
      <c r="AG136" s="66"/>
      <c r="AH136" s="9" t="s">
        <v>5</v>
      </c>
      <c r="AI136" s="66">
        <f>+AG130</f>
        <v>8.5</v>
      </c>
      <c r="AJ136" s="66"/>
      <c r="AK136" s="9" t="s">
        <v>5</v>
      </c>
      <c r="AL136" s="66">
        <f>+AG130/2</f>
        <v>4.25</v>
      </c>
      <c r="AM136" s="66"/>
      <c r="AN136" s="9" t="s">
        <v>7</v>
      </c>
      <c r="AO136" s="1">
        <v>0</v>
      </c>
      <c r="CC136" s="7"/>
      <c r="CF136" s="89"/>
      <c r="CG136" s="17" t="s">
        <v>167</v>
      </c>
      <c r="CH136" s="3">
        <v>424</v>
      </c>
      <c r="CI136" s="3">
        <v>910</v>
      </c>
      <c r="CJ136" s="3">
        <v>302</v>
      </c>
      <c r="CK136" s="3">
        <v>21</v>
      </c>
      <c r="CL136" s="3">
        <v>40</v>
      </c>
      <c r="CM136" s="3">
        <v>570400</v>
      </c>
    </row>
    <row r="137" spans="2:91">
      <c r="B137" s="6"/>
      <c r="C137" s="1" t="s">
        <v>8</v>
      </c>
      <c r="D137" s="9"/>
      <c r="E137" s="66">
        <f>(H136*K136+N136*Q136+T136*W136+Z136*AC136+AF136*AI136*AL136)/E136</f>
        <v>169.85294117647058</v>
      </c>
      <c r="F137" s="66"/>
      <c r="G137" s="1" t="s">
        <v>0</v>
      </c>
      <c r="I137" s="1" t="s">
        <v>178</v>
      </c>
      <c r="CC137" s="7"/>
      <c r="CF137" s="89"/>
      <c r="CG137" s="17" t="s">
        <v>168</v>
      </c>
      <c r="CH137" s="3">
        <v>444</v>
      </c>
      <c r="CI137" s="3">
        <v>1008</v>
      </c>
      <c r="CJ137" s="3">
        <v>302</v>
      </c>
      <c r="CK137" s="3">
        <v>21</v>
      </c>
      <c r="CL137" s="3">
        <v>40</v>
      </c>
      <c r="CM137" s="3">
        <v>772300</v>
      </c>
    </row>
    <row r="138" spans="2:91">
      <c r="B138" s="6"/>
      <c r="C138" s="1" t="s">
        <v>189</v>
      </c>
      <c r="CC138" s="7"/>
      <c r="CF138" s="4"/>
      <c r="CG138" s="5" t="s">
        <v>169</v>
      </c>
      <c r="CH138" s="5"/>
      <c r="CI138" s="5"/>
      <c r="CJ138" s="5"/>
      <c r="CK138" s="5"/>
      <c r="CL138" s="5"/>
      <c r="CM138" s="5"/>
    </row>
    <row r="139" spans="2:91">
      <c r="B139" s="6"/>
      <c r="C139" s="1" t="s">
        <v>4</v>
      </c>
      <c r="D139" s="9" t="s">
        <v>9</v>
      </c>
      <c r="E139" s="9" t="s">
        <v>10</v>
      </c>
      <c r="F139" s="9" t="s">
        <v>6</v>
      </c>
      <c r="G139" s="66">
        <f>+Z120</f>
        <v>20</v>
      </c>
      <c r="H139" s="66"/>
      <c r="I139" s="9" t="s">
        <v>6</v>
      </c>
      <c r="J139" s="66">
        <f>+AE120</f>
        <v>20</v>
      </c>
      <c r="K139" s="66"/>
      <c r="L139" s="9" t="s">
        <v>6</v>
      </c>
      <c r="M139" s="66">
        <f>+AJ120</f>
        <v>20</v>
      </c>
      <c r="N139" s="66"/>
      <c r="O139" s="9" t="s">
        <v>5</v>
      </c>
      <c r="P139" s="66">
        <f>+AO120</f>
        <v>20</v>
      </c>
      <c r="Q139" s="66"/>
      <c r="R139" s="9" t="s">
        <v>6</v>
      </c>
      <c r="S139" s="66">
        <f>+AG121</f>
        <v>30</v>
      </c>
      <c r="T139" s="66"/>
      <c r="U139" s="9" t="s">
        <v>5</v>
      </c>
      <c r="V139" s="66">
        <f>+AG130</f>
        <v>8.5</v>
      </c>
      <c r="W139" s="66"/>
      <c r="X139" s="9" t="s">
        <v>7</v>
      </c>
      <c r="Y139" s="1">
        <v>0</v>
      </c>
      <c r="CC139" s="7"/>
    </row>
    <row r="140" spans="2:91">
      <c r="B140" s="6"/>
      <c r="C140" s="1" t="s">
        <v>11</v>
      </c>
      <c r="D140" s="9"/>
      <c r="E140" s="66">
        <f>(G139+J139+M139+P139+S139*V139-E137)</f>
        <v>165.14705882352942</v>
      </c>
      <c r="F140" s="66"/>
      <c r="G140" s="1" t="s">
        <v>0</v>
      </c>
      <c r="I140" s="1" t="s">
        <v>179</v>
      </c>
      <c r="CC140" s="7"/>
    </row>
    <row r="141" spans="2:91">
      <c r="B141" s="6"/>
      <c r="C141" s="23" t="s">
        <v>222</v>
      </c>
      <c r="D141" s="9"/>
      <c r="E141" s="9"/>
      <c r="F141" s="9"/>
      <c r="CC141" s="7"/>
    </row>
    <row r="142" spans="2:91">
      <c r="B142" s="6"/>
      <c r="C142" s="1" t="s">
        <v>12</v>
      </c>
      <c r="E142" s="66">
        <f>+U127</f>
        <v>169.85294117647058</v>
      </c>
      <c r="F142" s="66"/>
      <c r="G142" s="11" t="s">
        <v>17</v>
      </c>
      <c r="H142" s="9"/>
      <c r="I142" s="66">
        <f>+Z120</f>
        <v>20</v>
      </c>
      <c r="J142" s="66"/>
      <c r="K142" s="1" t="s">
        <v>15</v>
      </c>
      <c r="M142" s="66">
        <f>+W128</f>
        <v>1.5</v>
      </c>
      <c r="N142" s="66"/>
      <c r="O142" s="1" t="s">
        <v>16</v>
      </c>
      <c r="P142" s="66">
        <f>+AE120</f>
        <v>20</v>
      </c>
      <c r="Q142" s="66"/>
      <c r="R142" s="1" t="s">
        <v>15</v>
      </c>
      <c r="T142" s="66">
        <f>+W128+AB128</f>
        <v>3</v>
      </c>
      <c r="U142" s="66"/>
      <c r="V142" s="1" t="s">
        <v>16</v>
      </c>
      <c r="W142" s="66">
        <f>+AJ120</f>
        <v>20</v>
      </c>
      <c r="X142" s="66"/>
      <c r="Y142" s="1" t="s">
        <v>15</v>
      </c>
      <c r="AA142" s="66">
        <f>+W128+AB128+AG128</f>
        <v>4.5</v>
      </c>
      <c r="AB142" s="66"/>
      <c r="AC142" s="1" t="s">
        <v>16</v>
      </c>
      <c r="AD142" s="66">
        <f>+AO120</f>
        <v>20</v>
      </c>
      <c r="AE142" s="66"/>
      <c r="AF142" s="1" t="s">
        <v>15</v>
      </c>
      <c r="AH142" s="66">
        <f>+W128+AB128+AG128+AL128</f>
        <v>7</v>
      </c>
      <c r="AI142" s="66"/>
      <c r="AJ142" s="1" t="s">
        <v>16</v>
      </c>
      <c r="AK142" s="66">
        <f>+AG121</f>
        <v>30</v>
      </c>
      <c r="AL142" s="66"/>
      <c r="AM142" s="9" t="s">
        <v>5</v>
      </c>
      <c r="AN142" s="1" t="s">
        <v>183</v>
      </c>
      <c r="AO142" s="1" t="s">
        <v>173</v>
      </c>
      <c r="AP142" s="1">
        <v>2</v>
      </c>
      <c r="CC142" s="7"/>
    </row>
    <row r="143" spans="2:91">
      <c r="B143" s="6"/>
      <c r="C143" s="1" t="s">
        <v>27</v>
      </c>
      <c r="D143" s="67">
        <f>+AG130/2</f>
        <v>4.25</v>
      </c>
      <c r="E143" s="67"/>
      <c r="F143" s="67"/>
      <c r="G143" s="1" t="s">
        <v>213</v>
      </c>
      <c r="H143" s="9"/>
      <c r="I143" s="9"/>
      <c r="J143" s="9"/>
      <c r="M143" s="9"/>
      <c r="N143" s="21"/>
      <c r="P143" s="9"/>
      <c r="Q143" s="9"/>
      <c r="U143" s="8" t="str">
        <f>IF(D143&lt;=AG130,"","azalt.")</f>
        <v/>
      </c>
      <c r="W143" s="9"/>
      <c r="X143" s="9"/>
      <c r="AA143" s="9"/>
      <c r="AB143" s="9"/>
      <c r="AD143" s="9"/>
      <c r="AE143" s="9"/>
      <c r="AH143" s="9"/>
      <c r="AI143" s="9"/>
      <c r="AK143" s="9"/>
      <c r="AL143" s="9"/>
      <c r="AO143" s="9"/>
      <c r="AP143" s="9"/>
      <c r="AR143" s="9"/>
      <c r="AS143" s="9"/>
      <c r="AV143" s="9"/>
      <c r="AW143" s="9"/>
      <c r="AY143" s="9"/>
      <c r="AZ143" s="9"/>
      <c r="BA143" s="9"/>
      <c r="CC143" s="7"/>
    </row>
    <row r="144" spans="2:91">
      <c r="B144" s="6"/>
      <c r="C144" s="1" t="s">
        <v>12</v>
      </c>
      <c r="E144" s="66">
        <f>+E142</f>
        <v>169.85294117647058</v>
      </c>
      <c r="F144" s="66"/>
      <c r="G144" s="9" t="s">
        <v>5</v>
      </c>
      <c r="H144" s="66">
        <f>+D143</f>
        <v>4.25</v>
      </c>
      <c r="I144" s="66"/>
      <c r="J144" s="9" t="s">
        <v>6</v>
      </c>
      <c r="K144" s="66">
        <f>IF((N144-Q144)&lt;=0,0,+I142)</f>
        <v>20</v>
      </c>
      <c r="L144" s="66"/>
      <c r="M144" s="9" t="s">
        <v>14</v>
      </c>
      <c r="N144" s="66">
        <f>+H144</f>
        <v>4.25</v>
      </c>
      <c r="O144" s="66"/>
      <c r="P144" s="9" t="s">
        <v>6</v>
      </c>
      <c r="Q144" s="66">
        <f>+M142</f>
        <v>1.5</v>
      </c>
      <c r="R144" s="66"/>
      <c r="S144" s="1" t="s">
        <v>16</v>
      </c>
      <c r="T144" s="66">
        <f>IF((W144-Z144)&lt;=0,0,+P142)</f>
        <v>20</v>
      </c>
      <c r="U144" s="66"/>
      <c r="V144" s="9" t="s">
        <v>14</v>
      </c>
      <c r="W144" s="66">
        <f>+N144</f>
        <v>4.25</v>
      </c>
      <c r="X144" s="66"/>
      <c r="Y144" s="9" t="s">
        <v>6</v>
      </c>
      <c r="Z144" s="66">
        <f>+T142</f>
        <v>3</v>
      </c>
      <c r="AA144" s="66"/>
      <c r="AB144" s="1" t="s">
        <v>16</v>
      </c>
      <c r="AC144" s="66">
        <f>IF((AF144-AI144)&lt;=0,0,+W142)</f>
        <v>0</v>
      </c>
      <c r="AD144" s="66"/>
      <c r="AE144" s="9" t="s">
        <v>14</v>
      </c>
      <c r="AF144" s="66">
        <f>+W144</f>
        <v>4.25</v>
      </c>
      <c r="AG144" s="66"/>
      <c r="AH144" s="9" t="s">
        <v>6</v>
      </c>
      <c r="AI144" s="66">
        <f>+AA142</f>
        <v>4.5</v>
      </c>
      <c r="AJ144" s="66"/>
      <c r="AK144" s="1" t="s">
        <v>16</v>
      </c>
      <c r="AL144" s="66">
        <f>IF((AO144-AR144)&lt;=0,0,+AD142)</f>
        <v>0</v>
      </c>
      <c r="AM144" s="66"/>
      <c r="AN144" s="9" t="s">
        <v>14</v>
      </c>
      <c r="AO144" s="66">
        <f>+AF144</f>
        <v>4.25</v>
      </c>
      <c r="AP144" s="66"/>
      <c r="AQ144" s="9" t="s">
        <v>6</v>
      </c>
      <c r="AR144" s="66">
        <f>+AH142</f>
        <v>7</v>
      </c>
      <c r="AS144" s="66"/>
      <c r="AT144" s="1" t="s">
        <v>16</v>
      </c>
      <c r="AU144" s="66">
        <f>+AK142</f>
        <v>30</v>
      </c>
      <c r="AV144" s="66"/>
      <c r="AW144" s="9" t="s">
        <v>5</v>
      </c>
      <c r="AX144" s="66">
        <f>+AO144</f>
        <v>4.25</v>
      </c>
      <c r="AY144" s="66"/>
      <c r="AZ144" s="1" t="s">
        <v>190</v>
      </c>
      <c r="BA144" s="1">
        <v>2</v>
      </c>
      <c r="BB144" s="9" t="s">
        <v>7</v>
      </c>
      <c r="BC144" s="66">
        <f>E144*H144-K144*(N144-Q144)-T144*(W144-Z144)-AC144*(AF144-AI144)-AL144*(AO144-AR144)-AU144*AX144^2/BA144</f>
        <v>370.9375</v>
      </c>
      <c r="BD144" s="66"/>
      <c r="BE144" s="66"/>
      <c r="BF144" s="1" t="s">
        <v>191</v>
      </c>
      <c r="CC144" s="7"/>
    </row>
    <row r="145" spans="2:81">
      <c r="B145" s="6"/>
      <c r="C145" s="1" t="s">
        <v>220</v>
      </c>
      <c r="E145" s="66">
        <f>+E144</f>
        <v>169.85294117647058</v>
      </c>
      <c r="F145" s="66"/>
      <c r="G145" s="9" t="s">
        <v>6</v>
      </c>
      <c r="H145" s="66">
        <f>+K144</f>
        <v>20</v>
      </c>
      <c r="I145" s="66"/>
      <c r="J145" s="9" t="s">
        <v>6</v>
      </c>
      <c r="K145" s="66">
        <f>+T144</f>
        <v>20</v>
      </c>
      <c r="L145" s="66"/>
      <c r="M145" s="9" t="s">
        <v>6</v>
      </c>
      <c r="N145" s="66">
        <f>+AC144</f>
        <v>0</v>
      </c>
      <c r="O145" s="66"/>
      <c r="P145" s="9" t="s">
        <v>6</v>
      </c>
      <c r="Q145" s="66">
        <f>+AL144</f>
        <v>0</v>
      </c>
      <c r="R145" s="66"/>
      <c r="S145" s="9" t="s">
        <v>6</v>
      </c>
      <c r="T145" s="66">
        <f>+AU144</f>
        <v>30</v>
      </c>
      <c r="U145" s="66"/>
      <c r="V145" s="9" t="s">
        <v>5</v>
      </c>
      <c r="W145" s="66">
        <f>+AX144</f>
        <v>4.25</v>
      </c>
      <c r="X145" s="66"/>
      <c r="Y145" s="9" t="s">
        <v>7</v>
      </c>
      <c r="Z145" s="66">
        <f>+E145-H145-K145-N145-Q145-T145*W145</f>
        <v>2.3529411764705799</v>
      </c>
      <c r="AA145" s="66"/>
      <c r="AB145" s="66"/>
      <c r="AC145" s="9" t="s">
        <v>0</v>
      </c>
      <c r="AW145" s="9"/>
      <c r="AX145" s="9"/>
      <c r="AY145" s="9"/>
      <c r="AZ145" s="9"/>
      <c r="BA145" s="9"/>
      <c r="BB145" s="9"/>
      <c r="BD145" s="9"/>
      <c r="BE145" s="9"/>
      <c r="BF145" s="9"/>
      <c r="BG145" s="9"/>
      <c r="BH145" s="9"/>
      <c r="BI145" s="9"/>
      <c r="BJ145" s="9"/>
      <c r="BK145" s="9"/>
      <c r="BM145" s="9"/>
      <c r="BN145" s="9"/>
      <c r="BO145" s="9"/>
      <c r="BP145" s="9"/>
      <c r="BQ145" s="9"/>
      <c r="BT145" s="9"/>
      <c r="BU145" s="9"/>
      <c r="BV145" s="9"/>
      <c r="BW145" s="9"/>
      <c r="CC145" s="7"/>
    </row>
    <row r="146" spans="2:81">
      <c r="B146" s="6"/>
      <c r="C146" s="23" t="s">
        <v>253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W146" s="9"/>
      <c r="AX146" s="9"/>
      <c r="AY146" s="9"/>
      <c r="AZ146" s="9"/>
      <c r="BA146" s="9"/>
      <c r="BB146" s="9"/>
      <c r="BD146" s="9"/>
      <c r="BE146" s="9"/>
      <c r="BF146" s="9"/>
      <c r="BG146" s="9"/>
      <c r="BH146" s="9"/>
      <c r="BI146" s="9"/>
      <c r="BJ146" s="9"/>
      <c r="BK146" s="9"/>
      <c r="BM146" s="9"/>
      <c r="BN146" s="9"/>
      <c r="BO146" s="9"/>
      <c r="BP146" s="9"/>
      <c r="BQ146" s="9"/>
      <c r="BT146" s="9"/>
      <c r="BU146" s="9"/>
      <c r="BV146" s="9"/>
      <c r="BW146" s="9"/>
      <c r="CC146" s="7"/>
    </row>
    <row r="147" spans="2:81">
      <c r="B147" s="6"/>
      <c r="C147" s="1" t="s">
        <v>27</v>
      </c>
      <c r="D147" s="66">
        <f>(E145-H145-K145-N145-Q145)/T145</f>
        <v>4.3284313725490193</v>
      </c>
      <c r="E147" s="66"/>
      <c r="F147" s="66"/>
      <c r="G147" s="1" t="s">
        <v>257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W147" s="9"/>
      <c r="AX147" s="9"/>
      <c r="AY147" s="9"/>
      <c r="AZ147" s="9"/>
      <c r="BA147" s="9"/>
      <c r="BB147" s="9"/>
      <c r="BD147" s="9"/>
      <c r="BE147" s="9"/>
      <c r="BF147" s="9"/>
      <c r="BG147" s="9"/>
      <c r="BH147" s="9"/>
      <c r="BI147" s="9"/>
      <c r="BJ147" s="9"/>
      <c r="BK147" s="9"/>
      <c r="BM147" s="9"/>
      <c r="BN147" s="9"/>
      <c r="BO147" s="9"/>
      <c r="BP147" s="9"/>
      <c r="BQ147" s="9"/>
      <c r="BT147" s="9"/>
      <c r="BU147" s="9"/>
      <c r="BV147" s="9"/>
      <c r="BW147" s="9"/>
      <c r="CC147" s="7"/>
    </row>
    <row r="148" spans="2:81">
      <c r="B148" s="6"/>
      <c r="C148" s="1" t="s">
        <v>260</v>
      </c>
      <c r="F148" s="66">
        <f>+E142</f>
        <v>169.85294117647058</v>
      </c>
      <c r="G148" s="66"/>
      <c r="H148" s="9" t="s">
        <v>5</v>
      </c>
      <c r="I148" s="66">
        <f>+D147</f>
        <v>4.3284313725490193</v>
      </c>
      <c r="J148" s="66"/>
      <c r="K148" s="9" t="s">
        <v>6</v>
      </c>
      <c r="L148" s="66">
        <f>IF((O148-R148)&lt;=0,0,+I142)</f>
        <v>20</v>
      </c>
      <c r="M148" s="66"/>
      <c r="N148" s="9" t="s">
        <v>14</v>
      </c>
      <c r="O148" s="66">
        <f>+I148</f>
        <v>4.3284313725490193</v>
      </c>
      <c r="P148" s="66"/>
      <c r="Q148" s="9" t="s">
        <v>6</v>
      </c>
      <c r="R148" s="66">
        <f>+M142</f>
        <v>1.5</v>
      </c>
      <c r="S148" s="66"/>
      <c r="T148" s="1" t="s">
        <v>16</v>
      </c>
      <c r="U148" s="66">
        <f>IF((X148-AA148)&lt;=0,0,+P142)</f>
        <v>20</v>
      </c>
      <c r="V148" s="66"/>
      <c r="W148" s="9" t="s">
        <v>14</v>
      </c>
      <c r="X148" s="66">
        <f>+O148</f>
        <v>4.3284313725490193</v>
      </c>
      <c r="Y148" s="66"/>
      <c r="Z148" s="9" t="s">
        <v>6</v>
      </c>
      <c r="AA148" s="66">
        <f>+T142</f>
        <v>3</v>
      </c>
      <c r="AB148" s="66"/>
      <c r="AC148" s="1" t="s">
        <v>16</v>
      </c>
      <c r="AD148" s="66">
        <f>IF((AG148-AJ148)&lt;=0,0,+W142)</f>
        <v>0</v>
      </c>
      <c r="AE148" s="66"/>
      <c r="AF148" s="9" t="s">
        <v>14</v>
      </c>
      <c r="AG148" s="66">
        <f>+X148</f>
        <v>4.3284313725490193</v>
      </c>
      <c r="AH148" s="66"/>
      <c r="AI148" s="9" t="s">
        <v>6</v>
      </c>
      <c r="AJ148" s="66">
        <f>+AA142</f>
        <v>4.5</v>
      </c>
      <c r="AK148" s="66"/>
      <c r="AL148" s="1" t="s">
        <v>16</v>
      </c>
      <c r="AM148" s="66">
        <f>IF((AP148-AS148)&lt;=0,0,+AD142)</f>
        <v>0</v>
      </c>
      <c r="AN148" s="66"/>
      <c r="AO148" s="9" t="s">
        <v>14</v>
      </c>
      <c r="AP148" s="66">
        <f>+AG148</f>
        <v>4.3284313725490193</v>
      </c>
      <c r="AQ148" s="66"/>
      <c r="AR148" s="9" t="s">
        <v>6</v>
      </c>
      <c r="AS148" s="66">
        <f>+AH142</f>
        <v>7</v>
      </c>
      <c r="AT148" s="66"/>
      <c r="AU148" s="1" t="s">
        <v>16</v>
      </c>
      <c r="AV148" s="66">
        <f>+AK142</f>
        <v>30</v>
      </c>
      <c r="AW148" s="66"/>
      <c r="AX148" s="9" t="s">
        <v>5</v>
      </c>
      <c r="AY148" s="66">
        <f>+AP148</f>
        <v>4.3284313725490193</v>
      </c>
      <c r="AZ148" s="66"/>
      <c r="BA148" s="1" t="s">
        <v>190</v>
      </c>
      <c r="BB148" s="1">
        <v>2</v>
      </c>
      <c r="BC148" s="9" t="s">
        <v>7</v>
      </c>
      <c r="BD148" s="66">
        <f>F148*I148-L148*(O148-R148)-U148*(X148-AA148)-AD148*(AG148-AJ148)-AM148*(AP148-AS148)-AV148*AY148^2/BB148</f>
        <v>371.02977220299891</v>
      </c>
      <c r="BE148" s="66"/>
      <c r="BF148" s="66"/>
      <c r="BG148" s="1" t="s">
        <v>191</v>
      </c>
      <c r="BH148" s="9"/>
      <c r="BI148" s="9"/>
      <c r="BJ148" s="9"/>
      <c r="BK148" s="9"/>
      <c r="BM148" s="9"/>
      <c r="BN148" s="9"/>
      <c r="BO148" s="9"/>
      <c r="BP148" s="9"/>
      <c r="BQ148" s="9"/>
      <c r="BT148" s="9"/>
      <c r="BU148" s="9"/>
      <c r="BV148" s="9"/>
      <c r="BW148" s="9"/>
      <c r="CC148" s="7"/>
    </row>
    <row r="149" spans="2:81">
      <c r="B149" s="6"/>
      <c r="C149" s="1" t="s">
        <v>247</v>
      </c>
      <c r="E149" s="66">
        <f>+AG130/2</f>
        <v>4.25</v>
      </c>
      <c r="F149" s="66"/>
      <c r="G149" s="66"/>
      <c r="H149" s="1" t="s">
        <v>252</v>
      </c>
      <c r="I149" s="9"/>
      <c r="J149" s="9"/>
      <c r="BN149" s="9"/>
      <c r="BO149" s="9"/>
      <c r="BP149" s="9"/>
      <c r="BQ149" s="9"/>
      <c r="BT149" s="9"/>
      <c r="BU149" s="9"/>
      <c r="BV149" s="9"/>
      <c r="BW149" s="9"/>
      <c r="CC149" s="7"/>
    </row>
    <row r="150" spans="2:81">
      <c r="B150" s="6"/>
      <c r="C150" s="1" t="s">
        <v>261</v>
      </c>
      <c r="E150" s="66">
        <f>+E142</f>
        <v>169.85294117647058</v>
      </c>
      <c r="F150" s="66"/>
      <c r="G150" s="9" t="s">
        <v>5</v>
      </c>
      <c r="H150" s="66">
        <f>+E149</f>
        <v>4.25</v>
      </c>
      <c r="I150" s="66"/>
      <c r="J150" s="9" t="s">
        <v>6</v>
      </c>
      <c r="K150" s="66">
        <f>IF((N150-Q150)&lt;=0,0,+I142)</f>
        <v>20</v>
      </c>
      <c r="L150" s="66"/>
      <c r="M150" s="9" t="s">
        <v>14</v>
      </c>
      <c r="N150" s="66">
        <f>+H150</f>
        <v>4.25</v>
      </c>
      <c r="O150" s="66"/>
      <c r="P150" s="9" t="s">
        <v>6</v>
      </c>
      <c r="Q150" s="66">
        <f>+M142</f>
        <v>1.5</v>
      </c>
      <c r="R150" s="66"/>
      <c r="S150" s="1" t="s">
        <v>16</v>
      </c>
      <c r="T150" s="66">
        <f>IF((W150-Z150)&lt;=0,0,+P142)</f>
        <v>20</v>
      </c>
      <c r="U150" s="66"/>
      <c r="V150" s="9" t="s">
        <v>14</v>
      </c>
      <c r="W150" s="66">
        <f>+N150</f>
        <v>4.25</v>
      </c>
      <c r="X150" s="66"/>
      <c r="Y150" s="9" t="s">
        <v>6</v>
      </c>
      <c r="Z150" s="66">
        <f>+T142</f>
        <v>3</v>
      </c>
      <c r="AA150" s="66"/>
      <c r="AB150" s="1" t="s">
        <v>16</v>
      </c>
      <c r="AC150" s="66">
        <f>IF((AF150-AI150)&lt;=0,0,+W142)</f>
        <v>0</v>
      </c>
      <c r="AD150" s="66"/>
      <c r="AE150" s="9" t="s">
        <v>14</v>
      </c>
      <c r="AF150" s="66">
        <f>+W150</f>
        <v>4.25</v>
      </c>
      <c r="AG150" s="66"/>
      <c r="AH150" s="9" t="s">
        <v>6</v>
      </c>
      <c r="AI150" s="66">
        <f>+AA142</f>
        <v>4.5</v>
      </c>
      <c r="AJ150" s="66"/>
      <c r="AK150" s="1" t="s">
        <v>16</v>
      </c>
      <c r="AL150" s="66">
        <f>IF((AO150-AR150)&lt;=0,0,+AD142)</f>
        <v>0</v>
      </c>
      <c r="AM150" s="66"/>
      <c r="AN150" s="9" t="s">
        <v>14</v>
      </c>
      <c r="AO150" s="66">
        <f>+AF150</f>
        <v>4.25</v>
      </c>
      <c r="AP150" s="66"/>
      <c r="AQ150" s="9" t="s">
        <v>6</v>
      </c>
      <c r="AR150" s="66">
        <f>+AH142</f>
        <v>7</v>
      </c>
      <c r="AS150" s="66"/>
      <c r="AT150" s="1" t="s">
        <v>16</v>
      </c>
      <c r="AU150" s="66">
        <f>+AK142</f>
        <v>30</v>
      </c>
      <c r="AV150" s="66"/>
      <c r="AW150" s="9" t="s">
        <v>5</v>
      </c>
      <c r="AX150" s="66">
        <f>+AO150</f>
        <v>4.25</v>
      </c>
      <c r="AY150" s="66"/>
      <c r="AZ150" s="1" t="s">
        <v>190</v>
      </c>
      <c r="BA150" s="1">
        <v>2</v>
      </c>
      <c r="BB150" s="9" t="s">
        <v>7</v>
      </c>
      <c r="BC150" s="66">
        <f>E150*H150-K150*(N150-Q150)-T150*(W150-Z150)-AC150*(AF150-AI150)-AL150*(AO150-AR150)-AU150*AX150^2/BA150</f>
        <v>370.9375</v>
      </c>
      <c r="BD150" s="66"/>
      <c r="BE150" s="66"/>
      <c r="BF150" s="1" t="s">
        <v>191</v>
      </c>
      <c r="BJ150" s="9"/>
      <c r="BK150" s="9"/>
      <c r="BM150" s="9"/>
      <c r="BN150" s="9"/>
      <c r="BO150" s="9"/>
      <c r="BP150" s="9"/>
      <c r="BQ150" s="9"/>
      <c r="BT150" s="9"/>
      <c r="BU150" s="9"/>
      <c r="BV150" s="9"/>
      <c r="BW150" s="9"/>
      <c r="CC150" s="7"/>
    </row>
    <row r="151" spans="2:81">
      <c r="B151" s="6"/>
      <c r="C151" s="1" t="s">
        <v>248</v>
      </c>
      <c r="E151" s="66">
        <f>+AG130/4</f>
        <v>2.125</v>
      </c>
      <c r="F151" s="66"/>
      <c r="G151" s="66"/>
      <c r="H151" s="1" t="s">
        <v>252</v>
      </c>
      <c r="I151" s="9"/>
      <c r="J151" s="9"/>
      <c r="M151" s="9"/>
      <c r="N151" s="21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W151" s="9"/>
      <c r="AX151" s="9"/>
      <c r="AY151" s="9"/>
      <c r="AZ151" s="9"/>
      <c r="BA151" s="9"/>
      <c r="BB151" s="9"/>
      <c r="BD151" s="9"/>
      <c r="BE151" s="9"/>
      <c r="BF151" s="9"/>
      <c r="BG151" s="9"/>
      <c r="BH151" s="9"/>
      <c r="BI151" s="9"/>
      <c r="BJ151" s="9"/>
      <c r="BK151" s="9"/>
      <c r="BM151" s="9"/>
      <c r="BN151" s="9"/>
      <c r="BO151" s="9"/>
      <c r="BP151" s="9"/>
      <c r="BQ151" s="9"/>
      <c r="BT151" s="9"/>
      <c r="BU151" s="9"/>
      <c r="BV151" s="9"/>
      <c r="BW151" s="9"/>
      <c r="CC151" s="7"/>
    </row>
    <row r="152" spans="2:81">
      <c r="B152" s="6"/>
      <c r="C152" s="1" t="s">
        <v>249</v>
      </c>
      <c r="E152" s="66">
        <f>+E150</f>
        <v>169.85294117647058</v>
      </c>
      <c r="F152" s="66"/>
      <c r="G152" s="9" t="s">
        <v>5</v>
      </c>
      <c r="H152" s="66">
        <f>+E151</f>
        <v>2.125</v>
      </c>
      <c r="I152" s="66"/>
      <c r="J152" s="9" t="s">
        <v>6</v>
      </c>
      <c r="K152" s="66">
        <f>IF((N152-Q152)&lt;=0,0,+I142)</f>
        <v>20</v>
      </c>
      <c r="L152" s="66"/>
      <c r="M152" s="9" t="s">
        <v>14</v>
      </c>
      <c r="N152" s="66">
        <f>+H152</f>
        <v>2.125</v>
      </c>
      <c r="O152" s="66"/>
      <c r="P152" s="9" t="s">
        <v>6</v>
      </c>
      <c r="Q152" s="66">
        <f>+Q150</f>
        <v>1.5</v>
      </c>
      <c r="R152" s="66"/>
      <c r="S152" s="1" t="s">
        <v>16</v>
      </c>
      <c r="T152" s="66">
        <f>IF((W152-Z152)&lt;=0,0,+P142)</f>
        <v>0</v>
      </c>
      <c r="U152" s="66"/>
      <c r="V152" s="9" t="s">
        <v>14</v>
      </c>
      <c r="W152" s="66">
        <f>+N152</f>
        <v>2.125</v>
      </c>
      <c r="X152" s="66"/>
      <c r="Y152" s="9" t="s">
        <v>6</v>
      </c>
      <c r="Z152" s="66">
        <f>+Z150</f>
        <v>3</v>
      </c>
      <c r="AA152" s="66"/>
      <c r="AB152" s="1" t="s">
        <v>16</v>
      </c>
      <c r="AC152" s="66">
        <f>IF((AF152-AI152)&lt;=0,0,+W142)</f>
        <v>0</v>
      </c>
      <c r="AD152" s="66"/>
      <c r="AE152" s="9" t="s">
        <v>14</v>
      </c>
      <c r="AF152" s="66">
        <f>+W152</f>
        <v>2.125</v>
      </c>
      <c r="AG152" s="66"/>
      <c r="AH152" s="9" t="s">
        <v>6</v>
      </c>
      <c r="AI152" s="66">
        <f>+AI150</f>
        <v>4.5</v>
      </c>
      <c r="AJ152" s="66"/>
      <c r="AK152" s="1" t="s">
        <v>16</v>
      </c>
      <c r="AL152" s="66">
        <f>IF((AO152-AR152)&lt;=0,0,+AD142)</f>
        <v>0</v>
      </c>
      <c r="AM152" s="66"/>
      <c r="AN152" s="9" t="s">
        <v>14</v>
      </c>
      <c r="AO152" s="66">
        <f>+AF152</f>
        <v>2.125</v>
      </c>
      <c r="AP152" s="66"/>
      <c r="AQ152" s="9" t="s">
        <v>6</v>
      </c>
      <c r="AR152" s="66">
        <f>+AR150</f>
        <v>7</v>
      </c>
      <c r="AS152" s="66"/>
      <c r="AT152" s="1" t="s">
        <v>16</v>
      </c>
      <c r="AU152" s="66">
        <f>+AU150</f>
        <v>30</v>
      </c>
      <c r="AV152" s="66"/>
      <c r="AW152" s="9" t="s">
        <v>5</v>
      </c>
      <c r="AX152" s="66">
        <f>+AO152</f>
        <v>2.125</v>
      </c>
      <c r="AY152" s="66"/>
      <c r="AZ152" s="1" t="s">
        <v>190</v>
      </c>
      <c r="BA152" s="1">
        <v>2</v>
      </c>
      <c r="BB152" s="9" t="s">
        <v>7</v>
      </c>
      <c r="BC152" s="66">
        <f>E152*H152-K152*(N152-Q152)-T152*(W152-Z152)-AC152*(AF152-AI152)-AL152*(AO152-AR152)-AU152*AX152^2/BA152</f>
        <v>280.703125</v>
      </c>
      <c r="BD152" s="66"/>
      <c r="BE152" s="66"/>
      <c r="BF152" s="1" t="s">
        <v>191</v>
      </c>
      <c r="BH152" s="9"/>
      <c r="BI152" s="9"/>
      <c r="BJ152" s="9"/>
      <c r="BK152" s="9"/>
      <c r="BM152" s="9"/>
      <c r="BN152" s="9"/>
      <c r="BO152" s="9"/>
      <c r="BP152" s="9"/>
      <c r="BQ152" s="9"/>
      <c r="BT152" s="9"/>
      <c r="BU152" s="9"/>
      <c r="BV152" s="9"/>
      <c r="BW152" s="9"/>
      <c r="CC152" s="7"/>
    </row>
    <row r="153" spans="2:81">
      <c r="B153" s="6"/>
      <c r="C153" s="1" t="s">
        <v>250</v>
      </c>
      <c r="F153" s="66">
        <f>3*AG130/4</f>
        <v>6.375</v>
      </c>
      <c r="G153" s="66"/>
      <c r="H153" s="66"/>
      <c r="I153" s="1" t="s">
        <v>252</v>
      </c>
      <c r="J153" s="9"/>
      <c r="M153" s="9"/>
      <c r="N153" s="21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W153" s="9"/>
      <c r="AX153" s="9"/>
      <c r="AY153" s="9"/>
      <c r="AZ153" s="9"/>
      <c r="BA153" s="9"/>
      <c r="BB153" s="9"/>
      <c r="BD153" s="9"/>
      <c r="BE153" s="9"/>
      <c r="BF153" s="9"/>
      <c r="BG153" s="9"/>
      <c r="BH153" s="9"/>
      <c r="BI153" s="9"/>
      <c r="BJ153" s="9"/>
      <c r="BK153" s="9"/>
      <c r="BM153" s="9"/>
      <c r="BN153" s="9"/>
      <c r="BO153" s="9"/>
      <c r="BP153" s="9"/>
      <c r="BQ153" s="9"/>
      <c r="BT153" s="9"/>
      <c r="BU153" s="9"/>
      <c r="BV153" s="9"/>
      <c r="BW153" s="9"/>
      <c r="CC153" s="7"/>
    </row>
    <row r="154" spans="2:81">
      <c r="B154" s="6"/>
      <c r="C154" s="1" t="s">
        <v>251</v>
      </c>
      <c r="E154" s="66">
        <f>+E152</f>
        <v>169.85294117647058</v>
      </c>
      <c r="F154" s="66"/>
      <c r="G154" s="9" t="s">
        <v>5</v>
      </c>
      <c r="H154" s="66">
        <f>+F153</f>
        <v>6.375</v>
      </c>
      <c r="I154" s="66"/>
      <c r="J154" s="9" t="s">
        <v>6</v>
      </c>
      <c r="K154" s="66">
        <f>IF((N154-Q154)&lt;=0,0,+I142)</f>
        <v>20</v>
      </c>
      <c r="L154" s="66"/>
      <c r="M154" s="9" t="s">
        <v>14</v>
      </c>
      <c r="N154" s="66">
        <f>+H154</f>
        <v>6.375</v>
      </c>
      <c r="O154" s="66"/>
      <c r="P154" s="9" t="s">
        <v>6</v>
      </c>
      <c r="Q154" s="66">
        <f>+Q152</f>
        <v>1.5</v>
      </c>
      <c r="R154" s="66"/>
      <c r="S154" s="1" t="s">
        <v>16</v>
      </c>
      <c r="T154" s="66">
        <f>IF((W154-Z154)&lt;=0,0,+P142)</f>
        <v>20</v>
      </c>
      <c r="U154" s="66"/>
      <c r="V154" s="9" t="s">
        <v>14</v>
      </c>
      <c r="W154" s="66">
        <f>+N154</f>
        <v>6.375</v>
      </c>
      <c r="X154" s="66"/>
      <c r="Y154" s="9" t="s">
        <v>6</v>
      </c>
      <c r="Z154" s="66">
        <f>+Z152</f>
        <v>3</v>
      </c>
      <c r="AA154" s="66"/>
      <c r="AB154" s="1" t="s">
        <v>16</v>
      </c>
      <c r="AC154" s="66">
        <f>IF((AF154-AI154)&lt;=0,0,+W142)</f>
        <v>20</v>
      </c>
      <c r="AD154" s="66"/>
      <c r="AE154" s="9" t="s">
        <v>14</v>
      </c>
      <c r="AF154" s="66">
        <f>+W154</f>
        <v>6.375</v>
      </c>
      <c r="AG154" s="66"/>
      <c r="AH154" s="9" t="s">
        <v>6</v>
      </c>
      <c r="AI154" s="66">
        <f>+AI152</f>
        <v>4.5</v>
      </c>
      <c r="AJ154" s="66"/>
      <c r="AK154" s="1" t="s">
        <v>16</v>
      </c>
      <c r="AL154" s="66">
        <f>IF((AO154-AR154)&lt;=0,0,+AD142)</f>
        <v>0</v>
      </c>
      <c r="AM154" s="66"/>
      <c r="AN154" s="9" t="s">
        <v>14</v>
      </c>
      <c r="AO154" s="66">
        <f>+AF154</f>
        <v>6.375</v>
      </c>
      <c r="AP154" s="66"/>
      <c r="AQ154" s="9" t="s">
        <v>6</v>
      </c>
      <c r="AR154" s="66">
        <f>+AR152</f>
        <v>7</v>
      </c>
      <c r="AS154" s="66"/>
      <c r="AT154" s="1" t="s">
        <v>16</v>
      </c>
      <c r="AU154" s="66">
        <f>+AU152</f>
        <v>30</v>
      </c>
      <c r="AV154" s="66"/>
      <c r="AW154" s="9" t="s">
        <v>5</v>
      </c>
      <c r="AX154" s="66">
        <f>+AO154</f>
        <v>6.375</v>
      </c>
      <c r="AY154" s="66"/>
      <c r="AZ154" s="1" t="s">
        <v>190</v>
      </c>
      <c r="BA154" s="1">
        <v>2</v>
      </c>
      <c r="BB154" s="9" t="s">
        <v>7</v>
      </c>
      <c r="BC154" s="66">
        <f>E154*H154-K154*(N154-Q154)-T154*(W154-Z154)-AC154*(AF154-AI154)-AL154*(AO154-AR154)-AU154*AX154^2/BA154</f>
        <v>270.703125</v>
      </c>
      <c r="BD154" s="66"/>
      <c r="BE154" s="66"/>
      <c r="BF154" s="1" t="s">
        <v>191</v>
      </c>
      <c r="BH154" s="9"/>
      <c r="BI154" s="9"/>
      <c r="BJ154" s="9"/>
      <c r="BK154" s="9"/>
      <c r="BM154" s="9"/>
      <c r="BN154" s="9"/>
      <c r="BO154" s="9"/>
      <c r="BP154" s="9"/>
      <c r="BQ154" s="9"/>
      <c r="BT154" s="9"/>
      <c r="BU154" s="9"/>
      <c r="BV154" s="9"/>
      <c r="BW154" s="9"/>
      <c r="CC154" s="7"/>
    </row>
    <row r="155" spans="2:81">
      <c r="B155" s="6"/>
      <c r="C155" s="1" t="s">
        <v>300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U155" s="9"/>
      <c r="V155" s="9"/>
      <c r="W155" s="9"/>
      <c r="X155" s="9"/>
      <c r="Y155" s="9"/>
      <c r="Z155" s="9"/>
      <c r="AA155" s="9"/>
      <c r="AB155" s="9"/>
      <c r="AD155" s="9"/>
      <c r="AE155" s="9"/>
      <c r="AF155" s="9"/>
      <c r="AG155" s="9"/>
      <c r="AH155" s="9"/>
      <c r="AI155" s="9"/>
      <c r="AJ155" s="9"/>
      <c r="AK155" s="9"/>
      <c r="AM155" s="9"/>
      <c r="AN155" s="9"/>
      <c r="AO155" s="9"/>
      <c r="AP155" s="9"/>
      <c r="AQ155" s="9"/>
      <c r="AR155" s="9"/>
      <c r="AS155" s="9"/>
      <c r="AT155" s="9"/>
      <c r="AV155" s="9"/>
      <c r="AW155" s="9"/>
      <c r="AX155" s="9"/>
      <c r="AY155" s="9"/>
      <c r="AZ155" s="9"/>
      <c r="BA155" s="9"/>
      <c r="BB155" s="9"/>
      <c r="BC155" s="9"/>
      <c r="BE155" s="9"/>
      <c r="BF155" s="9"/>
      <c r="BG155" s="9"/>
      <c r="BH155" s="9"/>
      <c r="BI155" s="9"/>
      <c r="BJ155" s="9"/>
      <c r="BK155" s="9"/>
      <c r="BL155" s="9"/>
      <c r="BN155" s="9"/>
      <c r="BO155" s="9"/>
      <c r="BP155" s="9"/>
      <c r="BQ155" s="9"/>
      <c r="BR155" s="9"/>
      <c r="BU155" s="9"/>
      <c r="BV155" s="9"/>
      <c r="BW155" s="9"/>
      <c r="BX155" s="9"/>
      <c r="CC155" s="7"/>
    </row>
    <row r="156" spans="2:81">
      <c r="B156" s="6"/>
      <c r="C156" s="1" t="s">
        <v>301</v>
      </c>
      <c r="E156" s="66">
        <v>12.5</v>
      </c>
      <c r="F156" s="66"/>
      <c r="G156" s="9" t="s">
        <v>5</v>
      </c>
      <c r="H156" s="66">
        <f>+BD148</f>
        <v>371.02977220299891</v>
      </c>
      <c r="I156" s="66"/>
      <c r="J156" s="66"/>
      <c r="K156" s="9" t="s">
        <v>275</v>
      </c>
      <c r="L156" s="66">
        <v>2.5</v>
      </c>
      <c r="M156" s="66"/>
      <c r="N156" s="9" t="s">
        <v>5</v>
      </c>
      <c r="O156" s="66">
        <f>+H156</f>
        <v>371.02977220299891</v>
      </c>
      <c r="P156" s="66"/>
      <c r="Q156" s="66"/>
      <c r="R156" s="9" t="s">
        <v>9</v>
      </c>
      <c r="S156" s="9">
        <v>3</v>
      </c>
      <c r="T156" s="9" t="s">
        <v>5</v>
      </c>
      <c r="U156" s="66">
        <f>+BC152</f>
        <v>280.703125</v>
      </c>
      <c r="V156" s="66"/>
      <c r="W156" s="66"/>
      <c r="X156" s="9" t="s">
        <v>9</v>
      </c>
      <c r="Y156" s="9">
        <v>4</v>
      </c>
      <c r="Z156" s="9" t="s">
        <v>5</v>
      </c>
      <c r="AA156" s="66">
        <f>+BC150</f>
        <v>370.9375</v>
      </c>
      <c r="AB156" s="66"/>
      <c r="AC156" s="66"/>
      <c r="AD156" s="9" t="s">
        <v>9</v>
      </c>
      <c r="AE156" s="9">
        <v>3</v>
      </c>
      <c r="AF156" s="9" t="s">
        <v>5</v>
      </c>
      <c r="AG156" s="66">
        <f>+BC154</f>
        <v>270.703125</v>
      </c>
      <c r="AH156" s="66"/>
      <c r="AI156" s="66"/>
      <c r="AJ156" s="9" t="s">
        <v>201</v>
      </c>
      <c r="AK156" s="66">
        <f>E156*H156/(L156*O156+S156*U156+Y156*AA156+AE156*AG156)</f>
        <v>1.1407755241105437</v>
      </c>
      <c r="AL156" s="66"/>
      <c r="AM156" s="66"/>
      <c r="AN156" s="9"/>
      <c r="AO156" s="9"/>
      <c r="AP156" s="9"/>
      <c r="AQ156" s="9"/>
      <c r="AR156" s="9"/>
      <c r="AS156" s="9"/>
      <c r="AT156" s="9"/>
      <c r="AV156" s="9"/>
      <c r="AW156" s="9"/>
      <c r="AX156" s="9"/>
      <c r="AY156" s="9"/>
      <c r="AZ156" s="9"/>
      <c r="BA156" s="9"/>
      <c r="BB156" s="9"/>
      <c r="BC156" s="9"/>
      <c r="BE156" s="9"/>
      <c r="BF156" s="9"/>
      <c r="BG156" s="9"/>
      <c r="BH156" s="9"/>
      <c r="BI156" s="9"/>
      <c r="BJ156" s="9"/>
      <c r="BK156" s="9"/>
      <c r="BL156" s="9"/>
      <c r="BN156" s="9"/>
      <c r="BO156" s="9"/>
      <c r="BP156" s="9"/>
      <c r="BQ156" s="9"/>
      <c r="BR156" s="9"/>
      <c r="BU156" s="9"/>
      <c r="BV156" s="9"/>
      <c r="BW156" s="9"/>
      <c r="BX156" s="9"/>
      <c r="CC156" s="7"/>
    </row>
    <row r="157" spans="2:81">
      <c r="B157" s="6"/>
      <c r="C157" s="23" t="s">
        <v>223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L157" s="9"/>
      <c r="AM157" s="9"/>
      <c r="AN157" s="9"/>
      <c r="AO157" s="9"/>
      <c r="AP157" s="9"/>
      <c r="AQ157" s="9"/>
      <c r="AR157" s="9"/>
      <c r="AS157" s="9"/>
      <c r="AU157" s="9"/>
      <c r="AV157" s="9"/>
      <c r="AW157" s="9"/>
      <c r="AX157" s="9"/>
      <c r="AY157" s="9"/>
      <c r="AZ157" s="9"/>
      <c r="BA157" s="9"/>
      <c r="BB157" s="9"/>
      <c r="BD157" s="9"/>
      <c r="BE157" s="9"/>
      <c r="BF157" s="9"/>
      <c r="BG157" s="9"/>
      <c r="BH157" s="9"/>
      <c r="BI157" s="9"/>
      <c r="BJ157" s="9"/>
      <c r="BK157" s="9"/>
      <c r="BM157" s="9"/>
      <c r="BN157" s="9"/>
      <c r="BO157" s="9"/>
      <c r="BP157" s="9"/>
      <c r="BQ157" s="9"/>
      <c r="BT157" s="9"/>
      <c r="BU157" s="9"/>
      <c r="BV157" s="9"/>
      <c r="BW157" s="9"/>
      <c r="CC157" s="7"/>
    </row>
    <row r="158" spans="2:81">
      <c r="B158" s="6"/>
      <c r="C158" s="1" t="s">
        <v>194</v>
      </c>
      <c r="I158" s="66">
        <f>+E142</f>
        <v>169.85294117647058</v>
      </c>
      <c r="J158" s="66"/>
      <c r="K158" s="1" t="s">
        <v>18</v>
      </c>
      <c r="M158" s="1">
        <v>2</v>
      </c>
      <c r="N158" s="9" t="s">
        <v>6</v>
      </c>
      <c r="O158" s="66">
        <f>+I142</f>
        <v>20</v>
      </c>
      <c r="P158" s="66"/>
      <c r="Q158" s="1" t="s">
        <v>15</v>
      </c>
      <c r="S158" s="66">
        <f>+M142</f>
        <v>1.5</v>
      </c>
      <c r="T158" s="66"/>
      <c r="U158" s="1" t="s">
        <v>19</v>
      </c>
      <c r="W158" s="66">
        <f>+P142</f>
        <v>20</v>
      </c>
      <c r="X158" s="66"/>
      <c r="Y158" s="1" t="s">
        <v>15</v>
      </c>
      <c r="AA158" s="66">
        <f>+T142</f>
        <v>3</v>
      </c>
      <c r="AB158" s="66"/>
      <c r="AC158" s="1" t="s">
        <v>19</v>
      </c>
      <c r="AE158" s="66">
        <f>+W142</f>
        <v>20</v>
      </c>
      <c r="AF158" s="66"/>
      <c r="AG158" s="1" t="s">
        <v>15</v>
      </c>
      <c r="AI158" s="66">
        <f>+AA142</f>
        <v>4.5</v>
      </c>
      <c r="AJ158" s="66"/>
      <c r="AK158" s="1" t="s">
        <v>19</v>
      </c>
      <c r="AM158" s="66">
        <f>+AD142</f>
        <v>20</v>
      </c>
      <c r="AN158" s="66"/>
      <c r="AO158" s="1" t="s">
        <v>15</v>
      </c>
      <c r="AQ158" s="66">
        <f>+AH142</f>
        <v>7</v>
      </c>
      <c r="AR158" s="66"/>
      <c r="AS158" s="1" t="s">
        <v>20</v>
      </c>
      <c r="AU158" s="9" t="s">
        <v>6</v>
      </c>
      <c r="AV158" s="66">
        <f>+AK142</f>
        <v>30</v>
      </c>
      <c r="AW158" s="66"/>
      <c r="AX158" s="9" t="s">
        <v>5</v>
      </c>
      <c r="AY158" s="1" t="s">
        <v>184</v>
      </c>
      <c r="AZ158" s="1" t="s">
        <v>173</v>
      </c>
      <c r="BA158" s="1">
        <v>6</v>
      </c>
      <c r="BB158" s="9" t="s">
        <v>9</v>
      </c>
      <c r="BC158" s="1" t="s">
        <v>24</v>
      </c>
      <c r="BF158" s="1" t="s">
        <v>180</v>
      </c>
      <c r="CC158" s="7"/>
    </row>
    <row r="159" spans="2:81">
      <c r="B159" s="6"/>
      <c r="C159" s="1" t="s">
        <v>195</v>
      </c>
      <c r="H159" s="66">
        <f>+I158</f>
        <v>169.85294117647058</v>
      </c>
      <c r="I159" s="66"/>
      <c r="J159" s="1" t="s">
        <v>21</v>
      </c>
      <c r="L159" s="1">
        <v>6</v>
      </c>
      <c r="M159" s="9" t="s">
        <v>6</v>
      </c>
      <c r="N159" s="66">
        <f>+O158</f>
        <v>20</v>
      </c>
      <c r="O159" s="66"/>
      <c r="P159" s="1" t="s">
        <v>15</v>
      </c>
      <c r="R159" s="66">
        <f>+S158</f>
        <v>1.5</v>
      </c>
      <c r="S159" s="66"/>
      <c r="T159" s="1" t="s">
        <v>22</v>
      </c>
      <c r="V159" s="66">
        <f>+W158</f>
        <v>20</v>
      </c>
      <c r="W159" s="66"/>
      <c r="X159" s="1" t="s">
        <v>15</v>
      </c>
      <c r="Z159" s="66">
        <f>+AA158</f>
        <v>3</v>
      </c>
      <c r="AA159" s="66"/>
      <c r="AB159" s="1" t="s">
        <v>22</v>
      </c>
      <c r="AD159" s="66">
        <f>+AE158</f>
        <v>20</v>
      </c>
      <c r="AE159" s="66"/>
      <c r="AF159" s="1" t="s">
        <v>15</v>
      </c>
      <c r="AH159" s="66">
        <f>+AI158</f>
        <v>4.5</v>
      </c>
      <c r="AI159" s="66"/>
      <c r="AJ159" s="1" t="s">
        <v>22</v>
      </c>
      <c r="AL159" s="66">
        <f>+AM158</f>
        <v>20</v>
      </c>
      <c r="AM159" s="66"/>
      <c r="AN159" s="1" t="s">
        <v>15</v>
      </c>
      <c r="AP159" s="66">
        <f>+AQ158</f>
        <v>7</v>
      </c>
      <c r="AQ159" s="66"/>
      <c r="AR159" s="1" t="s">
        <v>23</v>
      </c>
      <c r="AT159" s="9" t="s">
        <v>6</v>
      </c>
      <c r="AU159" s="66">
        <f>+AV158</f>
        <v>30</v>
      </c>
      <c r="AV159" s="66"/>
      <c r="AW159" s="9" t="s">
        <v>5</v>
      </c>
      <c r="AX159" s="1" t="s">
        <v>185</v>
      </c>
      <c r="AY159" s="1" t="s">
        <v>173</v>
      </c>
      <c r="AZ159" s="66">
        <v>24</v>
      </c>
      <c r="BA159" s="66"/>
      <c r="BB159" s="1" t="s">
        <v>25</v>
      </c>
      <c r="BH159" s="1" t="s">
        <v>180</v>
      </c>
      <c r="CC159" s="7"/>
    </row>
    <row r="160" spans="2:81">
      <c r="B160" s="6"/>
      <c r="C160" s="1" t="s">
        <v>26</v>
      </c>
      <c r="CC160" s="7"/>
    </row>
    <row r="161" spans="2:81">
      <c r="B161" s="6"/>
      <c r="C161" s="1" t="s">
        <v>27</v>
      </c>
      <c r="D161" s="66">
        <f>+AG130</f>
        <v>8.5</v>
      </c>
      <c r="E161" s="66"/>
      <c r="F161" s="1" t="s">
        <v>1</v>
      </c>
      <c r="G161" s="1" t="s">
        <v>28</v>
      </c>
      <c r="H161" s="1" t="s">
        <v>29</v>
      </c>
      <c r="CC161" s="7"/>
    </row>
    <row r="162" spans="2:81">
      <c r="B162" s="6"/>
      <c r="C162" s="66">
        <f>+H159</f>
        <v>169.85294117647058</v>
      </c>
      <c r="D162" s="66"/>
      <c r="E162" s="9" t="s">
        <v>5</v>
      </c>
      <c r="F162" s="66">
        <f>+D161</f>
        <v>8.5</v>
      </c>
      <c r="G162" s="66"/>
      <c r="H162" s="1" t="s">
        <v>30</v>
      </c>
      <c r="I162" s="1">
        <v>6</v>
      </c>
      <c r="J162" s="9" t="s">
        <v>6</v>
      </c>
      <c r="K162" s="66">
        <f>+N159</f>
        <v>20</v>
      </c>
      <c r="L162" s="66"/>
      <c r="M162" s="1" t="s">
        <v>14</v>
      </c>
      <c r="N162" s="66">
        <f>+D161</f>
        <v>8.5</v>
      </c>
      <c r="O162" s="66"/>
      <c r="P162" s="9" t="s">
        <v>6</v>
      </c>
      <c r="Q162" s="66">
        <f>+R159</f>
        <v>1.5</v>
      </c>
      <c r="R162" s="66"/>
      <c r="S162" s="1" t="s">
        <v>31</v>
      </c>
      <c r="T162" s="1">
        <v>6</v>
      </c>
      <c r="U162" s="9" t="s">
        <v>6</v>
      </c>
      <c r="V162" s="66">
        <f>+V159</f>
        <v>20</v>
      </c>
      <c r="W162" s="66"/>
      <c r="X162" s="1" t="s">
        <v>14</v>
      </c>
      <c r="Y162" s="66">
        <f>+N162</f>
        <v>8.5</v>
      </c>
      <c r="Z162" s="66"/>
      <c r="AA162" s="9" t="s">
        <v>6</v>
      </c>
      <c r="AB162" s="66">
        <f>+Z159</f>
        <v>3</v>
      </c>
      <c r="AC162" s="66"/>
      <c r="AD162" s="1" t="s">
        <v>31</v>
      </c>
      <c r="AE162" s="1">
        <v>6</v>
      </c>
      <c r="AF162" s="9" t="s">
        <v>6</v>
      </c>
      <c r="AG162" s="66">
        <f>+AD159</f>
        <v>20</v>
      </c>
      <c r="AH162" s="66"/>
      <c r="AI162" s="1" t="s">
        <v>14</v>
      </c>
      <c r="AJ162" s="66">
        <f>+Y162</f>
        <v>8.5</v>
      </c>
      <c r="AK162" s="66"/>
      <c r="AL162" s="9" t="s">
        <v>6</v>
      </c>
      <c r="AM162" s="66">
        <f>+AH159</f>
        <v>4.5</v>
      </c>
      <c r="AN162" s="66"/>
      <c r="AO162" s="1" t="s">
        <v>31</v>
      </c>
      <c r="AP162" s="1">
        <v>6</v>
      </c>
      <c r="AQ162" s="9" t="s">
        <v>6</v>
      </c>
      <c r="AR162" s="66">
        <f>+AL159</f>
        <v>20</v>
      </c>
      <c r="AS162" s="66"/>
      <c r="AT162" s="1" t="s">
        <v>14</v>
      </c>
      <c r="AU162" s="66">
        <f>+AJ162</f>
        <v>8.5</v>
      </c>
      <c r="AV162" s="66"/>
      <c r="AW162" s="9" t="s">
        <v>6</v>
      </c>
      <c r="AX162" s="66">
        <f>+AP159</f>
        <v>7</v>
      </c>
      <c r="AY162" s="66"/>
      <c r="AZ162" s="1" t="s">
        <v>31</v>
      </c>
      <c r="BA162" s="1">
        <v>6</v>
      </c>
      <c r="BB162" s="9" t="s">
        <v>6</v>
      </c>
      <c r="BC162" s="66">
        <f>+AU159</f>
        <v>30</v>
      </c>
      <c r="BD162" s="66"/>
      <c r="BE162" s="9" t="s">
        <v>5</v>
      </c>
      <c r="BF162" s="66">
        <f>+AU162</f>
        <v>8.5</v>
      </c>
      <c r="BG162" s="66"/>
      <c r="BH162" s="1" t="s">
        <v>188</v>
      </c>
      <c r="BI162" s="66">
        <v>24</v>
      </c>
      <c r="BJ162" s="66"/>
      <c r="BK162" s="9" t="s">
        <v>9</v>
      </c>
      <c r="BL162" s="66">
        <f>+AU162</f>
        <v>8.5</v>
      </c>
      <c r="BM162" s="66"/>
      <c r="BN162" s="9" t="s">
        <v>5</v>
      </c>
      <c r="BO162" s="1" t="s">
        <v>24</v>
      </c>
      <c r="BP162" s="9" t="s">
        <v>7</v>
      </c>
      <c r="BQ162" s="1">
        <v>0</v>
      </c>
      <c r="CC162" s="7"/>
    </row>
    <row r="163" spans="2:81">
      <c r="B163" s="6"/>
      <c r="C163" s="1" t="s">
        <v>32</v>
      </c>
      <c r="E163" s="66">
        <f>-(C162*F162^3/I162-K162*(N162-Q162)^3/T162-V162*(Y162-AB162)^3/AE162-AG162*(AJ162-AM162)^3/AP162-AR162*(AU162-AX162)^3/BA162-BC162*BF162^4/BI162)/BL162</f>
        <v>-1051.4797794117644</v>
      </c>
      <c r="F163" s="66"/>
      <c r="G163" s="66"/>
      <c r="CC163" s="7"/>
    </row>
    <row r="164" spans="2:81">
      <c r="B164" s="6"/>
      <c r="C164" s="1" t="s">
        <v>195</v>
      </c>
      <c r="H164" s="66">
        <f>+H159</f>
        <v>169.85294117647058</v>
      </c>
      <c r="I164" s="66"/>
      <c r="J164" s="1" t="s">
        <v>21</v>
      </c>
      <c r="L164" s="1">
        <v>6</v>
      </c>
      <c r="M164" s="9" t="s">
        <v>6</v>
      </c>
      <c r="N164" s="66">
        <f>+N159</f>
        <v>20</v>
      </c>
      <c r="O164" s="66"/>
      <c r="P164" s="1" t="s">
        <v>15</v>
      </c>
      <c r="R164" s="66">
        <f>+R159</f>
        <v>1.5</v>
      </c>
      <c r="S164" s="66"/>
      <c r="T164" s="1" t="s">
        <v>22</v>
      </c>
      <c r="V164" s="66">
        <f>+V159</f>
        <v>20</v>
      </c>
      <c r="W164" s="66"/>
      <c r="X164" s="1" t="s">
        <v>15</v>
      </c>
      <c r="Z164" s="66">
        <f>+Z159</f>
        <v>3</v>
      </c>
      <c r="AA164" s="66"/>
      <c r="AB164" s="1" t="s">
        <v>22</v>
      </c>
      <c r="AD164" s="66">
        <f>+AD159</f>
        <v>20</v>
      </c>
      <c r="AE164" s="66"/>
      <c r="AF164" s="1" t="s">
        <v>15</v>
      </c>
      <c r="AH164" s="66">
        <f>+AH159</f>
        <v>4.5</v>
      </c>
      <c r="AI164" s="66"/>
      <c r="AJ164" s="1" t="s">
        <v>22</v>
      </c>
      <c r="AL164" s="66">
        <f>+AL159</f>
        <v>20</v>
      </c>
      <c r="AM164" s="66"/>
      <c r="AN164" s="1" t="s">
        <v>15</v>
      </c>
      <c r="AP164" s="66">
        <f>+AP159</f>
        <v>7</v>
      </c>
      <c r="AQ164" s="66"/>
      <c r="AR164" s="1" t="s">
        <v>181</v>
      </c>
      <c r="AT164" s="9" t="s">
        <v>6</v>
      </c>
      <c r="AU164" s="66">
        <f>+BC162</f>
        <v>30</v>
      </c>
      <c r="AV164" s="66"/>
      <c r="AW164" s="9" t="s">
        <v>5</v>
      </c>
      <c r="AX164" s="1" t="s">
        <v>185</v>
      </c>
      <c r="AY164" s="1" t="s">
        <v>173</v>
      </c>
      <c r="AZ164" s="66">
        <v>24</v>
      </c>
      <c r="BA164" s="66"/>
      <c r="BB164" s="9" t="s">
        <v>9</v>
      </c>
      <c r="BC164" s="66">
        <f>+E163</f>
        <v>-1051.4797794117644</v>
      </c>
      <c r="BD164" s="66"/>
      <c r="BE164" s="66"/>
      <c r="BF164" s="9" t="s">
        <v>5</v>
      </c>
      <c r="BG164" s="1" t="s">
        <v>13</v>
      </c>
      <c r="CC164" s="7"/>
    </row>
    <row r="165" spans="2:81">
      <c r="B165" s="6"/>
      <c r="C165" s="1" t="s">
        <v>35</v>
      </c>
      <c r="E165" s="66">
        <f>+H164</f>
        <v>169.85294117647058</v>
      </c>
      <c r="F165" s="66"/>
      <c r="G165" s="1" t="s">
        <v>21</v>
      </c>
      <c r="I165" s="1">
        <v>6</v>
      </c>
      <c r="J165" s="9" t="s">
        <v>6</v>
      </c>
      <c r="K165" s="66">
        <f>+N164</f>
        <v>20</v>
      </c>
      <c r="L165" s="66"/>
      <c r="M165" s="1" t="s">
        <v>15</v>
      </c>
      <c r="O165" s="66">
        <f>+R164</f>
        <v>1.5</v>
      </c>
      <c r="P165" s="66"/>
      <c r="Q165" s="1" t="s">
        <v>22</v>
      </c>
      <c r="S165" s="66">
        <f>+V164</f>
        <v>20</v>
      </c>
      <c r="T165" s="66"/>
      <c r="U165" s="1" t="s">
        <v>15</v>
      </c>
      <c r="W165" s="66">
        <f>+Z164</f>
        <v>3</v>
      </c>
      <c r="X165" s="66"/>
      <c r="Y165" s="1" t="s">
        <v>22</v>
      </c>
      <c r="AA165" s="66">
        <f>+AD164</f>
        <v>20</v>
      </c>
      <c r="AB165" s="66"/>
      <c r="AC165" s="1" t="s">
        <v>15</v>
      </c>
      <c r="AE165" s="66">
        <f>+AH164</f>
        <v>4.5</v>
      </c>
      <c r="AF165" s="66"/>
      <c r="AG165" s="1" t="s">
        <v>22</v>
      </c>
      <c r="AI165" s="66">
        <f>+AL164</f>
        <v>20</v>
      </c>
      <c r="AJ165" s="66"/>
      <c r="AK165" s="1" t="s">
        <v>15</v>
      </c>
      <c r="AM165" s="66">
        <f>+AP164</f>
        <v>7</v>
      </c>
      <c r="AN165" s="66"/>
      <c r="AO165" s="1" t="s">
        <v>23</v>
      </c>
      <c r="AQ165" s="9" t="s">
        <v>6</v>
      </c>
      <c r="AR165" s="66">
        <f>+AU164</f>
        <v>30</v>
      </c>
      <c r="AS165" s="66"/>
      <c r="AT165" s="9" t="s">
        <v>5</v>
      </c>
      <c r="AU165" s="1" t="s">
        <v>185</v>
      </c>
      <c r="AV165" s="1" t="s">
        <v>173</v>
      </c>
      <c r="AW165" s="66">
        <v>24</v>
      </c>
      <c r="AX165" s="66"/>
      <c r="AY165" s="9" t="s">
        <v>9</v>
      </c>
      <c r="AZ165" s="66">
        <f>+BC164</f>
        <v>-1051.4797794117644</v>
      </c>
      <c r="BA165" s="66"/>
      <c r="BB165" s="66"/>
      <c r="BC165" s="9" t="s">
        <v>5</v>
      </c>
      <c r="BD165" s="1" t="s">
        <v>196</v>
      </c>
      <c r="CC165" s="7"/>
    </row>
    <row r="166" spans="2:81">
      <c r="B166" s="6"/>
      <c r="C166" s="1" t="s">
        <v>27</v>
      </c>
      <c r="D166" s="67">
        <f>+AG130/2</f>
        <v>4.25</v>
      </c>
      <c r="E166" s="67"/>
      <c r="F166" s="67"/>
      <c r="G166" s="1" t="s">
        <v>42</v>
      </c>
      <c r="P166" s="8" t="str">
        <f>IF(D166&lt;=AG130,"","azalt.")</f>
        <v/>
      </c>
      <c r="CC166" s="7"/>
    </row>
    <row r="167" spans="2:81">
      <c r="B167" s="6"/>
      <c r="C167" s="1" t="s">
        <v>35</v>
      </c>
      <c r="E167" s="66">
        <f>+E165</f>
        <v>169.85294117647058</v>
      </c>
      <c r="F167" s="66"/>
      <c r="G167" s="9" t="s">
        <v>5</v>
      </c>
      <c r="H167" s="66">
        <f>+D166</f>
        <v>4.25</v>
      </c>
      <c r="I167" s="66"/>
      <c r="J167" s="1" t="s">
        <v>30</v>
      </c>
      <c r="K167" s="1">
        <v>6</v>
      </c>
      <c r="L167" s="9" t="s">
        <v>6</v>
      </c>
      <c r="M167" s="66">
        <f>IF((P167-S167)&lt;=0,0,+K165)</f>
        <v>20</v>
      </c>
      <c r="N167" s="66"/>
      <c r="O167" s="1" t="s">
        <v>14</v>
      </c>
      <c r="P167" s="66">
        <f>+D166</f>
        <v>4.25</v>
      </c>
      <c r="Q167" s="66"/>
      <c r="R167" s="9" t="s">
        <v>6</v>
      </c>
      <c r="S167" s="66">
        <f>+O165</f>
        <v>1.5</v>
      </c>
      <c r="T167" s="66"/>
      <c r="U167" s="1" t="s">
        <v>31</v>
      </c>
      <c r="V167" s="1">
        <v>6</v>
      </c>
      <c r="W167" s="9" t="s">
        <v>6</v>
      </c>
      <c r="X167" s="66">
        <f>IF((AA167-AD167)&lt;=0,0,+S165)</f>
        <v>20</v>
      </c>
      <c r="Y167" s="66"/>
      <c r="Z167" s="1" t="s">
        <v>14</v>
      </c>
      <c r="AA167" s="66">
        <f>+P167</f>
        <v>4.25</v>
      </c>
      <c r="AB167" s="66"/>
      <c r="AC167" s="9" t="s">
        <v>6</v>
      </c>
      <c r="AD167" s="66">
        <f>+W165</f>
        <v>3</v>
      </c>
      <c r="AE167" s="66"/>
      <c r="AF167" s="1" t="s">
        <v>31</v>
      </c>
      <c r="AG167" s="1">
        <v>6</v>
      </c>
      <c r="AH167" s="9" t="s">
        <v>6</v>
      </c>
      <c r="AI167" s="66">
        <f>IF((AL167-AO167)&lt;=0,0,+AA165)</f>
        <v>0</v>
      </c>
      <c r="AJ167" s="66"/>
      <c r="AK167" s="1" t="s">
        <v>14</v>
      </c>
      <c r="AL167" s="66">
        <f>+AA167</f>
        <v>4.25</v>
      </c>
      <c r="AM167" s="66"/>
      <c r="AN167" s="9" t="s">
        <v>6</v>
      </c>
      <c r="AO167" s="66">
        <f>+AE165</f>
        <v>4.5</v>
      </c>
      <c r="AP167" s="66"/>
      <c r="AQ167" s="1" t="s">
        <v>31</v>
      </c>
      <c r="AR167" s="1">
        <v>6</v>
      </c>
      <c r="AS167" s="9" t="s">
        <v>6</v>
      </c>
      <c r="AT167" s="66">
        <f>IF((AW167-AZ167)&lt;=0,0,+AI165)</f>
        <v>0</v>
      </c>
      <c r="AU167" s="66"/>
      <c r="AV167" s="1" t="s">
        <v>14</v>
      </c>
      <c r="AW167" s="66">
        <f>+AL167</f>
        <v>4.25</v>
      </c>
      <c r="AX167" s="66"/>
      <c r="AY167" s="9" t="s">
        <v>6</v>
      </c>
      <c r="AZ167" s="66">
        <f>+AM165</f>
        <v>7</v>
      </c>
      <c r="BA167" s="66"/>
      <c r="BB167" s="1" t="s">
        <v>31</v>
      </c>
      <c r="BC167" s="1">
        <v>6</v>
      </c>
      <c r="BD167" s="9" t="s">
        <v>6</v>
      </c>
      <c r="BE167" s="66">
        <f>+AR165</f>
        <v>30</v>
      </c>
      <c r="BF167" s="66"/>
      <c r="BG167" s="9" t="s">
        <v>5</v>
      </c>
      <c r="BH167" s="66">
        <f>+AW167</f>
        <v>4.25</v>
      </c>
      <c r="BI167" s="66"/>
      <c r="BJ167" s="1" t="s">
        <v>186</v>
      </c>
      <c r="BK167" s="66">
        <v>24</v>
      </c>
      <c r="BL167" s="66"/>
      <c r="BM167" s="9" t="s">
        <v>9</v>
      </c>
      <c r="CC167" s="7"/>
    </row>
    <row r="168" spans="2:81">
      <c r="B168" s="6"/>
      <c r="D168" s="9" t="s">
        <v>9</v>
      </c>
      <c r="E168" s="66">
        <f>+AZ165</f>
        <v>-1051.4797794117644</v>
      </c>
      <c r="F168" s="66"/>
      <c r="G168" s="66"/>
      <c r="H168" s="9" t="s">
        <v>5</v>
      </c>
      <c r="I168" s="66">
        <f>+AW167</f>
        <v>4.25</v>
      </c>
      <c r="J168" s="66"/>
      <c r="K168" s="1" t="s">
        <v>193</v>
      </c>
      <c r="N168" s="66">
        <f>+Z133</f>
        <v>200000</v>
      </c>
      <c r="O168" s="66"/>
      <c r="P168" s="66"/>
      <c r="Q168" s="9" t="s">
        <v>5</v>
      </c>
      <c r="R168" s="66">
        <f>+Z132</f>
        <v>92080</v>
      </c>
      <c r="S168" s="66"/>
      <c r="T168" s="66"/>
      <c r="U168" s="1" t="s">
        <v>40</v>
      </c>
      <c r="W168" s="9"/>
      <c r="X168" s="9"/>
      <c r="Y168" s="9"/>
      <c r="AA168" s="9"/>
      <c r="AB168" s="9"/>
      <c r="AC168" s="9"/>
      <c r="AD168" s="9"/>
      <c r="AE168" s="9"/>
      <c r="AH168" s="9"/>
      <c r="AI168" s="9"/>
      <c r="AJ168" s="9"/>
      <c r="AL168" s="9"/>
      <c r="AM168" s="9"/>
      <c r="AN168" s="9"/>
      <c r="AO168" s="9"/>
      <c r="AP168" s="9"/>
      <c r="AS168" s="9"/>
      <c r="AT168" s="9"/>
      <c r="AU168" s="9"/>
      <c r="AW168" s="9"/>
      <c r="AX168" s="9"/>
      <c r="AY168" s="9"/>
      <c r="AZ168" s="9"/>
      <c r="BA168" s="9"/>
      <c r="BD168" s="9"/>
      <c r="BE168" s="9"/>
      <c r="BF168" s="9"/>
      <c r="BG168" s="9"/>
      <c r="BH168" s="9"/>
      <c r="BI168" s="9"/>
      <c r="BK168" s="9"/>
      <c r="BL168" s="9"/>
      <c r="BM168" s="9"/>
      <c r="BN168" s="9"/>
      <c r="BO168" s="9"/>
      <c r="BP168" s="9"/>
      <c r="BQ168" s="9"/>
      <c r="BR168" s="9"/>
      <c r="BS168" s="9"/>
      <c r="BW168" s="9"/>
      <c r="BX168" s="9"/>
      <c r="BY168" s="9"/>
      <c r="BZ168" s="9"/>
      <c r="CA168" s="9"/>
      <c r="CB168" s="9"/>
      <c r="CC168" s="7"/>
    </row>
    <row r="169" spans="2:81">
      <c r="B169" s="6"/>
      <c r="C169" s="1" t="s">
        <v>33</v>
      </c>
      <c r="E169" s="66">
        <f>-(E167*H167^3/K167-M167*(P167-S167)^3/V167-X167*(AA167-AD167)^3/AG167-AI167*(AL167-AO167)^3/AR167-AT167*(AW167-AZ167)^3/BC167-BE167*BH167^4/BK167+E168*I168)*100000000/(N168*R168)</f>
        <v>15.091742220872241</v>
      </c>
      <c r="F169" s="66"/>
      <c r="G169" s="66"/>
      <c r="H169" s="1" t="s">
        <v>41</v>
      </c>
      <c r="CC169" s="7"/>
    </row>
    <row r="170" spans="2:81">
      <c r="B170" s="6"/>
      <c r="C170" s="1" t="s">
        <v>172</v>
      </c>
      <c r="H170" s="66">
        <f>+AG130*1000</f>
        <v>8500</v>
      </c>
      <c r="I170" s="66"/>
      <c r="J170" s="66"/>
      <c r="K170" s="1" t="s">
        <v>173</v>
      </c>
      <c r="L170" s="66">
        <v>300</v>
      </c>
      <c r="M170" s="66"/>
      <c r="N170" s="9" t="s">
        <v>7</v>
      </c>
      <c r="O170" s="66">
        <f>+H170/L170</f>
        <v>28.333333333333332</v>
      </c>
      <c r="P170" s="66"/>
      <c r="Q170" s="66"/>
      <c r="R170" s="1" t="s">
        <v>41</v>
      </c>
      <c r="U170" s="1" t="s">
        <v>192</v>
      </c>
      <c r="CC170" s="7"/>
    </row>
    <row r="171" spans="2:81">
      <c r="B171" s="6"/>
      <c r="C171" s="1" t="s">
        <v>34</v>
      </c>
      <c r="D171" s="66">
        <f>+E169</f>
        <v>15.091742220872241</v>
      </c>
      <c r="E171" s="66"/>
      <c r="F171" s="66"/>
      <c r="G171" s="1" t="s">
        <v>41</v>
      </c>
      <c r="I171" s="1" t="str">
        <f>IF(D171&lt;M171,"&lt;","&gt;")</f>
        <v>&lt;</v>
      </c>
      <c r="J171" s="1" t="s">
        <v>174</v>
      </c>
      <c r="M171" s="66">
        <f>+O170</f>
        <v>28.333333333333332</v>
      </c>
      <c r="N171" s="66"/>
      <c r="O171" s="66"/>
      <c r="P171" s="1" t="s">
        <v>41</v>
      </c>
      <c r="R171" s="8" t="str">
        <f>IF(D171&lt;M171,"uygun.","uygun değil.")</f>
        <v>uygun.</v>
      </c>
      <c r="CC171" s="7"/>
    </row>
    <row r="172" spans="2:81" ht="12" thickBot="1"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4"/>
    </row>
    <row r="173" spans="2:81" ht="12" thickBot="1"/>
    <row r="174" spans="2:81" ht="48" customHeight="1">
      <c r="B174" s="73" t="s">
        <v>206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5"/>
    </row>
    <row r="175" spans="2:81">
      <c r="B175" s="6"/>
      <c r="S175" s="8" t="s">
        <v>176</v>
      </c>
      <c r="CC175" s="7"/>
    </row>
    <row r="176" spans="2:81">
      <c r="B176" s="6"/>
      <c r="AQ176" s="1" t="s">
        <v>290</v>
      </c>
      <c r="CC176" s="7"/>
    </row>
    <row r="177" spans="2:81">
      <c r="B177" s="6"/>
      <c r="O177" s="67" t="s">
        <v>171</v>
      </c>
      <c r="P177" s="67"/>
      <c r="Q177" s="67"/>
      <c r="R177" s="67"/>
      <c r="S177" s="67"/>
      <c r="T177" s="67"/>
      <c r="Z177" s="67">
        <v>20</v>
      </c>
      <c r="AA177" s="67"/>
      <c r="AB177" s="1" t="s">
        <v>0</v>
      </c>
      <c r="AE177" s="67">
        <v>20</v>
      </c>
      <c r="AF177" s="67"/>
      <c r="AG177" s="1" t="s">
        <v>0</v>
      </c>
      <c r="AJ177" s="67">
        <v>20</v>
      </c>
      <c r="AK177" s="67"/>
      <c r="AL177" s="1" t="s">
        <v>0</v>
      </c>
      <c r="CC177" s="7"/>
    </row>
    <row r="178" spans="2:81">
      <c r="B178" s="6"/>
      <c r="AG178" s="67">
        <v>30</v>
      </c>
      <c r="AH178" s="67"/>
      <c r="AI178" s="1" t="s">
        <v>187</v>
      </c>
      <c r="CC178" s="7"/>
    </row>
    <row r="179" spans="2:81">
      <c r="B179" s="6"/>
      <c r="AW179" s="23" t="s">
        <v>341</v>
      </c>
      <c r="CC179" s="7"/>
    </row>
    <row r="180" spans="2:81">
      <c r="B180" s="6"/>
      <c r="AW180" s="1" t="s">
        <v>301</v>
      </c>
      <c r="AY180" s="66">
        <f>+AK213</f>
        <v>1.1207970112079697</v>
      </c>
      <c r="AZ180" s="66"/>
      <c r="BA180" s="66"/>
      <c r="CC180" s="7"/>
    </row>
    <row r="181" spans="2:81">
      <c r="B181" s="6"/>
      <c r="C181" s="71">
        <f>INDEX($CI$24:$CI$138,MATCH(O177,$CG$24:$CG$138,0),0)</f>
        <v>600</v>
      </c>
      <c r="AW181" s="1" t="s">
        <v>297</v>
      </c>
      <c r="AY181" s="66">
        <f>+AU205</f>
        <v>179.99999999999994</v>
      </c>
      <c r="AZ181" s="66"/>
      <c r="BA181" s="66"/>
      <c r="BB181" s="1" t="s">
        <v>191</v>
      </c>
      <c r="BD181" s="1" t="s">
        <v>329</v>
      </c>
      <c r="CC181" s="7"/>
    </row>
    <row r="182" spans="2:81">
      <c r="B182" s="6"/>
      <c r="C182" s="71"/>
      <c r="Y182" s="1" t="s">
        <v>13</v>
      </c>
      <c r="AW182" s="1" t="s">
        <v>330</v>
      </c>
      <c r="AZ182" s="66">
        <f>MAX(U184,AO184)</f>
        <v>120</v>
      </c>
      <c r="BA182" s="66"/>
      <c r="BB182" s="66"/>
      <c r="BC182" s="1" t="s">
        <v>0</v>
      </c>
      <c r="BE182" s="1" t="s">
        <v>331</v>
      </c>
      <c r="CC182" s="7"/>
    </row>
    <row r="183" spans="2:81">
      <c r="B183" s="6"/>
      <c r="C183" s="71"/>
      <c r="J183" s="66">
        <f>INDEX($CK$24:$CK$138,MATCH(O177,$CG$24:$CG$138,0),0)</f>
        <v>12</v>
      </c>
      <c r="K183" s="66"/>
      <c r="CC183" s="7"/>
    </row>
    <row r="184" spans="2:81">
      <c r="B184" s="6"/>
      <c r="T184" s="1" t="s">
        <v>2</v>
      </c>
      <c r="U184" s="66">
        <f>+E194</f>
        <v>120</v>
      </c>
      <c r="V184" s="66"/>
      <c r="W184" s="1" t="s">
        <v>0</v>
      </c>
      <c r="AN184" s="1" t="s">
        <v>3</v>
      </c>
      <c r="AO184" s="66">
        <f>+E197</f>
        <v>120</v>
      </c>
      <c r="AP184" s="66"/>
      <c r="AQ184" s="1" t="s">
        <v>0</v>
      </c>
      <c r="CC184" s="7"/>
    </row>
    <row r="185" spans="2:81">
      <c r="B185" s="6"/>
      <c r="W185" s="67">
        <v>1</v>
      </c>
      <c r="X185" s="67"/>
      <c r="Y185" s="1" t="s">
        <v>1</v>
      </c>
      <c r="Z185" s="1" t="s">
        <v>1</v>
      </c>
      <c r="AB185" s="67">
        <v>2</v>
      </c>
      <c r="AC185" s="67"/>
      <c r="AD185" s="1" t="s">
        <v>1</v>
      </c>
      <c r="AG185" s="67">
        <v>2</v>
      </c>
      <c r="AH185" s="67"/>
      <c r="AI185" s="1" t="s">
        <v>1</v>
      </c>
      <c r="AL185" s="67">
        <v>1</v>
      </c>
      <c r="AM185" s="67"/>
      <c r="AN185" s="1" t="s">
        <v>1</v>
      </c>
      <c r="CC185" s="7"/>
    </row>
    <row r="186" spans="2:81">
      <c r="B186" s="6"/>
      <c r="K186" s="66">
        <f>INDEX($CL$24:$CL$138,MATCH(O177,$CG$24:$CG$138,0),0)</f>
        <v>19</v>
      </c>
      <c r="L186" s="66"/>
      <c r="CC186" s="7"/>
    </row>
    <row r="187" spans="2:81">
      <c r="B187" s="6"/>
      <c r="AD187" s="1" t="s">
        <v>197</v>
      </c>
      <c r="AE187" s="66">
        <f>+W185+AB185+AG185+AL185</f>
        <v>6</v>
      </c>
      <c r="AF187" s="66"/>
      <c r="AG187" s="1" t="s">
        <v>1</v>
      </c>
      <c r="AV187" s="23" t="s">
        <v>266</v>
      </c>
      <c r="CC187" s="7"/>
    </row>
    <row r="188" spans="2:81">
      <c r="B188" s="6"/>
      <c r="AV188" s="11" t="s">
        <v>265</v>
      </c>
      <c r="CC188" s="7"/>
    </row>
    <row r="189" spans="2:81">
      <c r="B189" s="6"/>
      <c r="I189" s="66">
        <f>INDEX($CJ$24:$CJ$138,MATCH(O177,$CG$24:$CG$138,0),0)</f>
        <v>220</v>
      </c>
      <c r="J189" s="66"/>
      <c r="X189" s="10" t="s">
        <v>36</v>
      </c>
      <c r="Z189" s="66">
        <f>INDEX($CM$24:$CM$138,MATCH(O177,$CG$24:$CG$138,0),0)</f>
        <v>92080</v>
      </c>
      <c r="AA189" s="66"/>
      <c r="AB189" s="66"/>
      <c r="AC189" s="66"/>
      <c r="AD189" s="1" t="s">
        <v>37</v>
      </c>
      <c r="AG189" s="1" t="s">
        <v>175</v>
      </c>
      <c r="AV189" s="11" t="s">
        <v>263</v>
      </c>
      <c r="CC189" s="7"/>
    </row>
    <row r="190" spans="2:81">
      <c r="B190" s="6"/>
      <c r="X190" s="1" t="s">
        <v>38</v>
      </c>
      <c r="Z190" s="67">
        <v>200000</v>
      </c>
      <c r="AA190" s="67"/>
      <c r="AB190" s="67"/>
      <c r="AC190" s="67"/>
      <c r="AD190" s="1" t="s">
        <v>39</v>
      </c>
      <c r="AG190" s="1" t="s">
        <v>302</v>
      </c>
      <c r="AV190" s="11" t="s">
        <v>264</v>
      </c>
      <c r="CC190" s="7"/>
    </row>
    <row r="191" spans="2:81">
      <c r="B191" s="6"/>
      <c r="C191" s="23" t="s">
        <v>221</v>
      </c>
      <c r="CC191" s="7"/>
    </row>
    <row r="192" spans="2:81">
      <c r="B192" s="6"/>
      <c r="C192" s="1" t="s">
        <v>177</v>
      </c>
      <c r="CC192" s="7"/>
    </row>
    <row r="193" spans="2:81">
      <c r="B193" s="6"/>
      <c r="C193" s="1" t="s">
        <v>4</v>
      </c>
      <c r="D193" s="9" t="s">
        <v>5</v>
      </c>
      <c r="E193" s="66">
        <f>+AE187</f>
        <v>6</v>
      </c>
      <c r="F193" s="66"/>
      <c r="G193" s="9" t="s">
        <v>6</v>
      </c>
      <c r="H193" s="66">
        <f>+Z177</f>
        <v>20</v>
      </c>
      <c r="I193" s="66"/>
      <c r="J193" s="9" t="s">
        <v>5</v>
      </c>
      <c r="K193" s="66">
        <f>+AB185+AG185+AL185</f>
        <v>5</v>
      </c>
      <c r="L193" s="66"/>
      <c r="M193" s="9" t="s">
        <v>6</v>
      </c>
      <c r="N193" s="66">
        <f>+AE177</f>
        <v>20</v>
      </c>
      <c r="O193" s="66"/>
      <c r="P193" s="9" t="s">
        <v>5</v>
      </c>
      <c r="Q193" s="66">
        <f>+AG185+AL185</f>
        <v>3</v>
      </c>
      <c r="R193" s="66"/>
      <c r="S193" s="9" t="s">
        <v>6</v>
      </c>
      <c r="T193" s="66">
        <f>+AJ177</f>
        <v>20</v>
      </c>
      <c r="U193" s="66"/>
      <c r="V193" s="9" t="s">
        <v>5</v>
      </c>
      <c r="W193" s="66">
        <f>+AL185</f>
        <v>1</v>
      </c>
      <c r="X193" s="66"/>
      <c r="Y193" s="9" t="s">
        <v>6</v>
      </c>
      <c r="Z193" s="66">
        <f>+AG178</f>
        <v>30</v>
      </c>
      <c r="AA193" s="66"/>
      <c r="AB193" s="9" t="s">
        <v>5</v>
      </c>
      <c r="AC193" s="66">
        <f>+AE187</f>
        <v>6</v>
      </c>
      <c r="AD193" s="66"/>
      <c r="AE193" s="9" t="s">
        <v>5</v>
      </c>
      <c r="AF193" s="66">
        <f>+AE187/2</f>
        <v>3</v>
      </c>
      <c r="AG193" s="66"/>
      <c r="AH193" s="9" t="s">
        <v>7</v>
      </c>
      <c r="AI193" s="1">
        <v>0</v>
      </c>
      <c r="CC193" s="7"/>
    </row>
    <row r="194" spans="2:81">
      <c r="B194" s="6"/>
      <c r="C194" s="1" t="s">
        <v>8</v>
      </c>
      <c r="D194" s="9"/>
      <c r="E194" s="66">
        <f>(H193*K193+N193*Q193+T193*W193+Z193*AC193*AF193)/E193</f>
        <v>120</v>
      </c>
      <c r="F194" s="66"/>
      <c r="G194" s="1" t="s">
        <v>0</v>
      </c>
      <c r="I194" s="1" t="s">
        <v>178</v>
      </c>
      <c r="CC194" s="7"/>
    </row>
    <row r="195" spans="2:81">
      <c r="B195" s="6"/>
      <c r="C195" s="1" t="s">
        <v>189</v>
      </c>
      <c r="CC195" s="7"/>
    </row>
    <row r="196" spans="2:81">
      <c r="B196" s="6"/>
      <c r="C196" s="1" t="s">
        <v>4</v>
      </c>
      <c r="D196" s="9" t="s">
        <v>9</v>
      </c>
      <c r="E196" s="9" t="s">
        <v>10</v>
      </c>
      <c r="F196" s="9" t="s">
        <v>6</v>
      </c>
      <c r="G196" s="66">
        <f>+Z177</f>
        <v>20</v>
      </c>
      <c r="H196" s="66"/>
      <c r="I196" s="9" t="s">
        <v>6</v>
      </c>
      <c r="J196" s="66">
        <f>+AE177</f>
        <v>20</v>
      </c>
      <c r="K196" s="66"/>
      <c r="L196" s="9" t="s">
        <v>6</v>
      </c>
      <c r="M196" s="66">
        <f>+AJ177</f>
        <v>20</v>
      </c>
      <c r="N196" s="66"/>
      <c r="O196" s="9" t="s">
        <v>6</v>
      </c>
      <c r="P196" s="66">
        <f>+AG178</f>
        <v>30</v>
      </c>
      <c r="Q196" s="66"/>
      <c r="R196" s="9" t="s">
        <v>5</v>
      </c>
      <c r="S196" s="66">
        <f>+AE187</f>
        <v>6</v>
      </c>
      <c r="T196" s="66"/>
      <c r="U196" s="9" t="s">
        <v>7</v>
      </c>
      <c r="V196" s="1">
        <v>0</v>
      </c>
      <c r="CC196" s="7"/>
    </row>
    <row r="197" spans="2:81">
      <c r="B197" s="6"/>
      <c r="C197" s="1" t="s">
        <v>11</v>
      </c>
      <c r="D197" s="9"/>
      <c r="E197" s="66">
        <f>(G196+J196+M196+P196*S196-E194)</f>
        <v>120</v>
      </c>
      <c r="F197" s="66"/>
      <c r="G197" s="1" t="s">
        <v>0</v>
      </c>
      <c r="I197" s="1" t="s">
        <v>179</v>
      </c>
      <c r="CC197" s="7"/>
    </row>
    <row r="198" spans="2:81">
      <c r="B198" s="6"/>
      <c r="C198" s="23" t="s">
        <v>222</v>
      </c>
      <c r="D198" s="9"/>
      <c r="E198" s="9"/>
      <c r="F198" s="9"/>
      <c r="CC198" s="7"/>
    </row>
    <row r="199" spans="2:81">
      <c r="B199" s="6"/>
      <c r="C199" s="1" t="s">
        <v>12</v>
      </c>
      <c r="E199" s="66">
        <f>+U184</f>
        <v>120</v>
      </c>
      <c r="F199" s="66"/>
      <c r="G199" s="11" t="s">
        <v>17</v>
      </c>
      <c r="H199" s="9"/>
      <c r="I199" s="66">
        <f>+Z177</f>
        <v>20</v>
      </c>
      <c r="J199" s="66"/>
      <c r="K199" s="1" t="s">
        <v>15</v>
      </c>
      <c r="M199" s="66">
        <f>+W185</f>
        <v>1</v>
      </c>
      <c r="N199" s="66"/>
      <c r="O199" s="1" t="s">
        <v>16</v>
      </c>
      <c r="P199" s="66">
        <f>+AE177</f>
        <v>20</v>
      </c>
      <c r="Q199" s="66"/>
      <c r="R199" s="1" t="s">
        <v>15</v>
      </c>
      <c r="T199" s="66">
        <f>+W185+AB185</f>
        <v>3</v>
      </c>
      <c r="U199" s="66"/>
      <c r="V199" s="1" t="s">
        <v>16</v>
      </c>
      <c r="W199" s="66">
        <f>+AJ177</f>
        <v>20</v>
      </c>
      <c r="X199" s="66"/>
      <c r="Y199" s="1" t="s">
        <v>15</v>
      </c>
      <c r="AA199" s="66">
        <f>+W185+AB185+AG185</f>
        <v>5</v>
      </c>
      <c r="AB199" s="66"/>
      <c r="AC199" s="1" t="s">
        <v>16</v>
      </c>
      <c r="AD199" s="66">
        <f>+AG178</f>
        <v>30</v>
      </c>
      <c r="AE199" s="66"/>
      <c r="AF199" s="9" t="s">
        <v>5</v>
      </c>
      <c r="AG199" s="1" t="s">
        <v>183</v>
      </c>
      <c r="AH199" s="1" t="s">
        <v>173</v>
      </c>
      <c r="AI199" s="1">
        <v>2</v>
      </c>
      <c r="CC199" s="7"/>
    </row>
    <row r="200" spans="2:81">
      <c r="B200" s="6"/>
      <c r="C200" s="1" t="s">
        <v>27</v>
      </c>
      <c r="D200" s="67">
        <f>+AE187/2</f>
        <v>3</v>
      </c>
      <c r="E200" s="67"/>
      <c r="F200" s="67"/>
      <c r="G200" s="1" t="s">
        <v>213</v>
      </c>
      <c r="H200" s="9"/>
      <c r="I200" s="9"/>
      <c r="J200" s="9"/>
      <c r="M200" s="9"/>
      <c r="N200" s="21"/>
      <c r="P200" s="9"/>
      <c r="Q200" s="9"/>
      <c r="U200" s="8" t="str">
        <f>IF(D200&lt;=AE187,"","azalt.")</f>
        <v/>
      </c>
      <c r="W200" s="9"/>
      <c r="X200" s="9"/>
      <c r="AA200" s="9"/>
      <c r="AB200" s="9"/>
      <c r="AD200" s="9"/>
      <c r="AE200" s="9"/>
      <c r="AH200" s="9"/>
      <c r="AI200" s="9"/>
      <c r="AY200" s="9"/>
      <c r="AZ200" s="9"/>
      <c r="BA200" s="9"/>
      <c r="CC200" s="7"/>
    </row>
    <row r="201" spans="2:81">
      <c r="B201" s="6"/>
      <c r="C201" s="1" t="s">
        <v>12</v>
      </c>
      <c r="E201" s="66">
        <f>+E199</f>
        <v>120</v>
      </c>
      <c r="F201" s="66"/>
      <c r="G201" s="9" t="s">
        <v>5</v>
      </c>
      <c r="H201" s="66">
        <f>+D200</f>
        <v>3</v>
      </c>
      <c r="I201" s="66"/>
      <c r="J201" s="9" t="s">
        <v>6</v>
      </c>
      <c r="K201" s="66">
        <f>IF((N201-Q201)&lt;=0,0,+I199)</f>
        <v>20</v>
      </c>
      <c r="L201" s="66"/>
      <c r="M201" s="9" t="s">
        <v>14</v>
      </c>
      <c r="N201" s="66">
        <f>+H201</f>
        <v>3</v>
      </c>
      <c r="O201" s="66"/>
      <c r="P201" s="9" t="s">
        <v>6</v>
      </c>
      <c r="Q201" s="66">
        <f>+M199</f>
        <v>1</v>
      </c>
      <c r="R201" s="66"/>
      <c r="S201" s="1" t="s">
        <v>16</v>
      </c>
      <c r="T201" s="66">
        <f>IF((W201-Z201)&lt;=0,0,+P199)</f>
        <v>0</v>
      </c>
      <c r="U201" s="66"/>
      <c r="V201" s="9" t="s">
        <v>14</v>
      </c>
      <c r="W201" s="66">
        <f>+N201</f>
        <v>3</v>
      </c>
      <c r="X201" s="66"/>
      <c r="Y201" s="9" t="s">
        <v>6</v>
      </c>
      <c r="Z201" s="66">
        <f>+T199</f>
        <v>3</v>
      </c>
      <c r="AA201" s="66"/>
      <c r="AB201" s="1" t="s">
        <v>16</v>
      </c>
      <c r="AC201" s="66">
        <f>IF((AF201-AI201)&lt;=0,0,+W199)</f>
        <v>0</v>
      </c>
      <c r="AD201" s="66"/>
      <c r="AE201" s="9" t="s">
        <v>14</v>
      </c>
      <c r="AF201" s="66">
        <f>+W201</f>
        <v>3</v>
      </c>
      <c r="AG201" s="66"/>
      <c r="AH201" s="9" t="s">
        <v>6</v>
      </c>
      <c r="AI201" s="66">
        <f>+AA199</f>
        <v>5</v>
      </c>
      <c r="AJ201" s="66"/>
      <c r="AK201" s="1" t="s">
        <v>16</v>
      </c>
      <c r="AL201" s="66">
        <f>+AD199</f>
        <v>30</v>
      </c>
      <c r="AM201" s="66"/>
      <c r="AN201" s="9" t="s">
        <v>5</v>
      </c>
      <c r="AO201" s="66">
        <f>+AF201</f>
        <v>3</v>
      </c>
      <c r="AP201" s="66"/>
      <c r="AQ201" s="1" t="s">
        <v>190</v>
      </c>
      <c r="AR201" s="1">
        <v>2</v>
      </c>
      <c r="AS201" s="9" t="s">
        <v>7</v>
      </c>
      <c r="AT201" s="66">
        <f>E201*H201-K201*(N201-Q201)-T201*(W201-Z201)-AC201*(AF201-AI201)-AL201*AO201^2/AR201</f>
        <v>185</v>
      </c>
      <c r="AU201" s="66"/>
      <c r="AV201" s="66"/>
      <c r="AW201" s="1" t="s">
        <v>191</v>
      </c>
      <c r="CC201" s="7"/>
    </row>
    <row r="202" spans="2:81">
      <c r="B202" s="6"/>
      <c r="C202" s="1" t="s">
        <v>220</v>
      </c>
      <c r="E202" s="66">
        <f>+E201</f>
        <v>120</v>
      </c>
      <c r="F202" s="66"/>
      <c r="G202" s="9" t="s">
        <v>6</v>
      </c>
      <c r="H202" s="66">
        <f>+K201</f>
        <v>20</v>
      </c>
      <c r="I202" s="66"/>
      <c r="J202" s="9" t="s">
        <v>6</v>
      </c>
      <c r="K202" s="66">
        <f>+T201</f>
        <v>0</v>
      </c>
      <c r="L202" s="66"/>
      <c r="M202" s="9" t="s">
        <v>6</v>
      </c>
      <c r="N202" s="66">
        <f>+AC201</f>
        <v>0</v>
      </c>
      <c r="O202" s="66"/>
      <c r="P202" s="9" t="s">
        <v>6</v>
      </c>
      <c r="Q202" s="66">
        <f>+AL201</f>
        <v>30</v>
      </c>
      <c r="R202" s="66"/>
      <c r="S202" s="9" t="s">
        <v>5</v>
      </c>
      <c r="T202" s="66">
        <f>+AO201</f>
        <v>3</v>
      </c>
      <c r="U202" s="66"/>
      <c r="V202" s="9" t="s">
        <v>7</v>
      </c>
      <c r="W202" s="66">
        <f>+E202-H202-K202-N202-Q202*T202</f>
        <v>10</v>
      </c>
      <c r="X202" s="66"/>
      <c r="Y202" s="66"/>
      <c r="Z202" s="9" t="s">
        <v>0</v>
      </c>
      <c r="AW202" s="9"/>
      <c r="AX202" s="9"/>
      <c r="AY202" s="9"/>
      <c r="AZ202" s="9"/>
      <c r="BA202" s="9"/>
      <c r="BB202" s="9"/>
      <c r="BD202" s="9"/>
      <c r="BE202" s="9"/>
      <c r="BF202" s="9"/>
      <c r="BG202" s="9"/>
      <c r="BH202" s="9"/>
      <c r="BI202" s="9"/>
      <c r="BJ202" s="9"/>
      <c r="BK202" s="9"/>
      <c r="BM202" s="9"/>
      <c r="BN202" s="9"/>
      <c r="BO202" s="9"/>
      <c r="BP202" s="9"/>
      <c r="BQ202" s="9"/>
      <c r="BT202" s="9"/>
      <c r="BU202" s="9"/>
      <c r="BV202" s="9"/>
      <c r="BW202" s="9"/>
      <c r="CC202" s="7"/>
    </row>
    <row r="203" spans="2:81">
      <c r="B203" s="6"/>
      <c r="C203" s="23" t="s">
        <v>253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W203" s="9"/>
      <c r="AX203" s="9"/>
      <c r="AY203" s="9"/>
      <c r="AZ203" s="9"/>
      <c r="BA203" s="9"/>
      <c r="BB203" s="9"/>
      <c r="BD203" s="9"/>
      <c r="BE203" s="9"/>
      <c r="BF203" s="9"/>
      <c r="BG203" s="9"/>
      <c r="BH203" s="9"/>
      <c r="BI203" s="9"/>
      <c r="BJ203" s="9"/>
      <c r="BK203" s="9"/>
      <c r="BM203" s="9"/>
      <c r="BN203" s="9"/>
      <c r="BO203" s="9"/>
      <c r="BP203" s="9"/>
      <c r="BQ203" s="9"/>
      <c r="BT203" s="9"/>
      <c r="BU203" s="9"/>
      <c r="BV203" s="9"/>
      <c r="BW203" s="9"/>
      <c r="CC203" s="7"/>
    </row>
    <row r="204" spans="2:81">
      <c r="B204" s="6"/>
      <c r="C204" s="1" t="s">
        <v>27</v>
      </c>
      <c r="D204" s="66">
        <f>(E202-H202-K202-N202)/Q202</f>
        <v>3.3333333333333335</v>
      </c>
      <c r="E204" s="66"/>
      <c r="F204" s="66"/>
      <c r="G204" s="1" t="s">
        <v>257</v>
      </c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W204" s="9"/>
      <c r="AX204" s="9"/>
      <c r="AY204" s="9"/>
      <c r="AZ204" s="9"/>
      <c r="BA204" s="9"/>
      <c r="BB204" s="9"/>
      <c r="BD204" s="9"/>
      <c r="BE204" s="9"/>
      <c r="BF204" s="9"/>
      <c r="BG204" s="9"/>
      <c r="BH204" s="9"/>
      <c r="BI204" s="9"/>
      <c r="BJ204" s="9"/>
      <c r="BK204" s="9"/>
      <c r="BM204" s="9"/>
      <c r="BN204" s="9"/>
      <c r="BO204" s="9"/>
      <c r="BP204" s="9"/>
      <c r="BQ204" s="9"/>
      <c r="BT204" s="9"/>
      <c r="BU204" s="9"/>
      <c r="BV204" s="9"/>
      <c r="BW204" s="9"/>
      <c r="CC204" s="7"/>
    </row>
    <row r="205" spans="2:81">
      <c r="B205" s="6"/>
      <c r="C205" s="1" t="s">
        <v>260</v>
      </c>
      <c r="F205" s="66">
        <f>+E199</f>
        <v>120</v>
      </c>
      <c r="G205" s="66"/>
      <c r="H205" s="9" t="s">
        <v>5</v>
      </c>
      <c r="I205" s="66">
        <f>+D204</f>
        <v>3.3333333333333335</v>
      </c>
      <c r="J205" s="66"/>
      <c r="K205" s="9" t="s">
        <v>6</v>
      </c>
      <c r="L205" s="66">
        <f>IF((O205-R205)&lt;=0,0,+I199)</f>
        <v>20</v>
      </c>
      <c r="M205" s="66"/>
      <c r="N205" s="9" t="s">
        <v>14</v>
      </c>
      <c r="O205" s="66">
        <f>+I205</f>
        <v>3.3333333333333335</v>
      </c>
      <c r="P205" s="66"/>
      <c r="Q205" s="9" t="s">
        <v>6</v>
      </c>
      <c r="R205" s="66">
        <f>+M199</f>
        <v>1</v>
      </c>
      <c r="S205" s="66"/>
      <c r="T205" s="1" t="s">
        <v>16</v>
      </c>
      <c r="U205" s="66">
        <f>IF((X205-AA205)&lt;=0,0,+P199)</f>
        <v>20</v>
      </c>
      <c r="V205" s="66"/>
      <c r="W205" s="9" t="s">
        <v>14</v>
      </c>
      <c r="X205" s="66">
        <f>+O205</f>
        <v>3.3333333333333335</v>
      </c>
      <c r="Y205" s="66"/>
      <c r="Z205" s="9" t="s">
        <v>6</v>
      </c>
      <c r="AA205" s="66">
        <f>+T199</f>
        <v>3</v>
      </c>
      <c r="AB205" s="66"/>
      <c r="AC205" s="1" t="s">
        <v>16</v>
      </c>
      <c r="AD205" s="66">
        <f>IF((AG205-AJ205)&lt;=0,0,+W199)</f>
        <v>0</v>
      </c>
      <c r="AE205" s="66"/>
      <c r="AF205" s="9" t="s">
        <v>14</v>
      </c>
      <c r="AG205" s="66">
        <f>+X205</f>
        <v>3.3333333333333335</v>
      </c>
      <c r="AH205" s="66"/>
      <c r="AI205" s="9" t="s">
        <v>6</v>
      </c>
      <c r="AJ205" s="66">
        <f>+AA199</f>
        <v>5</v>
      </c>
      <c r="AK205" s="66"/>
      <c r="AL205" s="1" t="s">
        <v>16</v>
      </c>
      <c r="AM205" s="66">
        <f>+AD199</f>
        <v>30</v>
      </c>
      <c r="AN205" s="66"/>
      <c r="AO205" s="9" t="s">
        <v>5</v>
      </c>
      <c r="AP205" s="66">
        <f>+AG205</f>
        <v>3.3333333333333335</v>
      </c>
      <c r="AQ205" s="66"/>
      <c r="AR205" s="1" t="s">
        <v>190</v>
      </c>
      <c r="AS205" s="1">
        <v>2</v>
      </c>
      <c r="AT205" s="9" t="s">
        <v>7</v>
      </c>
      <c r="AU205" s="66">
        <f>F205*I205-L205*(O205-R205)-U205*(X205-AA205)-AD205*(AG205-AJ205)-AM205*AP205^2/AS205</f>
        <v>179.99999999999994</v>
      </c>
      <c r="AV205" s="66"/>
      <c r="AW205" s="66"/>
      <c r="AX205" s="1" t="s">
        <v>191</v>
      </c>
      <c r="BA205" s="9"/>
      <c r="BB205" s="9"/>
      <c r="BD205" s="9"/>
      <c r="BE205" s="9"/>
      <c r="BF205" s="9"/>
      <c r="BG205" s="9"/>
      <c r="BH205" s="9"/>
      <c r="BI205" s="9"/>
      <c r="BJ205" s="9"/>
      <c r="BK205" s="9"/>
      <c r="BM205" s="9"/>
      <c r="BN205" s="9"/>
      <c r="BO205" s="9"/>
      <c r="BP205" s="9"/>
      <c r="BQ205" s="9"/>
      <c r="BT205" s="9"/>
      <c r="BU205" s="9"/>
      <c r="BV205" s="9"/>
      <c r="BW205" s="9"/>
      <c r="CC205" s="7"/>
    </row>
    <row r="206" spans="2:81">
      <c r="B206" s="6"/>
      <c r="C206" s="1" t="s">
        <v>247</v>
      </c>
      <c r="E206" s="66">
        <f>+AE187/2</f>
        <v>3</v>
      </c>
      <c r="F206" s="66"/>
      <c r="G206" s="66"/>
      <c r="H206" s="1" t="s">
        <v>252</v>
      </c>
      <c r="I206" s="9"/>
      <c r="BE206" s="9"/>
      <c r="BF206" s="9"/>
      <c r="BG206" s="9"/>
      <c r="BH206" s="9"/>
      <c r="BI206" s="9"/>
      <c r="BJ206" s="9"/>
      <c r="BK206" s="9"/>
      <c r="BM206" s="9"/>
      <c r="BN206" s="9"/>
      <c r="BO206" s="9"/>
      <c r="BP206" s="9"/>
      <c r="BQ206" s="9"/>
      <c r="BT206" s="9"/>
      <c r="BU206" s="9"/>
      <c r="BV206" s="9"/>
      <c r="BW206" s="9"/>
      <c r="CC206" s="7"/>
    </row>
    <row r="207" spans="2:81">
      <c r="B207" s="6"/>
      <c r="C207" s="1" t="s">
        <v>261</v>
      </c>
      <c r="E207" s="66">
        <f>+E199</f>
        <v>120</v>
      </c>
      <c r="F207" s="66"/>
      <c r="G207" s="9" t="s">
        <v>5</v>
      </c>
      <c r="H207" s="66">
        <f>+E206</f>
        <v>3</v>
      </c>
      <c r="I207" s="66"/>
      <c r="J207" s="9" t="s">
        <v>6</v>
      </c>
      <c r="K207" s="66">
        <f>IF((N207-Q207)&lt;=0,0,+I199)</f>
        <v>20</v>
      </c>
      <c r="L207" s="66"/>
      <c r="M207" s="9" t="s">
        <v>14</v>
      </c>
      <c r="N207" s="66">
        <f>+H207</f>
        <v>3</v>
      </c>
      <c r="O207" s="66"/>
      <c r="P207" s="9" t="s">
        <v>6</v>
      </c>
      <c r="Q207" s="66">
        <f>+M199</f>
        <v>1</v>
      </c>
      <c r="R207" s="66"/>
      <c r="S207" s="1" t="s">
        <v>16</v>
      </c>
      <c r="T207" s="66">
        <f>IF((W207-Z207)&lt;=0,0,+P199)</f>
        <v>0</v>
      </c>
      <c r="U207" s="66"/>
      <c r="V207" s="9" t="s">
        <v>14</v>
      </c>
      <c r="W207" s="66">
        <f>+N207</f>
        <v>3</v>
      </c>
      <c r="X207" s="66"/>
      <c r="Y207" s="9" t="s">
        <v>6</v>
      </c>
      <c r="Z207" s="66">
        <f>+T199</f>
        <v>3</v>
      </c>
      <c r="AA207" s="66"/>
      <c r="AB207" s="1" t="s">
        <v>16</v>
      </c>
      <c r="AC207" s="66">
        <f>IF((AF207-AI207)&lt;=0,0,+W199)</f>
        <v>0</v>
      </c>
      <c r="AD207" s="66"/>
      <c r="AE207" s="9" t="s">
        <v>14</v>
      </c>
      <c r="AF207" s="66">
        <f>+W207</f>
        <v>3</v>
      </c>
      <c r="AG207" s="66"/>
      <c r="AH207" s="9" t="s">
        <v>6</v>
      </c>
      <c r="AI207" s="66">
        <f>+AA199</f>
        <v>5</v>
      </c>
      <c r="AJ207" s="66"/>
      <c r="AK207" s="1" t="s">
        <v>16</v>
      </c>
      <c r="AL207" s="66">
        <f>+AD199</f>
        <v>30</v>
      </c>
      <c r="AM207" s="66"/>
      <c r="AN207" s="9" t="s">
        <v>5</v>
      </c>
      <c r="AO207" s="66">
        <f>+AF207</f>
        <v>3</v>
      </c>
      <c r="AP207" s="66"/>
      <c r="AQ207" s="1" t="s">
        <v>190</v>
      </c>
      <c r="AR207" s="1">
        <v>2</v>
      </c>
      <c r="AS207" s="9" t="s">
        <v>7</v>
      </c>
      <c r="AT207" s="66">
        <f>E207*H207-K207*(N207-Q207)-T207*(W207-Z207)-AC207*(AF207-AI207)-AL207*AO207^2/AR207</f>
        <v>185</v>
      </c>
      <c r="AU207" s="66"/>
      <c r="AV207" s="66"/>
      <c r="AW207" s="1" t="s">
        <v>191</v>
      </c>
      <c r="BD207" s="9"/>
      <c r="BE207" s="9"/>
      <c r="BF207" s="9"/>
      <c r="BG207" s="9"/>
      <c r="BH207" s="9"/>
      <c r="BI207" s="9"/>
      <c r="BJ207" s="9"/>
      <c r="BK207" s="9"/>
      <c r="BM207" s="9"/>
      <c r="BN207" s="9"/>
      <c r="BO207" s="9"/>
      <c r="BP207" s="9"/>
      <c r="BQ207" s="9"/>
      <c r="BT207" s="9"/>
      <c r="BU207" s="9"/>
      <c r="BV207" s="9"/>
      <c r="BW207" s="9"/>
      <c r="CC207" s="7"/>
    </row>
    <row r="208" spans="2:81">
      <c r="B208" s="6"/>
      <c r="C208" s="1" t="s">
        <v>248</v>
      </c>
      <c r="E208" s="66">
        <f>+AE187/4</f>
        <v>1.5</v>
      </c>
      <c r="F208" s="66"/>
      <c r="G208" s="66"/>
      <c r="H208" s="1" t="s">
        <v>252</v>
      </c>
      <c r="I208" s="9"/>
      <c r="J208" s="9"/>
      <c r="M208" s="9"/>
      <c r="N208" s="21"/>
      <c r="P208" s="9"/>
      <c r="Q208" s="9"/>
      <c r="T208" s="8"/>
      <c r="AA208" s="9"/>
      <c r="AB208" s="9"/>
      <c r="AD208" s="9"/>
      <c r="AE208" s="9"/>
      <c r="AH208" s="9"/>
      <c r="AI208" s="9"/>
      <c r="AY208" s="9"/>
      <c r="AZ208" s="9"/>
      <c r="BA208" s="9"/>
      <c r="BB208" s="9"/>
      <c r="BD208" s="9"/>
      <c r="BE208" s="9"/>
      <c r="BF208" s="9"/>
      <c r="BG208" s="9"/>
      <c r="BH208" s="9"/>
      <c r="BI208" s="9"/>
      <c r="BJ208" s="9"/>
      <c r="BK208" s="9"/>
      <c r="BM208" s="9"/>
      <c r="BN208" s="9"/>
      <c r="BO208" s="9"/>
      <c r="BP208" s="9"/>
      <c r="BQ208" s="9"/>
      <c r="BT208" s="9"/>
      <c r="BU208" s="9"/>
      <c r="BV208" s="9"/>
      <c r="BW208" s="9"/>
      <c r="CC208" s="7"/>
    </row>
    <row r="209" spans="2:81">
      <c r="B209" s="6"/>
      <c r="C209" s="1" t="s">
        <v>249</v>
      </c>
      <c r="E209" s="66">
        <f>+E207</f>
        <v>120</v>
      </c>
      <c r="F209" s="66"/>
      <c r="G209" s="9" t="s">
        <v>5</v>
      </c>
      <c r="H209" s="66">
        <f>+E208</f>
        <v>1.5</v>
      </c>
      <c r="I209" s="66"/>
      <c r="J209" s="9" t="s">
        <v>6</v>
      </c>
      <c r="K209" s="66">
        <f>IF((N209-Q209)&lt;=0,0,+I199)</f>
        <v>20</v>
      </c>
      <c r="L209" s="66"/>
      <c r="M209" s="9" t="s">
        <v>14</v>
      </c>
      <c r="N209" s="66">
        <f>+H209</f>
        <v>1.5</v>
      </c>
      <c r="O209" s="66"/>
      <c r="P209" s="9" t="s">
        <v>6</v>
      </c>
      <c r="Q209" s="66">
        <f>+Q207</f>
        <v>1</v>
      </c>
      <c r="R209" s="66"/>
      <c r="S209" s="1" t="s">
        <v>16</v>
      </c>
      <c r="T209" s="66">
        <f>IF((W209-Z209)&lt;=0,0,+P199)</f>
        <v>0</v>
      </c>
      <c r="U209" s="66"/>
      <c r="V209" s="9" t="s">
        <v>14</v>
      </c>
      <c r="W209" s="66">
        <f>+N209</f>
        <v>1.5</v>
      </c>
      <c r="X209" s="66"/>
      <c r="Y209" s="9" t="s">
        <v>6</v>
      </c>
      <c r="Z209" s="66">
        <f>+Z207</f>
        <v>3</v>
      </c>
      <c r="AA209" s="66"/>
      <c r="AB209" s="1" t="s">
        <v>16</v>
      </c>
      <c r="AC209" s="66">
        <f>IF((AF209-AI209)&lt;=0,0,+W199)</f>
        <v>0</v>
      </c>
      <c r="AD209" s="66"/>
      <c r="AE209" s="9" t="s">
        <v>14</v>
      </c>
      <c r="AF209" s="66">
        <f>+W209</f>
        <v>1.5</v>
      </c>
      <c r="AG209" s="66"/>
      <c r="AH209" s="9" t="s">
        <v>6</v>
      </c>
      <c r="AI209" s="66">
        <f>+AI207</f>
        <v>5</v>
      </c>
      <c r="AJ209" s="66"/>
      <c r="AK209" s="1" t="s">
        <v>16</v>
      </c>
      <c r="AL209" s="66">
        <f>+AL207</f>
        <v>30</v>
      </c>
      <c r="AM209" s="66"/>
      <c r="AN209" s="9" t="s">
        <v>5</v>
      </c>
      <c r="AO209" s="66">
        <f>+AF209</f>
        <v>1.5</v>
      </c>
      <c r="AP209" s="66"/>
      <c r="AQ209" s="1" t="s">
        <v>190</v>
      </c>
      <c r="AR209" s="1">
        <v>2</v>
      </c>
      <c r="AS209" s="9" t="s">
        <v>7</v>
      </c>
      <c r="AT209" s="66">
        <f>E209*H209-K209*(N209-Q209)-T209*(W209-Z209)-AC209*(AF209-AI209)-AL209*AO209^2/AR209</f>
        <v>136.25</v>
      </c>
      <c r="AU209" s="66"/>
      <c r="AV209" s="66"/>
      <c r="AW209" s="1" t="s">
        <v>191</v>
      </c>
      <c r="AZ209" s="9"/>
      <c r="BA209" s="9"/>
      <c r="BB209" s="9"/>
      <c r="BD209" s="9"/>
      <c r="BE209" s="9"/>
      <c r="BF209" s="9"/>
      <c r="BG209" s="9"/>
      <c r="BH209" s="9"/>
      <c r="BI209" s="9"/>
      <c r="BJ209" s="9"/>
      <c r="BK209" s="9"/>
      <c r="BM209" s="9"/>
      <c r="BN209" s="9"/>
      <c r="BO209" s="9"/>
      <c r="BP209" s="9"/>
      <c r="BQ209" s="9"/>
      <c r="BT209" s="9"/>
      <c r="BU209" s="9"/>
      <c r="BV209" s="9"/>
      <c r="BW209" s="9"/>
      <c r="CC209" s="7"/>
    </row>
    <row r="210" spans="2:81">
      <c r="B210" s="6"/>
      <c r="C210" s="1" t="s">
        <v>250</v>
      </c>
      <c r="F210" s="66">
        <f>3*AE187/4</f>
        <v>4.5</v>
      </c>
      <c r="G210" s="66"/>
      <c r="H210" s="66"/>
      <c r="I210" s="1" t="s">
        <v>252</v>
      </c>
      <c r="J210" s="9"/>
      <c r="M210" s="9"/>
      <c r="N210" s="21"/>
      <c r="P210" s="9"/>
      <c r="Q210" s="9"/>
      <c r="AA210" s="9"/>
      <c r="AB210" s="9"/>
      <c r="AD210" s="9"/>
      <c r="AE210" s="9"/>
      <c r="AH210" s="9"/>
      <c r="AI210" s="9"/>
      <c r="AY210" s="9"/>
      <c r="AZ210" s="9"/>
      <c r="BA210" s="9"/>
      <c r="BB210" s="9"/>
      <c r="BD210" s="9"/>
      <c r="BE210" s="9"/>
      <c r="BF210" s="9"/>
      <c r="BG210" s="9"/>
      <c r="BH210" s="9"/>
      <c r="BI210" s="9"/>
      <c r="BJ210" s="9"/>
      <c r="BK210" s="9"/>
      <c r="BM210" s="9"/>
      <c r="BN210" s="9"/>
      <c r="BO210" s="9"/>
      <c r="BP210" s="9"/>
      <c r="BQ210" s="9"/>
      <c r="BT210" s="9"/>
      <c r="BU210" s="9"/>
      <c r="BV210" s="9"/>
      <c r="BW210" s="9"/>
      <c r="CC210" s="7"/>
    </row>
    <row r="211" spans="2:81">
      <c r="B211" s="6"/>
      <c r="C211" s="1" t="s">
        <v>251</v>
      </c>
      <c r="E211" s="66">
        <f>+E209</f>
        <v>120</v>
      </c>
      <c r="F211" s="66"/>
      <c r="G211" s="9" t="s">
        <v>5</v>
      </c>
      <c r="H211" s="66">
        <f>+F210</f>
        <v>4.5</v>
      </c>
      <c r="I211" s="66"/>
      <c r="J211" s="9" t="s">
        <v>6</v>
      </c>
      <c r="K211" s="66">
        <f>IF((N211-Q211)&lt;=0,0,+I199)</f>
        <v>20</v>
      </c>
      <c r="L211" s="66"/>
      <c r="M211" s="9" t="s">
        <v>14</v>
      </c>
      <c r="N211" s="66">
        <f>+H211</f>
        <v>4.5</v>
      </c>
      <c r="O211" s="66"/>
      <c r="P211" s="9" t="s">
        <v>6</v>
      </c>
      <c r="Q211" s="66">
        <f>+Q209</f>
        <v>1</v>
      </c>
      <c r="R211" s="66"/>
      <c r="S211" s="1" t="s">
        <v>16</v>
      </c>
      <c r="T211" s="66">
        <f>IF((W211-Z211)&lt;=0,0,+P199)</f>
        <v>20</v>
      </c>
      <c r="U211" s="66"/>
      <c r="V211" s="9" t="s">
        <v>14</v>
      </c>
      <c r="W211" s="66">
        <f>+N211</f>
        <v>4.5</v>
      </c>
      <c r="X211" s="66"/>
      <c r="Y211" s="9" t="s">
        <v>6</v>
      </c>
      <c r="Z211" s="66">
        <f>+Z209</f>
        <v>3</v>
      </c>
      <c r="AA211" s="66"/>
      <c r="AB211" s="1" t="s">
        <v>16</v>
      </c>
      <c r="AC211" s="66">
        <f>IF((AF211-AI211)&lt;=0,0,+W199)</f>
        <v>0</v>
      </c>
      <c r="AD211" s="66"/>
      <c r="AE211" s="9" t="s">
        <v>14</v>
      </c>
      <c r="AF211" s="66">
        <f>+W211</f>
        <v>4.5</v>
      </c>
      <c r="AG211" s="66"/>
      <c r="AH211" s="9" t="s">
        <v>6</v>
      </c>
      <c r="AI211" s="66">
        <f>+AI209</f>
        <v>5</v>
      </c>
      <c r="AJ211" s="66"/>
      <c r="AK211" s="1" t="s">
        <v>16</v>
      </c>
      <c r="AL211" s="66">
        <f>+AL209</f>
        <v>30</v>
      </c>
      <c r="AM211" s="66"/>
      <c r="AN211" s="9" t="s">
        <v>5</v>
      </c>
      <c r="AO211" s="66">
        <f>+AF211</f>
        <v>4.5</v>
      </c>
      <c r="AP211" s="66"/>
      <c r="AQ211" s="1" t="s">
        <v>190</v>
      </c>
      <c r="AR211" s="1">
        <v>2</v>
      </c>
      <c r="AS211" s="9" t="s">
        <v>7</v>
      </c>
      <c r="AT211" s="66">
        <f>E211*H211-K211*(N211-Q211)-T211*(W211-Z211)-AC211*(AF211-AI211)-AL211*AO211^2/AR211</f>
        <v>136.25</v>
      </c>
      <c r="AU211" s="66"/>
      <c r="AV211" s="66"/>
      <c r="AW211" s="1" t="s">
        <v>191</v>
      </c>
      <c r="AZ211" s="9"/>
      <c r="BA211" s="9"/>
      <c r="BB211" s="9"/>
      <c r="BD211" s="9"/>
      <c r="BE211" s="9"/>
      <c r="BF211" s="9"/>
      <c r="BG211" s="9"/>
      <c r="BH211" s="9"/>
      <c r="BI211" s="9"/>
      <c r="BJ211" s="9"/>
      <c r="BK211" s="9"/>
      <c r="BM211" s="9"/>
      <c r="BN211" s="9"/>
      <c r="BO211" s="9"/>
      <c r="BP211" s="9"/>
      <c r="BQ211" s="9"/>
      <c r="BT211" s="9"/>
      <c r="BU211" s="9"/>
      <c r="BV211" s="9"/>
      <c r="BW211" s="9"/>
      <c r="CC211" s="7"/>
    </row>
    <row r="212" spans="2:81">
      <c r="B212" s="6"/>
      <c r="C212" s="1" t="s">
        <v>300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U212" s="9"/>
      <c r="V212" s="9"/>
      <c r="W212" s="9"/>
      <c r="X212" s="9"/>
      <c r="Y212" s="9"/>
      <c r="Z212" s="9"/>
      <c r="AA212" s="9"/>
      <c r="AB212" s="9"/>
      <c r="AD212" s="9"/>
      <c r="AE212" s="9"/>
      <c r="AF212" s="9"/>
      <c r="AG212" s="9"/>
      <c r="AH212" s="9"/>
      <c r="AI212" s="9"/>
      <c r="AJ212" s="9"/>
      <c r="AK212" s="9"/>
      <c r="AM212" s="9"/>
      <c r="AN212" s="9"/>
      <c r="AO212" s="9"/>
      <c r="AP212" s="9"/>
      <c r="AQ212" s="9"/>
      <c r="AR212" s="9"/>
      <c r="AS212" s="9"/>
      <c r="AT212" s="9"/>
      <c r="AV212" s="9"/>
      <c r="AW212" s="9"/>
      <c r="AX212" s="9"/>
      <c r="AY212" s="9"/>
      <c r="AZ212" s="9"/>
      <c r="BA212" s="9"/>
      <c r="BB212" s="9"/>
      <c r="BC212" s="9"/>
      <c r="BE212" s="9"/>
      <c r="BF212" s="9"/>
      <c r="BG212" s="9"/>
      <c r="BH212" s="9"/>
      <c r="BI212" s="9"/>
      <c r="BJ212" s="9"/>
      <c r="BK212" s="9"/>
      <c r="BL212" s="9"/>
      <c r="BN212" s="9"/>
      <c r="BO212" s="9"/>
      <c r="BP212" s="9"/>
      <c r="BQ212" s="9"/>
      <c r="BR212" s="9"/>
      <c r="BU212" s="9"/>
      <c r="BV212" s="9"/>
      <c r="BW212" s="9"/>
      <c r="BX212" s="9"/>
      <c r="CC212" s="7"/>
    </row>
    <row r="213" spans="2:81">
      <c r="B213" s="6"/>
      <c r="C213" s="1" t="s">
        <v>301</v>
      </c>
      <c r="E213" s="66">
        <v>12.5</v>
      </c>
      <c r="F213" s="66"/>
      <c r="G213" s="9" t="s">
        <v>5</v>
      </c>
      <c r="H213" s="66">
        <f>+AU205</f>
        <v>179.99999999999994</v>
      </c>
      <c r="I213" s="66"/>
      <c r="J213" s="66"/>
      <c r="K213" s="9" t="s">
        <v>275</v>
      </c>
      <c r="L213" s="66">
        <v>2.5</v>
      </c>
      <c r="M213" s="66"/>
      <c r="N213" s="9" t="s">
        <v>5</v>
      </c>
      <c r="O213" s="66">
        <f>+H213</f>
        <v>179.99999999999994</v>
      </c>
      <c r="P213" s="66"/>
      <c r="Q213" s="66"/>
      <c r="R213" s="9" t="s">
        <v>9</v>
      </c>
      <c r="S213" s="9">
        <v>3</v>
      </c>
      <c r="T213" s="9" t="s">
        <v>5</v>
      </c>
      <c r="U213" s="66">
        <f>+AT209</f>
        <v>136.25</v>
      </c>
      <c r="V213" s="66"/>
      <c r="W213" s="66"/>
      <c r="X213" s="9" t="s">
        <v>9</v>
      </c>
      <c r="Y213" s="9">
        <v>4</v>
      </c>
      <c r="Z213" s="9" t="s">
        <v>5</v>
      </c>
      <c r="AA213" s="66">
        <f>+AT207</f>
        <v>185</v>
      </c>
      <c r="AB213" s="66"/>
      <c r="AC213" s="66"/>
      <c r="AD213" s="9" t="s">
        <v>9</v>
      </c>
      <c r="AE213" s="9">
        <v>3</v>
      </c>
      <c r="AF213" s="9" t="s">
        <v>5</v>
      </c>
      <c r="AG213" s="66">
        <f>+AT211</f>
        <v>136.25</v>
      </c>
      <c r="AH213" s="66"/>
      <c r="AI213" s="66"/>
      <c r="AJ213" s="9" t="s">
        <v>201</v>
      </c>
      <c r="AK213" s="66">
        <f>E213*H213/(L213*O213+S213*U213+Y213*AA213+AE213*AG213)</f>
        <v>1.1207970112079697</v>
      </c>
      <c r="AL213" s="66"/>
      <c r="AM213" s="66"/>
      <c r="AN213" s="9"/>
      <c r="AO213" s="9"/>
      <c r="AP213" s="9"/>
      <c r="AQ213" s="9"/>
      <c r="AR213" s="9"/>
      <c r="AS213" s="9"/>
      <c r="AT213" s="9"/>
      <c r="AV213" s="9"/>
      <c r="AW213" s="9"/>
      <c r="AX213" s="9"/>
      <c r="AY213" s="9"/>
      <c r="AZ213" s="9"/>
      <c r="BA213" s="9"/>
      <c r="BB213" s="9"/>
      <c r="BC213" s="9"/>
      <c r="BE213" s="9"/>
      <c r="BF213" s="9"/>
      <c r="BG213" s="9"/>
      <c r="BH213" s="9"/>
      <c r="BI213" s="9"/>
      <c r="BJ213" s="9"/>
      <c r="BK213" s="9"/>
      <c r="BL213" s="9"/>
      <c r="BN213" s="9"/>
      <c r="BO213" s="9"/>
      <c r="BP213" s="9"/>
      <c r="BQ213" s="9"/>
      <c r="BR213" s="9"/>
      <c r="BU213" s="9"/>
      <c r="BV213" s="9"/>
      <c r="BW213" s="9"/>
      <c r="BX213" s="9"/>
      <c r="CC213" s="7"/>
    </row>
    <row r="214" spans="2:81">
      <c r="B214" s="6"/>
      <c r="C214" s="23" t="s">
        <v>223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L214" s="9"/>
      <c r="AM214" s="9"/>
      <c r="AN214" s="9"/>
      <c r="AO214" s="9"/>
      <c r="AP214" s="9"/>
      <c r="AQ214" s="9"/>
      <c r="AR214" s="9"/>
      <c r="AS214" s="9"/>
      <c r="AU214" s="9"/>
      <c r="AV214" s="9"/>
      <c r="AW214" s="9"/>
      <c r="AX214" s="9"/>
      <c r="AY214" s="9"/>
      <c r="AZ214" s="9"/>
      <c r="BA214" s="9"/>
      <c r="BB214" s="9"/>
      <c r="BD214" s="9"/>
      <c r="BE214" s="9"/>
      <c r="BF214" s="9"/>
      <c r="BG214" s="9"/>
      <c r="BH214" s="9"/>
      <c r="BI214" s="9"/>
      <c r="BJ214" s="9"/>
      <c r="BK214" s="9"/>
      <c r="BM214" s="9"/>
      <c r="BN214" s="9"/>
      <c r="BO214" s="9"/>
      <c r="BP214" s="9"/>
      <c r="BQ214" s="9"/>
      <c r="BT214" s="9"/>
      <c r="BU214" s="9"/>
      <c r="BV214" s="9"/>
      <c r="BW214" s="9"/>
      <c r="CC214" s="7"/>
    </row>
    <row r="215" spans="2:81">
      <c r="B215" s="6"/>
      <c r="C215" s="1" t="s">
        <v>194</v>
      </c>
      <c r="I215" s="66">
        <f>+E199</f>
        <v>120</v>
      </c>
      <c r="J215" s="66"/>
      <c r="K215" s="1" t="s">
        <v>18</v>
      </c>
      <c r="M215" s="1">
        <v>2</v>
      </c>
      <c r="N215" s="9" t="s">
        <v>6</v>
      </c>
      <c r="O215" s="66">
        <f>+I199</f>
        <v>20</v>
      </c>
      <c r="P215" s="66"/>
      <c r="Q215" s="1" t="s">
        <v>15</v>
      </c>
      <c r="S215" s="66">
        <f>+M199</f>
        <v>1</v>
      </c>
      <c r="T215" s="66"/>
      <c r="U215" s="1" t="s">
        <v>19</v>
      </c>
      <c r="W215" s="66">
        <f>+P199</f>
        <v>20</v>
      </c>
      <c r="X215" s="66"/>
      <c r="Y215" s="1" t="s">
        <v>15</v>
      </c>
      <c r="AA215" s="66">
        <f>+T199</f>
        <v>3</v>
      </c>
      <c r="AB215" s="66"/>
      <c r="AC215" s="1" t="s">
        <v>19</v>
      </c>
      <c r="AE215" s="66">
        <f>+W199</f>
        <v>20</v>
      </c>
      <c r="AF215" s="66"/>
      <c r="AG215" s="1" t="s">
        <v>15</v>
      </c>
      <c r="AI215" s="66">
        <f>+AA199</f>
        <v>5</v>
      </c>
      <c r="AJ215" s="66"/>
      <c r="AK215" s="1" t="s">
        <v>20</v>
      </c>
      <c r="AM215" s="9" t="s">
        <v>6</v>
      </c>
      <c r="AN215" s="66">
        <f>+AD199</f>
        <v>30</v>
      </c>
      <c r="AO215" s="66"/>
      <c r="AP215" s="9" t="s">
        <v>5</v>
      </c>
      <c r="AQ215" s="1" t="s">
        <v>184</v>
      </c>
      <c r="AR215" s="1" t="s">
        <v>173</v>
      </c>
      <c r="AS215" s="1">
        <v>6</v>
      </c>
      <c r="AT215" s="9" t="s">
        <v>9</v>
      </c>
      <c r="AU215" s="1" t="s">
        <v>24</v>
      </c>
      <c r="AX215" s="1" t="s">
        <v>180</v>
      </c>
      <c r="CC215" s="7"/>
    </row>
    <row r="216" spans="2:81">
      <c r="B216" s="6"/>
      <c r="C216" s="1" t="s">
        <v>195</v>
      </c>
      <c r="H216" s="66">
        <f>+I215</f>
        <v>120</v>
      </c>
      <c r="I216" s="66"/>
      <c r="J216" s="1" t="s">
        <v>21</v>
      </c>
      <c r="L216" s="1">
        <v>6</v>
      </c>
      <c r="M216" s="9" t="s">
        <v>6</v>
      </c>
      <c r="N216" s="66">
        <f>+O215</f>
        <v>20</v>
      </c>
      <c r="O216" s="66"/>
      <c r="P216" s="1" t="s">
        <v>15</v>
      </c>
      <c r="R216" s="66">
        <f>+S215</f>
        <v>1</v>
      </c>
      <c r="S216" s="66"/>
      <c r="T216" s="1" t="s">
        <v>22</v>
      </c>
      <c r="V216" s="66">
        <f>+W215</f>
        <v>20</v>
      </c>
      <c r="W216" s="66"/>
      <c r="X216" s="1" t="s">
        <v>15</v>
      </c>
      <c r="Z216" s="66">
        <f>+AA215</f>
        <v>3</v>
      </c>
      <c r="AA216" s="66"/>
      <c r="AB216" s="1" t="s">
        <v>22</v>
      </c>
      <c r="AD216" s="66">
        <f>+AE215</f>
        <v>20</v>
      </c>
      <c r="AE216" s="66"/>
      <c r="AF216" s="1" t="s">
        <v>15</v>
      </c>
      <c r="AH216" s="66">
        <f>+AI215</f>
        <v>5</v>
      </c>
      <c r="AI216" s="66"/>
      <c r="AJ216" s="1" t="s">
        <v>23</v>
      </c>
      <c r="AL216" s="9" t="s">
        <v>6</v>
      </c>
      <c r="AM216" s="66">
        <f>+AN215</f>
        <v>30</v>
      </c>
      <c r="AN216" s="66"/>
      <c r="AO216" s="9" t="s">
        <v>5</v>
      </c>
      <c r="AP216" s="1" t="s">
        <v>185</v>
      </c>
      <c r="AQ216" s="1" t="s">
        <v>173</v>
      </c>
      <c r="AR216" s="66">
        <v>24</v>
      </c>
      <c r="AS216" s="66"/>
      <c r="AT216" s="1" t="s">
        <v>25</v>
      </c>
      <c r="AZ216" s="1" t="s">
        <v>180</v>
      </c>
      <c r="CC216" s="7"/>
    </row>
    <row r="217" spans="2:81">
      <c r="B217" s="6"/>
      <c r="C217" s="1" t="s">
        <v>26</v>
      </c>
      <c r="CC217" s="7"/>
    </row>
    <row r="218" spans="2:81">
      <c r="B218" s="6"/>
      <c r="C218" s="1" t="s">
        <v>27</v>
      </c>
      <c r="D218" s="66">
        <f>+AE187</f>
        <v>6</v>
      </c>
      <c r="E218" s="66"/>
      <c r="F218" s="1" t="s">
        <v>1</v>
      </c>
      <c r="G218" s="1" t="s">
        <v>28</v>
      </c>
      <c r="H218" s="1" t="s">
        <v>29</v>
      </c>
      <c r="CC218" s="7"/>
    </row>
    <row r="219" spans="2:81">
      <c r="B219" s="6"/>
      <c r="C219" s="66">
        <f>+H216</f>
        <v>120</v>
      </c>
      <c r="D219" s="66"/>
      <c r="E219" s="9" t="s">
        <v>5</v>
      </c>
      <c r="F219" s="66">
        <f>+D218</f>
        <v>6</v>
      </c>
      <c r="G219" s="66"/>
      <c r="H219" s="1" t="s">
        <v>30</v>
      </c>
      <c r="I219" s="1">
        <v>6</v>
      </c>
      <c r="J219" s="9" t="s">
        <v>6</v>
      </c>
      <c r="K219" s="66">
        <f>+N216</f>
        <v>20</v>
      </c>
      <c r="L219" s="66"/>
      <c r="M219" s="1" t="s">
        <v>14</v>
      </c>
      <c r="N219" s="66">
        <f>+D218</f>
        <v>6</v>
      </c>
      <c r="O219" s="66"/>
      <c r="P219" s="9" t="s">
        <v>6</v>
      </c>
      <c r="Q219" s="66">
        <f>+R216</f>
        <v>1</v>
      </c>
      <c r="R219" s="66"/>
      <c r="S219" s="1" t="s">
        <v>31</v>
      </c>
      <c r="T219" s="1">
        <v>6</v>
      </c>
      <c r="U219" s="9" t="s">
        <v>6</v>
      </c>
      <c r="V219" s="66">
        <f>+V216</f>
        <v>20</v>
      </c>
      <c r="W219" s="66"/>
      <c r="X219" s="1" t="s">
        <v>14</v>
      </c>
      <c r="Y219" s="66">
        <f>+N219</f>
        <v>6</v>
      </c>
      <c r="Z219" s="66"/>
      <c r="AA219" s="9" t="s">
        <v>6</v>
      </c>
      <c r="AB219" s="66">
        <f>+Z216</f>
        <v>3</v>
      </c>
      <c r="AC219" s="66"/>
      <c r="AD219" s="1" t="s">
        <v>31</v>
      </c>
      <c r="AE219" s="1">
        <v>6</v>
      </c>
      <c r="AF219" s="9" t="s">
        <v>6</v>
      </c>
      <c r="AG219" s="66">
        <f>+AD216</f>
        <v>20</v>
      </c>
      <c r="AH219" s="66"/>
      <c r="AI219" s="1" t="s">
        <v>14</v>
      </c>
      <c r="AJ219" s="66">
        <f>+Y219</f>
        <v>6</v>
      </c>
      <c r="AK219" s="66"/>
      <c r="AL219" s="9" t="s">
        <v>6</v>
      </c>
      <c r="AM219" s="66">
        <f>+AH216</f>
        <v>5</v>
      </c>
      <c r="AN219" s="66"/>
      <c r="AO219" s="1" t="s">
        <v>31</v>
      </c>
      <c r="AP219" s="1">
        <v>6</v>
      </c>
      <c r="AQ219" s="9" t="s">
        <v>6</v>
      </c>
      <c r="AR219" s="66">
        <f>+AM216</f>
        <v>30</v>
      </c>
      <c r="AS219" s="66"/>
      <c r="AT219" s="9" t="s">
        <v>5</v>
      </c>
      <c r="AU219" s="66">
        <f>+AJ219</f>
        <v>6</v>
      </c>
      <c r="AV219" s="66"/>
      <c r="AW219" s="1" t="s">
        <v>188</v>
      </c>
      <c r="AX219" s="66">
        <v>24</v>
      </c>
      <c r="AY219" s="66"/>
      <c r="AZ219" s="9" t="s">
        <v>9</v>
      </c>
      <c r="BA219" s="66">
        <f>+AJ219</f>
        <v>6</v>
      </c>
      <c r="BB219" s="66"/>
      <c r="BC219" s="9" t="s">
        <v>5</v>
      </c>
      <c r="BD219" s="1" t="s">
        <v>24</v>
      </c>
      <c r="BE219" s="9" t="s">
        <v>7</v>
      </c>
      <c r="BF219" s="1">
        <v>0</v>
      </c>
      <c r="CC219" s="7"/>
    </row>
    <row r="220" spans="2:81">
      <c r="B220" s="6"/>
      <c r="C220" s="1" t="s">
        <v>32</v>
      </c>
      <c r="E220" s="66">
        <f>-(C219*F219^3/I219-K219*(N219-Q219)^3/T219-V219*(Y219-AB219)^3/AE219-AG219*(AJ219-AM219)^3/AP219-AR219*AU219^4/AX219)/BA219</f>
        <v>-365</v>
      </c>
      <c r="F220" s="66"/>
      <c r="G220" s="66"/>
      <c r="CC220" s="7"/>
    </row>
    <row r="221" spans="2:81">
      <c r="B221" s="6"/>
      <c r="C221" s="1" t="s">
        <v>195</v>
      </c>
      <c r="H221" s="66">
        <f>+H216</f>
        <v>120</v>
      </c>
      <c r="I221" s="66"/>
      <c r="J221" s="1" t="s">
        <v>21</v>
      </c>
      <c r="L221" s="1">
        <v>6</v>
      </c>
      <c r="M221" s="9" t="s">
        <v>6</v>
      </c>
      <c r="N221" s="66">
        <f>+N216</f>
        <v>20</v>
      </c>
      <c r="O221" s="66"/>
      <c r="P221" s="1" t="s">
        <v>15</v>
      </c>
      <c r="R221" s="66">
        <f>+R216</f>
        <v>1</v>
      </c>
      <c r="S221" s="66"/>
      <c r="T221" s="1" t="s">
        <v>22</v>
      </c>
      <c r="V221" s="66">
        <f>+V216</f>
        <v>20</v>
      </c>
      <c r="W221" s="66"/>
      <c r="X221" s="1" t="s">
        <v>15</v>
      </c>
      <c r="Z221" s="66">
        <f>+Z216</f>
        <v>3</v>
      </c>
      <c r="AA221" s="66"/>
      <c r="AB221" s="1" t="s">
        <v>22</v>
      </c>
      <c r="AD221" s="66">
        <f>+AD216</f>
        <v>20</v>
      </c>
      <c r="AE221" s="66"/>
      <c r="AF221" s="1" t="s">
        <v>15</v>
      </c>
      <c r="AH221" s="66">
        <f>+AH216</f>
        <v>5</v>
      </c>
      <c r="AI221" s="66"/>
      <c r="AJ221" s="1" t="s">
        <v>23</v>
      </c>
      <c r="AL221" s="9" t="s">
        <v>6</v>
      </c>
      <c r="AM221" s="66">
        <f>+AR219</f>
        <v>30</v>
      </c>
      <c r="AN221" s="66"/>
      <c r="AO221" s="9" t="s">
        <v>5</v>
      </c>
      <c r="AP221" s="1" t="s">
        <v>185</v>
      </c>
      <c r="AQ221" s="1" t="s">
        <v>173</v>
      </c>
      <c r="AR221" s="66">
        <v>24</v>
      </c>
      <c r="AS221" s="66"/>
      <c r="AT221" s="9" t="s">
        <v>9</v>
      </c>
      <c r="AU221" s="66">
        <f>+E220</f>
        <v>-365</v>
      </c>
      <c r="AV221" s="66"/>
      <c r="AW221" s="66"/>
      <c r="AX221" s="9" t="s">
        <v>5</v>
      </c>
      <c r="AY221" s="1" t="s">
        <v>13</v>
      </c>
      <c r="CC221" s="7"/>
    </row>
    <row r="222" spans="2:81">
      <c r="B222" s="6"/>
      <c r="C222" s="1" t="s">
        <v>35</v>
      </c>
      <c r="E222" s="66">
        <f>+H221</f>
        <v>120</v>
      </c>
      <c r="F222" s="66"/>
      <c r="G222" s="1" t="s">
        <v>21</v>
      </c>
      <c r="I222" s="1">
        <v>6</v>
      </c>
      <c r="J222" s="9" t="s">
        <v>6</v>
      </c>
      <c r="K222" s="66">
        <f>+N221</f>
        <v>20</v>
      </c>
      <c r="L222" s="66"/>
      <c r="M222" s="1" t="s">
        <v>15</v>
      </c>
      <c r="O222" s="66">
        <f>+R221</f>
        <v>1</v>
      </c>
      <c r="P222" s="66"/>
      <c r="Q222" s="1" t="s">
        <v>22</v>
      </c>
      <c r="S222" s="66">
        <f>+V221</f>
        <v>20</v>
      </c>
      <c r="T222" s="66"/>
      <c r="U222" s="1" t="s">
        <v>15</v>
      </c>
      <c r="W222" s="66">
        <f>+Z221</f>
        <v>3</v>
      </c>
      <c r="X222" s="66"/>
      <c r="Y222" s="1" t="s">
        <v>22</v>
      </c>
      <c r="AA222" s="66">
        <f>+AD221</f>
        <v>20</v>
      </c>
      <c r="AB222" s="66"/>
      <c r="AC222" s="1" t="s">
        <v>15</v>
      </c>
      <c r="AE222" s="66">
        <f>+AH221</f>
        <v>5</v>
      </c>
      <c r="AF222" s="66"/>
      <c r="AG222" s="1" t="s">
        <v>23</v>
      </c>
      <c r="AI222" s="9" t="s">
        <v>6</v>
      </c>
      <c r="AJ222" s="66">
        <f>+AM221</f>
        <v>30</v>
      </c>
      <c r="AK222" s="66"/>
      <c r="AL222" s="9" t="s">
        <v>5</v>
      </c>
      <c r="AM222" s="1" t="s">
        <v>185</v>
      </c>
      <c r="AN222" s="1" t="s">
        <v>173</v>
      </c>
      <c r="AO222" s="66">
        <v>24</v>
      </c>
      <c r="AP222" s="66"/>
      <c r="AQ222" s="9" t="s">
        <v>9</v>
      </c>
      <c r="AR222" s="66">
        <f>+AU221</f>
        <v>-365</v>
      </c>
      <c r="AS222" s="66"/>
      <c r="AT222" s="66"/>
      <c r="AU222" s="9" t="s">
        <v>5</v>
      </c>
      <c r="AV222" s="1" t="s">
        <v>196</v>
      </c>
      <c r="CC222" s="7"/>
    </row>
    <row r="223" spans="2:81">
      <c r="B223" s="6"/>
      <c r="C223" s="1" t="s">
        <v>27</v>
      </c>
      <c r="D223" s="67">
        <f>+AE187/2</f>
        <v>3</v>
      </c>
      <c r="E223" s="67"/>
      <c r="F223" s="67"/>
      <c r="G223" s="1" t="s">
        <v>42</v>
      </c>
      <c r="P223" s="8" t="str">
        <f>IF(D223&lt;=AE187,"","azalt.")</f>
        <v/>
      </c>
      <c r="CC223" s="7"/>
    </row>
    <row r="224" spans="2:81">
      <c r="B224" s="6"/>
      <c r="C224" s="1" t="s">
        <v>35</v>
      </c>
      <c r="E224" s="66">
        <f>+E222</f>
        <v>120</v>
      </c>
      <c r="F224" s="66"/>
      <c r="G224" s="9" t="s">
        <v>5</v>
      </c>
      <c r="H224" s="66">
        <f>+D223</f>
        <v>3</v>
      </c>
      <c r="I224" s="66"/>
      <c r="J224" s="1" t="s">
        <v>30</v>
      </c>
      <c r="K224" s="1">
        <v>6</v>
      </c>
      <c r="L224" s="9" t="s">
        <v>6</v>
      </c>
      <c r="M224" s="66">
        <f>IF((P224-S224)&lt;=0,0,+K222)</f>
        <v>20</v>
      </c>
      <c r="N224" s="66"/>
      <c r="O224" s="1" t="s">
        <v>14</v>
      </c>
      <c r="P224" s="66">
        <f>+D223</f>
        <v>3</v>
      </c>
      <c r="Q224" s="66"/>
      <c r="R224" s="9" t="s">
        <v>6</v>
      </c>
      <c r="S224" s="66">
        <f>+O222</f>
        <v>1</v>
      </c>
      <c r="T224" s="66"/>
      <c r="U224" s="1" t="s">
        <v>31</v>
      </c>
      <c r="V224" s="1">
        <v>6</v>
      </c>
      <c r="W224" s="9" t="s">
        <v>6</v>
      </c>
      <c r="X224" s="66">
        <f>IF((AA224-AD224)&lt;=0,0,+S222)</f>
        <v>0</v>
      </c>
      <c r="Y224" s="66"/>
      <c r="Z224" s="1" t="s">
        <v>14</v>
      </c>
      <c r="AA224" s="66">
        <f>+P224</f>
        <v>3</v>
      </c>
      <c r="AB224" s="66"/>
      <c r="AC224" s="9" t="s">
        <v>6</v>
      </c>
      <c r="AD224" s="66">
        <f>+W222</f>
        <v>3</v>
      </c>
      <c r="AE224" s="66"/>
      <c r="AF224" s="1" t="s">
        <v>31</v>
      </c>
      <c r="AG224" s="1">
        <v>6</v>
      </c>
      <c r="AH224" s="9" t="s">
        <v>6</v>
      </c>
      <c r="AI224" s="66">
        <f>IF((AL224-AO224)&lt;=0,0,+AA222)</f>
        <v>0</v>
      </c>
      <c r="AJ224" s="66"/>
      <c r="AK224" s="1" t="s">
        <v>14</v>
      </c>
      <c r="AL224" s="66">
        <f>+AA224</f>
        <v>3</v>
      </c>
      <c r="AM224" s="66"/>
      <c r="AN224" s="9" t="s">
        <v>6</v>
      </c>
      <c r="AO224" s="66">
        <f>+AE222</f>
        <v>5</v>
      </c>
      <c r="AP224" s="66"/>
      <c r="AQ224" s="1" t="s">
        <v>31</v>
      </c>
      <c r="AR224" s="1">
        <v>6</v>
      </c>
      <c r="AS224" s="9" t="s">
        <v>6</v>
      </c>
      <c r="AT224" s="66">
        <f>+AJ222</f>
        <v>30</v>
      </c>
      <c r="AU224" s="66"/>
      <c r="AV224" s="9" t="s">
        <v>5</v>
      </c>
      <c r="AW224" s="66">
        <f>+AL224</f>
        <v>3</v>
      </c>
      <c r="AX224" s="66"/>
      <c r="AY224" s="1" t="s">
        <v>186</v>
      </c>
      <c r="AZ224" s="66">
        <v>24</v>
      </c>
      <c r="BA224" s="66"/>
      <c r="BB224" s="9" t="s">
        <v>9</v>
      </c>
      <c r="BC224" s="66">
        <f>+AR222</f>
        <v>-365</v>
      </c>
      <c r="BD224" s="66"/>
      <c r="BE224" s="66"/>
      <c r="BF224" s="9" t="s">
        <v>5</v>
      </c>
      <c r="BG224" s="66">
        <f>+AL224</f>
        <v>3</v>
      </c>
      <c r="BH224" s="66"/>
      <c r="BI224" s="1" t="s">
        <v>193</v>
      </c>
      <c r="BL224" s="66">
        <f>+Z190</f>
        <v>200000</v>
      </c>
      <c r="BM224" s="66"/>
      <c r="BN224" s="66"/>
      <c r="BO224" s="9" t="s">
        <v>5</v>
      </c>
      <c r="BP224" s="66">
        <f>+Z189</f>
        <v>92080</v>
      </c>
      <c r="BQ224" s="66"/>
      <c r="BR224" s="66"/>
      <c r="BS224" s="1" t="s">
        <v>40</v>
      </c>
      <c r="CC224" s="7"/>
    </row>
    <row r="225" spans="2:81">
      <c r="B225" s="6"/>
      <c r="C225" s="1" t="s">
        <v>33</v>
      </c>
      <c r="E225" s="66">
        <f>-(E224*H224^3/K224-M224*(P224-S224)^3/V224-X224*(AA224-AD224)^3/AG224-AI224*(AL224-AO224)^3/AR224-AT224*AW224^4/AZ224+BC224*BG224)*100000000/(BL224*BP224)</f>
        <v>3.7082790327251662</v>
      </c>
      <c r="F225" s="66"/>
      <c r="G225" s="66"/>
      <c r="H225" s="1" t="s">
        <v>41</v>
      </c>
      <c r="CC225" s="7"/>
    </row>
    <row r="226" spans="2:81">
      <c r="B226" s="6"/>
      <c r="C226" s="1" t="s">
        <v>172</v>
      </c>
      <c r="H226" s="66">
        <f>+AE187*1000</f>
        <v>6000</v>
      </c>
      <c r="I226" s="66"/>
      <c r="J226" s="66"/>
      <c r="K226" s="1" t="s">
        <v>173</v>
      </c>
      <c r="L226" s="66">
        <v>300</v>
      </c>
      <c r="M226" s="66"/>
      <c r="N226" s="9" t="s">
        <v>7</v>
      </c>
      <c r="O226" s="66">
        <f>+H226/L226</f>
        <v>20</v>
      </c>
      <c r="P226" s="66"/>
      <c r="Q226" s="66"/>
      <c r="R226" s="1" t="s">
        <v>41</v>
      </c>
      <c r="U226" s="1" t="s">
        <v>192</v>
      </c>
      <c r="CC226" s="7"/>
    </row>
    <row r="227" spans="2:81">
      <c r="B227" s="6"/>
      <c r="C227" s="1" t="s">
        <v>34</v>
      </c>
      <c r="D227" s="66">
        <f>+E225</f>
        <v>3.7082790327251662</v>
      </c>
      <c r="E227" s="66"/>
      <c r="F227" s="66"/>
      <c r="G227" s="1" t="s">
        <v>41</v>
      </c>
      <c r="I227" s="1" t="str">
        <f>IF(D227&lt;M227,"&lt;","&gt;")</f>
        <v>&lt;</v>
      </c>
      <c r="J227" s="1" t="s">
        <v>174</v>
      </c>
      <c r="M227" s="66">
        <f>+O226</f>
        <v>20</v>
      </c>
      <c r="N227" s="66"/>
      <c r="O227" s="66"/>
      <c r="P227" s="1" t="s">
        <v>41</v>
      </c>
      <c r="R227" s="8" t="str">
        <f>IF(D227&lt;M227,"uygun.","uygun değil.")</f>
        <v>uygun.</v>
      </c>
      <c r="CC227" s="7"/>
    </row>
    <row r="228" spans="2:81" ht="12" thickBot="1">
      <c r="B228" s="12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4"/>
    </row>
    <row r="229" spans="2:81" ht="12" thickBot="1"/>
    <row r="230" spans="2:81" ht="48" customHeight="1">
      <c r="B230" s="73" t="s">
        <v>207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74"/>
      <c r="BR230" s="74"/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5"/>
    </row>
    <row r="231" spans="2:81">
      <c r="B231" s="6"/>
      <c r="S231" s="8" t="s">
        <v>176</v>
      </c>
      <c r="CC231" s="7"/>
    </row>
    <row r="232" spans="2:81">
      <c r="B232" s="6"/>
      <c r="AL232" s="1" t="s">
        <v>290</v>
      </c>
      <c r="CC232" s="7"/>
    </row>
    <row r="233" spans="2:81">
      <c r="B233" s="6"/>
      <c r="O233" s="67" t="s">
        <v>171</v>
      </c>
      <c r="P233" s="67"/>
      <c r="Q233" s="67"/>
      <c r="R233" s="67"/>
      <c r="S233" s="67"/>
      <c r="T233" s="67"/>
      <c r="AA233" s="67">
        <v>20</v>
      </c>
      <c r="AB233" s="67"/>
      <c r="AC233" s="1" t="s">
        <v>0</v>
      </c>
      <c r="AG233" s="67">
        <v>20</v>
      </c>
      <c r="AH233" s="67"/>
      <c r="AI233" s="1" t="s">
        <v>0</v>
      </c>
      <c r="CC233" s="7"/>
    </row>
    <row r="234" spans="2:81">
      <c r="B234" s="6"/>
      <c r="AC234" s="67">
        <v>30</v>
      </c>
      <c r="AD234" s="67"/>
      <c r="AE234" s="1" t="s">
        <v>187</v>
      </c>
      <c r="CC234" s="7"/>
    </row>
    <row r="235" spans="2:81">
      <c r="B235" s="6"/>
      <c r="AT235" s="23" t="s">
        <v>341</v>
      </c>
      <c r="CC235" s="7"/>
    </row>
    <row r="236" spans="2:81">
      <c r="B236" s="6"/>
      <c r="AT236" s="1" t="s">
        <v>301</v>
      </c>
      <c r="AV236" s="66">
        <f>+AK269</f>
        <v>1.1469453600884654</v>
      </c>
      <c r="AW236" s="66"/>
      <c r="AX236" s="66"/>
      <c r="CC236" s="7"/>
    </row>
    <row r="237" spans="2:81">
      <c r="B237" s="6"/>
      <c r="C237" s="71">
        <f>INDEX($CI$24:$CI$138,MATCH(O233,$CG$24:$CG$138,0),0)</f>
        <v>600</v>
      </c>
      <c r="AT237" s="1" t="s">
        <v>297</v>
      </c>
      <c r="AV237" s="66">
        <f>+AL261</f>
        <v>261.41157407407411</v>
      </c>
      <c r="AW237" s="66"/>
      <c r="AX237" s="66"/>
      <c r="AY237" s="1" t="s">
        <v>191</v>
      </c>
      <c r="BA237" s="1" t="s">
        <v>329</v>
      </c>
      <c r="CC237" s="7"/>
    </row>
    <row r="238" spans="2:81">
      <c r="B238" s="6"/>
      <c r="C238" s="71"/>
      <c r="Y238" s="1" t="s">
        <v>13</v>
      </c>
      <c r="AT238" s="1" t="s">
        <v>330</v>
      </c>
      <c r="AW238" s="66">
        <f>MAX(U240,AM240)</f>
        <v>137.83333333333334</v>
      </c>
      <c r="AX238" s="66"/>
      <c r="AY238" s="66"/>
      <c r="AZ238" s="1" t="s">
        <v>0</v>
      </c>
      <c r="BB238" s="1" t="s">
        <v>331</v>
      </c>
      <c r="CC238" s="7"/>
    </row>
    <row r="239" spans="2:81">
      <c r="B239" s="6"/>
      <c r="C239" s="71"/>
      <c r="J239" s="66">
        <f>INDEX($CK$24:$CK$138,MATCH(O233,$CG$24:$CG$138,0),0)</f>
        <v>12</v>
      </c>
      <c r="K239" s="66"/>
      <c r="CC239" s="7"/>
    </row>
    <row r="240" spans="2:81">
      <c r="B240" s="6"/>
      <c r="T240" s="1" t="s">
        <v>2</v>
      </c>
      <c r="U240" s="66">
        <f>+E250</f>
        <v>137.83333333333334</v>
      </c>
      <c r="V240" s="66"/>
      <c r="W240" s="1" t="s">
        <v>0</v>
      </c>
      <c r="AL240" s="1" t="s">
        <v>3</v>
      </c>
      <c r="AM240" s="66">
        <f>+E253</f>
        <v>127.16666666666666</v>
      </c>
      <c r="AN240" s="66"/>
      <c r="AO240" s="1" t="s">
        <v>0</v>
      </c>
      <c r="CC240" s="7"/>
    </row>
    <row r="241" spans="2:81">
      <c r="B241" s="6"/>
      <c r="X241" s="67">
        <v>1.5</v>
      </c>
      <c r="Y241" s="67"/>
      <c r="Z241" s="1" t="s">
        <v>1</v>
      </c>
      <c r="AD241" s="67">
        <v>2.5</v>
      </c>
      <c r="AE241" s="67"/>
      <c r="AF241" s="1" t="s">
        <v>1</v>
      </c>
      <c r="AJ241" s="67">
        <v>3.5</v>
      </c>
      <c r="AK241" s="67"/>
      <c r="AL241" s="1" t="s">
        <v>1</v>
      </c>
      <c r="CC241" s="7"/>
    </row>
    <row r="242" spans="2:81">
      <c r="B242" s="6"/>
      <c r="K242" s="66">
        <f>INDEX($CL$24:$CL$138,MATCH(O233,$CG$24:$CG$138,0),0)</f>
        <v>19</v>
      </c>
      <c r="L242" s="66"/>
      <c r="CC242" s="7"/>
    </row>
    <row r="243" spans="2:81">
      <c r="B243" s="6"/>
      <c r="AC243" s="1" t="s">
        <v>197</v>
      </c>
      <c r="AD243" s="66">
        <f>+X241+AD241+AJ241</f>
        <v>7.5</v>
      </c>
      <c r="AE243" s="66"/>
      <c r="AF243" s="1" t="s">
        <v>1</v>
      </c>
      <c r="CC243" s="7"/>
    </row>
    <row r="244" spans="2:81">
      <c r="B244" s="6"/>
      <c r="AU244" s="23" t="s">
        <v>266</v>
      </c>
      <c r="CC244" s="7"/>
    </row>
    <row r="245" spans="2:81">
      <c r="B245" s="6"/>
      <c r="I245" s="66">
        <f>INDEX($CJ$24:$CJ$138,MATCH(O233,$CG$24:$CG$138,0),0)</f>
        <v>220</v>
      </c>
      <c r="J245" s="66"/>
      <c r="X245" s="10" t="s">
        <v>36</v>
      </c>
      <c r="Z245" s="66">
        <f>INDEX($CM$24:$CM$138,MATCH(O233,$CG$24:$CG$138,0),0)</f>
        <v>92080</v>
      </c>
      <c r="AA245" s="66"/>
      <c r="AB245" s="66"/>
      <c r="AC245" s="66"/>
      <c r="AD245" s="1" t="s">
        <v>37</v>
      </c>
      <c r="AG245" s="1" t="s">
        <v>175</v>
      </c>
      <c r="AU245" s="11" t="s">
        <v>265</v>
      </c>
      <c r="CC245" s="7"/>
    </row>
    <row r="246" spans="2:81">
      <c r="B246" s="6"/>
      <c r="X246" s="1" t="s">
        <v>38</v>
      </c>
      <c r="Z246" s="67">
        <v>200000</v>
      </c>
      <c r="AA246" s="67"/>
      <c r="AB246" s="67"/>
      <c r="AC246" s="67"/>
      <c r="AD246" s="1" t="s">
        <v>39</v>
      </c>
      <c r="AG246" s="1" t="s">
        <v>302</v>
      </c>
      <c r="AU246" s="11" t="s">
        <v>263</v>
      </c>
      <c r="CC246" s="7"/>
    </row>
    <row r="247" spans="2:81">
      <c r="B247" s="6"/>
      <c r="C247" s="23" t="s">
        <v>221</v>
      </c>
      <c r="AU247" s="11" t="s">
        <v>264</v>
      </c>
      <c r="CC247" s="7"/>
    </row>
    <row r="248" spans="2:81">
      <c r="B248" s="6"/>
      <c r="C248" s="1" t="s">
        <v>177</v>
      </c>
      <c r="CC248" s="7"/>
    </row>
    <row r="249" spans="2:81">
      <c r="B249" s="6"/>
      <c r="C249" s="1" t="s">
        <v>4</v>
      </c>
      <c r="D249" s="9" t="s">
        <v>5</v>
      </c>
      <c r="E249" s="66">
        <f>+AD243</f>
        <v>7.5</v>
      </c>
      <c r="F249" s="66"/>
      <c r="G249" s="9" t="s">
        <v>6</v>
      </c>
      <c r="H249" s="66">
        <f>+AA233</f>
        <v>20</v>
      </c>
      <c r="I249" s="66"/>
      <c r="J249" s="9" t="s">
        <v>5</v>
      </c>
      <c r="K249" s="66">
        <f>+AD241+AJ241</f>
        <v>6</v>
      </c>
      <c r="L249" s="66"/>
      <c r="M249" s="9" t="s">
        <v>6</v>
      </c>
      <c r="N249" s="66">
        <f>+AG233</f>
        <v>20</v>
      </c>
      <c r="O249" s="66"/>
      <c r="P249" s="9" t="s">
        <v>5</v>
      </c>
      <c r="Q249" s="66">
        <f>+AJ241</f>
        <v>3.5</v>
      </c>
      <c r="R249" s="66"/>
      <c r="S249" s="9" t="s">
        <v>6</v>
      </c>
      <c r="T249" s="66">
        <f>+AC234</f>
        <v>30</v>
      </c>
      <c r="U249" s="66"/>
      <c r="V249" s="9" t="s">
        <v>5</v>
      </c>
      <c r="W249" s="66">
        <f>+AD243</f>
        <v>7.5</v>
      </c>
      <c r="X249" s="66"/>
      <c r="Y249" s="9" t="s">
        <v>5</v>
      </c>
      <c r="Z249" s="66">
        <f>+AD243/2</f>
        <v>3.75</v>
      </c>
      <c r="AA249" s="66"/>
      <c r="AB249" s="9" t="s">
        <v>7</v>
      </c>
      <c r="AC249" s="1">
        <v>0</v>
      </c>
      <c r="AH249" s="9"/>
      <c r="CC249" s="7"/>
    </row>
    <row r="250" spans="2:81">
      <c r="B250" s="6"/>
      <c r="C250" s="1" t="s">
        <v>8</v>
      </c>
      <c r="D250" s="9"/>
      <c r="E250" s="66">
        <f>(H249*K249+N249*Q249+T249*W249*Z249)/E249</f>
        <v>137.83333333333334</v>
      </c>
      <c r="F250" s="66"/>
      <c r="G250" s="1" t="s">
        <v>0</v>
      </c>
      <c r="I250" s="1" t="s">
        <v>178</v>
      </c>
      <c r="CC250" s="7"/>
    </row>
    <row r="251" spans="2:81">
      <c r="B251" s="6"/>
      <c r="C251" s="1" t="s">
        <v>189</v>
      </c>
      <c r="CC251" s="7"/>
    </row>
    <row r="252" spans="2:81">
      <c r="B252" s="6"/>
      <c r="C252" s="1" t="s">
        <v>4</v>
      </c>
      <c r="D252" s="9" t="s">
        <v>9</v>
      </c>
      <c r="E252" s="9" t="s">
        <v>10</v>
      </c>
      <c r="F252" s="9" t="s">
        <v>6</v>
      </c>
      <c r="G252" s="66">
        <f>+AA233</f>
        <v>20</v>
      </c>
      <c r="H252" s="66"/>
      <c r="I252" s="9" t="s">
        <v>6</v>
      </c>
      <c r="J252" s="66">
        <f>+AG233</f>
        <v>20</v>
      </c>
      <c r="K252" s="66"/>
      <c r="L252" s="9" t="s">
        <v>6</v>
      </c>
      <c r="M252" s="66">
        <f>+AC234</f>
        <v>30</v>
      </c>
      <c r="N252" s="66"/>
      <c r="O252" s="9" t="s">
        <v>5</v>
      </c>
      <c r="P252" s="66">
        <f>+AD243</f>
        <v>7.5</v>
      </c>
      <c r="Q252" s="66"/>
      <c r="R252" s="9" t="s">
        <v>7</v>
      </c>
      <c r="S252" s="1">
        <v>0</v>
      </c>
      <c r="CC252" s="7"/>
    </row>
    <row r="253" spans="2:81">
      <c r="B253" s="6"/>
      <c r="C253" s="1" t="s">
        <v>11</v>
      </c>
      <c r="D253" s="9"/>
      <c r="E253" s="66">
        <f>(G252+J252+M252*P252-E250)</f>
        <v>127.16666666666666</v>
      </c>
      <c r="F253" s="66"/>
      <c r="G253" s="1" t="s">
        <v>0</v>
      </c>
      <c r="I253" s="1" t="s">
        <v>179</v>
      </c>
      <c r="CC253" s="7"/>
    </row>
    <row r="254" spans="2:81">
      <c r="B254" s="6"/>
      <c r="C254" s="23" t="s">
        <v>222</v>
      </c>
      <c r="D254" s="9"/>
      <c r="E254" s="9"/>
      <c r="F254" s="9"/>
      <c r="CC254" s="7"/>
    </row>
    <row r="255" spans="2:81">
      <c r="B255" s="6"/>
      <c r="C255" s="1" t="s">
        <v>12</v>
      </c>
      <c r="E255" s="66">
        <f>+U240</f>
        <v>137.83333333333334</v>
      </c>
      <c r="F255" s="66"/>
      <c r="G255" s="11" t="s">
        <v>17</v>
      </c>
      <c r="H255" s="9"/>
      <c r="I255" s="66">
        <f>+AA233</f>
        <v>20</v>
      </c>
      <c r="J255" s="66"/>
      <c r="K255" s="1" t="s">
        <v>15</v>
      </c>
      <c r="M255" s="66">
        <f>+X241</f>
        <v>1.5</v>
      </c>
      <c r="N255" s="66"/>
      <c r="O255" s="1" t="s">
        <v>16</v>
      </c>
      <c r="P255" s="66">
        <f>+AG233</f>
        <v>20</v>
      </c>
      <c r="Q255" s="66"/>
      <c r="R255" s="1" t="s">
        <v>15</v>
      </c>
      <c r="T255" s="66">
        <f>+X241+AD241</f>
        <v>4</v>
      </c>
      <c r="U255" s="66"/>
      <c r="V255" s="1" t="s">
        <v>16</v>
      </c>
      <c r="W255" s="66">
        <f>+AC234</f>
        <v>30</v>
      </c>
      <c r="X255" s="66"/>
      <c r="Y255" s="9" t="s">
        <v>5</v>
      </c>
      <c r="Z255" s="1" t="s">
        <v>183</v>
      </c>
      <c r="AA255" s="1" t="s">
        <v>173</v>
      </c>
      <c r="AB255" s="1">
        <v>2</v>
      </c>
      <c r="CC255" s="7"/>
    </row>
    <row r="256" spans="2:81">
      <c r="B256" s="6"/>
      <c r="C256" s="1" t="s">
        <v>27</v>
      </c>
      <c r="D256" s="67">
        <f>+AD243/2</f>
        <v>3.75</v>
      </c>
      <c r="E256" s="67"/>
      <c r="F256" s="67"/>
      <c r="G256" s="1" t="s">
        <v>213</v>
      </c>
      <c r="H256" s="9"/>
      <c r="I256" s="9"/>
      <c r="J256" s="9"/>
      <c r="M256" s="9"/>
      <c r="N256" s="21"/>
      <c r="P256" s="9"/>
      <c r="Q256" s="9"/>
      <c r="U256" s="8" t="str">
        <f>IF(D256&lt;=AD243,"","azalt.")</f>
        <v/>
      </c>
      <c r="W256" s="9"/>
      <c r="X256" s="9"/>
      <c r="AA256" s="9"/>
      <c r="AY256" s="9"/>
      <c r="AZ256" s="9"/>
      <c r="BA256" s="9"/>
      <c r="CC256" s="7"/>
    </row>
    <row r="257" spans="2:81">
      <c r="B257" s="6"/>
      <c r="C257" s="1" t="s">
        <v>12</v>
      </c>
      <c r="E257" s="66">
        <f>+E255</f>
        <v>137.83333333333334</v>
      </c>
      <c r="F257" s="66"/>
      <c r="G257" s="9" t="s">
        <v>5</v>
      </c>
      <c r="H257" s="66">
        <f>+D256</f>
        <v>3.75</v>
      </c>
      <c r="I257" s="66"/>
      <c r="J257" s="9" t="s">
        <v>6</v>
      </c>
      <c r="K257" s="66">
        <f>IF((N257-Q257)&lt;=0,0,+I255)</f>
        <v>20</v>
      </c>
      <c r="L257" s="66"/>
      <c r="M257" s="9" t="s">
        <v>14</v>
      </c>
      <c r="N257" s="66">
        <f>+H257</f>
        <v>3.75</v>
      </c>
      <c r="O257" s="66"/>
      <c r="P257" s="9" t="s">
        <v>6</v>
      </c>
      <c r="Q257" s="66">
        <f>+M255</f>
        <v>1.5</v>
      </c>
      <c r="R257" s="66"/>
      <c r="S257" s="1" t="s">
        <v>16</v>
      </c>
      <c r="T257" s="66">
        <f>IF((W257-Z257)&lt;=0,0,+P255)</f>
        <v>0</v>
      </c>
      <c r="U257" s="66"/>
      <c r="V257" s="9" t="s">
        <v>14</v>
      </c>
      <c r="W257" s="66">
        <f>+N257</f>
        <v>3.75</v>
      </c>
      <c r="X257" s="66"/>
      <c r="Y257" s="9" t="s">
        <v>6</v>
      </c>
      <c r="Z257" s="66">
        <f>+T255</f>
        <v>4</v>
      </c>
      <c r="AA257" s="66"/>
      <c r="AB257" s="1" t="s">
        <v>16</v>
      </c>
      <c r="AC257" s="66">
        <f>+W255</f>
        <v>30</v>
      </c>
      <c r="AD257" s="66"/>
      <c r="AE257" s="9" t="s">
        <v>5</v>
      </c>
      <c r="AF257" s="66">
        <f>+W257</f>
        <v>3.75</v>
      </c>
      <c r="AG257" s="66"/>
      <c r="AH257" s="1" t="s">
        <v>190</v>
      </c>
      <c r="AI257" s="1">
        <v>2</v>
      </c>
      <c r="AJ257" s="9" t="s">
        <v>7</v>
      </c>
      <c r="AK257" s="66">
        <f>E257*H257-K257*(N257-Q257)-T257*(W257-Z257)-AC257*AF257^2/AI257</f>
        <v>260.9375</v>
      </c>
      <c r="AL257" s="66"/>
      <c r="AM257" s="66"/>
      <c r="AN257" s="1" t="s">
        <v>191</v>
      </c>
      <c r="CC257" s="7"/>
    </row>
    <row r="258" spans="2:81">
      <c r="B258" s="6"/>
      <c r="C258" s="1" t="s">
        <v>220</v>
      </c>
      <c r="E258" s="66">
        <f>+E257</f>
        <v>137.83333333333334</v>
      </c>
      <c r="F258" s="66"/>
      <c r="G258" s="9" t="s">
        <v>6</v>
      </c>
      <c r="H258" s="66">
        <f>+K257</f>
        <v>20</v>
      </c>
      <c r="I258" s="66"/>
      <c r="J258" s="9" t="s">
        <v>6</v>
      </c>
      <c r="K258" s="66">
        <f>+T257</f>
        <v>0</v>
      </c>
      <c r="L258" s="66"/>
      <c r="M258" s="9" t="s">
        <v>6</v>
      </c>
      <c r="N258" s="66">
        <f>+AC257</f>
        <v>30</v>
      </c>
      <c r="O258" s="66"/>
      <c r="P258" s="9" t="s">
        <v>5</v>
      </c>
      <c r="Q258" s="66">
        <f>+AF257</f>
        <v>3.75</v>
      </c>
      <c r="R258" s="66"/>
      <c r="S258" s="9" t="s">
        <v>7</v>
      </c>
      <c r="T258" s="66">
        <f>+E258-H258-K258-N258*Q258</f>
        <v>5.3333333333333428</v>
      </c>
      <c r="U258" s="66"/>
      <c r="V258" s="66"/>
      <c r="W258" s="9" t="s">
        <v>0</v>
      </c>
      <c r="AW258" s="9"/>
      <c r="AX258" s="9"/>
      <c r="AY258" s="9"/>
      <c r="AZ258" s="9"/>
      <c r="BA258" s="9"/>
      <c r="BB258" s="9"/>
      <c r="BD258" s="9"/>
      <c r="BE258" s="9"/>
      <c r="BF258" s="9"/>
      <c r="BG258" s="9"/>
      <c r="BH258" s="9"/>
      <c r="BI258" s="9"/>
      <c r="BJ258" s="9"/>
      <c r="BK258" s="9"/>
      <c r="BM258" s="9"/>
      <c r="BN258" s="9"/>
      <c r="BO258" s="9"/>
      <c r="BP258" s="9"/>
      <c r="BQ258" s="9"/>
      <c r="BT258" s="9"/>
      <c r="BU258" s="9"/>
      <c r="BV258" s="9"/>
      <c r="BW258" s="9"/>
      <c r="CC258" s="7"/>
    </row>
    <row r="259" spans="2:81">
      <c r="B259" s="6"/>
      <c r="C259" s="23" t="s">
        <v>253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AW259" s="9"/>
      <c r="AX259" s="9"/>
      <c r="AY259" s="9"/>
      <c r="AZ259" s="9"/>
      <c r="BA259" s="9"/>
      <c r="BB259" s="9"/>
      <c r="BD259" s="9"/>
      <c r="BE259" s="9"/>
      <c r="BF259" s="9"/>
      <c r="BG259" s="9"/>
      <c r="BH259" s="9"/>
      <c r="BI259" s="9"/>
      <c r="BJ259" s="9"/>
      <c r="BK259" s="9"/>
      <c r="BM259" s="9"/>
      <c r="BN259" s="9"/>
      <c r="BO259" s="9"/>
      <c r="BP259" s="9"/>
      <c r="BQ259" s="9"/>
      <c r="BT259" s="9"/>
      <c r="BU259" s="9"/>
      <c r="BV259" s="9"/>
      <c r="BW259" s="9"/>
      <c r="CC259" s="7"/>
    </row>
    <row r="260" spans="2:81">
      <c r="B260" s="6"/>
      <c r="C260" s="1" t="s">
        <v>27</v>
      </c>
      <c r="D260" s="66">
        <f>(E258-H258-K258)/N258</f>
        <v>3.927777777777778</v>
      </c>
      <c r="E260" s="66"/>
      <c r="F260" s="66"/>
      <c r="G260" s="1" t="s">
        <v>257</v>
      </c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AW260" s="9"/>
      <c r="AX260" s="9"/>
      <c r="AY260" s="9"/>
      <c r="AZ260" s="9"/>
      <c r="BA260" s="9"/>
      <c r="BB260" s="9"/>
      <c r="BD260" s="9"/>
      <c r="BE260" s="9"/>
      <c r="BF260" s="9"/>
      <c r="BG260" s="9"/>
      <c r="BH260" s="9"/>
      <c r="BI260" s="9"/>
      <c r="BJ260" s="9"/>
      <c r="BK260" s="9"/>
      <c r="BM260" s="9"/>
      <c r="BN260" s="9"/>
      <c r="BO260" s="9"/>
      <c r="BP260" s="9"/>
      <c r="BQ260" s="9"/>
      <c r="BT260" s="9"/>
      <c r="BU260" s="9"/>
      <c r="BV260" s="9"/>
      <c r="BW260" s="9"/>
      <c r="CC260" s="7"/>
    </row>
    <row r="261" spans="2:81">
      <c r="B261" s="6"/>
      <c r="C261" s="1" t="s">
        <v>260</v>
      </c>
      <c r="F261" s="66">
        <f>+E255</f>
        <v>137.83333333333334</v>
      </c>
      <c r="G261" s="66"/>
      <c r="H261" s="9" t="s">
        <v>5</v>
      </c>
      <c r="I261" s="66">
        <f>+D260</f>
        <v>3.927777777777778</v>
      </c>
      <c r="J261" s="66"/>
      <c r="K261" s="9" t="s">
        <v>6</v>
      </c>
      <c r="L261" s="66">
        <f>IF((O261-R261)&lt;=0,0,+I255)</f>
        <v>20</v>
      </c>
      <c r="M261" s="66"/>
      <c r="N261" s="9" t="s">
        <v>14</v>
      </c>
      <c r="O261" s="66">
        <f>+I261</f>
        <v>3.927777777777778</v>
      </c>
      <c r="P261" s="66"/>
      <c r="Q261" s="9" t="s">
        <v>6</v>
      </c>
      <c r="R261" s="66">
        <f>+M255</f>
        <v>1.5</v>
      </c>
      <c r="S261" s="66"/>
      <c r="T261" s="1" t="s">
        <v>16</v>
      </c>
      <c r="U261" s="66">
        <f>IF((X261-AA261)&lt;=0,0,+P255)</f>
        <v>0</v>
      </c>
      <c r="V261" s="66"/>
      <c r="W261" s="9" t="s">
        <v>14</v>
      </c>
      <c r="X261" s="66">
        <f>+O261</f>
        <v>3.927777777777778</v>
      </c>
      <c r="Y261" s="66"/>
      <c r="Z261" s="9" t="s">
        <v>6</v>
      </c>
      <c r="AA261" s="66">
        <f>+T255</f>
        <v>4</v>
      </c>
      <c r="AB261" s="66"/>
      <c r="AC261" s="1" t="s">
        <v>16</v>
      </c>
      <c r="AD261" s="66">
        <f>+W255</f>
        <v>30</v>
      </c>
      <c r="AE261" s="66"/>
      <c r="AF261" s="9" t="s">
        <v>5</v>
      </c>
      <c r="AG261" s="66">
        <f>+X261</f>
        <v>3.927777777777778</v>
      </c>
      <c r="AH261" s="66"/>
      <c r="AI261" s="1" t="s">
        <v>190</v>
      </c>
      <c r="AJ261" s="1">
        <v>2</v>
      </c>
      <c r="AK261" s="9" t="s">
        <v>7</v>
      </c>
      <c r="AL261" s="66">
        <f>F261*I261-L261*(O261-R261)-U261*(X261-AA261)-AD261*AG261^2/AJ261</f>
        <v>261.41157407407411</v>
      </c>
      <c r="AM261" s="66"/>
      <c r="AN261" s="66"/>
      <c r="AO261" s="1" t="s">
        <v>191</v>
      </c>
      <c r="AW261" s="9"/>
      <c r="AX261" s="9"/>
      <c r="AY261" s="9"/>
      <c r="AZ261" s="9"/>
      <c r="BA261" s="9"/>
      <c r="BB261" s="9"/>
      <c r="BD261" s="9"/>
      <c r="BE261" s="9"/>
      <c r="BF261" s="9"/>
      <c r="BG261" s="9"/>
      <c r="BH261" s="9"/>
      <c r="BI261" s="9"/>
      <c r="BJ261" s="9"/>
      <c r="BK261" s="9"/>
      <c r="BM261" s="9"/>
      <c r="BN261" s="9"/>
      <c r="BO261" s="9"/>
      <c r="BP261" s="9"/>
      <c r="BQ261" s="9"/>
      <c r="BT261" s="9"/>
      <c r="BU261" s="9"/>
      <c r="BV261" s="9"/>
      <c r="BW261" s="9"/>
      <c r="CC261" s="7"/>
    </row>
    <row r="262" spans="2:81">
      <c r="B262" s="6"/>
      <c r="C262" s="1" t="s">
        <v>247</v>
      </c>
      <c r="E262" s="66">
        <f>+AD243/2</f>
        <v>3.75</v>
      </c>
      <c r="F262" s="66"/>
      <c r="G262" s="66"/>
      <c r="H262" s="1" t="s">
        <v>252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AW262" s="9"/>
      <c r="AX262" s="9"/>
      <c r="AY262" s="9"/>
      <c r="AZ262" s="9"/>
      <c r="BA262" s="9"/>
      <c r="BB262" s="9"/>
      <c r="BD262" s="9"/>
      <c r="BE262" s="9"/>
      <c r="BF262" s="9"/>
      <c r="BG262" s="9"/>
      <c r="BH262" s="9"/>
      <c r="BI262" s="9"/>
      <c r="BJ262" s="9"/>
      <c r="BK262" s="9"/>
      <c r="BM262" s="9"/>
      <c r="BN262" s="9"/>
      <c r="BO262" s="9"/>
      <c r="BP262" s="9"/>
      <c r="BQ262" s="9"/>
      <c r="BT262" s="9"/>
      <c r="BU262" s="9"/>
      <c r="BV262" s="9"/>
      <c r="BW262" s="9"/>
      <c r="CC262" s="7"/>
    </row>
    <row r="263" spans="2:81">
      <c r="B263" s="6"/>
      <c r="C263" s="1" t="s">
        <v>261</v>
      </c>
      <c r="E263" s="66">
        <f>+E255</f>
        <v>137.83333333333334</v>
      </c>
      <c r="F263" s="66"/>
      <c r="G263" s="9" t="s">
        <v>5</v>
      </c>
      <c r="H263" s="66">
        <f>+E262</f>
        <v>3.75</v>
      </c>
      <c r="I263" s="66"/>
      <c r="J263" s="9" t="s">
        <v>6</v>
      </c>
      <c r="K263" s="66">
        <f>IF((N263-Q263)&lt;=0,0,+I255)</f>
        <v>20</v>
      </c>
      <c r="L263" s="66"/>
      <c r="M263" s="9" t="s">
        <v>14</v>
      </c>
      <c r="N263" s="66">
        <f>+H263</f>
        <v>3.75</v>
      </c>
      <c r="O263" s="66"/>
      <c r="P263" s="9" t="s">
        <v>6</v>
      </c>
      <c r="Q263" s="66">
        <f>+M255</f>
        <v>1.5</v>
      </c>
      <c r="R263" s="66"/>
      <c r="S263" s="1" t="s">
        <v>16</v>
      </c>
      <c r="T263" s="66">
        <f>IF((W263-Z263)&lt;=0,0,+P255)</f>
        <v>0</v>
      </c>
      <c r="U263" s="66"/>
      <c r="V263" s="9" t="s">
        <v>14</v>
      </c>
      <c r="W263" s="66">
        <f>+N263</f>
        <v>3.75</v>
      </c>
      <c r="X263" s="66"/>
      <c r="Y263" s="9" t="s">
        <v>6</v>
      </c>
      <c r="Z263" s="66">
        <f>+T255</f>
        <v>4</v>
      </c>
      <c r="AA263" s="66"/>
      <c r="AB263" s="1" t="s">
        <v>16</v>
      </c>
      <c r="AC263" s="66">
        <f>+W255</f>
        <v>30</v>
      </c>
      <c r="AD263" s="66"/>
      <c r="AE263" s="9" t="s">
        <v>5</v>
      </c>
      <c r="AF263" s="66">
        <f>+W263</f>
        <v>3.75</v>
      </c>
      <c r="AG263" s="66"/>
      <c r="AH263" s="1" t="s">
        <v>190</v>
      </c>
      <c r="AI263" s="1">
        <v>2</v>
      </c>
      <c r="AJ263" s="9" t="s">
        <v>7</v>
      </c>
      <c r="AK263" s="66">
        <f>E263*H263-K263*(N263-Q263)-T263*(W263-Z263)-AC263*AF263^2/AI263</f>
        <v>260.9375</v>
      </c>
      <c r="AL263" s="66"/>
      <c r="AM263" s="66"/>
      <c r="AN263" s="1" t="s">
        <v>191</v>
      </c>
      <c r="AW263" s="9"/>
      <c r="AX263" s="9"/>
      <c r="AY263" s="9"/>
      <c r="AZ263" s="9"/>
      <c r="BA263" s="9"/>
      <c r="BB263" s="9"/>
      <c r="BD263" s="9"/>
      <c r="BE263" s="9"/>
      <c r="BF263" s="9"/>
      <c r="BG263" s="9"/>
      <c r="BH263" s="9"/>
      <c r="BI263" s="9"/>
      <c r="BJ263" s="9"/>
      <c r="BK263" s="9"/>
      <c r="BM263" s="9"/>
      <c r="BN263" s="9"/>
      <c r="BO263" s="9"/>
      <c r="BP263" s="9"/>
      <c r="BQ263" s="9"/>
      <c r="BT263" s="9"/>
      <c r="BU263" s="9"/>
      <c r="BV263" s="9"/>
      <c r="BW263" s="9"/>
      <c r="CC263" s="7"/>
    </row>
    <row r="264" spans="2:81">
      <c r="B264" s="6"/>
      <c r="C264" s="1" t="s">
        <v>248</v>
      </c>
      <c r="E264" s="66">
        <f>+AD243/4</f>
        <v>1.875</v>
      </c>
      <c r="F264" s="66"/>
      <c r="G264" s="66"/>
      <c r="H264" s="1" t="s">
        <v>252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AW264" s="9"/>
      <c r="AX264" s="9"/>
      <c r="AY264" s="9"/>
      <c r="AZ264" s="9"/>
      <c r="BA264" s="9"/>
      <c r="BB264" s="9"/>
      <c r="BD264" s="9"/>
      <c r="BE264" s="9"/>
      <c r="BF264" s="9"/>
      <c r="BG264" s="9"/>
      <c r="BH264" s="9"/>
      <c r="BI264" s="9"/>
      <c r="BJ264" s="9"/>
      <c r="BK264" s="9"/>
      <c r="BM264" s="9"/>
      <c r="BN264" s="9"/>
      <c r="BO264" s="9"/>
      <c r="BP264" s="9"/>
      <c r="BQ264" s="9"/>
      <c r="BT264" s="9"/>
      <c r="BU264" s="9"/>
      <c r="BV264" s="9"/>
      <c r="BW264" s="9"/>
      <c r="CC264" s="7"/>
    </row>
    <row r="265" spans="2:81">
      <c r="B265" s="6"/>
      <c r="C265" s="1" t="s">
        <v>249</v>
      </c>
      <c r="E265" s="66">
        <f>+E255</f>
        <v>137.83333333333334</v>
      </c>
      <c r="F265" s="66"/>
      <c r="G265" s="9" t="s">
        <v>5</v>
      </c>
      <c r="H265" s="66">
        <f>+E264</f>
        <v>1.875</v>
      </c>
      <c r="I265" s="66"/>
      <c r="J265" s="9" t="s">
        <v>6</v>
      </c>
      <c r="K265" s="66">
        <f>IF((N265-Q265)&lt;=0,0,+I255)</f>
        <v>20</v>
      </c>
      <c r="L265" s="66"/>
      <c r="M265" s="9" t="s">
        <v>14</v>
      </c>
      <c r="N265" s="66">
        <f>+H265</f>
        <v>1.875</v>
      </c>
      <c r="O265" s="66"/>
      <c r="P265" s="9" t="s">
        <v>6</v>
      </c>
      <c r="Q265" s="66">
        <f>+M255</f>
        <v>1.5</v>
      </c>
      <c r="R265" s="66"/>
      <c r="S265" s="1" t="s">
        <v>16</v>
      </c>
      <c r="T265" s="66">
        <f>IF((W265-Z265)&lt;=0,0,+P255)</f>
        <v>0</v>
      </c>
      <c r="U265" s="66"/>
      <c r="V265" s="9" t="s">
        <v>14</v>
      </c>
      <c r="W265" s="66">
        <f>+N265</f>
        <v>1.875</v>
      </c>
      <c r="X265" s="66"/>
      <c r="Y265" s="9" t="s">
        <v>6</v>
      </c>
      <c r="Z265" s="66">
        <f>+T255</f>
        <v>4</v>
      </c>
      <c r="AA265" s="66"/>
      <c r="AB265" s="1" t="s">
        <v>16</v>
      </c>
      <c r="AC265" s="66">
        <f>+W255</f>
        <v>30</v>
      </c>
      <c r="AD265" s="66"/>
      <c r="AE265" s="9" t="s">
        <v>5</v>
      </c>
      <c r="AF265" s="66">
        <f>+W265</f>
        <v>1.875</v>
      </c>
      <c r="AG265" s="66"/>
      <c r="AH265" s="1" t="s">
        <v>190</v>
      </c>
      <c r="AI265" s="1">
        <v>2</v>
      </c>
      <c r="AJ265" s="9" t="s">
        <v>7</v>
      </c>
      <c r="AK265" s="66">
        <f>E265*H265-K265*(N265-Q265)-T265*(W265-Z265)-AC265*AF265^2/AI265</f>
        <v>198.203125</v>
      </c>
      <c r="AL265" s="66"/>
      <c r="AM265" s="66"/>
      <c r="AN265" s="1" t="s">
        <v>191</v>
      </c>
      <c r="AW265" s="9"/>
      <c r="AX265" s="9"/>
      <c r="AY265" s="9"/>
      <c r="AZ265" s="9"/>
      <c r="BA265" s="9"/>
      <c r="BB265" s="9"/>
      <c r="BD265" s="9"/>
      <c r="BE265" s="9"/>
      <c r="BF265" s="9"/>
      <c r="BG265" s="9"/>
      <c r="BH265" s="9"/>
      <c r="BI265" s="9"/>
      <c r="BJ265" s="9"/>
      <c r="BK265" s="9"/>
      <c r="BM265" s="9"/>
      <c r="BN265" s="9"/>
      <c r="BO265" s="9"/>
      <c r="BP265" s="9"/>
      <c r="BQ265" s="9"/>
      <c r="BT265" s="9"/>
      <c r="BU265" s="9"/>
      <c r="BV265" s="9"/>
      <c r="BW265" s="9"/>
      <c r="CC265" s="7"/>
    </row>
    <row r="266" spans="2:81">
      <c r="B266" s="6"/>
      <c r="C266" s="1" t="s">
        <v>250</v>
      </c>
      <c r="F266" s="66">
        <f>3*AD243/4</f>
        <v>5.625</v>
      </c>
      <c r="G266" s="66"/>
      <c r="H266" s="66"/>
      <c r="I266" s="1" t="s">
        <v>252</v>
      </c>
      <c r="J266" s="9"/>
      <c r="M266" s="9"/>
      <c r="N266" s="21"/>
      <c r="P266" s="9"/>
      <c r="Q266" s="9"/>
      <c r="R266" s="9"/>
      <c r="S266" s="9"/>
      <c r="T266" s="9"/>
      <c r="U266" s="9"/>
      <c r="V266" s="9"/>
      <c r="W266" s="9"/>
      <c r="AW266" s="9"/>
      <c r="AX266" s="9"/>
      <c r="AY266" s="9"/>
      <c r="AZ266" s="9"/>
      <c r="BA266" s="9"/>
      <c r="BB266" s="9"/>
      <c r="BD266" s="9"/>
      <c r="BE266" s="9"/>
      <c r="BF266" s="9"/>
      <c r="BG266" s="9"/>
      <c r="BH266" s="9"/>
      <c r="BI266" s="9"/>
      <c r="BJ266" s="9"/>
      <c r="BK266" s="9"/>
      <c r="BM266" s="9"/>
      <c r="BN266" s="9"/>
      <c r="BO266" s="9"/>
      <c r="BP266" s="9"/>
      <c r="BQ266" s="9"/>
      <c r="BT266" s="9"/>
      <c r="BU266" s="9"/>
      <c r="BV266" s="9"/>
      <c r="BW266" s="9"/>
      <c r="CC266" s="7"/>
    </row>
    <row r="267" spans="2:81">
      <c r="B267" s="6"/>
      <c r="C267" s="1" t="s">
        <v>251</v>
      </c>
      <c r="E267" s="66">
        <f>+E255</f>
        <v>137.83333333333334</v>
      </c>
      <c r="F267" s="66"/>
      <c r="G267" s="9" t="s">
        <v>5</v>
      </c>
      <c r="H267" s="66">
        <f>+F266</f>
        <v>5.625</v>
      </c>
      <c r="I267" s="66"/>
      <c r="J267" s="9" t="s">
        <v>6</v>
      </c>
      <c r="K267" s="66">
        <f>IF((N267-Q267)&lt;=0,0,+I255)</f>
        <v>20</v>
      </c>
      <c r="L267" s="66"/>
      <c r="M267" s="9" t="s">
        <v>14</v>
      </c>
      <c r="N267" s="66">
        <f>+H267</f>
        <v>5.625</v>
      </c>
      <c r="O267" s="66"/>
      <c r="P267" s="9" t="s">
        <v>6</v>
      </c>
      <c r="Q267" s="66">
        <f>+M255</f>
        <v>1.5</v>
      </c>
      <c r="R267" s="66"/>
      <c r="S267" s="1" t="s">
        <v>16</v>
      </c>
      <c r="T267" s="66">
        <f>IF((W267-Z267)&lt;=0,0,+P255)</f>
        <v>20</v>
      </c>
      <c r="U267" s="66"/>
      <c r="V267" s="9" t="s">
        <v>14</v>
      </c>
      <c r="W267" s="66">
        <f>+N267</f>
        <v>5.625</v>
      </c>
      <c r="X267" s="66"/>
      <c r="Y267" s="9" t="s">
        <v>6</v>
      </c>
      <c r="Z267" s="66">
        <f>+T255</f>
        <v>4</v>
      </c>
      <c r="AA267" s="66"/>
      <c r="AB267" s="1" t="s">
        <v>16</v>
      </c>
      <c r="AC267" s="66">
        <f>+W255</f>
        <v>30</v>
      </c>
      <c r="AD267" s="66"/>
      <c r="AE267" s="9" t="s">
        <v>5</v>
      </c>
      <c r="AF267" s="66">
        <f>+W267</f>
        <v>5.625</v>
      </c>
      <c r="AG267" s="66"/>
      <c r="AH267" s="1" t="s">
        <v>190</v>
      </c>
      <c r="AI267" s="1">
        <v>2</v>
      </c>
      <c r="AJ267" s="9" t="s">
        <v>7</v>
      </c>
      <c r="AK267" s="66">
        <f>E267*H267-K267*(N267-Q267)-T267*(W267-Z267)-AC267*AF267^2/AI267</f>
        <v>185.703125</v>
      </c>
      <c r="AL267" s="66"/>
      <c r="AM267" s="66"/>
      <c r="AN267" s="1" t="s">
        <v>191</v>
      </c>
      <c r="AW267" s="9"/>
      <c r="AX267" s="9"/>
      <c r="AY267" s="9"/>
      <c r="AZ267" s="9"/>
      <c r="BA267" s="9"/>
      <c r="BB267" s="9"/>
      <c r="BD267" s="9"/>
      <c r="BE267" s="9"/>
      <c r="BF267" s="9"/>
      <c r="BG267" s="9"/>
      <c r="BH267" s="9"/>
      <c r="BI267" s="9"/>
      <c r="BJ267" s="9"/>
      <c r="BK267" s="9"/>
      <c r="BM267" s="9"/>
      <c r="BN267" s="9"/>
      <c r="BO267" s="9"/>
      <c r="BP267" s="9"/>
      <c r="BQ267" s="9"/>
      <c r="BT267" s="9"/>
      <c r="BU267" s="9"/>
      <c r="BV267" s="9"/>
      <c r="BW267" s="9"/>
      <c r="CC267" s="7"/>
    </row>
    <row r="268" spans="2:81">
      <c r="B268" s="6"/>
      <c r="C268" s="1" t="s">
        <v>300</v>
      </c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U268" s="9"/>
      <c r="V268" s="9"/>
      <c r="W268" s="9"/>
      <c r="X268" s="9"/>
      <c r="Y268" s="9"/>
      <c r="Z268" s="9"/>
      <c r="AA268" s="9"/>
      <c r="AB268" s="9"/>
      <c r="AD268" s="9"/>
      <c r="AE268" s="9"/>
      <c r="AF268" s="9"/>
      <c r="AG268" s="9"/>
      <c r="AH268" s="9"/>
      <c r="AI268" s="9"/>
      <c r="AJ268" s="9"/>
      <c r="AK268" s="9"/>
      <c r="AM268" s="9"/>
      <c r="AN268" s="9"/>
      <c r="AO268" s="9"/>
      <c r="AP268" s="9"/>
      <c r="AQ268" s="9"/>
      <c r="AR268" s="9"/>
      <c r="AS268" s="9"/>
      <c r="AT268" s="9"/>
      <c r="AV268" s="9"/>
      <c r="AW268" s="9"/>
      <c r="AX268" s="9"/>
      <c r="AY268" s="9"/>
      <c r="AZ268" s="9"/>
      <c r="BA268" s="9"/>
      <c r="BB268" s="9"/>
      <c r="BC268" s="9"/>
      <c r="BE268" s="9"/>
      <c r="BF268" s="9"/>
      <c r="BG268" s="9"/>
      <c r="BH268" s="9"/>
      <c r="BI268" s="9"/>
      <c r="BJ268" s="9"/>
      <c r="BK268" s="9"/>
      <c r="BL268" s="9"/>
      <c r="BN268" s="9"/>
      <c r="BO268" s="9"/>
      <c r="BP268" s="9"/>
      <c r="BQ268" s="9"/>
      <c r="BR268" s="9"/>
      <c r="BU268" s="9"/>
      <c r="BV268" s="9"/>
      <c r="BW268" s="9"/>
      <c r="BX268" s="9"/>
      <c r="CC268" s="7"/>
    </row>
    <row r="269" spans="2:81">
      <c r="B269" s="6"/>
      <c r="C269" s="1" t="s">
        <v>301</v>
      </c>
      <c r="E269" s="66">
        <v>12.5</v>
      </c>
      <c r="F269" s="66"/>
      <c r="G269" s="9" t="s">
        <v>5</v>
      </c>
      <c r="H269" s="66">
        <f>+AL261</f>
        <v>261.41157407407411</v>
      </c>
      <c r="I269" s="66"/>
      <c r="J269" s="66"/>
      <c r="K269" s="9" t="s">
        <v>275</v>
      </c>
      <c r="L269" s="66">
        <v>2.5</v>
      </c>
      <c r="M269" s="66"/>
      <c r="N269" s="9" t="s">
        <v>5</v>
      </c>
      <c r="O269" s="66">
        <f>+H269</f>
        <v>261.41157407407411</v>
      </c>
      <c r="P269" s="66"/>
      <c r="Q269" s="66"/>
      <c r="R269" s="9" t="s">
        <v>9</v>
      </c>
      <c r="S269" s="9">
        <v>3</v>
      </c>
      <c r="T269" s="9" t="s">
        <v>5</v>
      </c>
      <c r="U269" s="66">
        <f>+AK265</f>
        <v>198.203125</v>
      </c>
      <c r="V269" s="66"/>
      <c r="W269" s="66"/>
      <c r="X269" s="9" t="s">
        <v>9</v>
      </c>
      <c r="Y269" s="9">
        <v>4</v>
      </c>
      <c r="Z269" s="9" t="s">
        <v>5</v>
      </c>
      <c r="AA269" s="66">
        <f>+AK263</f>
        <v>260.9375</v>
      </c>
      <c r="AB269" s="66"/>
      <c r="AC269" s="66"/>
      <c r="AD269" s="9" t="s">
        <v>9</v>
      </c>
      <c r="AE269" s="9">
        <v>3</v>
      </c>
      <c r="AF269" s="9" t="s">
        <v>5</v>
      </c>
      <c r="AG269" s="66">
        <f>+AK267</f>
        <v>185.703125</v>
      </c>
      <c r="AH269" s="66"/>
      <c r="AI269" s="66"/>
      <c r="AJ269" s="9" t="s">
        <v>201</v>
      </c>
      <c r="AK269" s="66">
        <f>E269*H269/(L269*O269+S269*U269+Y269*AA269+AE269*AG269)</f>
        <v>1.1469453600884654</v>
      </c>
      <c r="AL269" s="66"/>
      <c r="AM269" s="66"/>
      <c r="AN269" s="9"/>
      <c r="AO269" s="9"/>
      <c r="AP269" s="9"/>
      <c r="AQ269" s="9"/>
      <c r="AR269" s="9"/>
      <c r="AS269" s="9"/>
      <c r="AT269" s="9"/>
      <c r="AV269" s="9"/>
      <c r="AW269" s="9"/>
      <c r="AX269" s="9"/>
      <c r="AY269" s="9"/>
      <c r="AZ269" s="9"/>
      <c r="BA269" s="9"/>
      <c r="BB269" s="9"/>
      <c r="BC269" s="9"/>
      <c r="BE269" s="9"/>
      <c r="BF269" s="9"/>
      <c r="BG269" s="9"/>
      <c r="BH269" s="9"/>
      <c r="BI269" s="9"/>
      <c r="BJ269" s="9"/>
      <c r="BK269" s="9"/>
      <c r="BL269" s="9"/>
      <c r="BN269" s="9"/>
      <c r="BO269" s="9"/>
      <c r="BP269" s="9"/>
      <c r="BQ269" s="9"/>
      <c r="BR269" s="9"/>
      <c r="BU269" s="9"/>
      <c r="BV269" s="9"/>
      <c r="BW269" s="9"/>
      <c r="BX269" s="9"/>
      <c r="CC269" s="7"/>
    </row>
    <row r="270" spans="2:81">
      <c r="B270" s="6"/>
      <c r="C270" s="23" t="s">
        <v>223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L270" s="9"/>
      <c r="AM270" s="9"/>
      <c r="AN270" s="9"/>
      <c r="AO270" s="9"/>
      <c r="AP270" s="9"/>
      <c r="AQ270" s="9"/>
      <c r="AR270" s="9"/>
      <c r="AS270" s="9"/>
      <c r="AU270" s="9"/>
      <c r="AV270" s="9"/>
      <c r="AW270" s="9"/>
      <c r="AX270" s="9"/>
      <c r="AY270" s="9"/>
      <c r="AZ270" s="9"/>
      <c r="BA270" s="9"/>
      <c r="BB270" s="9"/>
      <c r="BD270" s="9"/>
      <c r="BE270" s="9"/>
      <c r="BF270" s="9"/>
      <c r="BG270" s="9"/>
      <c r="BH270" s="9"/>
      <c r="BI270" s="9"/>
      <c r="BJ270" s="9"/>
      <c r="BK270" s="9"/>
      <c r="BM270" s="9"/>
      <c r="BN270" s="9"/>
      <c r="BO270" s="9"/>
      <c r="BP270" s="9"/>
      <c r="BQ270" s="9"/>
      <c r="BT270" s="9"/>
      <c r="BU270" s="9"/>
      <c r="BV270" s="9"/>
      <c r="BW270" s="9"/>
      <c r="CC270" s="7"/>
    </row>
    <row r="271" spans="2:81">
      <c r="B271" s="6"/>
      <c r="C271" s="1" t="s">
        <v>194</v>
      </c>
      <c r="I271" s="66">
        <f>+E255</f>
        <v>137.83333333333334</v>
      </c>
      <c r="J271" s="66"/>
      <c r="K271" s="1" t="s">
        <v>18</v>
      </c>
      <c r="M271" s="1">
        <v>2</v>
      </c>
      <c r="N271" s="9" t="s">
        <v>6</v>
      </c>
      <c r="O271" s="66">
        <f>+I255</f>
        <v>20</v>
      </c>
      <c r="P271" s="66"/>
      <c r="Q271" s="1" t="s">
        <v>15</v>
      </c>
      <c r="S271" s="66">
        <f>+M255</f>
        <v>1.5</v>
      </c>
      <c r="T271" s="66"/>
      <c r="U271" s="1" t="s">
        <v>19</v>
      </c>
      <c r="W271" s="66">
        <f>+P255</f>
        <v>20</v>
      </c>
      <c r="X271" s="66"/>
      <c r="Y271" s="1" t="s">
        <v>15</v>
      </c>
      <c r="AA271" s="66">
        <f>+T255</f>
        <v>4</v>
      </c>
      <c r="AB271" s="66"/>
      <c r="AC271" s="1" t="s">
        <v>182</v>
      </c>
      <c r="AE271" s="9" t="s">
        <v>6</v>
      </c>
      <c r="AF271" s="66">
        <f>+W255</f>
        <v>30</v>
      </c>
      <c r="AG271" s="66"/>
      <c r="AH271" s="9" t="s">
        <v>5</v>
      </c>
      <c r="AI271" s="1" t="s">
        <v>184</v>
      </c>
      <c r="AJ271" s="1" t="s">
        <v>173</v>
      </c>
      <c r="AK271" s="1">
        <v>6</v>
      </c>
      <c r="AL271" s="9" t="s">
        <v>9</v>
      </c>
      <c r="AM271" s="1" t="s">
        <v>24</v>
      </c>
      <c r="AP271" s="1" t="s">
        <v>180</v>
      </c>
      <c r="CC271" s="7"/>
    </row>
    <row r="272" spans="2:81">
      <c r="B272" s="6"/>
      <c r="C272" s="1" t="s">
        <v>195</v>
      </c>
      <c r="H272" s="66">
        <f>+I271</f>
        <v>137.83333333333334</v>
      </c>
      <c r="I272" s="66"/>
      <c r="J272" s="1" t="s">
        <v>21</v>
      </c>
      <c r="L272" s="1">
        <v>6</v>
      </c>
      <c r="M272" s="9" t="s">
        <v>6</v>
      </c>
      <c r="N272" s="66">
        <f>+O271</f>
        <v>20</v>
      </c>
      <c r="O272" s="66"/>
      <c r="P272" s="1" t="s">
        <v>15</v>
      </c>
      <c r="R272" s="66">
        <f>+S271</f>
        <v>1.5</v>
      </c>
      <c r="S272" s="66"/>
      <c r="T272" s="1" t="s">
        <v>22</v>
      </c>
      <c r="V272" s="66">
        <f>+W271</f>
        <v>20</v>
      </c>
      <c r="W272" s="66"/>
      <c r="X272" s="1" t="s">
        <v>15</v>
      </c>
      <c r="Z272" s="66">
        <f>+AA271</f>
        <v>4</v>
      </c>
      <c r="AA272" s="66"/>
      <c r="AB272" s="1" t="s">
        <v>23</v>
      </c>
      <c r="AD272" s="9" t="s">
        <v>6</v>
      </c>
      <c r="AE272" s="66">
        <f>+AF271</f>
        <v>30</v>
      </c>
      <c r="AF272" s="66"/>
      <c r="AG272" s="9" t="s">
        <v>5</v>
      </c>
      <c r="AH272" s="1" t="s">
        <v>185</v>
      </c>
      <c r="AI272" s="1" t="s">
        <v>173</v>
      </c>
      <c r="AJ272" s="66">
        <v>24</v>
      </c>
      <c r="AK272" s="66"/>
      <c r="AL272" s="1" t="s">
        <v>25</v>
      </c>
      <c r="AR272" s="1" t="s">
        <v>180</v>
      </c>
      <c r="CC272" s="7"/>
    </row>
    <row r="273" spans="2:81">
      <c r="B273" s="6"/>
      <c r="C273" s="1" t="s">
        <v>26</v>
      </c>
      <c r="CC273" s="7"/>
    </row>
    <row r="274" spans="2:81">
      <c r="B274" s="6"/>
      <c r="C274" s="1" t="s">
        <v>27</v>
      </c>
      <c r="D274" s="66">
        <f>+AD243</f>
        <v>7.5</v>
      </c>
      <c r="E274" s="66"/>
      <c r="F274" s="1" t="s">
        <v>1</v>
      </c>
      <c r="G274" s="1" t="s">
        <v>28</v>
      </c>
      <c r="H274" s="1" t="s">
        <v>29</v>
      </c>
      <c r="CC274" s="7"/>
    </row>
    <row r="275" spans="2:81">
      <c r="B275" s="6"/>
      <c r="C275" s="66">
        <f>+H272</f>
        <v>137.83333333333334</v>
      </c>
      <c r="D275" s="66"/>
      <c r="E275" s="9" t="s">
        <v>5</v>
      </c>
      <c r="F275" s="66">
        <f>+D274</f>
        <v>7.5</v>
      </c>
      <c r="G275" s="66"/>
      <c r="H275" s="1" t="s">
        <v>30</v>
      </c>
      <c r="I275" s="1">
        <v>6</v>
      </c>
      <c r="J275" s="9" t="s">
        <v>6</v>
      </c>
      <c r="K275" s="66">
        <f>+N272</f>
        <v>20</v>
      </c>
      <c r="L275" s="66"/>
      <c r="M275" s="1" t="s">
        <v>14</v>
      </c>
      <c r="N275" s="66">
        <f>+D274</f>
        <v>7.5</v>
      </c>
      <c r="O275" s="66"/>
      <c r="P275" s="9" t="s">
        <v>6</v>
      </c>
      <c r="Q275" s="66">
        <f>+R272</f>
        <v>1.5</v>
      </c>
      <c r="R275" s="66"/>
      <c r="S275" s="1" t="s">
        <v>31</v>
      </c>
      <c r="T275" s="1">
        <v>6</v>
      </c>
      <c r="U275" s="9" t="s">
        <v>6</v>
      </c>
      <c r="V275" s="66">
        <f>+V272</f>
        <v>20</v>
      </c>
      <c r="W275" s="66"/>
      <c r="X275" s="1" t="s">
        <v>14</v>
      </c>
      <c r="Y275" s="66">
        <f>+N275</f>
        <v>7.5</v>
      </c>
      <c r="Z275" s="66"/>
      <c r="AA275" s="9" t="s">
        <v>6</v>
      </c>
      <c r="AB275" s="66">
        <f>+Z272</f>
        <v>4</v>
      </c>
      <c r="AC275" s="66"/>
      <c r="AD275" s="1" t="s">
        <v>31</v>
      </c>
      <c r="AE275" s="1">
        <v>6</v>
      </c>
      <c r="AF275" s="9" t="s">
        <v>6</v>
      </c>
      <c r="AG275" s="66">
        <f>+AE272</f>
        <v>30</v>
      </c>
      <c r="AH275" s="66"/>
      <c r="AI275" s="9" t="s">
        <v>5</v>
      </c>
      <c r="AJ275" s="66">
        <f>+Y275</f>
        <v>7.5</v>
      </c>
      <c r="AK275" s="66"/>
      <c r="AL275" s="1" t="s">
        <v>188</v>
      </c>
      <c r="AM275" s="66">
        <v>24</v>
      </c>
      <c r="AN275" s="66"/>
      <c r="AO275" s="9" t="s">
        <v>9</v>
      </c>
      <c r="AP275" s="66">
        <f>+Y275</f>
        <v>7.5</v>
      </c>
      <c r="AQ275" s="66"/>
      <c r="AR275" s="9" t="s">
        <v>5</v>
      </c>
      <c r="AS275" s="1" t="s">
        <v>24</v>
      </c>
      <c r="AT275" s="9" t="s">
        <v>7</v>
      </c>
      <c r="AU275" s="1">
        <v>0</v>
      </c>
      <c r="CC275" s="7"/>
    </row>
    <row r="276" spans="2:81">
      <c r="B276" s="6"/>
      <c r="C276" s="1" t="s">
        <v>32</v>
      </c>
      <c r="E276" s="66">
        <f>-(C275*F275^3/I275-K275*(N275-Q275)^3/T275-V275*(Y275-AB275)^3/AE275-AG275*AJ275^4/AM275)/AP275</f>
        <v>-649.7881944444448</v>
      </c>
      <c r="F276" s="66"/>
      <c r="G276" s="66"/>
      <c r="CC276" s="7"/>
    </row>
    <row r="277" spans="2:81">
      <c r="B277" s="6"/>
      <c r="C277" s="1" t="s">
        <v>195</v>
      </c>
      <c r="H277" s="66">
        <f>+H272</f>
        <v>137.83333333333334</v>
      </c>
      <c r="I277" s="66"/>
      <c r="J277" s="1" t="s">
        <v>21</v>
      </c>
      <c r="L277" s="1">
        <v>6</v>
      </c>
      <c r="M277" s="9" t="s">
        <v>6</v>
      </c>
      <c r="N277" s="66">
        <f>+N272</f>
        <v>20</v>
      </c>
      <c r="O277" s="66"/>
      <c r="P277" s="1" t="s">
        <v>15</v>
      </c>
      <c r="R277" s="66">
        <f>+R272</f>
        <v>1.5</v>
      </c>
      <c r="S277" s="66"/>
      <c r="T277" s="1" t="s">
        <v>22</v>
      </c>
      <c r="V277" s="66">
        <f>+V272</f>
        <v>20</v>
      </c>
      <c r="W277" s="66"/>
      <c r="X277" s="1" t="s">
        <v>15</v>
      </c>
      <c r="Z277" s="66">
        <f>+Z272</f>
        <v>4</v>
      </c>
      <c r="AA277" s="66"/>
      <c r="AB277" s="1" t="s">
        <v>23</v>
      </c>
      <c r="AD277" s="9" t="s">
        <v>6</v>
      </c>
      <c r="AE277" s="66">
        <f>+AG275</f>
        <v>30</v>
      </c>
      <c r="AF277" s="66"/>
      <c r="AG277" s="9" t="s">
        <v>5</v>
      </c>
      <c r="AH277" s="1" t="s">
        <v>185</v>
      </c>
      <c r="AI277" s="1" t="s">
        <v>173</v>
      </c>
      <c r="AJ277" s="66">
        <v>24</v>
      </c>
      <c r="AK277" s="66"/>
      <c r="AL277" s="9" t="s">
        <v>9</v>
      </c>
      <c r="AM277" s="66">
        <f>+E276</f>
        <v>-649.7881944444448</v>
      </c>
      <c r="AN277" s="66"/>
      <c r="AO277" s="66"/>
      <c r="AP277" s="9" t="s">
        <v>5</v>
      </c>
      <c r="AQ277" s="1" t="s">
        <v>13</v>
      </c>
      <c r="CC277" s="7"/>
    </row>
    <row r="278" spans="2:81">
      <c r="B278" s="6"/>
      <c r="C278" s="1" t="s">
        <v>35</v>
      </c>
      <c r="E278" s="66">
        <f>+H277</f>
        <v>137.83333333333334</v>
      </c>
      <c r="F278" s="66"/>
      <c r="G278" s="1" t="s">
        <v>21</v>
      </c>
      <c r="I278" s="1">
        <v>6</v>
      </c>
      <c r="J278" s="9" t="s">
        <v>6</v>
      </c>
      <c r="K278" s="66">
        <f>+N277</f>
        <v>20</v>
      </c>
      <c r="L278" s="66"/>
      <c r="M278" s="1" t="s">
        <v>15</v>
      </c>
      <c r="O278" s="66">
        <f>+R277</f>
        <v>1.5</v>
      </c>
      <c r="P278" s="66"/>
      <c r="Q278" s="1" t="s">
        <v>22</v>
      </c>
      <c r="S278" s="66">
        <f>+V277</f>
        <v>20</v>
      </c>
      <c r="T278" s="66"/>
      <c r="U278" s="1" t="s">
        <v>15</v>
      </c>
      <c r="W278" s="66">
        <f>+Z277</f>
        <v>4</v>
      </c>
      <c r="X278" s="66"/>
      <c r="Y278" s="1" t="s">
        <v>23</v>
      </c>
      <c r="AA278" s="9" t="s">
        <v>6</v>
      </c>
      <c r="AB278" s="66">
        <f>+AE277</f>
        <v>30</v>
      </c>
      <c r="AC278" s="66"/>
      <c r="AD278" s="9" t="s">
        <v>5</v>
      </c>
      <c r="AE278" s="1" t="s">
        <v>185</v>
      </c>
      <c r="AF278" s="1" t="s">
        <v>173</v>
      </c>
      <c r="AG278" s="66">
        <v>24</v>
      </c>
      <c r="AH278" s="66"/>
      <c r="AI278" s="9" t="s">
        <v>9</v>
      </c>
      <c r="AJ278" s="66">
        <f>+AM277</f>
        <v>-649.7881944444448</v>
      </c>
      <c r="AK278" s="66"/>
      <c r="AL278" s="66"/>
      <c r="AM278" s="9" t="s">
        <v>5</v>
      </c>
      <c r="AN278" s="1" t="s">
        <v>196</v>
      </c>
      <c r="CC278" s="7"/>
    </row>
    <row r="279" spans="2:81">
      <c r="B279" s="6"/>
      <c r="C279" s="1" t="s">
        <v>27</v>
      </c>
      <c r="D279" s="67">
        <f>+AD243/2</f>
        <v>3.75</v>
      </c>
      <c r="E279" s="67"/>
      <c r="F279" s="67"/>
      <c r="G279" s="1" t="s">
        <v>42</v>
      </c>
      <c r="P279" s="8" t="str">
        <f>IF(D279&lt;=AD243,"","azalt.")</f>
        <v/>
      </c>
      <c r="CC279" s="7"/>
    </row>
    <row r="280" spans="2:81">
      <c r="B280" s="6"/>
      <c r="C280" s="1" t="s">
        <v>35</v>
      </c>
      <c r="E280" s="66">
        <f>+E278</f>
        <v>137.83333333333334</v>
      </c>
      <c r="F280" s="66"/>
      <c r="G280" s="9" t="s">
        <v>5</v>
      </c>
      <c r="H280" s="66">
        <f>+D279</f>
        <v>3.75</v>
      </c>
      <c r="I280" s="66"/>
      <c r="J280" s="1" t="s">
        <v>30</v>
      </c>
      <c r="K280" s="1">
        <v>6</v>
      </c>
      <c r="L280" s="9" t="s">
        <v>6</v>
      </c>
      <c r="M280" s="66">
        <f>IF((P280-S280)&lt;=0,0,+K278)</f>
        <v>20</v>
      </c>
      <c r="N280" s="66"/>
      <c r="O280" s="1" t="s">
        <v>14</v>
      </c>
      <c r="P280" s="66">
        <f>+D279</f>
        <v>3.75</v>
      </c>
      <c r="Q280" s="66"/>
      <c r="R280" s="9" t="s">
        <v>6</v>
      </c>
      <c r="S280" s="66">
        <f>+O278</f>
        <v>1.5</v>
      </c>
      <c r="T280" s="66"/>
      <c r="U280" s="1" t="s">
        <v>31</v>
      </c>
      <c r="V280" s="1">
        <v>6</v>
      </c>
      <c r="W280" s="9" t="s">
        <v>6</v>
      </c>
      <c r="X280" s="66">
        <f>IF((AA280-AD280)&lt;=0,0,+S278)</f>
        <v>0</v>
      </c>
      <c r="Y280" s="66"/>
      <c r="Z280" s="1" t="s">
        <v>14</v>
      </c>
      <c r="AA280" s="66">
        <f>+P280</f>
        <v>3.75</v>
      </c>
      <c r="AB280" s="66"/>
      <c r="AC280" s="9" t="s">
        <v>6</v>
      </c>
      <c r="AD280" s="66">
        <f>+W278</f>
        <v>4</v>
      </c>
      <c r="AE280" s="66"/>
      <c r="AF280" s="1" t="s">
        <v>31</v>
      </c>
      <c r="AG280" s="1">
        <v>6</v>
      </c>
      <c r="AH280" s="9" t="s">
        <v>6</v>
      </c>
      <c r="AI280" s="66">
        <f>+AB278</f>
        <v>30</v>
      </c>
      <c r="AJ280" s="66"/>
      <c r="AK280" s="9" t="s">
        <v>5</v>
      </c>
      <c r="AL280" s="66">
        <f>+AA280</f>
        <v>3.75</v>
      </c>
      <c r="AM280" s="66"/>
      <c r="AN280" s="1" t="s">
        <v>186</v>
      </c>
      <c r="AO280" s="66">
        <v>24</v>
      </c>
      <c r="AP280" s="66"/>
      <c r="AQ280" s="9" t="s">
        <v>9</v>
      </c>
      <c r="AR280" s="66">
        <f>+AJ278</f>
        <v>-649.7881944444448</v>
      </c>
      <c r="AS280" s="66"/>
      <c r="AT280" s="66"/>
      <c r="AU280" s="9" t="s">
        <v>5</v>
      </c>
      <c r="AV280" s="66">
        <f>+AA280</f>
        <v>3.75</v>
      </c>
      <c r="AW280" s="66"/>
      <c r="AX280" s="1" t="s">
        <v>193</v>
      </c>
      <c r="BA280" s="66">
        <f>+Z246</f>
        <v>200000</v>
      </c>
      <c r="BB280" s="66"/>
      <c r="BC280" s="66"/>
      <c r="BD280" s="9" t="s">
        <v>5</v>
      </c>
      <c r="BE280" s="66">
        <f>+Z245</f>
        <v>92080</v>
      </c>
      <c r="BF280" s="66"/>
      <c r="BG280" s="66"/>
      <c r="BH280" s="1" t="s">
        <v>40</v>
      </c>
      <c r="CC280" s="7"/>
    </row>
    <row r="281" spans="2:81">
      <c r="B281" s="6"/>
      <c r="C281" s="1" t="s">
        <v>33</v>
      </c>
      <c r="E281" s="66">
        <f>-(E280*H280^3/K280-M280*(P280-S280)^3/V280-X280*(AA280-AD280)^3/AG280-AI280*AL280^4/AO280+AR280*AV280)*100000000/(BA280*BE280)</f>
        <v>8.2017869283729787</v>
      </c>
      <c r="F281" s="66"/>
      <c r="G281" s="66"/>
      <c r="H281" s="1" t="s">
        <v>41</v>
      </c>
      <c r="CC281" s="7"/>
    </row>
    <row r="282" spans="2:81">
      <c r="B282" s="6"/>
      <c r="C282" s="1" t="s">
        <v>172</v>
      </c>
      <c r="H282" s="66">
        <f>+AD243*1000</f>
        <v>7500</v>
      </c>
      <c r="I282" s="66"/>
      <c r="J282" s="66"/>
      <c r="K282" s="1" t="s">
        <v>173</v>
      </c>
      <c r="L282" s="66">
        <v>300</v>
      </c>
      <c r="M282" s="66"/>
      <c r="N282" s="9" t="s">
        <v>7</v>
      </c>
      <c r="O282" s="66">
        <f>+H282/L282</f>
        <v>25</v>
      </c>
      <c r="P282" s="66"/>
      <c r="Q282" s="66"/>
      <c r="R282" s="1" t="s">
        <v>41</v>
      </c>
      <c r="U282" s="1" t="s">
        <v>192</v>
      </c>
      <c r="CC282" s="7"/>
    </row>
    <row r="283" spans="2:81">
      <c r="B283" s="6"/>
      <c r="C283" s="1" t="s">
        <v>34</v>
      </c>
      <c r="D283" s="66">
        <f>+E281</f>
        <v>8.2017869283729787</v>
      </c>
      <c r="E283" s="66"/>
      <c r="F283" s="66"/>
      <c r="G283" s="1" t="s">
        <v>41</v>
      </c>
      <c r="I283" s="1" t="str">
        <f>IF(D283&lt;M283,"&lt;","&gt;")</f>
        <v>&lt;</v>
      </c>
      <c r="J283" s="1" t="s">
        <v>174</v>
      </c>
      <c r="M283" s="66">
        <f>+O282</f>
        <v>25</v>
      </c>
      <c r="N283" s="66"/>
      <c r="O283" s="66"/>
      <c r="P283" s="1" t="s">
        <v>41</v>
      </c>
      <c r="R283" s="8" t="str">
        <f>IF(D283&lt;M283,"uygun.","uygun değil.")</f>
        <v>uygun.</v>
      </c>
      <c r="CC283" s="7"/>
    </row>
    <row r="284" spans="2:81" ht="12" thickBot="1">
      <c r="B284" s="12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4"/>
    </row>
    <row r="285" spans="2:81" ht="12" thickBot="1"/>
    <row r="286" spans="2:81" ht="48" customHeight="1">
      <c r="B286" s="73" t="s">
        <v>208</v>
      </c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74"/>
      <c r="AY286" s="74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74"/>
      <c r="BL286" s="74"/>
      <c r="BM286" s="74"/>
      <c r="BN286" s="74"/>
      <c r="BO286" s="74"/>
      <c r="BP286" s="74"/>
      <c r="BQ286" s="74"/>
      <c r="BR286" s="74"/>
      <c r="BS286" s="74"/>
      <c r="BT286" s="74"/>
      <c r="BU286" s="74"/>
      <c r="BV286" s="74"/>
      <c r="BW286" s="74"/>
      <c r="BX286" s="74"/>
      <c r="BY286" s="74"/>
      <c r="BZ286" s="74"/>
      <c r="CA286" s="74"/>
      <c r="CB286" s="74"/>
      <c r="CC286" s="75"/>
    </row>
    <row r="287" spans="2:81">
      <c r="B287" s="6"/>
      <c r="S287" s="8" t="s">
        <v>176</v>
      </c>
      <c r="CC287" s="7"/>
    </row>
    <row r="288" spans="2:81">
      <c r="B288" s="6"/>
      <c r="AJ288" s="1" t="s">
        <v>290</v>
      </c>
      <c r="CC288" s="7"/>
    </row>
    <row r="289" spans="2:81">
      <c r="B289" s="6"/>
      <c r="O289" s="67" t="s">
        <v>171</v>
      </c>
      <c r="P289" s="67"/>
      <c r="Q289" s="67"/>
      <c r="R289" s="67"/>
      <c r="S289" s="67"/>
      <c r="T289" s="67"/>
      <c r="AB289" s="67">
        <v>20</v>
      </c>
      <c r="AC289" s="67"/>
      <c r="AD289" s="1" t="s">
        <v>0</v>
      </c>
      <c r="CC289" s="7"/>
    </row>
    <row r="290" spans="2:81">
      <c r="B290" s="6"/>
      <c r="AD290" s="67">
        <v>30</v>
      </c>
      <c r="AE290" s="67"/>
      <c r="AF290" s="1" t="s">
        <v>187</v>
      </c>
      <c r="CC290" s="7"/>
    </row>
    <row r="291" spans="2:81">
      <c r="B291" s="6"/>
      <c r="AP291" s="23" t="s">
        <v>341</v>
      </c>
      <c r="CC291" s="7"/>
    </row>
    <row r="292" spans="2:81">
      <c r="B292" s="6"/>
      <c r="AP292" s="1" t="s">
        <v>301</v>
      </c>
      <c r="AR292" s="66">
        <f>+AK325</f>
        <v>1.1422287390029326</v>
      </c>
      <c r="AS292" s="66"/>
      <c r="AT292" s="66"/>
      <c r="CC292" s="7"/>
    </row>
    <row r="293" spans="2:81">
      <c r="B293" s="6"/>
      <c r="C293" s="71">
        <f>INDEX($CI$24:$CI$138,MATCH(O289,$CG$24:$CG$138,0),0)</f>
        <v>600</v>
      </c>
      <c r="AP293" s="1" t="s">
        <v>297</v>
      </c>
      <c r="AR293" s="66">
        <f>+AC317</f>
        <v>243.43750000000003</v>
      </c>
      <c r="AS293" s="66"/>
      <c r="AT293" s="66"/>
      <c r="AU293" s="1" t="s">
        <v>191</v>
      </c>
      <c r="AW293" s="1" t="s">
        <v>329</v>
      </c>
      <c r="CC293" s="7"/>
    </row>
    <row r="294" spans="2:81">
      <c r="B294" s="6"/>
      <c r="C294" s="71"/>
      <c r="Y294" s="1" t="s">
        <v>13</v>
      </c>
      <c r="AP294" s="1" t="s">
        <v>330</v>
      </c>
      <c r="AS294" s="66">
        <f>MAX(U296,AI296)</f>
        <v>122.5</v>
      </c>
      <c r="AT294" s="66"/>
      <c r="AU294" s="66"/>
      <c r="AV294" s="1" t="s">
        <v>0</v>
      </c>
      <c r="AX294" s="1" t="s">
        <v>331</v>
      </c>
      <c r="CC294" s="7"/>
    </row>
    <row r="295" spans="2:81">
      <c r="B295" s="6"/>
      <c r="C295" s="71"/>
      <c r="J295" s="66">
        <f>INDEX($CK$24:$CK$138,MATCH(O289,$CG$24:$CG$138,0),0)</f>
        <v>12</v>
      </c>
      <c r="K295" s="66"/>
      <c r="CC295" s="7"/>
    </row>
    <row r="296" spans="2:81">
      <c r="B296" s="6"/>
      <c r="T296" s="1" t="s">
        <v>2</v>
      </c>
      <c r="U296" s="66">
        <f>+E306</f>
        <v>122.5</v>
      </c>
      <c r="V296" s="66"/>
      <c r="W296" s="1" t="s">
        <v>0</v>
      </c>
      <c r="AH296" s="1" t="s">
        <v>3</v>
      </c>
      <c r="AI296" s="66">
        <f>+E309</f>
        <v>122.5</v>
      </c>
      <c r="AJ296" s="66"/>
      <c r="AK296" s="1" t="s">
        <v>0</v>
      </c>
      <c r="CC296" s="7"/>
    </row>
    <row r="297" spans="2:81">
      <c r="B297" s="6"/>
      <c r="X297" s="67">
        <v>3.75</v>
      </c>
      <c r="Y297" s="67"/>
      <c r="Z297" s="1" t="s">
        <v>1</v>
      </c>
      <c r="AE297" s="67">
        <v>3.75</v>
      </c>
      <c r="AF297" s="67"/>
      <c r="AG297" s="1" t="s">
        <v>1</v>
      </c>
      <c r="AH297" s="20"/>
      <c r="CC297" s="7"/>
    </row>
    <row r="298" spans="2:81">
      <c r="B298" s="6"/>
      <c r="K298" s="66">
        <f>INDEX($CL$24:$CL$138,MATCH(O289,$CG$24:$CG$138,0),0)</f>
        <v>19</v>
      </c>
      <c r="L298" s="66"/>
      <c r="AW298" s="23" t="s">
        <v>266</v>
      </c>
      <c r="CC298" s="7"/>
    </row>
    <row r="299" spans="2:81">
      <c r="B299" s="6"/>
      <c r="AA299" s="1" t="s">
        <v>197</v>
      </c>
      <c r="AB299" s="66">
        <f>+X297+AE297</f>
        <v>7.5</v>
      </c>
      <c r="AC299" s="66"/>
      <c r="AD299" s="9" t="s">
        <v>1</v>
      </c>
      <c r="AE299" s="9"/>
      <c r="AF299" s="9"/>
      <c r="AG299" s="9"/>
      <c r="AW299" s="11" t="s">
        <v>265</v>
      </c>
      <c r="CC299" s="7"/>
    </row>
    <row r="300" spans="2:81">
      <c r="B300" s="6"/>
      <c r="AW300" s="11" t="s">
        <v>263</v>
      </c>
      <c r="CC300" s="7"/>
    </row>
    <row r="301" spans="2:81">
      <c r="B301" s="6"/>
      <c r="I301" s="66">
        <f>INDEX($CJ$24:$CJ$138,MATCH(O289,$CG$24:$CG$138,0),0)</f>
        <v>220</v>
      </c>
      <c r="J301" s="66"/>
      <c r="X301" s="10" t="s">
        <v>36</v>
      </c>
      <c r="Z301" s="66">
        <f>INDEX($CM$24:$CM$138,MATCH(O289,$CG$24:$CG$138,0),0)</f>
        <v>92080</v>
      </c>
      <c r="AA301" s="66"/>
      <c r="AB301" s="66"/>
      <c r="AC301" s="66"/>
      <c r="AD301" s="1" t="s">
        <v>37</v>
      </c>
      <c r="AG301" s="1" t="s">
        <v>175</v>
      </c>
      <c r="AW301" s="11" t="s">
        <v>264</v>
      </c>
      <c r="CC301" s="7"/>
    </row>
    <row r="302" spans="2:81">
      <c r="B302" s="6"/>
      <c r="X302" s="1" t="s">
        <v>38</v>
      </c>
      <c r="Z302" s="67">
        <v>200000</v>
      </c>
      <c r="AA302" s="67"/>
      <c r="AB302" s="67"/>
      <c r="AC302" s="67"/>
      <c r="AD302" s="1" t="s">
        <v>39</v>
      </c>
      <c r="AG302" s="1" t="s">
        <v>302</v>
      </c>
      <c r="CC302" s="7"/>
    </row>
    <row r="303" spans="2:81">
      <c r="B303" s="6"/>
      <c r="C303" s="23" t="s">
        <v>221</v>
      </c>
      <c r="CC303" s="7"/>
    </row>
    <row r="304" spans="2:81">
      <c r="B304" s="6"/>
      <c r="C304" s="1" t="s">
        <v>177</v>
      </c>
      <c r="CC304" s="7"/>
    </row>
    <row r="305" spans="2:81">
      <c r="B305" s="6"/>
      <c r="C305" s="1" t="s">
        <v>4</v>
      </c>
      <c r="D305" s="9" t="s">
        <v>5</v>
      </c>
      <c r="E305" s="66">
        <f>+AB299</f>
        <v>7.5</v>
      </c>
      <c r="F305" s="66"/>
      <c r="G305" s="9" t="s">
        <v>6</v>
      </c>
      <c r="H305" s="66">
        <f>+AB289</f>
        <v>20</v>
      </c>
      <c r="I305" s="66"/>
      <c r="J305" s="9" t="s">
        <v>5</v>
      </c>
      <c r="K305" s="66">
        <f>+AE297</f>
        <v>3.75</v>
      </c>
      <c r="L305" s="66"/>
      <c r="M305" s="9" t="s">
        <v>6</v>
      </c>
      <c r="N305" s="66">
        <f>+AD290</f>
        <v>30</v>
      </c>
      <c r="O305" s="66"/>
      <c r="P305" s="9" t="s">
        <v>5</v>
      </c>
      <c r="Q305" s="66">
        <f>+AB299</f>
        <v>7.5</v>
      </c>
      <c r="R305" s="66"/>
      <c r="S305" s="9" t="s">
        <v>5</v>
      </c>
      <c r="T305" s="66">
        <f>+AB299/2</f>
        <v>3.75</v>
      </c>
      <c r="U305" s="66"/>
      <c r="V305" s="9" t="s">
        <v>7</v>
      </c>
      <c r="W305" s="1">
        <v>0</v>
      </c>
      <c r="AB305" s="9"/>
      <c r="AH305" s="9"/>
      <c r="CC305" s="7"/>
    </row>
    <row r="306" spans="2:81">
      <c r="B306" s="6"/>
      <c r="C306" s="1" t="s">
        <v>8</v>
      </c>
      <c r="D306" s="9"/>
      <c r="E306" s="66">
        <f>(H305*K305+N305*Q305*T305)/E305</f>
        <v>122.5</v>
      </c>
      <c r="F306" s="66"/>
      <c r="G306" s="1" t="s">
        <v>0</v>
      </c>
      <c r="I306" s="1" t="s">
        <v>178</v>
      </c>
      <c r="CC306" s="7"/>
    </row>
    <row r="307" spans="2:81">
      <c r="B307" s="6"/>
      <c r="C307" s="1" t="s">
        <v>189</v>
      </c>
      <c r="CC307" s="7"/>
    </row>
    <row r="308" spans="2:81">
      <c r="B308" s="6"/>
      <c r="C308" s="1" t="s">
        <v>4</v>
      </c>
      <c r="D308" s="9" t="s">
        <v>9</v>
      </c>
      <c r="E308" s="9" t="s">
        <v>10</v>
      </c>
      <c r="F308" s="9" t="s">
        <v>6</v>
      </c>
      <c r="G308" s="66">
        <f>+AB289</f>
        <v>20</v>
      </c>
      <c r="H308" s="66"/>
      <c r="I308" s="9" t="s">
        <v>6</v>
      </c>
      <c r="J308" s="66">
        <f>+AD290</f>
        <v>30</v>
      </c>
      <c r="K308" s="66"/>
      <c r="L308" s="9" t="s">
        <v>5</v>
      </c>
      <c r="M308" s="66">
        <f>+AB299</f>
        <v>7.5</v>
      </c>
      <c r="N308" s="66"/>
      <c r="O308" s="9" t="s">
        <v>7</v>
      </c>
      <c r="P308" s="1">
        <v>0</v>
      </c>
      <c r="CC308" s="7"/>
    </row>
    <row r="309" spans="2:81">
      <c r="B309" s="6"/>
      <c r="C309" s="1" t="s">
        <v>11</v>
      </c>
      <c r="D309" s="9"/>
      <c r="E309" s="66">
        <f>(G308+J308*M308-E306)</f>
        <v>122.5</v>
      </c>
      <c r="F309" s="66"/>
      <c r="G309" s="1" t="s">
        <v>0</v>
      </c>
      <c r="I309" s="1" t="s">
        <v>179</v>
      </c>
      <c r="CC309" s="7"/>
    </row>
    <row r="310" spans="2:81">
      <c r="B310" s="6"/>
      <c r="C310" s="23" t="s">
        <v>222</v>
      </c>
      <c r="D310" s="9"/>
      <c r="E310" s="9"/>
      <c r="F310" s="9"/>
      <c r="CC310" s="7"/>
    </row>
    <row r="311" spans="2:81">
      <c r="B311" s="6"/>
      <c r="C311" s="1" t="s">
        <v>12</v>
      </c>
      <c r="E311" s="66">
        <f>+U296</f>
        <v>122.5</v>
      </c>
      <c r="F311" s="66"/>
      <c r="G311" s="11" t="s">
        <v>17</v>
      </c>
      <c r="H311" s="9"/>
      <c r="I311" s="66">
        <f>+AB289</f>
        <v>20</v>
      </c>
      <c r="J311" s="66"/>
      <c r="K311" s="1" t="s">
        <v>15</v>
      </c>
      <c r="M311" s="66">
        <f>+X297</f>
        <v>3.75</v>
      </c>
      <c r="N311" s="66"/>
      <c r="O311" s="1" t="s">
        <v>16</v>
      </c>
      <c r="P311" s="66">
        <f>+AD290</f>
        <v>30</v>
      </c>
      <c r="Q311" s="66"/>
      <c r="R311" s="9" t="s">
        <v>5</v>
      </c>
      <c r="S311" s="1" t="s">
        <v>183</v>
      </c>
      <c r="T311" s="1" t="s">
        <v>173</v>
      </c>
      <c r="U311" s="1">
        <v>2</v>
      </c>
      <c r="CC311" s="7"/>
    </row>
    <row r="312" spans="2:81">
      <c r="B312" s="6"/>
      <c r="C312" s="1" t="s">
        <v>27</v>
      </c>
      <c r="D312" s="67">
        <f>+AB299/2</f>
        <v>3.75</v>
      </c>
      <c r="E312" s="67"/>
      <c r="F312" s="67"/>
      <c r="G312" s="1" t="s">
        <v>213</v>
      </c>
      <c r="H312" s="9"/>
      <c r="I312" s="9"/>
      <c r="J312" s="9"/>
      <c r="M312" s="9"/>
      <c r="N312" s="21"/>
      <c r="P312" s="9"/>
      <c r="Q312" s="9"/>
      <c r="V312" s="8" t="str">
        <f>IF(D312&lt;=AB299,"","azalt.")</f>
        <v/>
      </c>
      <c r="AY312" s="9"/>
      <c r="AZ312" s="9"/>
      <c r="BA312" s="9"/>
      <c r="CC312" s="7"/>
    </row>
    <row r="313" spans="2:81">
      <c r="B313" s="6"/>
      <c r="C313" s="1" t="s">
        <v>12</v>
      </c>
      <c r="E313" s="66">
        <f>+E311</f>
        <v>122.5</v>
      </c>
      <c r="F313" s="66"/>
      <c r="G313" s="9" t="s">
        <v>5</v>
      </c>
      <c r="H313" s="66">
        <f>+D312</f>
        <v>3.75</v>
      </c>
      <c r="I313" s="66"/>
      <c r="J313" s="9" t="s">
        <v>6</v>
      </c>
      <c r="K313" s="66">
        <f>IF((N313-Q313)&lt;=0,0,+I311)</f>
        <v>0</v>
      </c>
      <c r="L313" s="66"/>
      <c r="M313" s="9" t="s">
        <v>14</v>
      </c>
      <c r="N313" s="66">
        <f>+H313</f>
        <v>3.75</v>
      </c>
      <c r="O313" s="66"/>
      <c r="P313" s="9" t="s">
        <v>6</v>
      </c>
      <c r="Q313" s="66">
        <f>+M311</f>
        <v>3.75</v>
      </c>
      <c r="R313" s="66"/>
      <c r="S313" s="1" t="s">
        <v>16</v>
      </c>
      <c r="T313" s="66">
        <f>+P311</f>
        <v>30</v>
      </c>
      <c r="U313" s="66"/>
      <c r="V313" s="9" t="s">
        <v>5</v>
      </c>
      <c r="W313" s="66">
        <f>+N313</f>
        <v>3.75</v>
      </c>
      <c r="X313" s="66"/>
      <c r="Y313" s="1" t="s">
        <v>190</v>
      </c>
      <c r="Z313" s="1">
        <v>2</v>
      </c>
      <c r="AA313" s="9" t="s">
        <v>7</v>
      </c>
      <c r="AB313" s="66">
        <f>E313*H313-K313*(N313-Q313)-T313*W313^2/Z313</f>
        <v>248.4375</v>
      </c>
      <c r="AC313" s="66"/>
      <c r="AD313" s="66"/>
      <c r="AE313" s="1" t="s">
        <v>191</v>
      </c>
      <c r="CC313" s="7"/>
    </row>
    <row r="314" spans="2:81">
      <c r="B314" s="6"/>
      <c r="C314" s="1" t="s">
        <v>220</v>
      </c>
      <c r="E314" s="66">
        <f>+E313</f>
        <v>122.5</v>
      </c>
      <c r="F314" s="66"/>
      <c r="G314" s="9" t="s">
        <v>6</v>
      </c>
      <c r="H314" s="66">
        <f>+K313</f>
        <v>0</v>
      </c>
      <c r="I314" s="66"/>
      <c r="J314" s="9" t="s">
        <v>6</v>
      </c>
      <c r="K314" s="66">
        <f>+T313</f>
        <v>30</v>
      </c>
      <c r="L314" s="66"/>
      <c r="M314" s="9" t="s">
        <v>5</v>
      </c>
      <c r="N314" s="66">
        <f>+W313</f>
        <v>3.75</v>
      </c>
      <c r="O314" s="66"/>
      <c r="P314" s="9" t="s">
        <v>7</v>
      </c>
      <c r="Q314" s="66">
        <f>+E314-H314-K314*N314</f>
        <v>10</v>
      </c>
      <c r="R314" s="66"/>
      <c r="S314" s="66"/>
      <c r="T314" s="9" t="s">
        <v>0</v>
      </c>
      <c r="AW314" s="9"/>
      <c r="AX314" s="9"/>
      <c r="AY314" s="9"/>
      <c r="AZ314" s="9"/>
      <c r="BA314" s="9"/>
      <c r="BB314" s="9"/>
      <c r="BD314" s="9"/>
      <c r="BE314" s="9"/>
      <c r="BF314" s="9"/>
      <c r="BG314" s="9"/>
      <c r="BH314" s="9"/>
      <c r="BI314" s="9"/>
      <c r="BJ314" s="9"/>
      <c r="BK314" s="9"/>
      <c r="BM314" s="9"/>
      <c r="BN314" s="9"/>
      <c r="BO314" s="9"/>
      <c r="BP314" s="9"/>
      <c r="BQ314" s="9"/>
      <c r="BT314" s="9"/>
      <c r="BU314" s="9"/>
      <c r="BV314" s="9"/>
      <c r="BW314" s="9"/>
      <c r="CC314" s="7"/>
    </row>
    <row r="315" spans="2:81">
      <c r="B315" s="6"/>
      <c r="C315" s="23" t="s">
        <v>253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AW315" s="9"/>
      <c r="AX315" s="9"/>
      <c r="AY315" s="9"/>
      <c r="AZ315" s="9"/>
      <c r="BA315" s="9"/>
      <c r="BB315" s="9"/>
      <c r="BD315" s="9"/>
      <c r="BE315" s="9"/>
      <c r="BF315" s="9"/>
      <c r="BG315" s="9"/>
      <c r="BH315" s="9"/>
      <c r="BI315" s="9"/>
      <c r="BJ315" s="9"/>
      <c r="BK315" s="9"/>
      <c r="BM315" s="9"/>
      <c r="BN315" s="9"/>
      <c r="BO315" s="9"/>
      <c r="BP315" s="9"/>
      <c r="BQ315" s="9"/>
      <c r="BT315" s="9"/>
      <c r="BU315" s="9"/>
      <c r="BV315" s="9"/>
      <c r="BW315" s="9"/>
      <c r="CC315" s="7"/>
    </row>
    <row r="316" spans="2:81">
      <c r="B316" s="6"/>
      <c r="C316" s="1" t="s">
        <v>27</v>
      </c>
      <c r="D316" s="66">
        <f>(E314-H314)/K314</f>
        <v>4.083333333333333</v>
      </c>
      <c r="E316" s="66"/>
      <c r="F316" s="66"/>
      <c r="G316" s="1" t="s">
        <v>257</v>
      </c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AW316" s="9"/>
      <c r="AX316" s="9"/>
      <c r="AY316" s="9"/>
      <c r="AZ316" s="9"/>
      <c r="BA316" s="9"/>
      <c r="BB316" s="9"/>
      <c r="BD316" s="9"/>
      <c r="BE316" s="9"/>
      <c r="BF316" s="9"/>
      <c r="BG316" s="9"/>
      <c r="BH316" s="9"/>
      <c r="BI316" s="9"/>
      <c r="BJ316" s="9"/>
      <c r="BK316" s="9"/>
      <c r="BM316" s="9"/>
      <c r="BN316" s="9"/>
      <c r="BO316" s="9"/>
      <c r="BP316" s="9"/>
      <c r="BQ316" s="9"/>
      <c r="BT316" s="9"/>
      <c r="BU316" s="9"/>
      <c r="BV316" s="9"/>
      <c r="BW316" s="9"/>
      <c r="CC316" s="7"/>
    </row>
    <row r="317" spans="2:81">
      <c r="B317" s="6"/>
      <c r="C317" s="1" t="s">
        <v>260</v>
      </c>
      <c r="F317" s="66">
        <f>+E311</f>
        <v>122.5</v>
      </c>
      <c r="G317" s="66"/>
      <c r="H317" s="9" t="s">
        <v>5</v>
      </c>
      <c r="I317" s="66">
        <f>+D316</f>
        <v>4.083333333333333</v>
      </c>
      <c r="J317" s="66"/>
      <c r="K317" s="9" t="s">
        <v>6</v>
      </c>
      <c r="L317" s="66">
        <f>IF((O317-R317)&lt;=0,0,+I311)</f>
        <v>20</v>
      </c>
      <c r="M317" s="66"/>
      <c r="N317" s="9" t="s">
        <v>14</v>
      </c>
      <c r="O317" s="66">
        <f>+I317</f>
        <v>4.083333333333333</v>
      </c>
      <c r="P317" s="66"/>
      <c r="Q317" s="9" t="s">
        <v>6</v>
      </c>
      <c r="R317" s="66">
        <f>+M311</f>
        <v>3.75</v>
      </c>
      <c r="S317" s="66"/>
      <c r="T317" s="1" t="s">
        <v>16</v>
      </c>
      <c r="U317" s="66">
        <f>+P311</f>
        <v>30</v>
      </c>
      <c r="V317" s="66"/>
      <c r="W317" s="9" t="s">
        <v>5</v>
      </c>
      <c r="X317" s="66">
        <f>+O317</f>
        <v>4.083333333333333</v>
      </c>
      <c r="Y317" s="66"/>
      <c r="Z317" s="1" t="s">
        <v>190</v>
      </c>
      <c r="AA317" s="1">
        <v>2</v>
      </c>
      <c r="AB317" s="9" t="s">
        <v>7</v>
      </c>
      <c r="AC317" s="66">
        <f>F317*I317-L317*(O317-R317)-U317*X317^2/AA317</f>
        <v>243.43750000000003</v>
      </c>
      <c r="AD317" s="66"/>
      <c r="AE317" s="66"/>
      <c r="AF317" s="1" t="s">
        <v>191</v>
      </c>
      <c r="AW317" s="9"/>
      <c r="AX317" s="9"/>
      <c r="AY317" s="9"/>
      <c r="AZ317" s="9"/>
      <c r="BA317" s="9"/>
      <c r="BB317" s="9"/>
      <c r="BD317" s="9"/>
      <c r="BE317" s="9"/>
      <c r="BF317" s="9"/>
      <c r="BG317" s="9"/>
      <c r="BH317" s="9"/>
      <c r="BI317" s="9"/>
      <c r="BJ317" s="9"/>
      <c r="BK317" s="9"/>
      <c r="BM317" s="9"/>
      <c r="BN317" s="9"/>
      <c r="BO317" s="9"/>
      <c r="BP317" s="9"/>
      <c r="BQ317" s="9"/>
      <c r="BT317" s="9"/>
      <c r="BU317" s="9"/>
      <c r="BV317" s="9"/>
      <c r="BW317" s="9"/>
      <c r="CC317" s="7"/>
    </row>
    <row r="318" spans="2:81">
      <c r="B318" s="6"/>
      <c r="C318" s="1" t="s">
        <v>247</v>
      </c>
      <c r="E318" s="66">
        <f>+AB299/2</f>
        <v>3.75</v>
      </c>
      <c r="F318" s="66"/>
      <c r="G318" s="66"/>
      <c r="H318" s="1" t="s">
        <v>252</v>
      </c>
      <c r="J318" s="9"/>
      <c r="M318" s="9"/>
      <c r="N318" s="21"/>
      <c r="U318" s="8"/>
      <c r="AW318" s="9"/>
      <c r="AX318" s="9"/>
      <c r="AY318" s="9"/>
      <c r="AZ318" s="9"/>
      <c r="BA318" s="9"/>
      <c r="BB318" s="9"/>
      <c r="BD318" s="9"/>
      <c r="BE318" s="9"/>
      <c r="BF318" s="9"/>
      <c r="BG318" s="9"/>
      <c r="BH318" s="9"/>
      <c r="BI318" s="9"/>
      <c r="BJ318" s="9"/>
      <c r="BK318" s="9"/>
      <c r="BM318" s="9"/>
      <c r="BN318" s="9"/>
      <c r="BO318" s="9"/>
      <c r="BP318" s="9"/>
      <c r="BQ318" s="9"/>
      <c r="BT318" s="9"/>
      <c r="BU318" s="9"/>
      <c r="BV318" s="9"/>
      <c r="BW318" s="9"/>
      <c r="CC318" s="7"/>
    </row>
    <row r="319" spans="2:81">
      <c r="B319" s="6"/>
      <c r="C319" s="1" t="s">
        <v>261</v>
      </c>
      <c r="E319" s="66">
        <f>+E311</f>
        <v>122.5</v>
      </c>
      <c r="F319" s="66"/>
      <c r="G319" s="9" t="s">
        <v>5</v>
      </c>
      <c r="H319" s="66">
        <f>+E318</f>
        <v>3.75</v>
      </c>
      <c r="I319" s="66"/>
      <c r="J319" s="9" t="s">
        <v>6</v>
      </c>
      <c r="K319" s="66">
        <f>IF((N319-Q319)&lt;=0,0,+I311)</f>
        <v>0</v>
      </c>
      <c r="L319" s="66"/>
      <c r="M319" s="9" t="s">
        <v>14</v>
      </c>
      <c r="N319" s="66">
        <f>+H319</f>
        <v>3.75</v>
      </c>
      <c r="O319" s="66"/>
      <c r="P319" s="9" t="s">
        <v>6</v>
      </c>
      <c r="Q319" s="66">
        <f>+M311</f>
        <v>3.75</v>
      </c>
      <c r="R319" s="66"/>
      <c r="S319" s="1" t="s">
        <v>16</v>
      </c>
      <c r="T319" s="66">
        <f>+P311</f>
        <v>30</v>
      </c>
      <c r="U319" s="66"/>
      <c r="V319" s="9" t="s">
        <v>5</v>
      </c>
      <c r="W319" s="66">
        <f>+N319</f>
        <v>3.75</v>
      </c>
      <c r="X319" s="66"/>
      <c r="Y319" s="1" t="s">
        <v>190</v>
      </c>
      <c r="Z319" s="1">
        <v>2</v>
      </c>
      <c r="AA319" s="9" t="s">
        <v>7</v>
      </c>
      <c r="AB319" s="66">
        <f>E319*H319-K319*(N319-Q319)-T319*W319^2/Z319</f>
        <v>248.4375</v>
      </c>
      <c r="AC319" s="66"/>
      <c r="AD319" s="66"/>
      <c r="AE319" s="1" t="s">
        <v>191</v>
      </c>
      <c r="BM319" s="9"/>
      <c r="BN319" s="9"/>
      <c r="BO319" s="9"/>
      <c r="BP319" s="9"/>
      <c r="BQ319" s="9"/>
      <c r="BT319" s="9"/>
      <c r="BU319" s="9"/>
      <c r="BV319" s="9"/>
      <c r="BW319" s="9"/>
      <c r="CC319" s="7"/>
    </row>
    <row r="320" spans="2:81">
      <c r="B320" s="6"/>
      <c r="C320" s="1" t="s">
        <v>248</v>
      </c>
      <c r="E320" s="66">
        <f>+AB299/4</f>
        <v>1.875</v>
      </c>
      <c r="F320" s="66"/>
      <c r="G320" s="66"/>
      <c r="H320" s="1" t="s">
        <v>252</v>
      </c>
      <c r="I320" s="9"/>
      <c r="J320" s="9"/>
      <c r="M320" s="9"/>
      <c r="N320" s="21"/>
      <c r="P320" s="9"/>
      <c r="Q320" s="9"/>
      <c r="AW320" s="9"/>
      <c r="AX320" s="9"/>
      <c r="AY320" s="9"/>
      <c r="AZ320" s="9"/>
      <c r="BA320" s="9"/>
      <c r="BB320" s="9"/>
      <c r="BD320" s="9"/>
      <c r="BE320" s="9"/>
      <c r="BF320" s="9"/>
      <c r="BG320" s="9"/>
      <c r="BH320" s="9"/>
      <c r="BI320" s="9"/>
      <c r="BJ320" s="9"/>
      <c r="BK320" s="9"/>
      <c r="BM320" s="9"/>
      <c r="BN320" s="9"/>
      <c r="BO320" s="9"/>
      <c r="BP320" s="9"/>
      <c r="BQ320" s="9"/>
      <c r="BT320" s="9"/>
      <c r="BU320" s="9"/>
      <c r="BV320" s="9"/>
      <c r="BW320" s="9"/>
      <c r="CC320" s="7"/>
    </row>
    <row r="321" spans="2:81">
      <c r="B321" s="6"/>
      <c r="C321" s="1" t="s">
        <v>249</v>
      </c>
      <c r="E321" s="66">
        <f>+E311</f>
        <v>122.5</v>
      </c>
      <c r="F321" s="66"/>
      <c r="G321" s="9" t="s">
        <v>5</v>
      </c>
      <c r="H321" s="66">
        <f>+E320</f>
        <v>1.875</v>
      </c>
      <c r="I321" s="66"/>
      <c r="J321" s="9" t="s">
        <v>6</v>
      </c>
      <c r="K321" s="66">
        <f>IF((N321-Q321)&lt;=0,0,+I311)</f>
        <v>0</v>
      </c>
      <c r="L321" s="66"/>
      <c r="M321" s="9" t="s">
        <v>14</v>
      </c>
      <c r="N321" s="66">
        <f>+H321</f>
        <v>1.875</v>
      </c>
      <c r="O321" s="66"/>
      <c r="P321" s="9" t="s">
        <v>6</v>
      </c>
      <c r="Q321" s="66">
        <f>+M311</f>
        <v>3.75</v>
      </c>
      <c r="R321" s="66"/>
      <c r="S321" s="1" t="s">
        <v>16</v>
      </c>
      <c r="T321" s="66">
        <f>+P311</f>
        <v>30</v>
      </c>
      <c r="U321" s="66"/>
      <c r="V321" s="9" t="s">
        <v>5</v>
      </c>
      <c r="W321" s="66">
        <f>+N321</f>
        <v>1.875</v>
      </c>
      <c r="X321" s="66"/>
      <c r="Y321" s="1" t="s">
        <v>190</v>
      </c>
      <c r="Z321" s="1">
        <v>2</v>
      </c>
      <c r="AA321" s="9" t="s">
        <v>7</v>
      </c>
      <c r="AB321" s="66">
        <f>E321*H321-K321*(N321-Q321)-T321*W321^2/Z321</f>
        <v>176.953125</v>
      </c>
      <c r="AC321" s="66"/>
      <c r="AD321" s="66"/>
      <c r="AE321" s="1" t="s">
        <v>191</v>
      </c>
      <c r="AW321" s="9"/>
      <c r="AX321" s="9"/>
      <c r="AY321" s="9"/>
      <c r="AZ321" s="9"/>
      <c r="BA321" s="9"/>
      <c r="BB321" s="9"/>
      <c r="BD321" s="9"/>
      <c r="BE321" s="9"/>
      <c r="BF321" s="9"/>
      <c r="BG321" s="9"/>
      <c r="BH321" s="9"/>
      <c r="BI321" s="9"/>
      <c r="BJ321" s="9"/>
      <c r="BK321" s="9"/>
      <c r="BM321" s="9"/>
      <c r="BN321" s="9"/>
      <c r="BO321" s="9"/>
      <c r="BP321" s="9"/>
      <c r="BQ321" s="9"/>
      <c r="BT321" s="9"/>
      <c r="BU321" s="9"/>
      <c r="BV321" s="9"/>
      <c r="BW321" s="9"/>
      <c r="CC321" s="7"/>
    </row>
    <row r="322" spans="2:81">
      <c r="B322" s="6"/>
      <c r="C322" s="1" t="s">
        <v>250</v>
      </c>
      <c r="F322" s="66">
        <f>3*AB299/4</f>
        <v>5.625</v>
      </c>
      <c r="G322" s="66"/>
      <c r="H322" s="66"/>
      <c r="I322" s="1" t="s">
        <v>252</v>
      </c>
      <c r="J322" s="9"/>
      <c r="M322" s="9"/>
      <c r="N322" s="21"/>
      <c r="P322" s="9"/>
      <c r="Q322" s="9"/>
      <c r="AW322" s="9"/>
      <c r="AX322" s="9"/>
      <c r="AY322" s="9"/>
      <c r="AZ322" s="9"/>
      <c r="BA322" s="9"/>
      <c r="BB322" s="9"/>
      <c r="BD322" s="9"/>
      <c r="BE322" s="9"/>
      <c r="BF322" s="9"/>
      <c r="BG322" s="9"/>
      <c r="BH322" s="9"/>
      <c r="BI322" s="9"/>
      <c r="BJ322" s="9"/>
      <c r="BK322" s="9"/>
      <c r="BM322" s="9"/>
      <c r="BN322" s="9"/>
      <c r="BO322" s="9"/>
      <c r="BP322" s="9"/>
      <c r="BQ322" s="9"/>
      <c r="BT322" s="9"/>
      <c r="BU322" s="9"/>
      <c r="BV322" s="9"/>
      <c r="BW322" s="9"/>
      <c r="CC322" s="7"/>
    </row>
    <row r="323" spans="2:81">
      <c r="B323" s="6"/>
      <c r="C323" s="1" t="s">
        <v>251</v>
      </c>
      <c r="E323" s="66">
        <f>+E311</f>
        <v>122.5</v>
      </c>
      <c r="F323" s="66"/>
      <c r="G323" s="9" t="s">
        <v>5</v>
      </c>
      <c r="H323" s="66">
        <f>+F322</f>
        <v>5.625</v>
      </c>
      <c r="I323" s="66"/>
      <c r="J323" s="9" t="s">
        <v>6</v>
      </c>
      <c r="K323" s="66">
        <f>IF((N323-Q323)&lt;=0,0,+I311)</f>
        <v>20</v>
      </c>
      <c r="L323" s="66"/>
      <c r="M323" s="9" t="s">
        <v>14</v>
      </c>
      <c r="N323" s="66">
        <f>+H323</f>
        <v>5.625</v>
      </c>
      <c r="O323" s="66"/>
      <c r="P323" s="9" t="s">
        <v>6</v>
      </c>
      <c r="Q323" s="66">
        <f>+M311</f>
        <v>3.75</v>
      </c>
      <c r="R323" s="66"/>
      <c r="S323" s="1" t="s">
        <v>16</v>
      </c>
      <c r="T323" s="66">
        <f>+P311</f>
        <v>30</v>
      </c>
      <c r="U323" s="66"/>
      <c r="V323" s="9" t="s">
        <v>5</v>
      </c>
      <c r="W323" s="66">
        <f>+N323</f>
        <v>5.625</v>
      </c>
      <c r="X323" s="66"/>
      <c r="Y323" s="1" t="s">
        <v>190</v>
      </c>
      <c r="Z323" s="1">
        <v>2</v>
      </c>
      <c r="AA323" s="9" t="s">
        <v>7</v>
      </c>
      <c r="AB323" s="66">
        <f>E323*H323-K323*(N323-Q323)-T323*W323^2/Z323</f>
        <v>176.953125</v>
      </c>
      <c r="AC323" s="66"/>
      <c r="AD323" s="66"/>
      <c r="AE323" s="1" t="s">
        <v>191</v>
      </c>
      <c r="AW323" s="9"/>
      <c r="AX323" s="9"/>
      <c r="AY323" s="9"/>
      <c r="AZ323" s="9"/>
      <c r="BA323" s="9"/>
      <c r="BB323" s="9"/>
      <c r="BD323" s="9"/>
      <c r="BE323" s="9"/>
      <c r="BF323" s="9"/>
      <c r="BG323" s="9"/>
      <c r="BH323" s="9"/>
      <c r="BI323" s="9"/>
      <c r="BJ323" s="9"/>
      <c r="BK323" s="9"/>
      <c r="BM323" s="9"/>
      <c r="BN323" s="9"/>
      <c r="BO323" s="9"/>
      <c r="BP323" s="9"/>
      <c r="BQ323" s="9"/>
      <c r="BT323" s="9"/>
      <c r="BU323" s="9"/>
      <c r="BV323" s="9"/>
      <c r="BW323" s="9"/>
      <c r="CC323" s="7"/>
    </row>
    <row r="324" spans="2:81">
      <c r="B324" s="6"/>
      <c r="C324" s="1" t="s">
        <v>300</v>
      </c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U324" s="9"/>
      <c r="V324" s="9"/>
      <c r="W324" s="9"/>
      <c r="X324" s="9"/>
      <c r="Y324" s="9"/>
      <c r="Z324" s="9"/>
      <c r="AA324" s="9"/>
      <c r="AB324" s="9"/>
      <c r="AD324" s="9"/>
      <c r="AE324" s="9"/>
      <c r="AF324" s="9"/>
      <c r="AG324" s="9"/>
      <c r="AH324" s="9"/>
      <c r="AI324" s="9"/>
      <c r="AJ324" s="9"/>
      <c r="AK324" s="9"/>
      <c r="AM324" s="9"/>
      <c r="AN324" s="9"/>
      <c r="AO324" s="9"/>
      <c r="AP324" s="9"/>
      <c r="AQ324" s="9"/>
      <c r="AR324" s="9"/>
      <c r="AS324" s="9"/>
      <c r="AT324" s="9"/>
      <c r="AV324" s="9"/>
      <c r="AW324" s="9"/>
      <c r="AX324" s="9"/>
      <c r="AY324" s="9"/>
      <c r="AZ324" s="9"/>
      <c r="BA324" s="9"/>
      <c r="BB324" s="9"/>
      <c r="BC324" s="9"/>
      <c r="BE324" s="9"/>
      <c r="BF324" s="9"/>
      <c r="BG324" s="9"/>
      <c r="BH324" s="9"/>
      <c r="BI324" s="9"/>
      <c r="BJ324" s="9"/>
      <c r="BK324" s="9"/>
      <c r="BL324" s="9"/>
      <c r="BN324" s="9"/>
      <c r="BO324" s="9"/>
      <c r="BP324" s="9"/>
      <c r="BQ324" s="9"/>
      <c r="BR324" s="9"/>
      <c r="BU324" s="9"/>
      <c r="BV324" s="9"/>
      <c r="BW324" s="9"/>
      <c r="BX324" s="9"/>
      <c r="CC324" s="7"/>
    </row>
    <row r="325" spans="2:81">
      <c r="B325" s="6"/>
      <c r="C325" s="1" t="s">
        <v>301</v>
      </c>
      <c r="E325" s="66">
        <v>12.5</v>
      </c>
      <c r="F325" s="66"/>
      <c r="G325" s="9" t="s">
        <v>5</v>
      </c>
      <c r="H325" s="66">
        <f>+AC317</f>
        <v>243.43750000000003</v>
      </c>
      <c r="I325" s="66"/>
      <c r="J325" s="66"/>
      <c r="K325" s="9" t="s">
        <v>275</v>
      </c>
      <c r="L325" s="66">
        <v>2.5</v>
      </c>
      <c r="M325" s="66"/>
      <c r="N325" s="9" t="s">
        <v>5</v>
      </c>
      <c r="O325" s="66">
        <f>+H325</f>
        <v>243.43750000000003</v>
      </c>
      <c r="P325" s="66"/>
      <c r="Q325" s="66"/>
      <c r="R325" s="9" t="s">
        <v>9</v>
      </c>
      <c r="S325" s="9">
        <v>3</v>
      </c>
      <c r="T325" s="9" t="s">
        <v>5</v>
      </c>
      <c r="U325" s="66">
        <f>+AB321</f>
        <v>176.953125</v>
      </c>
      <c r="V325" s="66"/>
      <c r="W325" s="66"/>
      <c r="X325" s="9" t="s">
        <v>9</v>
      </c>
      <c r="Y325" s="9">
        <v>4</v>
      </c>
      <c r="Z325" s="9" t="s">
        <v>5</v>
      </c>
      <c r="AA325" s="66">
        <f>+AB319</f>
        <v>248.4375</v>
      </c>
      <c r="AB325" s="66"/>
      <c r="AC325" s="66"/>
      <c r="AD325" s="9" t="s">
        <v>9</v>
      </c>
      <c r="AE325" s="9">
        <v>3</v>
      </c>
      <c r="AF325" s="9" t="s">
        <v>5</v>
      </c>
      <c r="AG325" s="66">
        <f>+AB323</f>
        <v>176.953125</v>
      </c>
      <c r="AH325" s="66"/>
      <c r="AI325" s="66"/>
      <c r="AJ325" s="9" t="s">
        <v>201</v>
      </c>
      <c r="AK325" s="66">
        <f>E325*H325/(L325*O325+S325*U325+Y325*AA325+AE325*AG325)</f>
        <v>1.1422287390029326</v>
      </c>
      <c r="AL325" s="66"/>
      <c r="AM325" s="66"/>
      <c r="AN325" s="9"/>
      <c r="AO325" s="9"/>
      <c r="AP325" s="9"/>
      <c r="AQ325" s="9"/>
      <c r="AR325" s="9"/>
      <c r="AS325" s="9"/>
      <c r="AT325" s="9"/>
      <c r="AV325" s="9"/>
      <c r="AW325" s="9"/>
      <c r="AX325" s="9"/>
      <c r="AY325" s="9"/>
      <c r="AZ325" s="9"/>
      <c r="BA325" s="9"/>
      <c r="BB325" s="9"/>
      <c r="BC325" s="9"/>
      <c r="BE325" s="9"/>
      <c r="BF325" s="9"/>
      <c r="BG325" s="9"/>
      <c r="BH325" s="9"/>
      <c r="BI325" s="9"/>
      <c r="BJ325" s="9"/>
      <c r="BK325" s="9"/>
      <c r="BL325" s="9"/>
      <c r="BN325" s="9"/>
      <c r="BO325" s="9"/>
      <c r="BP325" s="9"/>
      <c r="BQ325" s="9"/>
      <c r="BR325" s="9"/>
      <c r="BU325" s="9"/>
      <c r="BV325" s="9"/>
      <c r="BW325" s="9"/>
      <c r="BX325" s="9"/>
      <c r="CC325" s="7"/>
    </row>
    <row r="326" spans="2:81">
      <c r="B326" s="6"/>
      <c r="C326" s="23" t="s">
        <v>223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L326" s="9"/>
      <c r="AM326" s="9"/>
      <c r="AN326" s="9"/>
      <c r="AO326" s="9"/>
      <c r="AP326" s="9"/>
      <c r="AQ326" s="9"/>
      <c r="AR326" s="9"/>
      <c r="AS326" s="9"/>
      <c r="AU326" s="9"/>
      <c r="AV326" s="9"/>
      <c r="AW326" s="9"/>
      <c r="AX326" s="9"/>
      <c r="AY326" s="9"/>
      <c r="AZ326" s="9"/>
      <c r="BA326" s="9"/>
      <c r="BB326" s="9"/>
      <c r="BD326" s="9"/>
      <c r="BE326" s="9"/>
      <c r="BF326" s="9"/>
      <c r="BG326" s="9"/>
      <c r="BH326" s="9"/>
      <c r="BI326" s="9"/>
      <c r="BJ326" s="9"/>
      <c r="BK326" s="9"/>
      <c r="BM326" s="9"/>
      <c r="BN326" s="9"/>
      <c r="BO326" s="9"/>
      <c r="BP326" s="9"/>
      <c r="BQ326" s="9"/>
      <c r="BT326" s="9"/>
      <c r="BU326" s="9"/>
      <c r="BV326" s="9"/>
      <c r="BW326" s="9"/>
      <c r="CC326" s="7"/>
    </row>
    <row r="327" spans="2:81">
      <c r="B327" s="6"/>
      <c r="C327" s="1" t="s">
        <v>194</v>
      </c>
      <c r="I327" s="66">
        <f>+E311</f>
        <v>122.5</v>
      </c>
      <c r="J327" s="66"/>
      <c r="K327" s="1" t="s">
        <v>18</v>
      </c>
      <c r="M327" s="1">
        <v>2</v>
      </c>
      <c r="N327" s="9" t="s">
        <v>6</v>
      </c>
      <c r="O327" s="66">
        <f>+I311</f>
        <v>20</v>
      </c>
      <c r="P327" s="66"/>
      <c r="Q327" s="1" t="s">
        <v>15</v>
      </c>
      <c r="S327" s="66">
        <f>+M311</f>
        <v>3.75</v>
      </c>
      <c r="T327" s="66"/>
      <c r="U327" s="1" t="s">
        <v>20</v>
      </c>
      <c r="W327" s="9" t="s">
        <v>6</v>
      </c>
      <c r="X327" s="66">
        <f>+P311</f>
        <v>30</v>
      </c>
      <c r="Y327" s="66"/>
      <c r="Z327" s="9" t="s">
        <v>5</v>
      </c>
      <c r="AA327" s="1" t="s">
        <v>184</v>
      </c>
      <c r="AB327" s="1" t="s">
        <v>173</v>
      </c>
      <c r="AC327" s="1">
        <v>6</v>
      </c>
      <c r="AD327" s="9" t="s">
        <v>9</v>
      </c>
      <c r="AE327" s="1" t="s">
        <v>24</v>
      </c>
      <c r="AH327" s="1" t="s">
        <v>180</v>
      </c>
      <c r="CC327" s="7"/>
    </row>
    <row r="328" spans="2:81">
      <c r="B328" s="6"/>
      <c r="C328" s="1" t="s">
        <v>195</v>
      </c>
      <c r="H328" s="66">
        <f>+I327</f>
        <v>122.5</v>
      </c>
      <c r="I328" s="66"/>
      <c r="J328" s="1" t="s">
        <v>21</v>
      </c>
      <c r="L328" s="1">
        <v>6</v>
      </c>
      <c r="M328" s="9" t="s">
        <v>6</v>
      </c>
      <c r="N328" s="66">
        <f>+O327</f>
        <v>20</v>
      </c>
      <c r="O328" s="66"/>
      <c r="P328" s="1" t="s">
        <v>15</v>
      </c>
      <c r="R328" s="66">
        <f>+S327</f>
        <v>3.75</v>
      </c>
      <c r="S328" s="66"/>
      <c r="T328" s="1" t="s">
        <v>23</v>
      </c>
      <c r="V328" s="9" t="s">
        <v>6</v>
      </c>
      <c r="W328" s="66">
        <f>+X327</f>
        <v>30</v>
      </c>
      <c r="X328" s="66"/>
      <c r="Y328" s="9" t="s">
        <v>5</v>
      </c>
      <c r="Z328" s="1" t="s">
        <v>185</v>
      </c>
      <c r="AA328" s="1" t="s">
        <v>173</v>
      </c>
      <c r="AB328" s="66">
        <v>24</v>
      </c>
      <c r="AC328" s="66"/>
      <c r="AD328" s="1" t="s">
        <v>25</v>
      </c>
      <c r="AJ328" s="1" t="s">
        <v>180</v>
      </c>
      <c r="CC328" s="7"/>
    </row>
    <row r="329" spans="2:81">
      <c r="B329" s="6"/>
      <c r="C329" s="1" t="s">
        <v>26</v>
      </c>
      <c r="CC329" s="7"/>
    </row>
    <row r="330" spans="2:81">
      <c r="B330" s="6"/>
      <c r="C330" s="1" t="s">
        <v>27</v>
      </c>
      <c r="D330" s="66">
        <f>+AB299</f>
        <v>7.5</v>
      </c>
      <c r="E330" s="66"/>
      <c r="F330" s="1" t="s">
        <v>1</v>
      </c>
      <c r="G330" s="9" t="s">
        <v>28</v>
      </c>
      <c r="H330" s="1" t="s">
        <v>29</v>
      </c>
      <c r="CC330" s="7"/>
    </row>
    <row r="331" spans="2:81">
      <c r="B331" s="6"/>
      <c r="C331" s="66">
        <f>+H328</f>
        <v>122.5</v>
      </c>
      <c r="D331" s="66"/>
      <c r="E331" s="9" t="s">
        <v>5</v>
      </c>
      <c r="F331" s="66">
        <f>+D330</f>
        <v>7.5</v>
      </c>
      <c r="G331" s="66"/>
      <c r="H331" s="1" t="s">
        <v>30</v>
      </c>
      <c r="I331" s="1">
        <v>6</v>
      </c>
      <c r="J331" s="9" t="s">
        <v>6</v>
      </c>
      <c r="K331" s="66">
        <f>+N328</f>
        <v>20</v>
      </c>
      <c r="L331" s="66"/>
      <c r="M331" s="1" t="s">
        <v>14</v>
      </c>
      <c r="N331" s="66">
        <f>+D330</f>
        <v>7.5</v>
      </c>
      <c r="O331" s="66"/>
      <c r="P331" s="9" t="s">
        <v>6</v>
      </c>
      <c r="Q331" s="66">
        <f>+R328</f>
        <v>3.75</v>
      </c>
      <c r="R331" s="66"/>
      <c r="S331" s="1" t="s">
        <v>31</v>
      </c>
      <c r="T331" s="1">
        <v>6</v>
      </c>
      <c r="U331" s="9" t="s">
        <v>6</v>
      </c>
      <c r="V331" s="66">
        <f>+W328</f>
        <v>30</v>
      </c>
      <c r="W331" s="66"/>
      <c r="X331" s="1" t="s">
        <v>5</v>
      </c>
      <c r="Y331" s="66">
        <f>+N331</f>
        <v>7.5</v>
      </c>
      <c r="Z331" s="66"/>
      <c r="AA331" s="1" t="s">
        <v>186</v>
      </c>
      <c r="AB331" s="66">
        <f>+AB328</f>
        <v>24</v>
      </c>
      <c r="AC331" s="66"/>
      <c r="AD331" s="9" t="s">
        <v>9</v>
      </c>
      <c r="AE331" s="66">
        <f>+N331</f>
        <v>7.5</v>
      </c>
      <c r="AF331" s="66"/>
      <c r="AG331" s="9" t="s">
        <v>5</v>
      </c>
      <c r="AH331" s="1" t="s">
        <v>24</v>
      </c>
      <c r="AI331" s="9" t="s">
        <v>7</v>
      </c>
      <c r="AJ331" s="1">
        <v>0</v>
      </c>
      <c r="CC331" s="7"/>
    </row>
    <row r="332" spans="2:81">
      <c r="B332" s="6"/>
      <c r="C332" s="1" t="s">
        <v>32</v>
      </c>
      <c r="E332" s="66">
        <f>-(C331*F331^3/I331-K331*(N331-Q331)^3/T331-V331*Y331^4/AB331)/AE331</f>
        <v>-597.65625</v>
      </c>
      <c r="F332" s="66"/>
      <c r="G332" s="66"/>
      <c r="CC332" s="7"/>
    </row>
    <row r="333" spans="2:81">
      <c r="B333" s="6"/>
      <c r="C333" s="1" t="s">
        <v>195</v>
      </c>
      <c r="H333" s="66">
        <f>+H328</f>
        <v>122.5</v>
      </c>
      <c r="I333" s="66"/>
      <c r="J333" s="1" t="s">
        <v>21</v>
      </c>
      <c r="L333" s="1">
        <v>6</v>
      </c>
      <c r="M333" s="9" t="s">
        <v>6</v>
      </c>
      <c r="N333" s="66">
        <f>+N328</f>
        <v>20</v>
      </c>
      <c r="O333" s="66"/>
      <c r="P333" s="1" t="s">
        <v>15</v>
      </c>
      <c r="R333" s="66">
        <f>+R328</f>
        <v>3.75</v>
      </c>
      <c r="S333" s="66"/>
      <c r="T333" s="1" t="s">
        <v>23</v>
      </c>
      <c r="V333" s="9" t="s">
        <v>6</v>
      </c>
      <c r="W333" s="66">
        <f>+W328</f>
        <v>30</v>
      </c>
      <c r="X333" s="66"/>
      <c r="Y333" s="9" t="s">
        <v>5</v>
      </c>
      <c r="Z333" s="1" t="s">
        <v>185</v>
      </c>
      <c r="AA333" s="1" t="s">
        <v>173</v>
      </c>
      <c r="AB333" s="66">
        <v>24</v>
      </c>
      <c r="AC333" s="66"/>
      <c r="AD333" s="9" t="s">
        <v>9</v>
      </c>
      <c r="AE333" s="66">
        <f>E332</f>
        <v>-597.65625</v>
      </c>
      <c r="AF333" s="66"/>
      <c r="AG333" s="66"/>
      <c r="AH333" s="9" t="s">
        <v>5</v>
      </c>
      <c r="AI333" s="9" t="s">
        <v>13</v>
      </c>
      <c r="CC333" s="7"/>
    </row>
    <row r="334" spans="2:81">
      <c r="B334" s="6"/>
      <c r="C334" s="1" t="s">
        <v>35</v>
      </c>
      <c r="E334" s="66">
        <f>+H333</f>
        <v>122.5</v>
      </c>
      <c r="F334" s="66"/>
      <c r="G334" s="1" t="s">
        <v>21</v>
      </c>
      <c r="I334" s="1">
        <v>6</v>
      </c>
      <c r="J334" s="9" t="s">
        <v>6</v>
      </c>
      <c r="K334" s="66">
        <f>+N333</f>
        <v>20</v>
      </c>
      <c r="L334" s="66"/>
      <c r="M334" s="1" t="s">
        <v>15</v>
      </c>
      <c r="O334" s="66">
        <f>+R333</f>
        <v>3.75</v>
      </c>
      <c r="P334" s="66"/>
      <c r="Q334" s="1" t="s">
        <v>23</v>
      </c>
      <c r="S334" s="9" t="s">
        <v>6</v>
      </c>
      <c r="T334" s="66">
        <f>+W333</f>
        <v>30</v>
      </c>
      <c r="U334" s="66"/>
      <c r="V334" s="9" t="s">
        <v>5</v>
      </c>
      <c r="W334" s="1" t="s">
        <v>185</v>
      </c>
      <c r="X334" s="1" t="s">
        <v>173</v>
      </c>
      <c r="Y334" s="66">
        <v>24</v>
      </c>
      <c r="Z334" s="66"/>
      <c r="AA334" s="9" t="s">
        <v>9</v>
      </c>
      <c r="AB334" s="66">
        <f>+AE333</f>
        <v>-597.65625</v>
      </c>
      <c r="AC334" s="66"/>
      <c r="AD334" s="66"/>
      <c r="AE334" s="9" t="s">
        <v>5</v>
      </c>
      <c r="AF334" s="1" t="s">
        <v>196</v>
      </c>
      <c r="CC334" s="7"/>
    </row>
    <row r="335" spans="2:81">
      <c r="B335" s="6"/>
      <c r="C335" s="1" t="s">
        <v>27</v>
      </c>
      <c r="D335" s="67">
        <v>1</v>
      </c>
      <c r="E335" s="67"/>
      <c r="F335" s="67"/>
      <c r="G335" s="1" t="s">
        <v>42</v>
      </c>
      <c r="P335" s="8" t="str">
        <f>IF(D335&lt;=AB299,"","azalt.")</f>
        <v/>
      </c>
      <c r="CC335" s="7"/>
    </row>
    <row r="336" spans="2:81">
      <c r="B336" s="6"/>
      <c r="C336" s="1" t="s">
        <v>35</v>
      </c>
      <c r="E336" s="66">
        <f>+E334</f>
        <v>122.5</v>
      </c>
      <c r="F336" s="66"/>
      <c r="G336" s="9" t="s">
        <v>5</v>
      </c>
      <c r="H336" s="66">
        <f>+D335</f>
        <v>1</v>
      </c>
      <c r="I336" s="66"/>
      <c r="J336" s="1" t="s">
        <v>30</v>
      </c>
      <c r="K336" s="1">
        <v>6</v>
      </c>
      <c r="L336" s="9" t="s">
        <v>6</v>
      </c>
      <c r="M336" s="66">
        <f>IF((P336-S336)&lt;=0,0,+K334)</f>
        <v>0</v>
      </c>
      <c r="N336" s="66"/>
      <c r="O336" s="1" t="s">
        <v>14</v>
      </c>
      <c r="P336" s="66">
        <f>+D335</f>
        <v>1</v>
      </c>
      <c r="Q336" s="66"/>
      <c r="R336" s="9" t="s">
        <v>6</v>
      </c>
      <c r="S336" s="66">
        <f>+O334</f>
        <v>3.75</v>
      </c>
      <c r="T336" s="66"/>
      <c r="U336" s="1" t="s">
        <v>31</v>
      </c>
      <c r="V336" s="1">
        <v>6</v>
      </c>
      <c r="W336" s="9" t="s">
        <v>6</v>
      </c>
      <c r="X336" s="66">
        <f>+T334</f>
        <v>30</v>
      </c>
      <c r="Y336" s="66"/>
      <c r="Z336" s="9" t="s">
        <v>5</v>
      </c>
      <c r="AA336" s="66">
        <f>+P336</f>
        <v>1</v>
      </c>
      <c r="AB336" s="66"/>
      <c r="AC336" s="1" t="s">
        <v>186</v>
      </c>
      <c r="AD336" s="66">
        <v>24</v>
      </c>
      <c r="AE336" s="66"/>
      <c r="AF336" s="9" t="s">
        <v>9</v>
      </c>
      <c r="AG336" s="66">
        <f>+AB334</f>
        <v>-597.65625</v>
      </c>
      <c r="AH336" s="66"/>
      <c r="AI336" s="66"/>
      <c r="AJ336" s="9" t="s">
        <v>5</v>
      </c>
      <c r="AK336" s="66">
        <f>+P336</f>
        <v>1</v>
      </c>
      <c r="AL336" s="66"/>
      <c r="AM336" s="1" t="s">
        <v>193</v>
      </c>
      <c r="AP336" s="66">
        <f>+Z302</f>
        <v>200000</v>
      </c>
      <c r="AQ336" s="66"/>
      <c r="AR336" s="66"/>
      <c r="AS336" s="9" t="s">
        <v>5</v>
      </c>
      <c r="AT336" s="66">
        <f>+Z301</f>
        <v>92080</v>
      </c>
      <c r="AU336" s="66"/>
      <c r="AV336" s="66"/>
      <c r="AW336" s="1" t="s">
        <v>40</v>
      </c>
      <c r="CC336" s="7"/>
    </row>
    <row r="337" spans="2:81">
      <c r="B337" s="6"/>
      <c r="C337" s="1" t="s">
        <v>33</v>
      </c>
      <c r="E337" s="66">
        <f>-(E336*H336^3/K336-M336*(P336-S336)^3/V336-X336*AA336^4/AD336+AG336*AK336)*100000000/(AP336*AT336)</f>
        <v>3.1412336193165364</v>
      </c>
      <c r="F337" s="66"/>
      <c r="G337" s="66"/>
      <c r="H337" s="1" t="s">
        <v>41</v>
      </c>
      <c r="CC337" s="7"/>
    </row>
    <row r="338" spans="2:81">
      <c r="B338" s="6"/>
      <c r="C338" s="1" t="s">
        <v>172</v>
      </c>
      <c r="H338" s="66">
        <f>+AB299*1000</f>
        <v>7500</v>
      </c>
      <c r="I338" s="66"/>
      <c r="J338" s="66"/>
      <c r="K338" s="1" t="s">
        <v>173</v>
      </c>
      <c r="L338" s="66">
        <v>300</v>
      </c>
      <c r="M338" s="66"/>
      <c r="N338" s="9" t="s">
        <v>7</v>
      </c>
      <c r="O338" s="66">
        <f>+H338/L338</f>
        <v>25</v>
      </c>
      <c r="P338" s="66"/>
      <c r="Q338" s="66"/>
      <c r="R338" s="1" t="s">
        <v>41</v>
      </c>
      <c r="U338" s="1" t="s">
        <v>192</v>
      </c>
      <c r="AQ338" s="19"/>
      <c r="AR338" s="19"/>
      <c r="AS338" s="19"/>
      <c r="AT338" s="19"/>
      <c r="AU338" s="19"/>
      <c r="CC338" s="7"/>
    </row>
    <row r="339" spans="2:81">
      <c r="B339" s="6"/>
      <c r="C339" s="1" t="s">
        <v>34</v>
      </c>
      <c r="D339" s="66">
        <f>+E337</f>
        <v>3.1412336193165364</v>
      </c>
      <c r="E339" s="66"/>
      <c r="F339" s="66"/>
      <c r="G339" s="1" t="s">
        <v>41</v>
      </c>
      <c r="I339" s="1" t="str">
        <f>IF(D339&lt;M339,"&lt;","&gt;")</f>
        <v>&lt;</v>
      </c>
      <c r="J339" s="1" t="s">
        <v>174</v>
      </c>
      <c r="M339" s="66">
        <f>+O338</f>
        <v>25</v>
      </c>
      <c r="N339" s="66"/>
      <c r="O339" s="66"/>
      <c r="P339" s="1" t="s">
        <v>41</v>
      </c>
      <c r="R339" s="8" t="str">
        <f>IF(D339&lt;M339,"uygun.","uygun değil.")</f>
        <v>uygun.</v>
      </c>
      <c r="CC339" s="7"/>
    </row>
    <row r="340" spans="2:81" ht="12" thickBot="1">
      <c r="B340" s="12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4"/>
    </row>
    <row r="341" spans="2:81" ht="12" thickBot="1"/>
    <row r="342" spans="2:81" ht="48" customHeight="1">
      <c r="B342" s="73" t="s">
        <v>500</v>
      </c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  <c r="AV342" s="74"/>
      <c r="AW342" s="74"/>
      <c r="AX342" s="74"/>
      <c r="AY342" s="74"/>
      <c r="AZ342" s="74"/>
      <c r="BA342" s="74"/>
      <c r="BB342" s="74"/>
      <c r="BC342" s="74"/>
      <c r="BD342" s="74"/>
      <c r="BE342" s="74"/>
      <c r="BF342" s="74"/>
      <c r="BG342" s="74"/>
      <c r="BH342" s="74"/>
      <c r="BI342" s="74"/>
      <c r="BJ342" s="74"/>
      <c r="BK342" s="74"/>
      <c r="BL342" s="74"/>
      <c r="BM342" s="74"/>
      <c r="BN342" s="74"/>
      <c r="BO342" s="74"/>
      <c r="BP342" s="74"/>
      <c r="BQ342" s="74"/>
      <c r="BR342" s="74"/>
      <c r="BS342" s="74"/>
      <c r="BT342" s="74"/>
      <c r="BU342" s="74"/>
      <c r="BV342" s="74"/>
      <c r="BW342" s="74"/>
      <c r="BX342" s="74"/>
      <c r="BY342" s="74"/>
      <c r="BZ342" s="74"/>
      <c r="CA342" s="74"/>
      <c r="CB342" s="74"/>
      <c r="CC342" s="75"/>
    </row>
    <row r="343" spans="2:81">
      <c r="B343" s="6"/>
      <c r="S343" s="8" t="s">
        <v>176</v>
      </c>
      <c r="CC343" s="7"/>
    </row>
    <row r="344" spans="2:81">
      <c r="B344" s="6"/>
      <c r="CC344" s="7"/>
    </row>
    <row r="345" spans="2:81">
      <c r="B345" s="6"/>
      <c r="O345" s="67" t="s">
        <v>171</v>
      </c>
      <c r="P345" s="67"/>
      <c r="Q345" s="67"/>
      <c r="R345" s="67"/>
      <c r="S345" s="67"/>
      <c r="T345" s="67"/>
      <c r="AF345" s="67">
        <v>100</v>
      </c>
      <c r="AG345" s="67"/>
      <c r="AH345" s="1" t="s">
        <v>0</v>
      </c>
      <c r="AS345" s="1" t="s">
        <v>290</v>
      </c>
      <c r="CC345" s="7"/>
    </row>
    <row r="346" spans="2:81">
      <c r="B346" s="6"/>
      <c r="AB346" s="22"/>
      <c r="AC346" s="22"/>
      <c r="AD346" s="22"/>
      <c r="AE346" s="22"/>
      <c r="AF346" s="22"/>
      <c r="CC346" s="7"/>
    </row>
    <row r="347" spans="2:81">
      <c r="B347" s="6"/>
      <c r="Y347" s="1" t="s">
        <v>209</v>
      </c>
      <c r="AA347" s="67">
        <v>30</v>
      </c>
      <c r="AB347" s="67"/>
      <c r="AC347" s="1" t="s">
        <v>187</v>
      </c>
      <c r="CC347" s="7"/>
    </row>
    <row r="348" spans="2:81">
      <c r="B348" s="6"/>
      <c r="CC348" s="7"/>
    </row>
    <row r="349" spans="2:81">
      <c r="B349" s="6"/>
      <c r="C349" s="71">
        <f>INDEX($CI$24:$CI$138,MATCH(O345,$CG$24:$CG$138,0),0)</f>
        <v>600</v>
      </c>
      <c r="CC349" s="7"/>
    </row>
    <row r="350" spans="2:81">
      <c r="B350" s="6"/>
      <c r="C350" s="71"/>
      <c r="CC350" s="7"/>
    </row>
    <row r="351" spans="2:81">
      <c r="B351" s="6"/>
      <c r="C351" s="71"/>
      <c r="J351" s="66">
        <f>INDEX($CK$24:$CK$138,MATCH(O345,$CG$24:$CG$138,0),0)</f>
        <v>12</v>
      </c>
      <c r="K351" s="66"/>
      <c r="Q351" s="1" t="s">
        <v>199</v>
      </c>
      <c r="R351" s="66">
        <f>-W363</f>
        <v>183.75</v>
      </c>
      <c r="S351" s="66"/>
      <c r="T351" s="66"/>
      <c r="U351" s="1" t="s">
        <v>191</v>
      </c>
      <c r="Y351" s="1" t="s">
        <v>13</v>
      </c>
      <c r="CC351" s="7"/>
    </row>
    <row r="352" spans="2:81">
      <c r="B352" s="6"/>
      <c r="Z352" s="1" t="s">
        <v>197</v>
      </c>
      <c r="AA352" s="67">
        <v>1.5</v>
      </c>
      <c r="AB352" s="67"/>
      <c r="AC352" s="1" t="s">
        <v>1</v>
      </c>
      <c r="AT352" s="23" t="s">
        <v>298</v>
      </c>
      <c r="CC352" s="7"/>
    </row>
    <row r="353" spans="2:81">
      <c r="B353" s="6"/>
      <c r="CC353" s="7"/>
    </row>
    <row r="354" spans="2:81">
      <c r="B354" s="6"/>
      <c r="K354" s="66">
        <f>INDEX($CL$24:$CL$138,MATCH(O345,$CG$24:$CG$138,0),0)</f>
        <v>19</v>
      </c>
      <c r="L354" s="66"/>
      <c r="U354" s="1" t="s">
        <v>2</v>
      </c>
      <c r="V354" s="66">
        <f>+H362</f>
        <v>145</v>
      </c>
      <c r="W354" s="66"/>
      <c r="X354" s="1" t="s">
        <v>0</v>
      </c>
      <c r="BF354" s="9"/>
      <c r="BG354" s="9"/>
      <c r="CC354" s="7"/>
    </row>
    <row r="355" spans="2:81">
      <c r="B355" s="6"/>
      <c r="CC355" s="7"/>
    </row>
    <row r="356" spans="2:81">
      <c r="B356" s="6"/>
      <c r="W356" s="10" t="s">
        <v>36</v>
      </c>
      <c r="Y356" s="66">
        <f>INDEX($CM$24:$CM$138,MATCH(O345,$CG$24:$CG$138,0),0)</f>
        <v>92080</v>
      </c>
      <c r="Z356" s="66"/>
      <c r="AA356" s="66"/>
      <c r="AB356" s="66"/>
      <c r="AC356" s="1" t="s">
        <v>37</v>
      </c>
      <c r="AF356" s="1" t="s">
        <v>175</v>
      </c>
      <c r="CC356" s="7"/>
    </row>
    <row r="357" spans="2:81">
      <c r="B357" s="6"/>
      <c r="I357" s="66">
        <f>INDEX($CJ$24:$CJ$138,MATCH(O345,$CG$24:$CG$138,0),0)</f>
        <v>220</v>
      </c>
      <c r="J357" s="66"/>
      <c r="W357" s="1" t="s">
        <v>38</v>
      </c>
      <c r="Y357" s="67">
        <v>200000</v>
      </c>
      <c r="Z357" s="67"/>
      <c r="AA357" s="67"/>
      <c r="AB357" s="67"/>
      <c r="AC357" s="1" t="s">
        <v>39</v>
      </c>
      <c r="AF357" s="1" t="s">
        <v>302</v>
      </c>
      <c r="CC357" s="7"/>
    </row>
    <row r="358" spans="2:81">
      <c r="B358" s="6"/>
      <c r="CC358" s="7"/>
    </row>
    <row r="359" spans="2:81">
      <c r="B359" s="6"/>
      <c r="F359" s="23" t="s">
        <v>221</v>
      </c>
      <c r="CC359" s="7"/>
    </row>
    <row r="360" spans="2:81">
      <c r="B360" s="6"/>
      <c r="F360" s="1" t="s">
        <v>189</v>
      </c>
      <c r="CC360" s="7"/>
    </row>
    <row r="361" spans="2:81">
      <c r="B361" s="6"/>
      <c r="F361" s="1" t="s">
        <v>4</v>
      </c>
      <c r="G361" s="9" t="s">
        <v>6</v>
      </c>
      <c r="H361" s="66">
        <f>+AA347</f>
        <v>30</v>
      </c>
      <c r="I361" s="66"/>
      <c r="J361" s="9" t="s">
        <v>5</v>
      </c>
      <c r="K361" s="66">
        <f>+AA352</f>
        <v>1.5</v>
      </c>
      <c r="L361" s="66"/>
      <c r="M361" s="9" t="s">
        <v>6</v>
      </c>
      <c r="N361" s="66">
        <f>+AF345</f>
        <v>100</v>
      </c>
      <c r="O361" s="66"/>
      <c r="P361" s="9" t="s">
        <v>7</v>
      </c>
      <c r="Q361" s="1">
        <v>0</v>
      </c>
      <c r="CC361" s="7"/>
    </row>
    <row r="362" spans="2:81">
      <c r="B362" s="6"/>
      <c r="F362" s="1" t="s">
        <v>8</v>
      </c>
      <c r="G362" s="9"/>
      <c r="H362" s="66">
        <f>H361*K361+N361</f>
        <v>145</v>
      </c>
      <c r="I362" s="66"/>
      <c r="J362" s="66"/>
      <c r="K362" s="1" t="s">
        <v>0</v>
      </c>
      <c r="M362" s="1" t="s">
        <v>178</v>
      </c>
      <c r="CC362" s="7"/>
    </row>
    <row r="363" spans="2:81">
      <c r="B363" s="6"/>
      <c r="F363" s="1" t="s">
        <v>198</v>
      </c>
      <c r="H363" s="66">
        <f>-AA347</f>
        <v>-30</v>
      </c>
      <c r="I363" s="66"/>
      <c r="J363" s="9" t="s">
        <v>5</v>
      </c>
      <c r="K363" s="66">
        <f>+AA352</f>
        <v>1.5</v>
      </c>
      <c r="L363" s="66"/>
      <c r="M363" s="9" t="s">
        <v>5</v>
      </c>
      <c r="N363" s="66">
        <f>+AA352/2</f>
        <v>0.75</v>
      </c>
      <c r="O363" s="66"/>
      <c r="P363" s="9" t="s">
        <v>6</v>
      </c>
      <c r="Q363" s="66">
        <f>+AF345</f>
        <v>100</v>
      </c>
      <c r="R363" s="66"/>
      <c r="S363" s="9" t="s">
        <v>5</v>
      </c>
      <c r="T363" s="66">
        <f>+AA352</f>
        <v>1.5</v>
      </c>
      <c r="U363" s="66"/>
      <c r="V363" s="9" t="s">
        <v>7</v>
      </c>
      <c r="W363" s="66">
        <f>+H363*K363*N363-Q363*T363</f>
        <v>-183.75</v>
      </c>
      <c r="X363" s="66"/>
      <c r="Y363" s="66"/>
      <c r="Z363" s="1" t="s">
        <v>191</v>
      </c>
      <c r="CC363" s="7"/>
    </row>
    <row r="364" spans="2:81">
      <c r="B364" s="6"/>
      <c r="F364" s="23" t="s">
        <v>222</v>
      </c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CC364" s="7"/>
    </row>
    <row r="365" spans="2:81">
      <c r="B365" s="6"/>
      <c r="F365" s="1" t="s">
        <v>27</v>
      </c>
      <c r="G365" s="67">
        <v>1</v>
      </c>
      <c r="H365" s="67"/>
      <c r="I365" s="1" t="s">
        <v>213</v>
      </c>
      <c r="K365" s="9"/>
      <c r="L365" s="9"/>
      <c r="M365" s="9"/>
      <c r="W365" s="8" t="str">
        <f>IF(G365&lt;=AA352,"","azalt.")</f>
        <v/>
      </c>
      <c r="X365" s="8"/>
      <c r="CC365" s="7"/>
    </row>
    <row r="366" spans="2:81">
      <c r="B366" s="6"/>
      <c r="F366" s="1" t="s">
        <v>12</v>
      </c>
      <c r="H366" s="66">
        <f>+R351</f>
        <v>183.75</v>
      </c>
      <c r="I366" s="66"/>
      <c r="J366" s="9" t="s">
        <v>6</v>
      </c>
      <c r="K366" s="66">
        <f>+V354</f>
        <v>145</v>
      </c>
      <c r="L366" s="66"/>
      <c r="M366" s="9" t="s">
        <v>5</v>
      </c>
      <c r="N366" s="66">
        <f>+G365</f>
        <v>1</v>
      </c>
      <c r="O366" s="66"/>
      <c r="P366" s="9" t="s">
        <v>9</v>
      </c>
      <c r="Q366" s="66">
        <f>+AA347</f>
        <v>30</v>
      </c>
      <c r="R366" s="66"/>
      <c r="S366" s="9" t="s">
        <v>5</v>
      </c>
      <c r="T366" s="66">
        <f>+G365</f>
        <v>1</v>
      </c>
      <c r="U366" s="66"/>
      <c r="V366" s="9" t="s">
        <v>254</v>
      </c>
      <c r="W366" s="1">
        <v>2</v>
      </c>
      <c r="X366" s="9" t="s">
        <v>7</v>
      </c>
      <c r="Y366" s="66">
        <f>+H366-K366*N366+Q366*T366^2/W366</f>
        <v>53.75</v>
      </c>
      <c r="Z366" s="66"/>
      <c r="AA366" s="66"/>
      <c r="AB366" s="1" t="s">
        <v>191</v>
      </c>
      <c r="AE366" s="9"/>
      <c r="CC366" s="7"/>
    </row>
    <row r="367" spans="2:81">
      <c r="B367" s="6"/>
      <c r="F367" s="1" t="s">
        <v>220</v>
      </c>
      <c r="H367" s="66">
        <f>+K366</f>
        <v>145</v>
      </c>
      <c r="I367" s="66"/>
      <c r="J367" s="9" t="s">
        <v>6</v>
      </c>
      <c r="K367" s="66">
        <f>+Q366</f>
        <v>30</v>
      </c>
      <c r="L367" s="66"/>
      <c r="M367" s="9" t="s">
        <v>5</v>
      </c>
      <c r="N367" s="66">
        <f>+G365</f>
        <v>1</v>
      </c>
      <c r="O367" s="66"/>
      <c r="P367" s="9" t="s">
        <v>7</v>
      </c>
      <c r="Q367" s="66">
        <f>+H367-K367*N367</f>
        <v>115</v>
      </c>
      <c r="R367" s="66"/>
      <c r="S367" s="66"/>
      <c r="T367" s="9" t="s">
        <v>0</v>
      </c>
      <c r="X367" s="9"/>
      <c r="Y367" s="9"/>
      <c r="Z367" s="9"/>
      <c r="AA367" s="9"/>
      <c r="CC367" s="7"/>
    </row>
    <row r="368" spans="2:81">
      <c r="B368" s="6"/>
      <c r="E368" s="9"/>
      <c r="F368" s="23" t="s">
        <v>223</v>
      </c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L368" s="9"/>
      <c r="AM368" s="9"/>
      <c r="AN368" s="9"/>
      <c r="AO368" s="9"/>
      <c r="AP368" s="9"/>
      <c r="AQ368" s="9"/>
      <c r="AR368" s="9"/>
      <c r="AS368" s="9"/>
      <c r="AU368" s="9"/>
      <c r="AV368" s="9"/>
      <c r="AW368" s="9"/>
      <c r="AX368" s="9"/>
      <c r="BD368" s="9"/>
      <c r="BE368" s="9"/>
      <c r="BF368" s="9"/>
      <c r="BG368" s="9"/>
      <c r="BH368" s="9"/>
      <c r="BI368" s="9"/>
      <c r="BJ368" s="9"/>
      <c r="BK368" s="9"/>
      <c r="BM368" s="9"/>
      <c r="BN368" s="9"/>
      <c r="BO368" s="9"/>
      <c r="BP368" s="9"/>
      <c r="BQ368" s="9"/>
      <c r="BT368" s="9"/>
      <c r="BU368" s="9"/>
      <c r="BV368" s="9"/>
      <c r="BW368" s="9"/>
      <c r="CC368" s="7"/>
    </row>
    <row r="369" spans="2:81">
      <c r="B369" s="6"/>
      <c r="F369" s="1" t="s">
        <v>575</v>
      </c>
      <c r="CC369" s="7"/>
    </row>
    <row r="370" spans="2:81">
      <c r="B370" s="6"/>
      <c r="F370" s="1" t="s">
        <v>576</v>
      </c>
      <c r="CC370" s="7"/>
    </row>
    <row r="371" spans="2:81">
      <c r="B371" s="6"/>
      <c r="F371" s="1" t="s">
        <v>577</v>
      </c>
      <c r="I371" s="19"/>
      <c r="J371" s="19"/>
      <c r="K371" s="19"/>
      <c r="L371" s="19"/>
      <c r="M371" s="19"/>
      <c r="N371" s="19"/>
      <c r="CC371" s="7"/>
    </row>
    <row r="372" spans="2:81">
      <c r="B372" s="6"/>
      <c r="F372" s="24" t="s">
        <v>318</v>
      </c>
      <c r="I372" s="19"/>
      <c r="J372" s="19"/>
      <c r="K372" s="19"/>
      <c r="L372" s="19"/>
      <c r="M372" s="19"/>
      <c r="N372" s="19"/>
      <c r="CC372" s="7"/>
    </row>
    <row r="373" spans="2:81">
      <c r="B373" s="6"/>
      <c r="F373" s="1" t="s">
        <v>401</v>
      </c>
      <c r="L373" s="1" t="s">
        <v>307</v>
      </c>
      <c r="M373" s="9" t="s">
        <v>7</v>
      </c>
      <c r="N373" s="9">
        <v>0</v>
      </c>
      <c r="CC373" s="7"/>
    </row>
    <row r="374" spans="2:81">
      <c r="B374" s="6"/>
      <c r="F374" s="1" t="s">
        <v>402</v>
      </c>
      <c r="L374" s="66">
        <f>AF345</f>
        <v>100</v>
      </c>
      <c r="M374" s="66"/>
      <c r="N374" s="9" t="s">
        <v>5</v>
      </c>
      <c r="O374" s="66">
        <f>+AA352</f>
        <v>1.5</v>
      </c>
      <c r="P374" s="66"/>
      <c r="Q374" s="1" t="s">
        <v>254</v>
      </c>
      <c r="R374" s="1">
        <v>2</v>
      </c>
      <c r="S374" s="9" t="s">
        <v>9</v>
      </c>
      <c r="T374" s="66">
        <f>+AA347</f>
        <v>30</v>
      </c>
      <c r="U374" s="66"/>
      <c r="V374" s="9" t="s">
        <v>5</v>
      </c>
      <c r="W374" s="66">
        <f>+AA352</f>
        <v>1.5</v>
      </c>
      <c r="X374" s="66"/>
      <c r="Y374" s="1" t="s">
        <v>321</v>
      </c>
      <c r="Z374" s="1">
        <v>6</v>
      </c>
      <c r="AA374" s="9" t="s">
        <v>9</v>
      </c>
      <c r="AB374" s="1" t="s">
        <v>24</v>
      </c>
      <c r="AE374" s="1" t="s">
        <v>24</v>
      </c>
      <c r="AF374" s="9" t="s">
        <v>7</v>
      </c>
      <c r="AG374" s="66">
        <f>-(L374*O374^2/R374+T374*W374^3/Z374)</f>
        <v>-129.375</v>
      </c>
      <c r="AH374" s="66"/>
      <c r="AI374" s="66"/>
      <c r="CC374" s="7"/>
    </row>
    <row r="375" spans="2:81">
      <c r="B375" s="6"/>
      <c r="F375" s="1" t="s">
        <v>578</v>
      </c>
      <c r="CC375" s="7"/>
    </row>
    <row r="376" spans="2:81">
      <c r="B376" s="6"/>
      <c r="F376" s="1" t="s">
        <v>27</v>
      </c>
      <c r="G376" s="67">
        <v>1.5</v>
      </c>
      <c r="H376" s="67"/>
      <c r="I376" s="1" t="s">
        <v>42</v>
      </c>
      <c r="Q376" s="21"/>
      <c r="R376" s="8" t="str">
        <f>IF(G376&lt;=AA352,"","azalt.")</f>
        <v/>
      </c>
      <c r="V376" s="24"/>
      <c r="CC376" s="7"/>
    </row>
    <row r="377" spans="2:81">
      <c r="B377" s="6"/>
      <c r="F377" s="1" t="s">
        <v>35</v>
      </c>
      <c r="H377" s="66">
        <f>AF345</f>
        <v>100</v>
      </c>
      <c r="I377" s="66"/>
      <c r="J377" s="9" t="s">
        <v>5</v>
      </c>
      <c r="K377" s="66">
        <f>+G376</f>
        <v>1.5</v>
      </c>
      <c r="L377" s="66"/>
      <c r="M377" s="1" t="s">
        <v>321</v>
      </c>
      <c r="N377" s="1">
        <v>6</v>
      </c>
      <c r="O377" s="9" t="s">
        <v>9</v>
      </c>
      <c r="P377" s="66">
        <f>+AA347</f>
        <v>30</v>
      </c>
      <c r="Q377" s="66"/>
      <c r="R377" s="9" t="s">
        <v>5</v>
      </c>
      <c r="S377" s="66">
        <f>+G376</f>
        <v>1.5</v>
      </c>
      <c r="T377" s="66"/>
      <c r="U377" s="1" t="s">
        <v>403</v>
      </c>
      <c r="V377" s="66">
        <v>24</v>
      </c>
      <c r="W377" s="66"/>
      <c r="X377" s="9" t="s">
        <v>9</v>
      </c>
      <c r="Y377" s="66">
        <f>+AG374</f>
        <v>-129.375</v>
      </c>
      <c r="Z377" s="66"/>
      <c r="AA377" s="66"/>
      <c r="AB377" s="9" t="s">
        <v>5</v>
      </c>
      <c r="AC377" s="66">
        <f>+G376</f>
        <v>1.5</v>
      </c>
      <c r="AD377" s="66"/>
      <c r="AE377" s="1" t="s">
        <v>193</v>
      </c>
      <c r="AH377" s="66">
        <f>+Y357</f>
        <v>200000</v>
      </c>
      <c r="AI377" s="66"/>
      <c r="AJ377" s="66"/>
      <c r="AK377" s="9" t="s">
        <v>5</v>
      </c>
      <c r="AL377" s="66">
        <f>+Y356</f>
        <v>92080</v>
      </c>
      <c r="AM377" s="66"/>
      <c r="AN377" s="66"/>
      <c r="AO377" s="1" t="s">
        <v>40</v>
      </c>
      <c r="CC377" s="7"/>
    </row>
    <row r="378" spans="2:81">
      <c r="B378" s="6"/>
      <c r="F378" s="1" t="s">
        <v>33</v>
      </c>
      <c r="H378" s="66">
        <f>(H377*K377^3/N377+P377*S377^4/V377+Y377*AC377)*100000000/(AH377*AL377)</f>
        <v>-0.71396815269331015</v>
      </c>
      <c r="I378" s="66"/>
      <c r="J378" s="66"/>
      <c r="K378" s="1" t="s">
        <v>41</v>
      </c>
      <c r="CC378" s="7"/>
    </row>
    <row r="379" spans="2:81">
      <c r="B379" s="6"/>
      <c r="F379" s="1" t="s">
        <v>202</v>
      </c>
      <c r="K379" s="66">
        <f>+AA352*1000</f>
        <v>1500</v>
      </c>
      <c r="L379" s="66"/>
      <c r="M379" s="66"/>
      <c r="N379" s="1" t="s">
        <v>173</v>
      </c>
      <c r="O379" s="66">
        <v>200</v>
      </c>
      <c r="P379" s="66"/>
      <c r="Q379" s="9" t="s">
        <v>7</v>
      </c>
      <c r="R379" s="66">
        <f>+K379/O379</f>
        <v>7.5</v>
      </c>
      <c r="S379" s="66"/>
      <c r="T379" s="66"/>
      <c r="U379" s="1" t="s">
        <v>41</v>
      </c>
      <c r="X379" s="1" t="s">
        <v>192</v>
      </c>
      <c r="CC379" s="7"/>
    </row>
    <row r="380" spans="2:81">
      <c r="B380" s="6"/>
      <c r="F380" s="1" t="s">
        <v>34</v>
      </c>
      <c r="G380" s="66">
        <f>+H378</f>
        <v>-0.71396815269331015</v>
      </c>
      <c r="H380" s="66"/>
      <c r="I380" s="66"/>
      <c r="J380" s="1" t="s">
        <v>41</v>
      </c>
      <c r="L380" s="1" t="str">
        <f>IF(ABS(G380)&lt;ABS(P380),"&lt;","&gt;")</f>
        <v>&lt;</v>
      </c>
      <c r="M380" s="1" t="s">
        <v>174</v>
      </c>
      <c r="P380" s="66">
        <f>+R379</f>
        <v>7.5</v>
      </c>
      <c r="Q380" s="66"/>
      <c r="R380" s="66"/>
      <c r="S380" s="1" t="s">
        <v>41</v>
      </c>
      <c r="U380" s="8" t="str">
        <f>IF(ABS(G380)&lt;ABS(P380),"uygun.","uygun değil.")</f>
        <v>uygun.</v>
      </c>
      <c r="CC380" s="7"/>
    </row>
    <row r="381" spans="2:81" ht="12" thickBot="1">
      <c r="B381" s="12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4"/>
    </row>
    <row r="382" spans="2:81" ht="12" thickBot="1"/>
    <row r="383" spans="2:81" ht="48" customHeight="1">
      <c r="B383" s="73" t="s">
        <v>246</v>
      </c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  <c r="AV383" s="74"/>
      <c r="AW383" s="74"/>
      <c r="AX383" s="74"/>
      <c r="AY383" s="74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74"/>
      <c r="BL383" s="74"/>
      <c r="BM383" s="74"/>
      <c r="BN383" s="74"/>
      <c r="BO383" s="74"/>
      <c r="BP383" s="74"/>
      <c r="BQ383" s="74"/>
      <c r="BR383" s="74"/>
      <c r="BS383" s="74"/>
      <c r="BT383" s="74"/>
      <c r="BU383" s="74"/>
      <c r="BV383" s="74"/>
      <c r="BW383" s="74"/>
      <c r="BX383" s="74"/>
      <c r="BY383" s="74"/>
      <c r="BZ383" s="74"/>
      <c r="CA383" s="74"/>
      <c r="CB383" s="74"/>
      <c r="CC383" s="75"/>
    </row>
    <row r="384" spans="2:81">
      <c r="B384" s="6"/>
      <c r="S384" s="8" t="s">
        <v>176</v>
      </c>
      <c r="CC384" s="7"/>
    </row>
    <row r="385" spans="2:81">
      <c r="B385" s="6"/>
      <c r="CC385" s="7"/>
    </row>
    <row r="386" spans="2:81">
      <c r="B386" s="6"/>
      <c r="O386" s="67" t="s">
        <v>171</v>
      </c>
      <c r="P386" s="67"/>
      <c r="Q386" s="67"/>
      <c r="R386" s="67"/>
      <c r="S386" s="67"/>
      <c r="T386" s="67"/>
      <c r="AK386" s="1" t="s">
        <v>290</v>
      </c>
      <c r="CC386" s="7"/>
    </row>
    <row r="387" spans="2:81">
      <c r="B387" s="6"/>
      <c r="CC387" s="7"/>
    </row>
    <row r="388" spans="2:81">
      <c r="B388" s="6"/>
      <c r="AA388" s="1" t="s">
        <v>209</v>
      </c>
      <c r="AC388" s="82">
        <v>30</v>
      </c>
      <c r="AD388" s="82"/>
      <c r="AE388" s="1" t="s">
        <v>187</v>
      </c>
      <c r="CC388" s="7"/>
    </row>
    <row r="389" spans="2:81">
      <c r="B389" s="6"/>
      <c r="CC389" s="7"/>
    </row>
    <row r="390" spans="2:81">
      <c r="B390" s="6"/>
      <c r="C390" s="71">
        <f>INDEX($CI$24:$CI$138,MATCH(O386,$CG$24:$CG$138,0),0)</f>
        <v>600</v>
      </c>
      <c r="AW390" s="23" t="s">
        <v>266</v>
      </c>
      <c r="CC390" s="7"/>
    </row>
    <row r="391" spans="2:81">
      <c r="B391" s="6"/>
      <c r="C391" s="71"/>
      <c r="AM391" s="1" t="s">
        <v>199</v>
      </c>
      <c r="AN391" s="66">
        <f>+Q402</f>
        <v>62.5</v>
      </c>
      <c r="AO391" s="66"/>
      <c r="AP391" s="66"/>
      <c r="AQ391" s="1" t="s">
        <v>191</v>
      </c>
      <c r="AW391" s="11" t="s">
        <v>265</v>
      </c>
      <c r="CC391" s="7"/>
    </row>
    <row r="392" spans="2:81">
      <c r="B392" s="6"/>
      <c r="C392" s="71"/>
      <c r="J392" s="66">
        <f>INDEX($CK$24:$CK$138,MATCH(O386,$CG$24:$CG$138,0),0)</f>
        <v>12</v>
      </c>
      <c r="K392" s="66"/>
      <c r="O392" s="1" t="s">
        <v>199</v>
      </c>
      <c r="P392" s="66">
        <f>+Q402</f>
        <v>62.5</v>
      </c>
      <c r="Q392" s="66"/>
      <c r="R392" s="66"/>
      <c r="S392" s="1" t="s">
        <v>191</v>
      </c>
      <c r="AW392" s="11" t="s">
        <v>263</v>
      </c>
      <c r="CC392" s="7"/>
    </row>
    <row r="393" spans="2:81">
      <c r="B393" s="6"/>
      <c r="Y393" s="1" t="s">
        <v>13</v>
      </c>
      <c r="AW393" s="11" t="s">
        <v>264</v>
      </c>
      <c r="CC393" s="7"/>
    </row>
    <row r="394" spans="2:81">
      <c r="B394" s="6"/>
      <c r="CC394" s="7"/>
    </row>
    <row r="395" spans="2:81">
      <c r="B395" s="6"/>
      <c r="K395" s="66">
        <f>INDEX($CL$24:$CL$138,MATCH(O386,$CG$24:$CG$138,0),0)</f>
        <v>19</v>
      </c>
      <c r="L395" s="66"/>
      <c r="S395" s="1" t="s">
        <v>8</v>
      </c>
      <c r="U395" s="66">
        <f>+Q403</f>
        <v>75</v>
      </c>
      <c r="V395" s="66"/>
      <c r="W395" s="1" t="s">
        <v>0</v>
      </c>
      <c r="AH395" s="1" t="s">
        <v>11</v>
      </c>
      <c r="AJ395" s="66">
        <f>+Q403</f>
        <v>75</v>
      </c>
      <c r="AK395" s="66"/>
      <c r="AL395" s="1" t="s">
        <v>0</v>
      </c>
      <c r="CC395" s="7"/>
    </row>
    <row r="396" spans="2:81">
      <c r="B396" s="6"/>
      <c r="AB396" s="1" t="s">
        <v>197</v>
      </c>
      <c r="AC396" s="82">
        <v>5</v>
      </c>
      <c r="AD396" s="82"/>
      <c r="AE396" s="1" t="s">
        <v>1</v>
      </c>
      <c r="CC396" s="7"/>
    </row>
    <row r="397" spans="2:81">
      <c r="B397" s="6"/>
      <c r="CC397" s="7"/>
    </row>
    <row r="398" spans="2:81">
      <c r="B398" s="6"/>
      <c r="I398" s="66">
        <f>INDEX($CJ$24:$CJ$138,MATCH(O386,$CG$24:$CG$138,0),0)</f>
        <v>220</v>
      </c>
      <c r="J398" s="66"/>
      <c r="CC398" s="7"/>
    </row>
    <row r="399" spans="2:81">
      <c r="B399" s="6"/>
      <c r="X399" s="10" t="s">
        <v>36</v>
      </c>
      <c r="Z399" s="66">
        <f>INDEX($CM$24:$CM$138,MATCH(O386,$CG$24:$CG$138,0),0)</f>
        <v>92080</v>
      </c>
      <c r="AA399" s="66"/>
      <c r="AB399" s="66"/>
      <c r="AC399" s="66"/>
      <c r="AD399" s="1" t="s">
        <v>37</v>
      </c>
      <c r="AG399" s="1" t="s">
        <v>175</v>
      </c>
      <c r="CC399" s="7"/>
    </row>
    <row r="400" spans="2:81">
      <c r="B400" s="6"/>
      <c r="X400" s="1" t="s">
        <v>38</v>
      </c>
      <c r="Z400" s="67">
        <v>200000</v>
      </c>
      <c r="AA400" s="67"/>
      <c r="AB400" s="67"/>
      <c r="AC400" s="67"/>
      <c r="AD400" s="1" t="s">
        <v>39</v>
      </c>
      <c r="AG400" s="1" t="s">
        <v>302</v>
      </c>
      <c r="CC400" s="7"/>
    </row>
    <row r="401" spans="2:81">
      <c r="B401" s="6"/>
      <c r="C401" s="23" t="s">
        <v>221</v>
      </c>
      <c r="CC401" s="7"/>
    </row>
    <row r="402" spans="2:81">
      <c r="B402" s="6"/>
      <c r="C402" s="1" t="s">
        <v>210</v>
      </c>
      <c r="H402" s="66">
        <f>+AC388</f>
        <v>30</v>
      </c>
      <c r="I402" s="66"/>
      <c r="J402" s="9" t="s">
        <v>5</v>
      </c>
      <c r="K402" s="66">
        <f>+AC396</f>
        <v>5</v>
      </c>
      <c r="L402" s="66"/>
      <c r="M402" s="1" t="s">
        <v>190</v>
      </c>
      <c r="N402" s="66">
        <v>12</v>
      </c>
      <c r="O402" s="66"/>
      <c r="P402" s="9" t="s">
        <v>7</v>
      </c>
      <c r="Q402" s="66">
        <f>+H402*K402^2/N402</f>
        <v>62.5</v>
      </c>
      <c r="R402" s="66"/>
      <c r="S402" s="66"/>
      <c r="T402" s="1" t="s">
        <v>191</v>
      </c>
      <c r="CC402" s="7"/>
    </row>
    <row r="403" spans="2:81">
      <c r="B403" s="6"/>
      <c r="C403" s="1" t="s">
        <v>218</v>
      </c>
      <c r="I403" s="66">
        <f>+AC388</f>
        <v>30</v>
      </c>
      <c r="J403" s="66"/>
      <c r="K403" s="9" t="s">
        <v>5</v>
      </c>
      <c r="L403" s="66">
        <f>+AC396</f>
        <v>5</v>
      </c>
      <c r="M403" s="66"/>
      <c r="N403" s="1" t="s">
        <v>173</v>
      </c>
      <c r="O403" s="1">
        <v>2</v>
      </c>
      <c r="P403" s="9" t="s">
        <v>7</v>
      </c>
      <c r="Q403" s="66">
        <f>+I403*L403/O403</f>
        <v>75</v>
      </c>
      <c r="R403" s="66"/>
      <c r="S403" s="66"/>
      <c r="T403" s="1" t="s">
        <v>0</v>
      </c>
      <c r="CC403" s="7"/>
    </row>
    <row r="404" spans="2:81">
      <c r="B404" s="6"/>
      <c r="C404" s="23" t="s">
        <v>222</v>
      </c>
      <c r="I404" s="9"/>
      <c r="J404" s="9"/>
      <c r="K404" s="9"/>
      <c r="L404" s="9"/>
      <c r="M404" s="9"/>
      <c r="P404" s="9"/>
      <c r="Q404" s="9"/>
      <c r="R404" s="9"/>
      <c r="S404" s="9"/>
      <c r="CC404" s="7"/>
    </row>
    <row r="405" spans="2:81">
      <c r="B405" s="6"/>
      <c r="C405" s="1" t="s">
        <v>27</v>
      </c>
      <c r="D405" s="67">
        <v>2.5</v>
      </c>
      <c r="E405" s="67"/>
      <c r="F405" s="1" t="s">
        <v>213</v>
      </c>
      <c r="H405" s="9"/>
      <c r="I405" s="9"/>
      <c r="J405" s="9"/>
      <c r="U405" s="8" t="str">
        <f>IF(D405&lt;=AC396,"","azalt.")</f>
        <v/>
      </c>
      <c r="CC405" s="7"/>
    </row>
    <row r="406" spans="2:81">
      <c r="B406" s="6"/>
      <c r="C406" s="1" t="s">
        <v>258</v>
      </c>
      <c r="O406" s="66">
        <f>-AC388</f>
        <v>-30</v>
      </c>
      <c r="P406" s="66"/>
      <c r="Q406" s="1" t="s">
        <v>14</v>
      </c>
      <c r="R406" s="66">
        <f>+AC396</f>
        <v>5</v>
      </c>
      <c r="S406" s="66"/>
      <c r="T406" s="1" t="s">
        <v>211</v>
      </c>
      <c r="U406" s="1">
        <v>6</v>
      </c>
      <c r="V406" s="9" t="s">
        <v>5</v>
      </c>
      <c r="W406" s="66">
        <f>+AC396</f>
        <v>5</v>
      </c>
      <c r="X406" s="66"/>
      <c r="Y406" s="9" t="s">
        <v>5</v>
      </c>
      <c r="Z406" s="66">
        <f>+D405</f>
        <v>2.5</v>
      </c>
      <c r="AA406" s="66"/>
      <c r="AB406" s="9" t="s">
        <v>9</v>
      </c>
      <c r="AC406" s="1">
        <v>6</v>
      </c>
      <c r="AD406" s="9" t="s">
        <v>5</v>
      </c>
      <c r="AE406" s="66">
        <f>+D405</f>
        <v>2.5</v>
      </c>
      <c r="AF406" s="66"/>
      <c r="AG406" s="1" t="s">
        <v>212</v>
      </c>
      <c r="AI406" s="66">
        <v>12</v>
      </c>
      <c r="AJ406" s="66"/>
      <c r="AK406" s="9" t="s">
        <v>7</v>
      </c>
      <c r="AL406" s="66">
        <f>O406*(R406^2-U406*W406*Z406+AC406*AE406^2)/AI406</f>
        <v>31.25</v>
      </c>
      <c r="AM406" s="66"/>
      <c r="AN406" s="66"/>
      <c r="AO406" s="1" t="s">
        <v>191</v>
      </c>
      <c r="CC406" s="7"/>
    </row>
    <row r="407" spans="2:81">
      <c r="B407" s="6"/>
      <c r="C407" s="1" t="s">
        <v>259</v>
      </c>
      <c r="J407" s="66">
        <f>+AC388</f>
        <v>30</v>
      </c>
      <c r="K407" s="66"/>
      <c r="L407" s="1" t="s">
        <v>14</v>
      </c>
      <c r="M407" s="66">
        <f>+AC396</f>
        <v>5</v>
      </c>
      <c r="N407" s="66"/>
      <c r="O407" s="1" t="s">
        <v>173</v>
      </c>
      <c r="P407" s="1">
        <v>2</v>
      </c>
      <c r="Q407" s="9" t="s">
        <v>6</v>
      </c>
      <c r="R407" s="66">
        <f>+D405</f>
        <v>2.5</v>
      </c>
      <c r="S407" s="66"/>
      <c r="T407" s="1" t="s">
        <v>201</v>
      </c>
      <c r="U407" s="66">
        <f>+J407*(M407/P407-R407)</f>
        <v>0</v>
      </c>
      <c r="V407" s="66"/>
      <c r="W407" s="66"/>
      <c r="X407" s="1" t="s">
        <v>0</v>
      </c>
      <c r="CC407" s="7"/>
    </row>
    <row r="408" spans="2:81">
      <c r="B408" s="6"/>
      <c r="C408" s="23" t="s">
        <v>253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AW408" s="9"/>
      <c r="AX408" s="9"/>
      <c r="AY408" s="9"/>
      <c r="AZ408" s="9"/>
      <c r="BA408" s="9"/>
      <c r="BB408" s="9"/>
      <c r="BD408" s="9"/>
      <c r="BE408" s="9"/>
      <c r="BF408" s="9"/>
      <c r="BG408" s="9"/>
      <c r="BH408" s="9"/>
      <c r="BI408" s="9"/>
      <c r="BJ408" s="9"/>
      <c r="BK408" s="9"/>
      <c r="BM408" s="9"/>
      <c r="BN408" s="9"/>
      <c r="BO408" s="9"/>
      <c r="BP408" s="9"/>
      <c r="BQ408" s="9"/>
      <c r="BT408" s="9"/>
      <c r="BU408" s="9"/>
      <c r="BV408" s="9"/>
      <c r="BW408" s="9"/>
      <c r="CC408" s="7"/>
    </row>
    <row r="409" spans="2:81">
      <c r="B409" s="6"/>
      <c r="C409" s="1" t="s">
        <v>27</v>
      </c>
      <c r="D409" s="66">
        <f>+AC396/2</f>
        <v>2.5</v>
      </c>
      <c r="E409" s="66"/>
      <c r="F409" s="66"/>
      <c r="G409" s="1" t="s">
        <v>262</v>
      </c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CC409" s="7"/>
    </row>
    <row r="410" spans="2:81">
      <c r="B410" s="6"/>
      <c r="C410" s="1" t="s">
        <v>12</v>
      </c>
      <c r="E410" s="66">
        <f>-AC388</f>
        <v>-30</v>
      </c>
      <c r="F410" s="66"/>
      <c r="G410" s="1" t="s">
        <v>14</v>
      </c>
      <c r="H410" s="66">
        <f>+AC396</f>
        <v>5</v>
      </c>
      <c r="I410" s="66"/>
      <c r="J410" s="9" t="s">
        <v>211</v>
      </c>
      <c r="K410" s="9">
        <v>6</v>
      </c>
      <c r="L410" s="1" t="s">
        <v>5</v>
      </c>
      <c r="M410" s="66">
        <f>+AC396</f>
        <v>5</v>
      </c>
      <c r="N410" s="66"/>
      <c r="O410" s="1" t="s">
        <v>5</v>
      </c>
      <c r="P410" s="66">
        <f>+D409</f>
        <v>2.5</v>
      </c>
      <c r="Q410" s="66"/>
      <c r="R410" s="9" t="s">
        <v>9</v>
      </c>
      <c r="S410" s="9">
        <v>6</v>
      </c>
      <c r="T410" s="1" t="s">
        <v>5</v>
      </c>
      <c r="U410" s="66">
        <f>+D409</f>
        <v>2.5</v>
      </c>
      <c r="V410" s="66"/>
      <c r="W410" s="11" t="s">
        <v>212</v>
      </c>
      <c r="Y410" s="66">
        <v>12</v>
      </c>
      <c r="Z410" s="66"/>
      <c r="AA410" s="9" t="s">
        <v>7</v>
      </c>
      <c r="AB410" s="66">
        <f>E410*(H410^2-K410*M410*P410+S410*U410^2)/Y410</f>
        <v>31.25</v>
      </c>
      <c r="AC410" s="66"/>
      <c r="AD410" s="66"/>
      <c r="AE410" s="1" t="s">
        <v>191</v>
      </c>
      <c r="CC410" s="7"/>
    </row>
    <row r="411" spans="2:81">
      <c r="B411" s="6"/>
      <c r="C411" s="1" t="s">
        <v>297</v>
      </c>
      <c r="E411" s="66">
        <f>MAX(AB410,P392)</f>
        <v>62.5</v>
      </c>
      <c r="F411" s="66"/>
      <c r="G411" s="66"/>
      <c r="H411" s="11" t="s">
        <v>191</v>
      </c>
      <c r="I411" s="9"/>
      <c r="J411" s="9"/>
      <c r="K411" s="9"/>
      <c r="M411" s="9"/>
      <c r="N411" s="9"/>
      <c r="P411" s="9"/>
      <c r="Q411" s="9"/>
      <c r="R411" s="9"/>
      <c r="S411" s="9"/>
      <c r="U411" s="9"/>
      <c r="V411" s="9"/>
      <c r="W411" s="11"/>
      <c r="Y411" s="9"/>
      <c r="Z411" s="9"/>
      <c r="AA411" s="9"/>
      <c r="AB411" s="9"/>
      <c r="AC411" s="9"/>
      <c r="AD411" s="9"/>
      <c r="CC411" s="7"/>
    </row>
    <row r="412" spans="2:81">
      <c r="B412" s="6"/>
      <c r="C412" s="1" t="s">
        <v>247</v>
      </c>
      <c r="E412" s="66">
        <f>+AC396/2</f>
        <v>2.5</v>
      </c>
      <c r="F412" s="66"/>
      <c r="G412" s="66"/>
      <c r="H412" s="1" t="s">
        <v>252</v>
      </c>
      <c r="J412" s="9"/>
      <c r="M412" s="9"/>
      <c r="N412" s="21"/>
      <c r="U412" s="9"/>
      <c r="V412" s="9"/>
      <c r="W412" s="9"/>
      <c r="CC412" s="7"/>
    </row>
    <row r="413" spans="2:81">
      <c r="B413" s="6"/>
      <c r="C413" s="1" t="s">
        <v>261</v>
      </c>
      <c r="E413" s="66">
        <f>+E410</f>
        <v>-30</v>
      </c>
      <c r="F413" s="66"/>
      <c r="G413" s="1" t="s">
        <v>14</v>
      </c>
      <c r="H413" s="66">
        <f>+H410</f>
        <v>5</v>
      </c>
      <c r="I413" s="66"/>
      <c r="J413" s="9" t="s">
        <v>211</v>
      </c>
      <c r="K413" s="9">
        <v>6</v>
      </c>
      <c r="L413" s="1" t="s">
        <v>5</v>
      </c>
      <c r="M413" s="66">
        <f>+M410</f>
        <v>5</v>
      </c>
      <c r="N413" s="66"/>
      <c r="O413" s="1" t="s">
        <v>5</v>
      </c>
      <c r="P413" s="66">
        <f>+E412</f>
        <v>2.5</v>
      </c>
      <c r="Q413" s="66"/>
      <c r="R413" s="9" t="s">
        <v>9</v>
      </c>
      <c r="S413" s="9">
        <v>6</v>
      </c>
      <c r="T413" s="1" t="s">
        <v>5</v>
      </c>
      <c r="U413" s="66">
        <f>+E412</f>
        <v>2.5</v>
      </c>
      <c r="V413" s="66"/>
      <c r="W413" s="11" t="s">
        <v>212</v>
      </c>
      <c r="Y413" s="66">
        <v>12</v>
      </c>
      <c r="Z413" s="66"/>
      <c r="AA413" s="9" t="s">
        <v>7</v>
      </c>
      <c r="AB413" s="66">
        <f>E413*(H413^2-K413*M413*P413+S413*U413^2)/Y413</f>
        <v>31.25</v>
      </c>
      <c r="AC413" s="66"/>
      <c r="AD413" s="66"/>
      <c r="AE413" s="1" t="s">
        <v>191</v>
      </c>
      <c r="CC413" s="7"/>
    </row>
    <row r="414" spans="2:81">
      <c r="B414" s="6"/>
      <c r="C414" s="1" t="s">
        <v>248</v>
      </c>
      <c r="E414" s="66">
        <f>+AC396/4</f>
        <v>1.25</v>
      </c>
      <c r="F414" s="66"/>
      <c r="G414" s="66"/>
      <c r="H414" s="1" t="s">
        <v>252</v>
      </c>
      <c r="I414" s="9"/>
      <c r="J414" s="9"/>
      <c r="M414" s="9"/>
      <c r="N414" s="21"/>
      <c r="P414" s="9"/>
      <c r="Q414" s="9"/>
      <c r="U414" s="9"/>
      <c r="V414" s="9"/>
      <c r="W414" s="9"/>
      <c r="CC414" s="7"/>
    </row>
    <row r="415" spans="2:81">
      <c r="B415" s="6"/>
      <c r="C415" s="1" t="s">
        <v>249</v>
      </c>
      <c r="E415" s="66">
        <f>+E413</f>
        <v>-30</v>
      </c>
      <c r="F415" s="66"/>
      <c r="G415" s="1" t="s">
        <v>14</v>
      </c>
      <c r="H415" s="66">
        <f>+H413</f>
        <v>5</v>
      </c>
      <c r="I415" s="66"/>
      <c r="J415" s="9" t="s">
        <v>211</v>
      </c>
      <c r="K415" s="9">
        <v>6</v>
      </c>
      <c r="L415" s="1" t="s">
        <v>5</v>
      </c>
      <c r="M415" s="66">
        <f>+M413</f>
        <v>5</v>
      </c>
      <c r="N415" s="66"/>
      <c r="O415" s="1" t="s">
        <v>5</v>
      </c>
      <c r="P415" s="66">
        <f>+E414</f>
        <v>1.25</v>
      </c>
      <c r="Q415" s="66"/>
      <c r="R415" s="9" t="s">
        <v>9</v>
      </c>
      <c r="S415" s="9">
        <v>6</v>
      </c>
      <c r="T415" s="1" t="s">
        <v>5</v>
      </c>
      <c r="U415" s="66">
        <f>+E414</f>
        <v>1.25</v>
      </c>
      <c r="V415" s="66"/>
      <c r="W415" s="11" t="s">
        <v>212</v>
      </c>
      <c r="Y415" s="66">
        <v>12</v>
      </c>
      <c r="Z415" s="66"/>
      <c r="AA415" s="9" t="s">
        <v>7</v>
      </c>
      <c r="AB415" s="66">
        <f>E415*(H415^2-K415*M415*P415+S415*U415^2)/Y415</f>
        <v>7.8125</v>
      </c>
      <c r="AC415" s="66"/>
      <c r="AD415" s="66"/>
      <c r="AE415" s="1" t="s">
        <v>191</v>
      </c>
      <c r="CC415" s="7"/>
    </row>
    <row r="416" spans="2:81">
      <c r="B416" s="6"/>
      <c r="C416" s="1" t="s">
        <v>250</v>
      </c>
      <c r="F416" s="66">
        <f>3*AC396/4</f>
        <v>3.75</v>
      </c>
      <c r="G416" s="66"/>
      <c r="H416" s="66"/>
      <c r="I416" s="1" t="s">
        <v>252</v>
      </c>
      <c r="J416" s="9"/>
      <c r="M416" s="9"/>
      <c r="N416" s="21"/>
      <c r="P416" s="9"/>
      <c r="Q416" s="9"/>
      <c r="CC416" s="7"/>
    </row>
    <row r="417" spans="2:81">
      <c r="B417" s="6"/>
      <c r="C417" s="1" t="s">
        <v>251</v>
      </c>
      <c r="E417" s="66">
        <f>+E415</f>
        <v>-30</v>
      </c>
      <c r="F417" s="66"/>
      <c r="G417" s="1" t="s">
        <v>14</v>
      </c>
      <c r="H417" s="66">
        <f>+H415</f>
        <v>5</v>
      </c>
      <c r="I417" s="66"/>
      <c r="J417" s="9" t="s">
        <v>211</v>
      </c>
      <c r="K417" s="9">
        <v>6</v>
      </c>
      <c r="L417" s="1" t="s">
        <v>5</v>
      </c>
      <c r="M417" s="66">
        <f>+M415</f>
        <v>5</v>
      </c>
      <c r="N417" s="66"/>
      <c r="O417" s="1" t="s">
        <v>5</v>
      </c>
      <c r="P417" s="66">
        <f>+F416</f>
        <v>3.75</v>
      </c>
      <c r="Q417" s="66"/>
      <c r="R417" s="9" t="s">
        <v>9</v>
      </c>
      <c r="S417" s="9">
        <v>6</v>
      </c>
      <c r="T417" s="1" t="s">
        <v>5</v>
      </c>
      <c r="U417" s="66">
        <f>+F416</f>
        <v>3.75</v>
      </c>
      <c r="V417" s="66"/>
      <c r="W417" s="11" t="s">
        <v>212</v>
      </c>
      <c r="Y417" s="66">
        <v>12</v>
      </c>
      <c r="Z417" s="66"/>
      <c r="AA417" s="9" t="s">
        <v>7</v>
      </c>
      <c r="AB417" s="66">
        <f>E417*(H417^2-K417*M417*P417+S417*U417^2)/Y417</f>
        <v>7.8125</v>
      </c>
      <c r="AC417" s="66"/>
      <c r="AD417" s="66"/>
      <c r="AE417" s="1" t="s">
        <v>191</v>
      </c>
      <c r="CC417" s="7"/>
    </row>
    <row r="418" spans="2:81">
      <c r="B418" s="6"/>
      <c r="C418" s="1" t="s">
        <v>300</v>
      </c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U418" s="9"/>
      <c r="V418" s="9"/>
      <c r="W418" s="9"/>
      <c r="X418" s="9"/>
      <c r="Y418" s="9"/>
      <c r="Z418" s="9"/>
      <c r="AA418" s="9"/>
      <c r="AB418" s="9"/>
      <c r="AD418" s="9"/>
      <c r="AE418" s="9"/>
      <c r="AF418" s="9"/>
      <c r="AG418" s="9"/>
      <c r="AH418" s="9"/>
      <c r="AI418" s="9"/>
      <c r="AJ418" s="9"/>
      <c r="AK418" s="9"/>
      <c r="AM418" s="9"/>
      <c r="AN418" s="9"/>
      <c r="AO418" s="9"/>
      <c r="AP418" s="9"/>
      <c r="AQ418" s="9"/>
      <c r="AR418" s="9"/>
      <c r="AS418" s="9"/>
      <c r="AT418" s="9"/>
      <c r="AV418" s="9"/>
      <c r="AW418" s="9"/>
      <c r="AX418" s="9"/>
      <c r="AY418" s="9"/>
      <c r="AZ418" s="9"/>
      <c r="BA418" s="9"/>
      <c r="BB418" s="9"/>
      <c r="BC418" s="9"/>
      <c r="BE418" s="9"/>
      <c r="BF418" s="9"/>
      <c r="BG418" s="9"/>
      <c r="BH418" s="9"/>
      <c r="BI418" s="9"/>
      <c r="BJ418" s="9"/>
      <c r="BK418" s="9"/>
      <c r="BL418" s="9"/>
      <c r="BN418" s="9"/>
      <c r="BO418" s="9"/>
      <c r="BP418" s="9"/>
      <c r="BQ418" s="9"/>
      <c r="BR418" s="9"/>
      <c r="BU418" s="9"/>
      <c r="BV418" s="9"/>
      <c r="BW418" s="9"/>
      <c r="BX418" s="9"/>
      <c r="CC418" s="7"/>
    </row>
    <row r="419" spans="2:81">
      <c r="B419" s="6"/>
      <c r="C419" s="1" t="s">
        <v>301</v>
      </c>
      <c r="E419" s="66">
        <v>12.5</v>
      </c>
      <c r="F419" s="66"/>
      <c r="G419" s="9" t="s">
        <v>5</v>
      </c>
      <c r="H419" s="66">
        <f>ABS(E411)</f>
        <v>62.5</v>
      </c>
      <c r="I419" s="66"/>
      <c r="J419" s="66"/>
      <c r="K419" s="9" t="s">
        <v>275</v>
      </c>
      <c r="L419" s="66">
        <v>2.5</v>
      </c>
      <c r="M419" s="66"/>
      <c r="N419" s="9" t="s">
        <v>5</v>
      </c>
      <c r="O419" s="66">
        <f>+H419</f>
        <v>62.5</v>
      </c>
      <c r="P419" s="66"/>
      <c r="Q419" s="66"/>
      <c r="R419" s="9" t="s">
        <v>9</v>
      </c>
      <c r="S419" s="9">
        <v>3</v>
      </c>
      <c r="T419" s="9" t="s">
        <v>5</v>
      </c>
      <c r="U419" s="66">
        <f>ABS(AB415)</f>
        <v>7.8125</v>
      </c>
      <c r="V419" s="66"/>
      <c r="W419" s="66"/>
      <c r="X419" s="9" t="s">
        <v>9</v>
      </c>
      <c r="Y419" s="9">
        <v>4</v>
      </c>
      <c r="Z419" s="9" t="s">
        <v>5</v>
      </c>
      <c r="AA419" s="66">
        <f>ABS(AB413)</f>
        <v>31.25</v>
      </c>
      <c r="AB419" s="66"/>
      <c r="AC419" s="66"/>
      <c r="AD419" s="9" t="s">
        <v>9</v>
      </c>
      <c r="AE419" s="9">
        <v>3</v>
      </c>
      <c r="AF419" s="9" t="s">
        <v>5</v>
      </c>
      <c r="AG419" s="66">
        <f>ABS(AB417)</f>
        <v>7.8125</v>
      </c>
      <c r="AH419" s="66"/>
      <c r="AI419" s="66"/>
      <c r="AJ419" s="9" t="s">
        <v>201</v>
      </c>
      <c r="AK419" s="66">
        <f>E419*H419/(L419*O419+S419*U419+Y419*AA419+AE419*AG419)</f>
        <v>2.3809523809523809</v>
      </c>
      <c r="AL419" s="66"/>
      <c r="AM419" s="66"/>
      <c r="AN419" s="9"/>
      <c r="AO419" s="9"/>
      <c r="AP419" s="9"/>
      <c r="AQ419" s="9"/>
      <c r="AR419" s="9"/>
      <c r="AS419" s="9"/>
      <c r="AT419" s="9"/>
      <c r="AV419" s="9"/>
      <c r="AW419" s="9"/>
      <c r="AX419" s="9"/>
      <c r="AY419" s="9"/>
      <c r="AZ419" s="9"/>
      <c r="BA419" s="9"/>
      <c r="BB419" s="9"/>
      <c r="BC419" s="9"/>
      <c r="BE419" s="9"/>
      <c r="BF419" s="9"/>
      <c r="BG419" s="9"/>
      <c r="BH419" s="9"/>
      <c r="BI419" s="9"/>
      <c r="BJ419" s="9"/>
      <c r="BK419" s="9"/>
      <c r="BL419" s="9"/>
      <c r="BN419" s="9"/>
      <c r="BO419" s="9"/>
      <c r="BP419" s="9"/>
      <c r="BQ419" s="9"/>
      <c r="BR419" s="9"/>
      <c r="BU419" s="9"/>
      <c r="BV419" s="9"/>
      <c r="BW419" s="9"/>
      <c r="BX419" s="9"/>
      <c r="CC419" s="7"/>
    </row>
    <row r="420" spans="2:81">
      <c r="B420" s="6"/>
      <c r="C420" s="23" t="s">
        <v>223</v>
      </c>
      <c r="J420" s="9"/>
      <c r="K420" s="9"/>
      <c r="M420" s="9"/>
      <c r="N420" s="9"/>
      <c r="Q420" s="9"/>
      <c r="R420" s="9"/>
      <c r="S420" s="9"/>
      <c r="U420" s="9"/>
      <c r="V420" s="9"/>
      <c r="W420" s="9"/>
      <c r="CC420" s="7"/>
    </row>
    <row r="421" spans="2:81">
      <c r="B421" s="6"/>
      <c r="C421" s="1" t="s">
        <v>27</v>
      </c>
      <c r="D421" s="67">
        <f>+AC396/2</f>
        <v>2.5</v>
      </c>
      <c r="E421" s="67"/>
      <c r="F421" s="1" t="s">
        <v>42</v>
      </c>
      <c r="N421" s="21"/>
      <c r="O421" s="8" t="str">
        <f>IF(D421&lt;=AC396,"","azalt.")</f>
        <v/>
      </c>
      <c r="CC421" s="7"/>
    </row>
    <row r="422" spans="2:81">
      <c r="B422" s="6"/>
      <c r="C422" s="1" t="s">
        <v>214</v>
      </c>
      <c r="CC422" s="7"/>
    </row>
    <row r="423" spans="2:81">
      <c r="B423" s="6"/>
      <c r="C423" s="1" t="s">
        <v>33</v>
      </c>
      <c r="E423" s="66">
        <f>+AC388</f>
        <v>30</v>
      </c>
      <c r="F423" s="66"/>
      <c r="G423" s="9" t="s">
        <v>5</v>
      </c>
      <c r="H423" s="66">
        <f>+AC396</f>
        <v>5</v>
      </c>
      <c r="I423" s="66"/>
      <c r="J423" s="66"/>
      <c r="K423" s="1" t="s">
        <v>215</v>
      </c>
      <c r="L423" s="66">
        <v>24</v>
      </c>
      <c r="M423" s="66"/>
      <c r="N423" s="9" t="s">
        <v>5</v>
      </c>
      <c r="O423" s="66">
        <f>+Z400</f>
        <v>200000</v>
      </c>
      <c r="P423" s="66"/>
      <c r="Q423" s="66"/>
      <c r="R423" s="66"/>
      <c r="S423" s="9" t="s">
        <v>5</v>
      </c>
      <c r="T423" s="66">
        <f>+Z399</f>
        <v>92080</v>
      </c>
      <c r="U423" s="66"/>
      <c r="V423" s="66"/>
      <c r="W423" s="66"/>
      <c r="X423" s="9" t="s">
        <v>5</v>
      </c>
      <c r="Y423" s="66">
        <v>10000</v>
      </c>
      <c r="Z423" s="66"/>
      <c r="AA423" s="66"/>
      <c r="AB423" s="1" t="s">
        <v>216</v>
      </c>
      <c r="AC423" s="66">
        <f>+D421</f>
        <v>2.5</v>
      </c>
      <c r="AD423" s="66"/>
      <c r="AE423" s="1" t="s">
        <v>190</v>
      </c>
      <c r="AF423" s="66">
        <f>+AC396</f>
        <v>5</v>
      </c>
      <c r="AG423" s="66"/>
      <c r="AH423" s="1" t="s">
        <v>211</v>
      </c>
      <c r="AI423" s="1">
        <v>2</v>
      </c>
      <c r="AJ423" s="9" t="s">
        <v>5</v>
      </c>
      <c r="AK423" s="66">
        <f>+D421</f>
        <v>2.5</v>
      </c>
      <c r="AL423" s="66"/>
      <c r="AM423" s="1" t="s">
        <v>30</v>
      </c>
      <c r="AN423" s="66">
        <f>+AC396</f>
        <v>5</v>
      </c>
      <c r="AO423" s="66"/>
      <c r="AP423" s="1" t="s">
        <v>217</v>
      </c>
      <c r="AQ423" s="66">
        <f>+D421</f>
        <v>2.5</v>
      </c>
      <c r="AR423" s="66"/>
      <c r="AS423" s="1" t="s">
        <v>186</v>
      </c>
      <c r="AT423" s="66">
        <f>+AC396</f>
        <v>5</v>
      </c>
      <c r="AU423" s="66"/>
      <c r="AV423" s="1" t="s">
        <v>219</v>
      </c>
      <c r="CC423" s="7"/>
    </row>
    <row r="424" spans="2:81">
      <c r="B424" s="6"/>
      <c r="C424" s="1" t="s">
        <v>33</v>
      </c>
      <c r="E424" s="66">
        <f>E423*H423^4/(L423*O423*T423*Y423)*(AC423^2/AF423^2-AI423*AK423^3/AN423^3+AQ423^4/AT423^4)*1000000000000</f>
        <v>0.26513968831450913</v>
      </c>
      <c r="F424" s="66"/>
      <c r="G424" s="66"/>
      <c r="H424" s="1" t="s">
        <v>41</v>
      </c>
      <c r="CC424" s="7"/>
    </row>
    <row r="425" spans="2:81">
      <c r="B425" s="6"/>
      <c r="C425" s="1" t="s">
        <v>172</v>
      </c>
      <c r="H425" s="66">
        <f>+AC396*1000</f>
        <v>5000</v>
      </c>
      <c r="I425" s="66"/>
      <c r="J425" s="66"/>
      <c r="K425" s="1" t="s">
        <v>173</v>
      </c>
      <c r="L425" s="66">
        <v>300</v>
      </c>
      <c r="M425" s="66"/>
      <c r="N425" s="9" t="s">
        <v>7</v>
      </c>
      <c r="O425" s="66">
        <f>+H425/L425</f>
        <v>16.666666666666668</v>
      </c>
      <c r="P425" s="66"/>
      <c r="Q425" s="66"/>
      <c r="R425" s="1" t="s">
        <v>41</v>
      </c>
      <c r="U425" s="1" t="s">
        <v>192</v>
      </c>
      <c r="CC425" s="7"/>
    </row>
    <row r="426" spans="2:81">
      <c r="B426" s="6"/>
      <c r="C426" s="1" t="s">
        <v>34</v>
      </c>
      <c r="D426" s="66">
        <f>+E424</f>
        <v>0.26513968831450913</v>
      </c>
      <c r="E426" s="66"/>
      <c r="F426" s="66"/>
      <c r="G426" s="1" t="s">
        <v>41</v>
      </c>
      <c r="I426" s="1" t="str">
        <f>IF(ABS(D426)&lt;ABS(M426),"&lt;","&gt;")</f>
        <v>&lt;</v>
      </c>
      <c r="J426" s="1" t="s">
        <v>174</v>
      </c>
      <c r="M426" s="66">
        <f>+O425</f>
        <v>16.666666666666668</v>
      </c>
      <c r="N426" s="66"/>
      <c r="O426" s="66"/>
      <c r="P426" s="1" t="s">
        <v>41</v>
      </c>
      <c r="R426" s="8" t="str">
        <f>IF(ABS(D426)&lt;ABS(M426),"uygun.","uygun değil.")</f>
        <v>uygun.</v>
      </c>
      <c r="CC426" s="7"/>
    </row>
    <row r="427" spans="2:81" ht="12" thickBot="1">
      <c r="B427" s="12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4"/>
    </row>
    <row r="428" spans="2:81" ht="12" thickBot="1"/>
    <row r="429" spans="2:81" ht="48" customHeight="1">
      <c r="B429" s="73" t="s">
        <v>256</v>
      </c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  <c r="AV429" s="74"/>
      <c r="AW429" s="74"/>
      <c r="AX429" s="74"/>
      <c r="AY429" s="74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74"/>
      <c r="BL429" s="74"/>
      <c r="BM429" s="74"/>
      <c r="BN429" s="74"/>
      <c r="BO429" s="74"/>
      <c r="BP429" s="74"/>
      <c r="BQ429" s="74"/>
      <c r="BR429" s="74"/>
      <c r="BS429" s="74"/>
      <c r="BT429" s="74"/>
      <c r="BU429" s="74"/>
      <c r="BV429" s="74"/>
      <c r="BW429" s="74"/>
      <c r="BX429" s="74"/>
      <c r="BY429" s="74"/>
      <c r="BZ429" s="74"/>
      <c r="CA429" s="74"/>
      <c r="CB429" s="74"/>
      <c r="CC429" s="75"/>
    </row>
    <row r="430" spans="2:81">
      <c r="B430" s="6"/>
      <c r="S430" s="8" t="s">
        <v>176</v>
      </c>
      <c r="CC430" s="7"/>
    </row>
    <row r="431" spans="2:81">
      <c r="B431" s="6"/>
      <c r="CC431" s="7"/>
    </row>
    <row r="432" spans="2:81">
      <c r="B432" s="6"/>
      <c r="O432" s="67" t="s">
        <v>171</v>
      </c>
      <c r="P432" s="67"/>
      <c r="Q432" s="67"/>
      <c r="R432" s="67"/>
      <c r="S432" s="67"/>
      <c r="T432" s="67"/>
      <c r="AI432" s="1" t="s">
        <v>290</v>
      </c>
      <c r="CC432" s="7"/>
    </row>
    <row r="433" spans="2:81">
      <c r="B433" s="6"/>
      <c r="BH433" s="23" t="s">
        <v>266</v>
      </c>
      <c r="CC433" s="7"/>
    </row>
    <row r="434" spans="2:81">
      <c r="B434" s="6"/>
      <c r="AA434" s="1" t="s">
        <v>209</v>
      </c>
      <c r="AC434" s="82">
        <v>30</v>
      </c>
      <c r="AD434" s="82"/>
      <c r="AE434" s="1" t="s">
        <v>187</v>
      </c>
      <c r="AP434" s="23" t="s">
        <v>341</v>
      </c>
      <c r="BH434" s="11" t="s">
        <v>265</v>
      </c>
      <c r="CC434" s="7"/>
    </row>
    <row r="435" spans="2:81">
      <c r="B435" s="6"/>
      <c r="AP435" s="1" t="s">
        <v>301</v>
      </c>
      <c r="AR435" s="66">
        <f>+AK486</f>
        <v>2.0833333333333335</v>
      </c>
      <c r="AS435" s="66"/>
      <c r="AT435" s="66"/>
      <c r="BH435" s="11" t="s">
        <v>263</v>
      </c>
      <c r="CC435" s="7"/>
    </row>
    <row r="436" spans="2:81">
      <c r="B436" s="6"/>
      <c r="C436" s="71">
        <f>INDEX($CI$24:$CI$138,MATCH(O432,$CG$24:$CG$138,0),0)</f>
        <v>600</v>
      </c>
      <c r="AP436" s="1" t="s">
        <v>297</v>
      </c>
      <c r="AR436" s="66">
        <f>+Y478</f>
        <v>303.75</v>
      </c>
      <c r="AS436" s="66"/>
      <c r="AT436" s="66"/>
      <c r="AU436" s="1" t="s">
        <v>191</v>
      </c>
      <c r="AW436" s="1" t="s">
        <v>329</v>
      </c>
      <c r="BH436" s="11" t="s">
        <v>264</v>
      </c>
      <c r="CC436" s="7"/>
    </row>
    <row r="437" spans="2:81">
      <c r="B437" s="6"/>
      <c r="C437" s="71"/>
      <c r="AP437" s="1" t="s">
        <v>330</v>
      </c>
      <c r="AS437" s="66">
        <f>MAX(ABS(AS438),ABS(AT438))</f>
        <v>168.75</v>
      </c>
      <c r="AT437" s="66"/>
      <c r="AU437" s="66"/>
      <c r="AV437" s="1" t="s">
        <v>0</v>
      </c>
      <c r="AX437" s="1" t="s">
        <v>331</v>
      </c>
      <c r="CC437" s="7"/>
    </row>
    <row r="438" spans="2:81">
      <c r="B438" s="6"/>
      <c r="C438" s="71"/>
      <c r="J438" s="66">
        <f>INDEX($CK$24:$CK$138,MATCH(O432,$CG$24:$CG$138,0),0)</f>
        <v>12</v>
      </c>
      <c r="K438" s="66"/>
      <c r="O438" s="1" t="s">
        <v>199</v>
      </c>
      <c r="P438" s="66">
        <f>+G469</f>
        <v>303.75</v>
      </c>
      <c r="Q438" s="66"/>
      <c r="R438" s="66"/>
      <c r="S438" s="1" t="s">
        <v>191</v>
      </c>
      <c r="AS438" s="40">
        <f>U441</f>
        <v>168.75</v>
      </c>
      <c r="AT438" s="40">
        <f>+AS438-AC434*AC442</f>
        <v>-101.25</v>
      </c>
      <c r="CC438" s="7"/>
    </row>
    <row r="439" spans="2:81">
      <c r="B439" s="6"/>
      <c r="Y439" s="1" t="s">
        <v>13</v>
      </c>
      <c r="CC439" s="7"/>
    </row>
    <row r="440" spans="2:81">
      <c r="B440" s="6"/>
      <c r="CC440" s="7"/>
    </row>
    <row r="441" spans="2:81">
      <c r="B441" s="6"/>
      <c r="K441" s="66">
        <f>INDEX($CL$24:$CL$138,MATCH(O432,$CG$24:$CG$138,0),0)</f>
        <v>19</v>
      </c>
      <c r="L441" s="66"/>
      <c r="S441" s="1" t="s">
        <v>8</v>
      </c>
      <c r="U441" s="66">
        <f>-G467</f>
        <v>168.75</v>
      </c>
      <c r="V441" s="66"/>
      <c r="W441" s="1" t="s">
        <v>0</v>
      </c>
      <c r="AH441" s="1" t="s">
        <v>11</v>
      </c>
      <c r="AJ441" s="66">
        <f>+Q468</f>
        <v>101.25</v>
      </c>
      <c r="AK441" s="66"/>
      <c r="AL441" s="1" t="s">
        <v>0</v>
      </c>
      <c r="AZ441" s="23" t="s">
        <v>317</v>
      </c>
      <c r="CC441" s="7"/>
    </row>
    <row r="442" spans="2:81">
      <c r="B442" s="6"/>
      <c r="AB442" s="1" t="s">
        <v>197</v>
      </c>
      <c r="AC442" s="82">
        <v>9</v>
      </c>
      <c r="AD442" s="82"/>
      <c r="AE442" s="1" t="s">
        <v>1</v>
      </c>
      <c r="AR442" s="1" t="s">
        <v>415</v>
      </c>
      <c r="BH442" s="1" t="s">
        <v>567</v>
      </c>
      <c r="CC442" s="7"/>
    </row>
    <row r="443" spans="2:81">
      <c r="B443" s="6"/>
      <c r="CC443" s="7"/>
    </row>
    <row r="444" spans="2:81">
      <c r="B444" s="6"/>
      <c r="I444" s="66">
        <f>INDEX($CJ$24:$CJ$138,MATCH(O432,$CG$24:$CG$138,0),0)</f>
        <v>220</v>
      </c>
      <c r="J444" s="66"/>
      <c r="CC444" s="7"/>
    </row>
    <row r="445" spans="2:81">
      <c r="B445" s="6"/>
      <c r="X445" s="10" t="s">
        <v>36</v>
      </c>
      <c r="Z445" s="66">
        <f>INDEX($CM$24:$CM$138,MATCH(O432,$CG$24:$CG$138,0),0)</f>
        <v>92080</v>
      </c>
      <c r="AA445" s="66"/>
      <c r="AB445" s="66"/>
      <c r="AC445" s="66"/>
      <c r="AD445" s="1" t="s">
        <v>37</v>
      </c>
      <c r="AG445" s="1" t="s">
        <v>175</v>
      </c>
      <c r="AR445" s="1" t="s">
        <v>410</v>
      </c>
      <c r="BH445" s="1" t="s">
        <v>401</v>
      </c>
      <c r="CC445" s="7"/>
    </row>
    <row r="446" spans="2:81">
      <c r="B446" s="6"/>
      <c r="C446" s="23" t="s">
        <v>223</v>
      </c>
      <c r="J446" s="9"/>
      <c r="K446" s="9"/>
      <c r="M446" s="9"/>
      <c r="N446" s="9"/>
      <c r="X446" s="1" t="s">
        <v>38</v>
      </c>
      <c r="Z446" s="67">
        <v>200000</v>
      </c>
      <c r="AA446" s="67"/>
      <c r="AB446" s="67"/>
      <c r="AC446" s="67"/>
      <c r="AD446" s="1" t="s">
        <v>39</v>
      </c>
      <c r="AG446" s="1" t="s">
        <v>302</v>
      </c>
      <c r="CC446" s="7"/>
    </row>
    <row r="447" spans="2:81">
      <c r="B447" s="6"/>
      <c r="C447" s="1" t="s">
        <v>563</v>
      </c>
      <c r="CC447" s="7"/>
    </row>
    <row r="448" spans="2:81">
      <c r="B448" s="6"/>
      <c r="C448" s="1" t="s">
        <v>564</v>
      </c>
      <c r="CC448" s="7"/>
    </row>
    <row r="449" spans="2:81">
      <c r="B449" s="6"/>
      <c r="C449" s="1" t="s">
        <v>565</v>
      </c>
      <c r="CC449" s="7"/>
    </row>
    <row r="450" spans="2:81">
      <c r="B450" s="6"/>
      <c r="C450" s="1" t="s">
        <v>566</v>
      </c>
      <c r="CC450" s="7"/>
    </row>
    <row r="451" spans="2:81">
      <c r="B451" s="6"/>
      <c r="C451" s="24" t="s">
        <v>318</v>
      </c>
      <c r="CC451" s="7"/>
    </row>
    <row r="452" spans="2:81">
      <c r="B452" s="6"/>
      <c r="C452" s="1" t="s">
        <v>410</v>
      </c>
      <c r="I452" s="1" t="s">
        <v>448</v>
      </c>
      <c r="CC452" s="7"/>
    </row>
    <row r="453" spans="2:81">
      <c r="B453" s="6"/>
      <c r="C453" s="1" t="s">
        <v>415</v>
      </c>
      <c r="I453" s="1" t="s">
        <v>449</v>
      </c>
      <c r="CC453" s="7"/>
    </row>
    <row r="454" spans="2:81">
      <c r="B454" s="6"/>
      <c r="C454" s="1" t="s">
        <v>401</v>
      </c>
      <c r="I454" s="66">
        <f>+AC434</f>
        <v>30</v>
      </c>
      <c r="J454" s="66"/>
      <c r="K454" s="9" t="s">
        <v>5</v>
      </c>
      <c r="L454" s="66">
        <f>+AC442</f>
        <v>9</v>
      </c>
      <c r="M454" s="66"/>
      <c r="N454" s="1" t="s">
        <v>186</v>
      </c>
      <c r="O454" s="66">
        <v>24</v>
      </c>
      <c r="P454" s="66"/>
      <c r="Q454" s="9" t="s">
        <v>9</v>
      </c>
      <c r="R454" s="1" t="s">
        <v>24</v>
      </c>
      <c r="S454" s="9" t="s">
        <v>5</v>
      </c>
      <c r="T454" s="66">
        <f>+AC442</f>
        <v>9</v>
      </c>
      <c r="U454" s="66"/>
      <c r="V454" s="1" t="s">
        <v>321</v>
      </c>
      <c r="W454" s="1">
        <v>6</v>
      </c>
      <c r="X454" s="9" t="s">
        <v>9</v>
      </c>
      <c r="Y454" s="1" t="s">
        <v>307</v>
      </c>
      <c r="Z454" s="9" t="s">
        <v>5</v>
      </c>
      <c r="AA454" s="66">
        <f>+T454</f>
        <v>9</v>
      </c>
      <c r="AB454" s="66"/>
      <c r="AC454" s="1" t="s">
        <v>254</v>
      </c>
      <c r="AD454" s="1">
        <v>2</v>
      </c>
      <c r="AE454" s="9" t="s">
        <v>7</v>
      </c>
      <c r="AF454" s="9">
        <v>0</v>
      </c>
      <c r="AI454" s="1" t="s">
        <v>24</v>
      </c>
      <c r="AJ454" s="9" t="s">
        <v>5</v>
      </c>
      <c r="AK454" s="66">
        <f>+T454^3/W454</f>
        <v>121.5</v>
      </c>
      <c r="AL454" s="66"/>
      <c r="AM454" s="9" t="s">
        <v>9</v>
      </c>
      <c r="AN454" s="1" t="s">
        <v>307</v>
      </c>
      <c r="AO454" s="9" t="s">
        <v>5</v>
      </c>
      <c r="AP454" s="66">
        <f>AA454^2/AD454</f>
        <v>40.5</v>
      </c>
      <c r="AQ454" s="66"/>
      <c r="AR454" s="66"/>
      <c r="AS454" s="9" t="s">
        <v>9</v>
      </c>
      <c r="AT454" s="66">
        <f>I454*L454^4/O454</f>
        <v>8201.25</v>
      </c>
      <c r="AU454" s="66"/>
      <c r="AV454" s="66"/>
      <c r="AW454" s="9" t="s">
        <v>7</v>
      </c>
      <c r="AX454" s="9">
        <v>0</v>
      </c>
      <c r="AZ454" s="1" t="s">
        <v>438</v>
      </c>
      <c r="CC454" s="7"/>
    </row>
    <row r="455" spans="2:81">
      <c r="B455" s="6"/>
      <c r="C455" s="1" t="s">
        <v>567</v>
      </c>
      <c r="I455" s="66">
        <f>+AC434</f>
        <v>30</v>
      </c>
      <c r="J455" s="66"/>
      <c r="K455" s="9" t="s">
        <v>5</v>
      </c>
      <c r="L455" s="66">
        <f>+AC442</f>
        <v>9</v>
      </c>
      <c r="M455" s="66"/>
      <c r="N455" s="1" t="s">
        <v>254</v>
      </c>
      <c r="O455" s="1">
        <v>2</v>
      </c>
      <c r="P455" s="9" t="s">
        <v>9</v>
      </c>
      <c r="Q455" s="1" t="s">
        <v>24</v>
      </c>
      <c r="R455" s="9" t="s">
        <v>5</v>
      </c>
      <c r="S455" s="66">
        <f>+L455</f>
        <v>9</v>
      </c>
      <c r="T455" s="66"/>
      <c r="U455" s="9" t="s">
        <v>9</v>
      </c>
      <c r="V455" s="1" t="s">
        <v>307</v>
      </c>
      <c r="W455" s="9" t="s">
        <v>7</v>
      </c>
      <c r="X455" s="9">
        <v>0</v>
      </c>
      <c r="AA455" s="1" t="s">
        <v>24</v>
      </c>
      <c r="AB455" s="9" t="s">
        <v>5</v>
      </c>
      <c r="AC455" s="66">
        <f>+S455</f>
        <v>9</v>
      </c>
      <c r="AD455" s="66"/>
      <c r="AE455" s="9" t="s">
        <v>9</v>
      </c>
      <c r="AF455" s="1" t="s">
        <v>307</v>
      </c>
      <c r="AG455" s="9" t="s">
        <v>9</v>
      </c>
      <c r="AH455" s="66">
        <f>+I455*L455^2/O455</f>
        <v>1215</v>
      </c>
      <c r="AI455" s="66"/>
      <c r="AJ455" s="66"/>
      <c r="AK455" s="9" t="s">
        <v>7</v>
      </c>
      <c r="AL455" s="9">
        <v>0</v>
      </c>
      <c r="AN455" s="1" t="s">
        <v>439</v>
      </c>
      <c r="CC455" s="7"/>
    </row>
    <row r="456" spans="2:81">
      <c r="B456" s="6"/>
      <c r="C456" s="24" t="s">
        <v>417</v>
      </c>
      <c r="CC456" s="7"/>
    </row>
    <row r="457" spans="2:81">
      <c r="B457" s="6"/>
      <c r="C457" s="1" t="s">
        <v>32</v>
      </c>
      <c r="E457" s="66">
        <f>+O457</f>
        <v>-168.75</v>
      </c>
      <c r="F457" s="66"/>
      <c r="G457" s="66"/>
      <c r="I457" s="40">
        <f>+AK454</f>
        <v>121.5</v>
      </c>
      <c r="J457" s="40">
        <f>+AP454</f>
        <v>40.5</v>
      </c>
      <c r="K457" s="40">
        <f>-AT454</f>
        <v>-8201.25</v>
      </c>
      <c r="L457" s="40"/>
      <c r="M457" s="40" cm="1">
        <f t="array" ref="M457:N458">MINVERSE(I457:J458)</f>
        <v>-4.11522633744856E-3</v>
      </c>
      <c r="N457" s="40">
        <v>0.16666666666666666</v>
      </c>
      <c r="O457" s="40" cm="1">
        <f t="array" ref="O457:O458">MMULT(M457:N458,K457:K458)</f>
        <v>-168.75</v>
      </c>
      <c r="CC457" s="7"/>
    </row>
    <row r="458" spans="2:81">
      <c r="B458" s="6"/>
      <c r="C458" s="1" t="s">
        <v>392</v>
      </c>
      <c r="E458" s="66">
        <f>+O458</f>
        <v>303.75</v>
      </c>
      <c r="F458" s="66"/>
      <c r="G458" s="66"/>
      <c r="I458" s="40">
        <f>+AC455</f>
        <v>9</v>
      </c>
      <c r="J458" s="40">
        <v>1</v>
      </c>
      <c r="K458" s="40">
        <f>-AH455</f>
        <v>-1215</v>
      </c>
      <c r="L458" s="40"/>
      <c r="M458" s="40">
        <v>3.7037037037037035E-2</v>
      </c>
      <c r="N458" s="40">
        <v>-0.5</v>
      </c>
      <c r="O458" s="40">
        <v>303.75</v>
      </c>
      <c r="CC458" s="7"/>
    </row>
    <row r="459" spans="2:81">
      <c r="B459" s="6"/>
      <c r="C459" s="1" t="s">
        <v>568</v>
      </c>
      <c r="CC459" s="7"/>
    </row>
    <row r="460" spans="2:81">
      <c r="B460" s="6"/>
      <c r="C460" s="1" t="s">
        <v>35</v>
      </c>
      <c r="E460" s="66">
        <f>+AC434</f>
        <v>30</v>
      </c>
      <c r="F460" s="66"/>
      <c r="G460" s="9" t="s">
        <v>5</v>
      </c>
      <c r="H460" s="1" t="s">
        <v>185</v>
      </c>
      <c r="I460" s="1" t="s">
        <v>173</v>
      </c>
      <c r="J460" s="66">
        <v>24</v>
      </c>
      <c r="K460" s="66"/>
      <c r="L460" s="9" t="s">
        <v>9</v>
      </c>
      <c r="M460" s="66">
        <f>+E457</f>
        <v>-168.75</v>
      </c>
      <c r="N460" s="66"/>
      <c r="O460" s="66"/>
      <c r="P460" s="9" t="s">
        <v>5</v>
      </c>
      <c r="Q460" s="1" t="s">
        <v>184</v>
      </c>
      <c r="R460" s="1" t="s">
        <v>173</v>
      </c>
      <c r="S460" s="1">
        <v>6</v>
      </c>
      <c r="T460" s="9" t="s">
        <v>9</v>
      </c>
      <c r="U460" s="66">
        <f>+E458</f>
        <v>303.75</v>
      </c>
      <c r="V460" s="66"/>
      <c r="W460" s="66"/>
      <c r="X460" s="9" t="s">
        <v>5</v>
      </c>
      <c r="Y460" s="1" t="s">
        <v>183</v>
      </c>
      <c r="Z460" s="1" t="s">
        <v>173</v>
      </c>
      <c r="AA460" s="1">
        <v>2</v>
      </c>
      <c r="AB460" s="1" t="s">
        <v>322</v>
      </c>
      <c r="CC460" s="7"/>
    </row>
    <row r="461" spans="2:81">
      <c r="B461" s="6"/>
      <c r="C461" s="1" t="s">
        <v>27</v>
      </c>
      <c r="D461" s="67">
        <v>5.625</v>
      </c>
      <c r="E461" s="67"/>
      <c r="F461" s="67"/>
      <c r="G461" s="1" t="s">
        <v>42</v>
      </c>
      <c r="P461" s="8" t="str">
        <f>IF(D461&lt;=AC442,"","azalt.")</f>
        <v/>
      </c>
      <c r="CC461" s="7"/>
    </row>
    <row r="462" spans="2:81">
      <c r="B462" s="6"/>
      <c r="C462" s="1" t="s">
        <v>35</v>
      </c>
      <c r="E462" s="66">
        <f>+E460</f>
        <v>30</v>
      </c>
      <c r="F462" s="66"/>
      <c r="G462" s="9" t="s">
        <v>5</v>
      </c>
      <c r="H462" s="66">
        <f>+D461</f>
        <v>5.625</v>
      </c>
      <c r="I462" s="66"/>
      <c r="J462" s="1" t="s">
        <v>509</v>
      </c>
      <c r="K462" s="66">
        <f>+J460</f>
        <v>24</v>
      </c>
      <c r="L462" s="66"/>
      <c r="M462" s="9" t="s">
        <v>9</v>
      </c>
      <c r="N462" s="66">
        <f>+M460</f>
        <v>-168.75</v>
      </c>
      <c r="O462" s="66"/>
      <c r="P462" s="66"/>
      <c r="Q462" s="9" t="s">
        <v>5</v>
      </c>
      <c r="R462" s="66">
        <f>+H462</f>
        <v>5.625</v>
      </c>
      <c r="S462" s="66"/>
      <c r="T462" s="1" t="s">
        <v>321</v>
      </c>
      <c r="U462" s="1">
        <v>6</v>
      </c>
      <c r="V462" s="9" t="s">
        <v>9</v>
      </c>
      <c r="W462" s="66">
        <f>+U460</f>
        <v>303.75</v>
      </c>
      <c r="X462" s="66"/>
      <c r="Y462" s="66"/>
      <c r="Z462" s="9" t="s">
        <v>5</v>
      </c>
      <c r="AA462" s="66">
        <f>+R462</f>
        <v>5.625</v>
      </c>
      <c r="AB462" s="66"/>
      <c r="AC462" s="1" t="s">
        <v>254</v>
      </c>
      <c r="AD462" s="1">
        <v>2</v>
      </c>
      <c r="AE462" s="1" t="s">
        <v>193</v>
      </c>
      <c r="AH462" s="66">
        <f>+Z446</f>
        <v>200000</v>
      </c>
      <c r="AI462" s="66"/>
      <c r="AJ462" s="66"/>
      <c r="AK462" s="9" t="s">
        <v>5</v>
      </c>
      <c r="AL462" s="66">
        <f>+Z445</f>
        <v>92080</v>
      </c>
      <c r="AM462" s="66"/>
      <c r="AN462" s="66"/>
      <c r="AO462" s="1" t="s">
        <v>40</v>
      </c>
      <c r="CC462" s="7"/>
    </row>
    <row r="463" spans="2:81">
      <c r="B463" s="6"/>
      <c r="C463" s="1" t="s">
        <v>33</v>
      </c>
      <c r="E463" s="66">
        <f>(E462*H462^4/K462+N462*R462^3/U462+W462*AA462^2/AD462)*100000000/(AH462*AL462)</f>
        <v>5.7080017805720908</v>
      </c>
      <c r="F463" s="66"/>
      <c r="G463" s="66"/>
      <c r="H463" s="1" t="s">
        <v>41</v>
      </c>
      <c r="CC463" s="7"/>
    </row>
    <row r="464" spans="2:81">
      <c r="B464" s="6"/>
      <c r="C464" s="1" t="s">
        <v>172</v>
      </c>
      <c r="H464" s="66">
        <f>AC442*1000</f>
        <v>9000</v>
      </c>
      <c r="I464" s="66"/>
      <c r="J464" s="66"/>
      <c r="K464" s="1" t="s">
        <v>173</v>
      </c>
      <c r="L464" s="66">
        <v>300</v>
      </c>
      <c r="M464" s="66"/>
      <c r="N464" s="9" t="s">
        <v>7</v>
      </c>
      <c r="O464" s="66">
        <f>+H464/L464</f>
        <v>30</v>
      </c>
      <c r="P464" s="66"/>
      <c r="Q464" s="66"/>
      <c r="R464" s="1" t="s">
        <v>41</v>
      </c>
      <c r="U464" s="1" t="s">
        <v>192</v>
      </c>
      <c r="CC464" s="7"/>
    </row>
    <row r="465" spans="2:81">
      <c r="B465" s="6"/>
      <c r="C465" s="1" t="s">
        <v>34</v>
      </c>
      <c r="D465" s="66">
        <f>+E463</f>
        <v>5.7080017805720908</v>
      </c>
      <c r="E465" s="66"/>
      <c r="F465" s="66"/>
      <c r="G465" s="1" t="s">
        <v>41</v>
      </c>
      <c r="I465" s="1" t="str">
        <f>IF(ABS(D465)&lt;ABS(M465),"&lt;","&gt;")</f>
        <v>&lt;</v>
      </c>
      <c r="J465" s="1" t="s">
        <v>174</v>
      </c>
      <c r="M465" s="66">
        <f>+O464</f>
        <v>30</v>
      </c>
      <c r="N465" s="66"/>
      <c r="O465" s="66"/>
      <c r="P465" s="1" t="s">
        <v>41</v>
      </c>
      <c r="R465" s="8" t="str">
        <f>IF(ABS(D465)&lt;ABS(M465),"uygun.","uygun değil.")</f>
        <v>uygun.</v>
      </c>
      <c r="CC465" s="7"/>
    </row>
    <row r="466" spans="2:81">
      <c r="B466" s="6"/>
      <c r="C466" s="23" t="s">
        <v>221</v>
      </c>
      <c r="CC466" s="7"/>
    </row>
    <row r="467" spans="2:81">
      <c r="B467" s="6"/>
      <c r="C467" s="1" t="s">
        <v>569</v>
      </c>
      <c r="G467" s="66">
        <f>+E457</f>
        <v>-168.75</v>
      </c>
      <c r="H467" s="66"/>
      <c r="I467" s="66"/>
      <c r="J467" s="11" t="s">
        <v>0</v>
      </c>
      <c r="L467" s="1" t="s">
        <v>474</v>
      </c>
      <c r="P467" s="9"/>
      <c r="CC467" s="7"/>
    </row>
    <row r="468" spans="2:81">
      <c r="B468" s="6"/>
      <c r="C468" s="1" t="s">
        <v>572</v>
      </c>
      <c r="G468" s="66">
        <f>+AC434</f>
        <v>30</v>
      </c>
      <c r="H468" s="66"/>
      <c r="I468" s="9" t="s">
        <v>5</v>
      </c>
      <c r="J468" s="66">
        <f>+AC442</f>
        <v>9</v>
      </c>
      <c r="K468" s="66"/>
      <c r="L468" s="9" t="s">
        <v>9</v>
      </c>
      <c r="M468" s="66">
        <f>+E457</f>
        <v>-168.75</v>
      </c>
      <c r="N468" s="66"/>
      <c r="O468" s="66"/>
      <c r="P468" s="9" t="s">
        <v>7</v>
      </c>
      <c r="Q468" s="66">
        <f>+G468*J468+M468</f>
        <v>101.25</v>
      </c>
      <c r="R468" s="66"/>
      <c r="S468" s="66"/>
      <c r="T468" s="1" t="s">
        <v>0</v>
      </c>
      <c r="V468" s="1" t="s">
        <v>477</v>
      </c>
      <c r="CC468" s="7"/>
    </row>
    <row r="469" spans="2:81">
      <c r="B469" s="6"/>
      <c r="C469" s="1" t="s">
        <v>570</v>
      </c>
      <c r="G469" s="66">
        <f>+E458</f>
        <v>303.75</v>
      </c>
      <c r="H469" s="66"/>
      <c r="I469" s="66"/>
      <c r="J469" s="11" t="s">
        <v>191</v>
      </c>
      <c r="L469" s="1" t="s">
        <v>571</v>
      </c>
      <c r="M469" s="9"/>
      <c r="Q469" s="9"/>
      <c r="R469" s="9"/>
      <c r="CC469" s="7"/>
    </row>
    <row r="470" spans="2:81">
      <c r="B470" s="6"/>
      <c r="C470" s="23" t="s">
        <v>222</v>
      </c>
      <c r="I470" s="9"/>
      <c r="J470" s="9"/>
      <c r="K470" s="9"/>
      <c r="L470" s="9"/>
      <c r="M470" s="9"/>
      <c r="P470" s="9"/>
      <c r="Q470" s="9"/>
      <c r="R470" s="9"/>
      <c r="S470" s="9"/>
      <c r="AG470" s="9"/>
      <c r="AJ470" s="9"/>
      <c r="AL470" s="9"/>
      <c r="CC470" s="7"/>
    </row>
    <row r="471" spans="2:81">
      <c r="B471" s="6"/>
      <c r="C471" s="1" t="s">
        <v>27</v>
      </c>
      <c r="D471" s="67">
        <v>1</v>
      </c>
      <c r="E471" s="67"/>
      <c r="F471" s="1" t="s">
        <v>213</v>
      </c>
      <c r="H471" s="9"/>
      <c r="I471" s="9"/>
      <c r="J471" s="9"/>
      <c r="U471" s="8" t="str">
        <f>IF(D471&lt;=AC442,"","azalt.")</f>
        <v/>
      </c>
      <c r="CC471" s="7"/>
    </row>
    <row r="472" spans="2:81">
      <c r="B472" s="6"/>
      <c r="C472" s="1" t="s">
        <v>12</v>
      </c>
      <c r="E472" s="66">
        <f>+AC434</f>
        <v>30</v>
      </c>
      <c r="F472" s="66"/>
      <c r="G472" s="9" t="s">
        <v>5</v>
      </c>
      <c r="H472" s="66">
        <f>+D471</f>
        <v>1</v>
      </c>
      <c r="I472" s="66"/>
      <c r="J472" s="1" t="s">
        <v>254</v>
      </c>
      <c r="K472" s="1">
        <v>2</v>
      </c>
      <c r="L472" s="9" t="s">
        <v>9</v>
      </c>
      <c r="M472" s="66">
        <f>+E457</f>
        <v>-168.75</v>
      </c>
      <c r="N472" s="66"/>
      <c r="O472" s="66"/>
      <c r="P472" s="9" t="s">
        <v>5</v>
      </c>
      <c r="Q472" s="66">
        <f>+D471</f>
        <v>1</v>
      </c>
      <c r="R472" s="66"/>
      <c r="S472" s="9" t="s">
        <v>9</v>
      </c>
      <c r="T472" s="66">
        <f>+E458</f>
        <v>303.75</v>
      </c>
      <c r="U472" s="66"/>
      <c r="V472" s="66"/>
      <c r="W472" s="9" t="s">
        <v>7</v>
      </c>
      <c r="X472" s="66">
        <f>+E472*H472^2/K472+M472*Q472+T472</f>
        <v>150</v>
      </c>
      <c r="Y472" s="66"/>
      <c r="Z472" s="66"/>
      <c r="AA472" s="1" t="s">
        <v>191</v>
      </c>
      <c r="AC472" s="9"/>
      <c r="AF472" s="9"/>
      <c r="AJ472" s="9"/>
      <c r="AK472" s="9"/>
      <c r="AN472" s="9"/>
      <c r="AR472" s="9"/>
      <c r="AS472" s="9"/>
      <c r="CC472" s="7"/>
    </row>
    <row r="473" spans="2:81">
      <c r="B473" s="6"/>
      <c r="C473" s="1" t="s">
        <v>220</v>
      </c>
      <c r="E473" s="66">
        <f>+AC434</f>
        <v>30</v>
      </c>
      <c r="F473" s="66"/>
      <c r="G473" s="9" t="s">
        <v>5</v>
      </c>
      <c r="H473" s="66">
        <f>+D471</f>
        <v>1</v>
      </c>
      <c r="I473" s="66"/>
      <c r="J473" s="9" t="s">
        <v>9</v>
      </c>
      <c r="K473" s="66">
        <f>+E457</f>
        <v>-168.75</v>
      </c>
      <c r="L473" s="66"/>
      <c r="M473" s="66"/>
      <c r="N473" s="9" t="s">
        <v>7</v>
      </c>
      <c r="O473" s="66">
        <f>+E473*H473+K473</f>
        <v>-138.75</v>
      </c>
      <c r="P473" s="66"/>
      <c r="Q473" s="66"/>
      <c r="R473" s="1" t="s">
        <v>0</v>
      </c>
      <c r="T473" s="9"/>
      <c r="AO473" s="9"/>
      <c r="BI473" s="66"/>
      <c r="BJ473" s="66"/>
      <c r="BK473" s="66"/>
      <c r="CC473" s="7"/>
    </row>
    <row r="474" spans="2:81">
      <c r="B474" s="6"/>
      <c r="C474" s="1" t="s">
        <v>27</v>
      </c>
      <c r="D474" s="66">
        <f>+AK479</f>
        <v>5.625</v>
      </c>
      <c r="E474" s="66"/>
      <c r="F474" s="66"/>
      <c r="G474" s="11" t="s">
        <v>573</v>
      </c>
      <c r="H474" s="9"/>
      <c r="I474" s="9"/>
      <c r="J474" s="9"/>
      <c r="K474" s="9"/>
      <c r="L474" s="9"/>
      <c r="M474" s="9"/>
      <c r="N474" s="9"/>
      <c r="O474" s="9"/>
      <c r="P474" s="9"/>
      <c r="Q474" s="9"/>
      <c r="T474" s="9"/>
      <c r="AO474" s="9"/>
      <c r="BI474" s="9"/>
      <c r="BJ474" s="9"/>
      <c r="BK474" s="9"/>
      <c r="CC474" s="7"/>
    </row>
    <row r="475" spans="2:81">
      <c r="B475" s="6"/>
      <c r="C475" s="1" t="s">
        <v>574</v>
      </c>
      <c r="E475" s="9"/>
      <c r="F475" s="66">
        <f>+E472</f>
        <v>30</v>
      </c>
      <c r="G475" s="66"/>
      <c r="H475" s="9" t="s">
        <v>5</v>
      </c>
      <c r="I475" s="66">
        <f>+D474</f>
        <v>5.625</v>
      </c>
      <c r="J475" s="66"/>
      <c r="K475" s="1" t="s">
        <v>254</v>
      </c>
      <c r="L475" s="1">
        <v>2</v>
      </c>
      <c r="M475" s="9" t="s">
        <v>9</v>
      </c>
      <c r="N475" s="66">
        <f>+M472</f>
        <v>-168.75</v>
      </c>
      <c r="O475" s="66"/>
      <c r="P475" s="66"/>
      <c r="Q475" s="9" t="s">
        <v>5</v>
      </c>
      <c r="R475" s="66">
        <f>+I475</f>
        <v>5.625</v>
      </c>
      <c r="S475" s="66"/>
      <c r="T475" s="9" t="s">
        <v>9</v>
      </c>
      <c r="U475" s="66">
        <f>+T472</f>
        <v>303.75</v>
      </c>
      <c r="V475" s="66"/>
      <c r="W475" s="66"/>
      <c r="X475" s="9" t="s">
        <v>7</v>
      </c>
      <c r="Y475" s="66">
        <f>+F475*I475^2/L475+N475*R475+U475</f>
        <v>-170.859375</v>
      </c>
      <c r="Z475" s="66"/>
      <c r="AA475" s="66"/>
      <c r="AB475" s="1" t="s">
        <v>191</v>
      </c>
      <c r="AO475" s="9"/>
      <c r="BI475" s="9"/>
      <c r="BJ475" s="9"/>
      <c r="BK475" s="9"/>
      <c r="CC475" s="7"/>
    </row>
    <row r="476" spans="2:81">
      <c r="B476" s="6"/>
      <c r="C476" s="23" t="s">
        <v>253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AW476" s="9"/>
      <c r="AX476" s="9"/>
      <c r="AY476" s="9"/>
      <c r="AZ476" s="9"/>
      <c r="BA476" s="9"/>
      <c r="BB476" s="9"/>
      <c r="BD476" s="9"/>
      <c r="BE476" s="9"/>
      <c r="BF476" s="9"/>
      <c r="BG476" s="9"/>
      <c r="BH476" s="9"/>
      <c r="BI476" s="9"/>
      <c r="BJ476" s="9"/>
      <c r="BK476" s="9"/>
      <c r="BM476" s="9"/>
      <c r="BN476" s="9"/>
      <c r="BO476" s="9"/>
      <c r="BP476" s="9"/>
      <c r="BQ476" s="9"/>
      <c r="BT476" s="9"/>
      <c r="BU476" s="9"/>
      <c r="BV476" s="9"/>
      <c r="BW476" s="9"/>
      <c r="CC476" s="7"/>
    </row>
    <row r="477" spans="2:81">
      <c r="B477" s="6"/>
      <c r="C477" s="1" t="s">
        <v>27</v>
      </c>
      <c r="D477" s="66">
        <f>+AQ478</f>
        <v>0</v>
      </c>
      <c r="E477" s="66"/>
      <c r="F477" s="66"/>
      <c r="G477" s="1" t="s">
        <v>257</v>
      </c>
      <c r="H477" s="9"/>
      <c r="I477" s="9"/>
      <c r="J477" s="9"/>
      <c r="M477" s="9"/>
      <c r="P477" s="42"/>
      <c r="Q477" s="2"/>
      <c r="R477" s="2"/>
      <c r="S477" s="2"/>
      <c r="X477" s="9"/>
      <c r="Y477" s="9"/>
      <c r="Z477" s="9"/>
      <c r="AA477" s="9"/>
      <c r="AB477" s="9"/>
      <c r="AC477" s="9"/>
      <c r="AO477" s="9"/>
      <c r="CC477" s="7"/>
    </row>
    <row r="478" spans="2:81">
      <c r="B478" s="6"/>
      <c r="C478" s="1" t="s">
        <v>260</v>
      </c>
      <c r="F478" s="66">
        <f>+E472</f>
        <v>30</v>
      </c>
      <c r="G478" s="66"/>
      <c r="H478" s="9" t="s">
        <v>5</v>
      </c>
      <c r="I478" s="66">
        <f>+D477</f>
        <v>0</v>
      </c>
      <c r="J478" s="66"/>
      <c r="K478" s="1" t="s">
        <v>254</v>
      </c>
      <c r="L478" s="1">
        <v>2</v>
      </c>
      <c r="M478" s="9" t="s">
        <v>9</v>
      </c>
      <c r="N478" s="66">
        <f>+M472</f>
        <v>-168.75</v>
      </c>
      <c r="O478" s="66"/>
      <c r="P478" s="66"/>
      <c r="Q478" s="9" t="s">
        <v>5</v>
      </c>
      <c r="R478" s="66">
        <f>+I478</f>
        <v>0</v>
      </c>
      <c r="S478" s="66"/>
      <c r="T478" s="9" t="s">
        <v>9</v>
      </c>
      <c r="U478" s="66">
        <f>+T472</f>
        <v>303.75</v>
      </c>
      <c r="V478" s="66"/>
      <c r="W478" s="66"/>
      <c r="X478" s="9" t="s">
        <v>7</v>
      </c>
      <c r="Y478" s="66">
        <f>+F478*I478^2/L478+N478*R478+U478</f>
        <v>303.75</v>
      </c>
      <c r="Z478" s="66"/>
      <c r="AA478" s="66"/>
      <c r="AB478" s="1" t="s">
        <v>191</v>
      </c>
      <c r="AE478" s="9"/>
      <c r="AH478" s="9"/>
      <c r="AK478" s="76">
        <v>0</v>
      </c>
      <c r="AL478" s="76"/>
      <c r="AM478" s="76">
        <f>ABS(P438)</f>
        <v>303.75</v>
      </c>
      <c r="AN478" s="76"/>
      <c r="AO478" s="76">
        <f>MAX(AM478:AN479)</f>
        <v>303.75</v>
      </c>
      <c r="AP478" s="76"/>
      <c r="AQ478" s="76" cm="1">
        <f t="array" ref="AQ478">INDEX(AK478:AK479,MATCH(AO478,AM478:AM479,0),0)</f>
        <v>0</v>
      </c>
      <c r="AR478" s="76"/>
      <c r="AS478" s="2"/>
      <c r="AT478" s="2"/>
      <c r="AU478" s="9"/>
      <c r="AV478" s="9"/>
      <c r="CC478" s="7"/>
    </row>
    <row r="479" spans="2:81">
      <c r="B479" s="6"/>
      <c r="C479" s="1" t="s">
        <v>247</v>
      </c>
      <c r="E479" s="66">
        <f>+AC442/2</f>
        <v>4.5</v>
      </c>
      <c r="F479" s="66"/>
      <c r="G479" s="66"/>
      <c r="H479" s="1" t="s">
        <v>252</v>
      </c>
      <c r="J479" s="9"/>
      <c r="M479" s="9"/>
      <c r="N479" s="21"/>
      <c r="S479" s="9"/>
      <c r="T479" s="9"/>
      <c r="AK479" s="76">
        <f>U441/AC434</f>
        <v>5.625</v>
      </c>
      <c r="AL479" s="76"/>
      <c r="AM479" s="76">
        <f>ABS(E472*AK479^2/K472+M472*AK479+T472)</f>
        <v>170.859375</v>
      </c>
      <c r="AN479" s="76"/>
      <c r="AO479" s="40"/>
      <c r="AP479" s="40"/>
      <c r="AQ479" s="40"/>
      <c r="AR479" s="40"/>
      <c r="AS479" s="2"/>
      <c r="AT479" s="2"/>
      <c r="AW479" s="9"/>
      <c r="AX479" s="9"/>
      <c r="AY479" s="9"/>
      <c r="AZ479" s="9"/>
      <c r="BA479" s="9"/>
      <c r="BB479" s="9"/>
      <c r="BD479" s="9"/>
      <c r="BE479" s="9"/>
      <c r="BF479" s="9"/>
      <c r="BG479" s="9"/>
      <c r="BH479" s="9"/>
      <c r="BI479" s="9"/>
      <c r="BJ479" s="9"/>
      <c r="BK479" s="9"/>
      <c r="BM479" s="9"/>
      <c r="BN479" s="9"/>
      <c r="BO479" s="9"/>
      <c r="BP479" s="9"/>
      <c r="BQ479" s="9"/>
      <c r="BT479" s="9"/>
      <c r="BU479" s="9"/>
      <c r="BV479" s="9"/>
      <c r="BW479" s="9"/>
      <c r="CC479" s="7"/>
    </row>
    <row r="480" spans="2:81">
      <c r="B480" s="6"/>
      <c r="C480" s="1" t="s">
        <v>261</v>
      </c>
      <c r="E480" s="66">
        <f>+F478</f>
        <v>30</v>
      </c>
      <c r="F480" s="66"/>
      <c r="G480" s="9" t="s">
        <v>5</v>
      </c>
      <c r="H480" s="66">
        <f>+E479</f>
        <v>4.5</v>
      </c>
      <c r="I480" s="66"/>
      <c r="J480" s="1" t="s">
        <v>254</v>
      </c>
      <c r="K480" s="1">
        <v>2</v>
      </c>
      <c r="L480" s="9" t="s">
        <v>9</v>
      </c>
      <c r="M480" s="66">
        <f>+N478</f>
        <v>-168.75</v>
      </c>
      <c r="N480" s="66"/>
      <c r="O480" s="66"/>
      <c r="P480" s="9" t="s">
        <v>5</v>
      </c>
      <c r="Q480" s="66">
        <f>+H480</f>
        <v>4.5</v>
      </c>
      <c r="R480" s="66"/>
      <c r="S480" s="9" t="s">
        <v>9</v>
      </c>
      <c r="T480" s="66">
        <f>+U478</f>
        <v>303.75</v>
      </c>
      <c r="U480" s="66"/>
      <c r="V480" s="66"/>
      <c r="W480" s="9" t="s">
        <v>7</v>
      </c>
      <c r="X480" s="66">
        <f>+E480*H480^2/K480+M480*Q480+T480</f>
        <v>-151.875</v>
      </c>
      <c r="Y480" s="66"/>
      <c r="Z480" s="66"/>
      <c r="AA480" s="1" t="s">
        <v>191</v>
      </c>
      <c r="AB480" s="9"/>
      <c r="AK480" s="40"/>
      <c r="AL480" s="40"/>
      <c r="AM480" s="40"/>
      <c r="AN480" s="40"/>
      <c r="AO480" s="40"/>
      <c r="AP480" s="40"/>
      <c r="AQ480" s="40"/>
      <c r="AR480" s="40"/>
      <c r="AS480" s="2"/>
      <c r="AT480" s="2"/>
      <c r="AW480" s="9"/>
      <c r="AX480" s="9"/>
      <c r="AY480" s="9"/>
      <c r="AZ480" s="9"/>
      <c r="BA480" s="9"/>
      <c r="BB480" s="9"/>
      <c r="BD480" s="9"/>
      <c r="BE480" s="9"/>
      <c r="BF480" s="9"/>
      <c r="BG480" s="9"/>
      <c r="BH480" s="9"/>
      <c r="BI480" s="9"/>
      <c r="BJ480" s="9"/>
      <c r="BK480" s="9"/>
      <c r="BM480" s="9"/>
      <c r="BN480" s="9"/>
      <c r="BO480" s="9"/>
      <c r="BP480" s="9"/>
      <c r="BQ480" s="9"/>
      <c r="BT480" s="9"/>
      <c r="BU480" s="9"/>
      <c r="BV480" s="9"/>
      <c r="BW480" s="9"/>
      <c r="CC480" s="7"/>
    </row>
    <row r="481" spans="2:81">
      <c r="B481" s="6"/>
      <c r="C481" s="1" t="s">
        <v>248</v>
      </c>
      <c r="E481" s="66">
        <f>+AC442/4</f>
        <v>2.25</v>
      </c>
      <c r="F481" s="66"/>
      <c r="G481" s="66"/>
      <c r="H481" s="1" t="s">
        <v>252</v>
      </c>
      <c r="I481" s="9"/>
      <c r="J481" s="9"/>
      <c r="M481" s="9"/>
      <c r="N481" s="21"/>
      <c r="P481" s="9"/>
      <c r="Q481" s="9"/>
      <c r="S481" s="9"/>
      <c r="T481" s="9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W481" s="9"/>
      <c r="AX481" s="9"/>
      <c r="AY481" s="9"/>
      <c r="AZ481" s="9"/>
      <c r="BA481" s="9"/>
      <c r="BB481" s="9"/>
      <c r="BD481" s="9"/>
      <c r="BE481" s="9"/>
      <c r="BF481" s="9"/>
      <c r="BG481" s="9"/>
      <c r="BH481" s="9"/>
      <c r="BI481" s="9"/>
      <c r="BJ481" s="9"/>
      <c r="BK481" s="9"/>
      <c r="BM481" s="9"/>
      <c r="BN481" s="9"/>
      <c r="BO481" s="9"/>
      <c r="BP481" s="9"/>
      <c r="BQ481" s="9"/>
      <c r="BT481" s="9"/>
      <c r="BU481" s="9"/>
      <c r="BV481" s="9"/>
      <c r="BW481" s="9"/>
      <c r="CC481" s="7"/>
    </row>
    <row r="482" spans="2:81">
      <c r="B482" s="6"/>
      <c r="C482" s="1" t="s">
        <v>249</v>
      </c>
      <c r="E482" s="66">
        <f>+E480</f>
        <v>30</v>
      </c>
      <c r="F482" s="66"/>
      <c r="G482" s="9" t="s">
        <v>5</v>
      </c>
      <c r="H482" s="66">
        <f>+E481</f>
        <v>2.25</v>
      </c>
      <c r="I482" s="66"/>
      <c r="J482" s="1" t="s">
        <v>254</v>
      </c>
      <c r="K482" s="1">
        <v>2</v>
      </c>
      <c r="L482" s="9" t="s">
        <v>9</v>
      </c>
      <c r="M482" s="66">
        <f>+M480</f>
        <v>-168.75</v>
      </c>
      <c r="N482" s="66"/>
      <c r="O482" s="66"/>
      <c r="P482" s="9" t="s">
        <v>5</v>
      </c>
      <c r="Q482" s="66">
        <f>+H482</f>
        <v>2.25</v>
      </c>
      <c r="R482" s="66"/>
      <c r="S482" s="9" t="s">
        <v>9</v>
      </c>
      <c r="T482" s="66">
        <f>+T480</f>
        <v>303.75</v>
      </c>
      <c r="U482" s="66"/>
      <c r="V482" s="66"/>
      <c r="W482" s="9" t="s">
        <v>7</v>
      </c>
      <c r="X482" s="66">
        <f>+E482*H482^2/K482+M482*Q482+T482</f>
        <v>0</v>
      </c>
      <c r="Y482" s="66"/>
      <c r="Z482" s="66"/>
      <c r="AA482" s="1" t="s">
        <v>191</v>
      </c>
      <c r="AB482" s="9"/>
      <c r="AW482" s="9"/>
      <c r="AX482" s="9"/>
      <c r="AY482" s="9"/>
      <c r="AZ482" s="9"/>
      <c r="BA482" s="9"/>
      <c r="BB482" s="9"/>
      <c r="BD482" s="9"/>
      <c r="BE482" s="9"/>
      <c r="BF482" s="9"/>
      <c r="BG482" s="9"/>
      <c r="BH482" s="9"/>
      <c r="BI482" s="9"/>
      <c r="BJ482" s="9"/>
      <c r="BK482" s="9"/>
      <c r="BM482" s="9"/>
      <c r="BN482" s="9"/>
      <c r="BO482" s="9"/>
      <c r="BP482" s="9"/>
      <c r="BQ482" s="9"/>
      <c r="BT482" s="9"/>
      <c r="BU482" s="9"/>
      <c r="BV482" s="9"/>
      <c r="BW482" s="9"/>
      <c r="CC482" s="7"/>
    </row>
    <row r="483" spans="2:81">
      <c r="B483" s="6"/>
      <c r="C483" s="1" t="s">
        <v>250</v>
      </c>
      <c r="F483" s="66">
        <f>3*AC442/4</f>
        <v>6.75</v>
      </c>
      <c r="G483" s="66"/>
      <c r="H483" s="66"/>
      <c r="I483" s="1" t="s">
        <v>252</v>
      </c>
      <c r="J483" s="9"/>
      <c r="M483" s="9"/>
      <c r="N483" s="21"/>
      <c r="P483" s="9"/>
      <c r="Q483" s="9"/>
      <c r="S483" s="9"/>
      <c r="T483" s="9"/>
      <c r="AW483" s="9"/>
      <c r="AX483" s="9"/>
      <c r="AY483" s="9"/>
      <c r="AZ483" s="9"/>
      <c r="BA483" s="9"/>
      <c r="BB483" s="9"/>
      <c r="BD483" s="9"/>
      <c r="BE483" s="9"/>
      <c r="BF483" s="9"/>
      <c r="BG483" s="9"/>
      <c r="BH483" s="9"/>
      <c r="BI483" s="9"/>
      <c r="BJ483" s="9"/>
      <c r="BK483" s="9"/>
      <c r="BM483" s="9"/>
      <c r="BN483" s="9"/>
      <c r="BO483" s="9"/>
      <c r="BP483" s="9"/>
      <c r="BQ483" s="9"/>
      <c r="BT483" s="9"/>
      <c r="BU483" s="9"/>
      <c r="BV483" s="9"/>
      <c r="BW483" s="9"/>
      <c r="CC483" s="7"/>
    </row>
    <row r="484" spans="2:81">
      <c r="B484" s="6"/>
      <c r="C484" s="1" t="s">
        <v>251</v>
      </c>
      <c r="E484" s="66">
        <f>+E482</f>
        <v>30</v>
      </c>
      <c r="F484" s="66"/>
      <c r="G484" s="9" t="s">
        <v>5</v>
      </c>
      <c r="H484" s="66">
        <f>+F483</f>
        <v>6.75</v>
      </c>
      <c r="I484" s="66"/>
      <c r="J484" s="1" t="s">
        <v>254</v>
      </c>
      <c r="K484" s="1">
        <v>2</v>
      </c>
      <c r="L484" s="9" t="s">
        <v>9</v>
      </c>
      <c r="M484" s="66">
        <f>+M482</f>
        <v>-168.75</v>
      </c>
      <c r="N484" s="66"/>
      <c r="O484" s="66"/>
      <c r="P484" s="9" t="s">
        <v>5</v>
      </c>
      <c r="Q484" s="66">
        <f>+H484</f>
        <v>6.75</v>
      </c>
      <c r="R484" s="66"/>
      <c r="S484" s="9" t="s">
        <v>9</v>
      </c>
      <c r="T484" s="66">
        <f>+T482</f>
        <v>303.75</v>
      </c>
      <c r="U484" s="66"/>
      <c r="V484" s="66"/>
      <c r="W484" s="9" t="s">
        <v>7</v>
      </c>
      <c r="X484" s="66">
        <f>+E484*H484^2/K484+M484*Q484+T484</f>
        <v>-151.875</v>
      </c>
      <c r="Y484" s="66"/>
      <c r="Z484" s="66"/>
      <c r="AA484" s="1" t="s">
        <v>191</v>
      </c>
      <c r="AB484" s="9"/>
      <c r="AW484" s="9"/>
      <c r="AX484" s="9"/>
      <c r="AY484" s="9"/>
      <c r="AZ484" s="9"/>
      <c r="BA484" s="9"/>
      <c r="BB484" s="9"/>
      <c r="BD484" s="9"/>
      <c r="BE484" s="9"/>
      <c r="BF484" s="9"/>
      <c r="BG484" s="9"/>
      <c r="BH484" s="9"/>
      <c r="BI484" s="9"/>
      <c r="BJ484" s="9"/>
      <c r="BK484" s="9"/>
      <c r="BM484" s="9"/>
      <c r="BN484" s="9"/>
      <c r="BO484" s="9"/>
      <c r="BP484" s="9"/>
      <c r="BQ484" s="9"/>
      <c r="BT484" s="9"/>
      <c r="BU484" s="9"/>
      <c r="BV484" s="9"/>
      <c r="BW484" s="9"/>
      <c r="CC484" s="7"/>
    </row>
    <row r="485" spans="2:81">
      <c r="B485" s="6"/>
      <c r="C485" s="1" t="s">
        <v>300</v>
      </c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U485" s="9"/>
      <c r="V485" s="9"/>
      <c r="W485" s="9"/>
      <c r="X485" s="9"/>
      <c r="Y485" s="9"/>
      <c r="Z485" s="9"/>
      <c r="AA485" s="9"/>
      <c r="AB485" s="9"/>
      <c r="AD485" s="9"/>
      <c r="AE485" s="9"/>
      <c r="AF485" s="9"/>
      <c r="AG485" s="9"/>
      <c r="AH485" s="9"/>
      <c r="AI485" s="9"/>
      <c r="AJ485" s="9"/>
      <c r="AK485" s="9"/>
      <c r="AM485" s="9"/>
      <c r="AN485" s="9"/>
      <c r="AO485" s="9"/>
      <c r="AP485" s="9"/>
      <c r="AQ485" s="9"/>
      <c r="AR485" s="9"/>
      <c r="AS485" s="9"/>
      <c r="AT485" s="9"/>
      <c r="AV485" s="9"/>
      <c r="AW485" s="9"/>
      <c r="AX485" s="9"/>
      <c r="AY485" s="9"/>
      <c r="AZ485" s="9"/>
      <c r="BA485" s="9"/>
      <c r="BB485" s="9"/>
      <c r="BC485" s="9"/>
      <c r="BE485" s="9"/>
      <c r="BF485" s="9"/>
      <c r="BG485" s="9"/>
      <c r="BH485" s="9"/>
      <c r="BI485" s="9"/>
      <c r="BJ485" s="9"/>
      <c r="BK485" s="9"/>
      <c r="BL485" s="9"/>
      <c r="BN485" s="9"/>
      <c r="BO485" s="9"/>
      <c r="BP485" s="9"/>
      <c r="BQ485" s="9"/>
      <c r="BR485" s="9"/>
      <c r="BU485" s="9"/>
      <c r="BV485" s="9"/>
      <c r="BW485" s="9"/>
      <c r="BX485" s="9"/>
      <c r="CC485" s="7"/>
    </row>
    <row r="486" spans="2:81">
      <c r="B486" s="6"/>
      <c r="C486" s="1" t="s">
        <v>301</v>
      </c>
      <c r="E486" s="66">
        <v>12.5</v>
      </c>
      <c r="F486" s="66"/>
      <c r="G486" s="9" t="s">
        <v>5</v>
      </c>
      <c r="H486" s="66">
        <f>ABS(Y478)</f>
        <v>303.75</v>
      </c>
      <c r="I486" s="66"/>
      <c r="J486" s="66"/>
      <c r="K486" s="9" t="s">
        <v>275</v>
      </c>
      <c r="L486" s="66">
        <v>2.5</v>
      </c>
      <c r="M486" s="66"/>
      <c r="N486" s="9" t="s">
        <v>5</v>
      </c>
      <c r="O486" s="66">
        <f>+H486</f>
        <v>303.75</v>
      </c>
      <c r="P486" s="66"/>
      <c r="Q486" s="66"/>
      <c r="R486" s="9" t="s">
        <v>9</v>
      </c>
      <c r="S486" s="9">
        <v>3</v>
      </c>
      <c r="T486" s="9" t="s">
        <v>5</v>
      </c>
      <c r="U486" s="66">
        <f>ABS(X482)</f>
        <v>0</v>
      </c>
      <c r="V486" s="66"/>
      <c r="W486" s="66"/>
      <c r="X486" s="9" t="s">
        <v>9</v>
      </c>
      <c r="Y486" s="9">
        <v>4</v>
      </c>
      <c r="Z486" s="9" t="s">
        <v>5</v>
      </c>
      <c r="AA486" s="66">
        <f>ABS(X480)</f>
        <v>151.875</v>
      </c>
      <c r="AB486" s="66"/>
      <c r="AC486" s="66"/>
      <c r="AD486" s="9" t="s">
        <v>9</v>
      </c>
      <c r="AE486" s="9">
        <v>3</v>
      </c>
      <c r="AF486" s="9" t="s">
        <v>5</v>
      </c>
      <c r="AG486" s="66">
        <f>ABS(X484)</f>
        <v>151.875</v>
      </c>
      <c r="AH486" s="66"/>
      <c r="AI486" s="66"/>
      <c r="AJ486" s="9" t="s">
        <v>201</v>
      </c>
      <c r="AK486" s="66">
        <f>E486*H486/(L486*O486+S486*U486+Y486*AA486+AE486*AG486)</f>
        <v>2.0833333333333335</v>
      </c>
      <c r="AL486" s="66"/>
      <c r="AM486" s="66"/>
      <c r="AN486" s="9"/>
      <c r="AO486" s="9"/>
      <c r="AP486" s="9"/>
      <c r="AQ486" s="9"/>
      <c r="AR486" s="9"/>
      <c r="AS486" s="9"/>
      <c r="AT486" s="9"/>
      <c r="AV486" s="9"/>
      <c r="AW486" s="9"/>
      <c r="AX486" s="9"/>
      <c r="AY486" s="9"/>
      <c r="AZ486" s="9"/>
      <c r="BA486" s="9"/>
      <c r="BB486" s="9"/>
      <c r="BC486" s="9"/>
      <c r="BE486" s="9"/>
      <c r="BF486" s="9"/>
      <c r="BG486" s="9"/>
      <c r="BH486" s="9"/>
      <c r="BI486" s="9"/>
      <c r="BJ486" s="9"/>
      <c r="BK486" s="9"/>
      <c r="BL486" s="9"/>
      <c r="BN486" s="9"/>
      <c r="BO486" s="9"/>
      <c r="BP486" s="9"/>
      <c r="BQ486" s="9"/>
      <c r="BR486" s="9"/>
      <c r="BU486" s="9"/>
      <c r="BV486" s="9"/>
      <c r="BW486" s="9"/>
      <c r="BX486" s="9"/>
      <c r="CC486" s="7"/>
    </row>
    <row r="487" spans="2:81" ht="12" thickBot="1">
      <c r="B487" s="12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4"/>
    </row>
    <row r="488" spans="2:81" ht="12" thickBot="1"/>
    <row r="489" spans="2:81" ht="48" customHeight="1">
      <c r="B489" s="73" t="s">
        <v>285</v>
      </c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  <c r="AL489" s="74"/>
      <c r="AM489" s="74"/>
      <c r="AN489" s="74"/>
      <c r="AO489" s="74"/>
      <c r="AP489" s="74"/>
      <c r="AQ489" s="74"/>
      <c r="AR489" s="74"/>
      <c r="AS489" s="74"/>
      <c r="AT489" s="74"/>
      <c r="AU489" s="74"/>
      <c r="AV489" s="74"/>
      <c r="AW489" s="74"/>
      <c r="AX489" s="74"/>
      <c r="AY489" s="74"/>
      <c r="AZ489" s="74"/>
      <c r="BA489" s="74"/>
      <c r="BB489" s="74"/>
      <c r="BC489" s="74"/>
      <c r="BD489" s="74"/>
      <c r="BE489" s="74"/>
      <c r="BF489" s="74"/>
      <c r="BG489" s="74"/>
      <c r="BH489" s="74"/>
      <c r="BI489" s="74"/>
      <c r="BJ489" s="74"/>
      <c r="BK489" s="74"/>
      <c r="BL489" s="74"/>
      <c r="BM489" s="74"/>
      <c r="BN489" s="74"/>
      <c r="BO489" s="74"/>
      <c r="BP489" s="74"/>
      <c r="BQ489" s="74"/>
      <c r="BR489" s="74"/>
      <c r="BS489" s="74"/>
      <c r="BT489" s="74"/>
      <c r="BU489" s="74"/>
      <c r="BV489" s="74"/>
      <c r="BW489" s="74"/>
      <c r="BX489" s="74"/>
      <c r="BY489" s="74"/>
      <c r="BZ489" s="74"/>
      <c r="CA489" s="74"/>
      <c r="CB489" s="74"/>
      <c r="CC489" s="75"/>
    </row>
    <row r="490" spans="2:81">
      <c r="B490" s="6"/>
      <c r="S490" s="8" t="s">
        <v>176</v>
      </c>
      <c r="CC490" s="7"/>
    </row>
    <row r="491" spans="2:81">
      <c r="B491" s="6"/>
      <c r="L491" s="67">
        <v>90</v>
      </c>
      <c r="M491" s="67"/>
      <c r="N491" s="1" t="s">
        <v>41</v>
      </c>
      <c r="AH491" s="1" t="s">
        <v>209</v>
      </c>
      <c r="AJ491" s="67">
        <v>12</v>
      </c>
      <c r="AK491" s="67"/>
      <c r="AL491" s="1" t="s">
        <v>187</v>
      </c>
      <c r="CC491" s="7"/>
    </row>
    <row r="492" spans="2:81">
      <c r="B492" s="6"/>
      <c r="R492" s="71" t="s">
        <v>41</v>
      </c>
      <c r="AU492" s="1" t="s">
        <v>290</v>
      </c>
      <c r="CC492" s="7"/>
    </row>
    <row r="493" spans="2:81">
      <c r="B493" s="6"/>
      <c r="K493" s="1" t="s">
        <v>170</v>
      </c>
      <c r="M493" s="66">
        <f>+J497</f>
        <v>15</v>
      </c>
      <c r="N493" s="66"/>
      <c r="R493" s="71"/>
      <c r="CC493" s="7"/>
    </row>
    <row r="494" spans="2:81">
      <c r="B494" s="6"/>
      <c r="R494" s="77">
        <v>22</v>
      </c>
      <c r="CC494" s="7"/>
    </row>
    <row r="495" spans="2:81">
      <c r="B495" s="6"/>
      <c r="R495" s="77"/>
      <c r="AE495" s="1" t="s">
        <v>13</v>
      </c>
      <c r="AY495" s="23" t="s">
        <v>266</v>
      </c>
      <c r="CC495" s="7"/>
    </row>
    <row r="496" spans="2:81">
      <c r="B496" s="6"/>
      <c r="R496" s="77"/>
      <c r="AY496" s="11" t="s">
        <v>265</v>
      </c>
      <c r="CC496" s="7"/>
    </row>
    <row r="497" spans="2:81">
      <c r="B497" s="6"/>
      <c r="J497" s="67">
        <v>15</v>
      </c>
      <c r="K497" s="67"/>
      <c r="L497" s="1" t="s">
        <v>41</v>
      </c>
      <c r="P497" s="71">
        <f>+J497</f>
        <v>15</v>
      </c>
      <c r="T497" s="71">
        <f>+F501/2</f>
        <v>200</v>
      </c>
      <c r="Z497" s="1" t="s">
        <v>2</v>
      </c>
      <c r="AA497" s="66">
        <f>+AK501</f>
        <v>42</v>
      </c>
      <c r="AB497" s="66"/>
      <c r="AC497" s="1" t="s">
        <v>0</v>
      </c>
      <c r="AN497" s="1" t="s">
        <v>3</v>
      </c>
      <c r="AO497" s="66">
        <f>+AK501</f>
        <v>42</v>
      </c>
      <c r="AP497" s="66"/>
      <c r="AQ497" s="1" t="s">
        <v>0</v>
      </c>
      <c r="AY497" s="11" t="s">
        <v>263</v>
      </c>
      <c r="CC497" s="7"/>
    </row>
    <row r="498" spans="2:81">
      <c r="B498" s="6"/>
      <c r="P498" s="71"/>
      <c r="T498" s="71"/>
      <c r="AG498" s="1" t="s">
        <v>197</v>
      </c>
      <c r="AH498" s="67">
        <v>7</v>
      </c>
      <c r="AI498" s="67"/>
      <c r="AJ498" s="9" t="s">
        <v>1</v>
      </c>
      <c r="AN498" s="20"/>
      <c r="AY498" s="11" t="s">
        <v>264</v>
      </c>
      <c r="CC498" s="7"/>
    </row>
    <row r="499" spans="2:81">
      <c r="B499" s="6"/>
      <c r="F499" s="71" t="s">
        <v>41</v>
      </c>
      <c r="P499" s="71"/>
      <c r="T499" s="71"/>
      <c r="CC499" s="7"/>
    </row>
    <row r="500" spans="2:81">
      <c r="B500" s="6"/>
      <c r="F500" s="71"/>
      <c r="W500" s="23" t="s">
        <v>293</v>
      </c>
      <c r="CC500" s="7"/>
    </row>
    <row r="501" spans="2:81">
      <c r="B501" s="6"/>
      <c r="F501" s="77">
        <v>400</v>
      </c>
      <c r="W501" s="1" t="s">
        <v>218</v>
      </c>
      <c r="AC501" s="66">
        <f>+AJ491</f>
        <v>12</v>
      </c>
      <c r="AD501" s="66"/>
      <c r="AE501" s="9" t="s">
        <v>5</v>
      </c>
      <c r="AF501" s="66">
        <f>+AH498</f>
        <v>7</v>
      </c>
      <c r="AG501" s="66"/>
      <c r="AH501" s="1" t="s">
        <v>173</v>
      </c>
      <c r="AI501" s="9">
        <v>2</v>
      </c>
      <c r="AJ501" s="9" t="s">
        <v>7</v>
      </c>
      <c r="AK501" s="66">
        <f>AC501*AF501/AI501</f>
        <v>42</v>
      </c>
      <c r="AL501" s="66"/>
      <c r="AM501" s="66"/>
      <c r="AN501" s="1" t="s">
        <v>0</v>
      </c>
      <c r="CC501" s="7"/>
    </row>
    <row r="502" spans="2:81">
      <c r="B502" s="6"/>
      <c r="F502" s="77"/>
      <c r="H502" s="1" t="s">
        <v>13</v>
      </c>
      <c r="M502" s="1" t="s">
        <v>283</v>
      </c>
      <c r="Q502" s="1" t="s">
        <v>13</v>
      </c>
      <c r="W502" s="1" t="s">
        <v>272</v>
      </c>
      <c r="AC502" s="66">
        <f>+AJ491</f>
        <v>12</v>
      </c>
      <c r="AD502" s="66"/>
      <c r="AE502" s="9" t="s">
        <v>5</v>
      </c>
      <c r="AF502" s="66">
        <f>+AH498</f>
        <v>7</v>
      </c>
      <c r="AG502" s="66"/>
      <c r="AH502" s="1" t="s">
        <v>254</v>
      </c>
      <c r="AI502" s="9">
        <v>8</v>
      </c>
      <c r="AJ502" s="9" t="s">
        <v>7</v>
      </c>
      <c r="AK502" s="66">
        <f>AC502*AF502^2/AI502</f>
        <v>73.5</v>
      </c>
      <c r="AL502" s="66"/>
      <c r="AM502" s="66"/>
      <c r="AN502" s="1" t="s">
        <v>191</v>
      </c>
      <c r="CC502" s="7"/>
    </row>
    <row r="503" spans="2:81">
      <c r="B503" s="6"/>
      <c r="F503" s="77"/>
      <c r="W503" s="23" t="s">
        <v>222</v>
      </c>
      <c r="CC503" s="7"/>
    </row>
    <row r="504" spans="2:81">
      <c r="B504" s="6"/>
      <c r="P504" s="71">
        <f>+J497</f>
        <v>15</v>
      </c>
      <c r="W504" s="1" t="s">
        <v>27</v>
      </c>
      <c r="X504" s="67">
        <v>2</v>
      </c>
      <c r="Y504" s="67"/>
      <c r="Z504" s="1" t="s">
        <v>213</v>
      </c>
      <c r="AB504" s="9"/>
      <c r="AC504" s="9"/>
      <c r="AD504" s="9"/>
      <c r="AO504" s="8" t="str">
        <f>IF(X504&lt;=AH498,"","azalt.")</f>
        <v/>
      </c>
      <c r="CC504" s="7"/>
    </row>
    <row r="505" spans="2:81">
      <c r="B505" s="6"/>
      <c r="P505" s="71"/>
      <c r="W505" s="1" t="s">
        <v>291</v>
      </c>
      <c r="AF505" s="66">
        <f>+AJ491</f>
        <v>12</v>
      </c>
      <c r="AG505" s="66"/>
      <c r="AH505" s="9" t="s">
        <v>5</v>
      </c>
      <c r="AI505" s="66">
        <f>+AH498</f>
        <v>7</v>
      </c>
      <c r="AJ505" s="66"/>
      <c r="AK505" s="9" t="s">
        <v>5</v>
      </c>
      <c r="AL505" s="66">
        <f>+X504</f>
        <v>2</v>
      </c>
      <c r="AM505" s="66"/>
      <c r="AN505" s="1" t="s">
        <v>173</v>
      </c>
      <c r="AO505" s="1">
        <v>2</v>
      </c>
      <c r="AP505" s="9" t="s">
        <v>6</v>
      </c>
      <c r="AQ505" s="66">
        <f>+AJ491</f>
        <v>12</v>
      </c>
      <c r="AR505" s="66"/>
      <c r="AS505" s="9" t="s">
        <v>5</v>
      </c>
      <c r="AT505" s="66">
        <f>+X504</f>
        <v>2</v>
      </c>
      <c r="AU505" s="66"/>
      <c r="AV505" s="1" t="s">
        <v>254</v>
      </c>
      <c r="AW505" s="1">
        <v>2</v>
      </c>
      <c r="AX505" s="9" t="s">
        <v>7</v>
      </c>
      <c r="AY505" s="66">
        <f>AF505*AI505*AL505/AO505-AQ505*AT505^2/AW505</f>
        <v>60</v>
      </c>
      <c r="AZ505" s="66"/>
      <c r="BA505" s="66"/>
      <c r="BB505" s="1" t="s">
        <v>191</v>
      </c>
      <c r="CC505" s="7"/>
    </row>
    <row r="506" spans="2:81">
      <c r="B506" s="6"/>
      <c r="P506" s="71"/>
      <c r="T506" s="71">
        <f>+F501/2</f>
        <v>200</v>
      </c>
      <c r="W506" s="1" t="s">
        <v>292</v>
      </c>
      <c r="AE506" s="66">
        <f>+AJ491</f>
        <v>12</v>
      </c>
      <c r="AF506" s="66"/>
      <c r="AG506" s="9" t="s">
        <v>5</v>
      </c>
      <c r="AH506" s="66">
        <f>+AH498</f>
        <v>7</v>
      </c>
      <c r="AI506" s="66"/>
      <c r="AJ506" s="1" t="s">
        <v>173</v>
      </c>
      <c r="AK506" s="1">
        <v>2</v>
      </c>
      <c r="AL506" s="9" t="s">
        <v>6</v>
      </c>
      <c r="AM506" s="66">
        <f>+AJ491</f>
        <v>12</v>
      </c>
      <c r="AN506" s="66"/>
      <c r="AO506" s="9" t="s">
        <v>5</v>
      </c>
      <c r="AP506" s="66">
        <f>+X504</f>
        <v>2</v>
      </c>
      <c r="AQ506" s="66"/>
      <c r="AR506" s="9" t="s">
        <v>7</v>
      </c>
      <c r="AS506" s="66">
        <f>+AE506*AH506/AK506-AM506*AP506</f>
        <v>18</v>
      </c>
      <c r="AT506" s="66"/>
      <c r="AU506" s="66"/>
      <c r="AV506" s="1" t="s">
        <v>0</v>
      </c>
      <c r="CC506" s="7"/>
    </row>
    <row r="507" spans="2:81">
      <c r="B507" s="6"/>
      <c r="T507" s="71"/>
      <c r="W507" s="23" t="s">
        <v>253</v>
      </c>
      <c r="AF507" s="9"/>
      <c r="AJ507" s="9"/>
      <c r="AM507" s="9"/>
      <c r="AT507" s="9"/>
      <c r="CC507" s="7"/>
    </row>
    <row r="508" spans="2:81">
      <c r="B508" s="6"/>
      <c r="T508" s="71"/>
      <c r="W508" s="1" t="s">
        <v>27</v>
      </c>
      <c r="X508" s="66">
        <f>+AH498/2</f>
        <v>3.5</v>
      </c>
      <c r="Y508" s="66"/>
      <c r="Z508" s="66"/>
      <c r="AA508" s="1" t="s">
        <v>257</v>
      </c>
      <c r="AB508" s="9"/>
      <c r="AC508" s="9"/>
      <c r="AD508" s="9"/>
      <c r="AF508" s="9"/>
      <c r="AJ508" s="9"/>
      <c r="AM508" s="9"/>
      <c r="AT508" s="9"/>
      <c r="CC508" s="7"/>
    </row>
    <row r="509" spans="2:81">
      <c r="B509" s="6"/>
      <c r="R509" s="71">
        <f>+R494</f>
        <v>22</v>
      </c>
      <c r="W509" s="1" t="s">
        <v>297</v>
      </c>
      <c r="Y509" s="66">
        <f>+AJ491</f>
        <v>12</v>
      </c>
      <c r="Z509" s="66"/>
      <c r="AA509" s="9" t="s">
        <v>5</v>
      </c>
      <c r="AB509" s="66">
        <f>+AH498</f>
        <v>7</v>
      </c>
      <c r="AC509" s="66"/>
      <c r="AD509" s="9" t="s">
        <v>5</v>
      </c>
      <c r="AE509" s="66">
        <f>+X508</f>
        <v>3.5</v>
      </c>
      <c r="AF509" s="66"/>
      <c r="AG509" s="1" t="s">
        <v>173</v>
      </c>
      <c r="AH509" s="1">
        <v>2</v>
      </c>
      <c r="AI509" s="9" t="s">
        <v>6</v>
      </c>
      <c r="AJ509" s="66">
        <f>+AJ491</f>
        <v>12</v>
      </c>
      <c r="AK509" s="66"/>
      <c r="AL509" s="9" t="s">
        <v>5</v>
      </c>
      <c r="AM509" s="66">
        <f>+X508</f>
        <v>3.5</v>
      </c>
      <c r="AN509" s="66"/>
      <c r="AO509" s="1" t="s">
        <v>254</v>
      </c>
      <c r="AP509" s="66">
        <v>2</v>
      </c>
      <c r="AQ509" s="66"/>
      <c r="AR509" s="9" t="s">
        <v>7</v>
      </c>
      <c r="AS509" s="66">
        <f>Y509*AB509*AE509/AH509-AJ509*AM509^2/AP509</f>
        <v>73.5</v>
      </c>
      <c r="AT509" s="66"/>
      <c r="AU509" s="66"/>
      <c r="AV509" s="1" t="s">
        <v>191</v>
      </c>
      <c r="CC509" s="7"/>
    </row>
    <row r="510" spans="2:81">
      <c r="B510" s="6"/>
      <c r="M510" s="66">
        <f>+J497</f>
        <v>15</v>
      </c>
      <c r="N510" s="66"/>
      <c r="R510" s="71"/>
      <c r="W510" s="1" t="s">
        <v>247</v>
      </c>
      <c r="Y510" s="66">
        <f>+AH498/2</f>
        <v>3.5</v>
      </c>
      <c r="Z510" s="66"/>
      <c r="AA510" s="66"/>
      <c r="AB510" s="1" t="s">
        <v>252</v>
      </c>
      <c r="AD510" s="9"/>
      <c r="AG510" s="9"/>
      <c r="AH510" s="21"/>
      <c r="AM510" s="9"/>
      <c r="AT510" s="9"/>
      <c r="BN510" s="9"/>
      <c r="BQ510" s="9"/>
      <c r="CC510" s="7"/>
    </row>
    <row r="511" spans="2:81">
      <c r="B511" s="6"/>
      <c r="R511" s="71"/>
      <c r="W511" s="1" t="s">
        <v>299</v>
      </c>
      <c r="AA511" s="66">
        <f>+AS509</f>
        <v>73.5</v>
      </c>
      <c r="AB511" s="66"/>
      <c r="AC511" s="66"/>
      <c r="AD511" s="1" t="s">
        <v>191</v>
      </c>
      <c r="AF511" s="9"/>
      <c r="AJ511" s="9"/>
      <c r="AM511" s="9"/>
      <c r="AT511" s="9"/>
      <c r="CC511" s="7"/>
    </row>
    <row r="512" spans="2:81">
      <c r="B512" s="6"/>
      <c r="W512" s="1" t="s">
        <v>248</v>
      </c>
      <c r="Y512" s="66">
        <f>+AH498/4</f>
        <v>1.75</v>
      </c>
      <c r="Z512" s="66"/>
      <c r="AA512" s="66"/>
      <c r="AB512" s="1" t="s">
        <v>252</v>
      </c>
      <c r="AC512" s="9"/>
      <c r="AD512" s="9"/>
      <c r="AG512" s="9"/>
      <c r="AH512" s="21"/>
      <c r="AJ512" s="9"/>
      <c r="AM512" s="9"/>
      <c r="AT512" s="9"/>
      <c r="CC512" s="7"/>
    </row>
    <row r="513" spans="2:81">
      <c r="B513" s="6"/>
      <c r="I513" s="66">
        <f>+BG521</f>
        <v>21.329787234042552</v>
      </c>
      <c r="J513" s="66"/>
      <c r="K513" s="66"/>
      <c r="M513" s="66">
        <f>+L491-I513</f>
        <v>68.670212765957444</v>
      </c>
      <c r="N513" s="66"/>
      <c r="O513" s="66"/>
      <c r="W513" s="1" t="s">
        <v>249</v>
      </c>
      <c r="Y513" s="66">
        <f>+Y509</f>
        <v>12</v>
      </c>
      <c r="Z513" s="66"/>
      <c r="AA513" s="9" t="s">
        <v>5</v>
      </c>
      <c r="AB513" s="66">
        <f>+AB509</f>
        <v>7</v>
      </c>
      <c r="AC513" s="66"/>
      <c r="AD513" s="9" t="s">
        <v>5</v>
      </c>
      <c r="AE513" s="66">
        <f>+Y512</f>
        <v>1.75</v>
      </c>
      <c r="AF513" s="66"/>
      <c r="AG513" s="1" t="s">
        <v>173</v>
      </c>
      <c r="AH513" s="1">
        <v>2</v>
      </c>
      <c r="AI513" s="9" t="s">
        <v>6</v>
      </c>
      <c r="AJ513" s="66">
        <f>+AJ509</f>
        <v>12</v>
      </c>
      <c r="AK513" s="66"/>
      <c r="AL513" s="9" t="s">
        <v>5</v>
      </c>
      <c r="AM513" s="66">
        <f>+Y512</f>
        <v>1.75</v>
      </c>
      <c r="AN513" s="66"/>
      <c r="AO513" s="1" t="s">
        <v>254</v>
      </c>
      <c r="AP513" s="66">
        <v>2</v>
      </c>
      <c r="AQ513" s="66"/>
      <c r="AR513" s="9" t="s">
        <v>7</v>
      </c>
      <c r="AS513" s="66">
        <f>Y513*AB513*AE513/AH513-AJ513*AM513^2/AP513</f>
        <v>55.125</v>
      </c>
      <c r="AT513" s="66"/>
      <c r="AU513" s="66"/>
      <c r="AV513" s="1" t="s">
        <v>191</v>
      </c>
      <c r="CC513" s="7"/>
    </row>
    <row r="514" spans="2:81">
      <c r="B514" s="6"/>
      <c r="W514" s="1" t="s">
        <v>250</v>
      </c>
      <c r="Z514" s="66">
        <f>3*AH498/4</f>
        <v>5.25</v>
      </c>
      <c r="AA514" s="66"/>
      <c r="AB514" s="66"/>
      <c r="AC514" s="1" t="s">
        <v>252</v>
      </c>
      <c r="AD514" s="9"/>
      <c r="AG514" s="9"/>
      <c r="AH514" s="21"/>
      <c r="AJ514" s="9"/>
      <c r="AM514" s="9"/>
      <c r="AT514" s="9"/>
      <c r="CC514" s="7"/>
    </row>
    <row r="515" spans="2:81">
      <c r="B515" s="6"/>
      <c r="K515" s="1" t="s">
        <v>170</v>
      </c>
      <c r="W515" s="1" t="s">
        <v>251</v>
      </c>
      <c r="Y515" s="66">
        <f>+Y513</f>
        <v>12</v>
      </c>
      <c r="Z515" s="66"/>
      <c r="AA515" s="9" t="s">
        <v>5</v>
      </c>
      <c r="AB515" s="66">
        <f>+AB513</f>
        <v>7</v>
      </c>
      <c r="AC515" s="66"/>
      <c r="AD515" s="9" t="s">
        <v>5</v>
      </c>
      <c r="AE515" s="66">
        <f>+Z514</f>
        <v>5.25</v>
      </c>
      <c r="AF515" s="66"/>
      <c r="AG515" s="1" t="s">
        <v>173</v>
      </c>
      <c r="AH515" s="1">
        <v>2</v>
      </c>
      <c r="AI515" s="9" t="s">
        <v>6</v>
      </c>
      <c r="AJ515" s="66">
        <f>+AJ513</f>
        <v>12</v>
      </c>
      <c r="AK515" s="66"/>
      <c r="AL515" s="9" t="s">
        <v>5</v>
      </c>
      <c r="AM515" s="66">
        <f>+Z514</f>
        <v>5.25</v>
      </c>
      <c r="AN515" s="66"/>
      <c r="AO515" s="1" t="s">
        <v>254</v>
      </c>
      <c r="AP515" s="66">
        <v>2</v>
      </c>
      <c r="AQ515" s="66"/>
      <c r="AR515" s="9" t="s">
        <v>7</v>
      </c>
      <c r="AS515" s="66">
        <f>Y515*AB515*AE515/AH515-AJ515*AM515^2/AP515</f>
        <v>55.125</v>
      </c>
      <c r="AT515" s="66"/>
      <c r="AU515" s="66"/>
      <c r="AV515" s="1" t="s">
        <v>191</v>
      </c>
      <c r="CC515" s="7"/>
    </row>
    <row r="516" spans="2:81">
      <c r="B516" s="6"/>
      <c r="W516" s="1" t="s">
        <v>300</v>
      </c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O516" s="9"/>
      <c r="AP516" s="9"/>
      <c r="AQ516" s="9"/>
      <c r="AR516" s="9"/>
      <c r="AS516" s="9"/>
      <c r="AT516" s="9"/>
      <c r="AU516" s="9"/>
      <c r="AV516" s="9"/>
      <c r="AX516" s="9"/>
      <c r="AY516" s="9"/>
      <c r="AZ516" s="9"/>
      <c r="BA516" s="9"/>
      <c r="BB516" s="9"/>
      <c r="BC516" s="9"/>
      <c r="BD516" s="9"/>
      <c r="BE516" s="9"/>
      <c r="BG516" s="9"/>
      <c r="BH516" s="9"/>
      <c r="CC516" s="7"/>
    </row>
    <row r="517" spans="2:81">
      <c r="B517" s="6"/>
      <c r="W517" s="1" t="s">
        <v>301</v>
      </c>
      <c r="Y517" s="66">
        <v>12.5</v>
      </c>
      <c r="Z517" s="66"/>
      <c r="AA517" s="9" t="s">
        <v>5</v>
      </c>
      <c r="AB517" s="66">
        <f>+AS509</f>
        <v>73.5</v>
      </c>
      <c r="AC517" s="66"/>
      <c r="AD517" s="66"/>
      <c r="AE517" s="9" t="s">
        <v>275</v>
      </c>
      <c r="AF517" s="66">
        <v>2.5</v>
      </c>
      <c r="AG517" s="66"/>
      <c r="AH517" s="9" t="s">
        <v>5</v>
      </c>
      <c r="AI517" s="66">
        <f>+AB517</f>
        <v>73.5</v>
      </c>
      <c r="AJ517" s="66"/>
      <c r="AK517" s="66"/>
      <c r="AL517" s="9" t="s">
        <v>9</v>
      </c>
      <c r="AM517" s="9">
        <v>3</v>
      </c>
      <c r="AN517" s="9" t="s">
        <v>5</v>
      </c>
      <c r="AO517" s="66">
        <f>+AS513</f>
        <v>55.125</v>
      </c>
      <c r="AP517" s="66"/>
      <c r="AQ517" s="66"/>
      <c r="AR517" s="9" t="s">
        <v>9</v>
      </c>
      <c r="AS517" s="9">
        <v>4</v>
      </c>
      <c r="AT517" s="9" t="s">
        <v>5</v>
      </c>
      <c r="AU517" s="66">
        <f>+AA511</f>
        <v>73.5</v>
      </c>
      <c r="AV517" s="66"/>
      <c r="AW517" s="66"/>
      <c r="AX517" s="9" t="s">
        <v>9</v>
      </c>
      <c r="AY517" s="9">
        <v>3</v>
      </c>
      <c r="AZ517" s="9" t="s">
        <v>5</v>
      </c>
      <c r="BA517" s="66">
        <f>+AS515</f>
        <v>55.125</v>
      </c>
      <c r="BB517" s="66"/>
      <c r="BC517" s="66"/>
      <c r="BD517" s="9" t="s">
        <v>201</v>
      </c>
      <c r="BE517" s="66">
        <f>Y517*AB517/(AF517*AI517+AM517*AO517+AS517*AU517+AY517*BA517)</f>
        <v>1.1363636363636365</v>
      </c>
      <c r="BF517" s="66"/>
      <c r="BG517" s="66"/>
      <c r="BH517" s="9"/>
      <c r="CC517" s="7"/>
    </row>
    <row r="518" spans="2:81">
      <c r="B518" s="6"/>
      <c r="W518" s="23" t="s">
        <v>295</v>
      </c>
      <c r="CC518" s="7"/>
    </row>
    <row r="519" spans="2:81">
      <c r="B519" s="6"/>
      <c r="W519" s="1" t="s">
        <v>38</v>
      </c>
      <c r="Y519" s="67">
        <v>200000</v>
      </c>
      <c r="Z519" s="67"/>
      <c r="AA519" s="67"/>
      <c r="AB519" s="67"/>
      <c r="AC519" s="1" t="s">
        <v>39</v>
      </c>
      <c r="AF519" s="1" t="s">
        <v>302</v>
      </c>
      <c r="CC519" s="7"/>
    </row>
    <row r="520" spans="2:81">
      <c r="B520" s="6"/>
      <c r="W520" s="1" t="s">
        <v>273</v>
      </c>
      <c r="Z520" s="66">
        <f>+F501-2*M493</f>
        <v>370</v>
      </c>
      <c r="AA520" s="66"/>
      <c r="AB520" s="9" t="s">
        <v>5</v>
      </c>
      <c r="AC520" s="66">
        <f>+J497</f>
        <v>15</v>
      </c>
      <c r="AD520" s="66"/>
      <c r="AE520" s="9" t="s">
        <v>9</v>
      </c>
      <c r="AF520" s="1">
        <v>2</v>
      </c>
      <c r="AG520" s="9" t="s">
        <v>14</v>
      </c>
      <c r="AH520" s="66">
        <f>+L491</f>
        <v>90</v>
      </c>
      <c r="AI520" s="66"/>
      <c r="AJ520" s="9" t="s">
        <v>5</v>
      </c>
      <c r="AK520" s="66">
        <f>+M493</f>
        <v>15</v>
      </c>
      <c r="AL520" s="66"/>
      <c r="AM520" s="9" t="s">
        <v>9</v>
      </c>
      <c r="AN520" s="66">
        <f>+R494-M493</f>
        <v>7</v>
      </c>
      <c r="AO520" s="66"/>
      <c r="AP520" s="9" t="s">
        <v>5</v>
      </c>
      <c r="AQ520" s="66">
        <f>+P497</f>
        <v>15</v>
      </c>
      <c r="AR520" s="66"/>
      <c r="AS520" s="1" t="s">
        <v>201</v>
      </c>
      <c r="AT520" s="66">
        <f>Z520*AC520+AF520*(AH520*AK520+AN520*AQ520)</f>
        <v>8460</v>
      </c>
      <c r="AU520" s="66"/>
      <c r="AV520" s="66"/>
      <c r="AW520" s="1" t="s">
        <v>269</v>
      </c>
      <c r="CC520" s="7"/>
    </row>
    <row r="521" spans="2:81">
      <c r="B521" s="6"/>
      <c r="W521" s="1" t="s">
        <v>267</v>
      </c>
      <c r="Y521" s="66">
        <f>+F501-2*M493</f>
        <v>370</v>
      </c>
      <c r="Z521" s="66"/>
      <c r="AA521" s="9" t="s">
        <v>5</v>
      </c>
      <c r="AB521" s="66">
        <f>+J497</f>
        <v>15</v>
      </c>
      <c r="AC521" s="66"/>
      <c r="AD521" s="9" t="s">
        <v>5</v>
      </c>
      <c r="AE521" s="66">
        <f>+J497/2</f>
        <v>7.5</v>
      </c>
      <c r="AF521" s="66"/>
      <c r="AG521" s="9" t="s">
        <v>9</v>
      </c>
      <c r="AH521" s="1">
        <v>2</v>
      </c>
      <c r="AI521" s="9" t="s">
        <v>14</v>
      </c>
      <c r="AJ521" s="66">
        <f>+L491</f>
        <v>90</v>
      </c>
      <c r="AK521" s="66"/>
      <c r="AL521" s="9" t="s">
        <v>5</v>
      </c>
      <c r="AM521" s="66">
        <f>+M493</f>
        <v>15</v>
      </c>
      <c r="AN521" s="66"/>
      <c r="AO521" s="9" t="s">
        <v>5</v>
      </c>
      <c r="AP521" s="66">
        <f>+L491/2</f>
        <v>45</v>
      </c>
      <c r="AQ521" s="66"/>
      <c r="AR521" s="9" t="s">
        <v>9</v>
      </c>
      <c r="AS521" s="66">
        <f>+R494-M493</f>
        <v>7</v>
      </c>
      <c r="AT521" s="66"/>
      <c r="AU521" s="9" t="s">
        <v>5</v>
      </c>
      <c r="AV521" s="66">
        <f>+P497</f>
        <v>15</v>
      </c>
      <c r="AW521" s="66"/>
      <c r="AX521" s="9" t="s">
        <v>5</v>
      </c>
      <c r="AY521" s="66">
        <f>+L491-P497/2</f>
        <v>82.5</v>
      </c>
      <c r="AZ521" s="66"/>
      <c r="BA521" s="1" t="s">
        <v>268</v>
      </c>
      <c r="BC521" s="66">
        <f>+AT520</f>
        <v>8460</v>
      </c>
      <c r="BD521" s="66"/>
      <c r="BE521" s="66"/>
      <c r="BF521" s="9" t="s">
        <v>7</v>
      </c>
      <c r="BG521" s="66">
        <f>(Y521*AB521*AE521+AH521*(AJ521*AM521*AP521+AS521*AV521*AY521))/BC521</f>
        <v>21.329787234042552</v>
      </c>
      <c r="BH521" s="66"/>
      <c r="BI521" s="66"/>
      <c r="BJ521" s="1" t="s">
        <v>41</v>
      </c>
      <c r="CC521" s="7"/>
    </row>
    <row r="522" spans="2:81">
      <c r="B522" s="6"/>
      <c r="W522" s="10" t="s">
        <v>36</v>
      </c>
      <c r="Y522" s="66">
        <f>+L491</f>
        <v>90</v>
      </c>
      <c r="Z522" s="66"/>
      <c r="AA522" s="9" t="s">
        <v>5</v>
      </c>
      <c r="AB522" s="66">
        <f>+F501</f>
        <v>400</v>
      </c>
      <c r="AC522" s="66"/>
      <c r="AD522" s="1" t="s">
        <v>30</v>
      </c>
      <c r="AE522" s="66">
        <v>12</v>
      </c>
      <c r="AF522" s="66"/>
      <c r="AG522" s="9" t="s">
        <v>6</v>
      </c>
      <c r="AH522" s="66">
        <f>+L491-2*P497</f>
        <v>60</v>
      </c>
      <c r="AI522" s="66"/>
      <c r="AJ522" s="9" t="s">
        <v>5</v>
      </c>
      <c r="AK522" s="66">
        <f>+F501-2*M493</f>
        <v>370</v>
      </c>
      <c r="AL522" s="66"/>
      <c r="AM522" s="1" t="s">
        <v>30</v>
      </c>
      <c r="AN522" s="66">
        <v>12</v>
      </c>
      <c r="AO522" s="66"/>
      <c r="AP522" s="9" t="s">
        <v>6</v>
      </c>
      <c r="AQ522" s="66">
        <f>+P497</f>
        <v>15</v>
      </c>
      <c r="AR522" s="66"/>
      <c r="AS522" s="9" t="s">
        <v>5</v>
      </c>
      <c r="AT522" s="66">
        <f>+F501-2*R494</f>
        <v>356</v>
      </c>
      <c r="AU522" s="66"/>
      <c r="AV522" s="1" t="s">
        <v>30</v>
      </c>
      <c r="AW522" s="66">
        <v>12</v>
      </c>
      <c r="AX522" s="66"/>
      <c r="AY522" s="9" t="s">
        <v>7</v>
      </c>
      <c r="AZ522" s="66">
        <f>Y522*AB522^3/AE522-AH522*AK522^3/AN522-AQ522*AT522^3/AW522</f>
        <v>170337480</v>
      </c>
      <c r="BA522" s="66"/>
      <c r="BB522" s="66"/>
      <c r="BC522" s="66"/>
      <c r="BD522" s="1" t="s">
        <v>270</v>
      </c>
      <c r="CC522" s="7"/>
    </row>
    <row r="523" spans="2:81">
      <c r="B523" s="6"/>
      <c r="W523" s="10" t="s">
        <v>294</v>
      </c>
      <c r="AA523" s="9"/>
      <c r="AG523" s="9">
        <v>5</v>
      </c>
      <c r="AH523" s="9" t="s">
        <v>5</v>
      </c>
      <c r="AI523" s="66">
        <f>+AJ491</f>
        <v>12</v>
      </c>
      <c r="AJ523" s="66"/>
      <c r="AK523" s="9" t="s">
        <v>5</v>
      </c>
      <c r="AL523" s="66">
        <f>+AH498*1000</f>
        <v>7000</v>
      </c>
      <c r="AM523" s="66"/>
      <c r="AN523" s="66"/>
      <c r="AO523" s="1" t="s">
        <v>215</v>
      </c>
      <c r="AP523" s="66">
        <v>384</v>
      </c>
      <c r="AQ523" s="66"/>
      <c r="AR523" s="9" t="s">
        <v>5</v>
      </c>
      <c r="AS523" s="66">
        <f>+Y519</f>
        <v>200000</v>
      </c>
      <c r="AT523" s="66"/>
      <c r="AU523" s="66"/>
      <c r="AV523" s="66"/>
      <c r="AW523" s="9" t="s">
        <v>5</v>
      </c>
      <c r="AX523" s="66">
        <f>+AZ522</f>
        <v>170337480</v>
      </c>
      <c r="AY523" s="66"/>
      <c r="AZ523" s="66"/>
      <c r="BA523" s="66"/>
      <c r="BB523" s="1" t="s">
        <v>201</v>
      </c>
      <c r="BC523" s="66">
        <f>AG523*AI523*AL523^4/(AP523*AS523*AX523)</f>
        <v>11.012146299217296</v>
      </c>
      <c r="BD523" s="66"/>
      <c r="BE523" s="66"/>
      <c r="BF523" s="1" t="s">
        <v>41</v>
      </c>
      <c r="BG523" s="9"/>
      <c r="CC523" s="7"/>
    </row>
    <row r="524" spans="2:81">
      <c r="B524" s="6"/>
      <c r="W524" s="1" t="s">
        <v>172</v>
      </c>
      <c r="AB524" s="66">
        <f>+AH498*1000</f>
        <v>7000</v>
      </c>
      <c r="AC524" s="66"/>
      <c r="AD524" s="66"/>
      <c r="AE524" s="1" t="s">
        <v>173</v>
      </c>
      <c r="AF524" s="66">
        <v>300</v>
      </c>
      <c r="AG524" s="66"/>
      <c r="AH524" s="9" t="s">
        <v>7</v>
      </c>
      <c r="AI524" s="66">
        <f>+AB524/AF524</f>
        <v>23.333333333333332</v>
      </c>
      <c r="AJ524" s="66"/>
      <c r="AK524" s="66"/>
      <c r="AL524" s="1" t="s">
        <v>41</v>
      </c>
      <c r="AO524" s="1" t="s">
        <v>192</v>
      </c>
      <c r="CC524" s="7"/>
    </row>
    <row r="525" spans="2:81">
      <c r="B525" s="6"/>
      <c r="W525" s="1" t="s">
        <v>34</v>
      </c>
      <c r="X525" s="66">
        <f>+BC523</f>
        <v>11.012146299217296</v>
      </c>
      <c r="Y525" s="66"/>
      <c r="Z525" s="66"/>
      <c r="AA525" s="1" t="s">
        <v>41</v>
      </c>
      <c r="AC525" s="1" t="str">
        <f>IF(X525&lt;AG525,"&lt;","&gt;")</f>
        <v>&lt;</v>
      </c>
      <c r="AD525" s="1" t="s">
        <v>174</v>
      </c>
      <c r="AG525" s="66">
        <f>+AI524</f>
        <v>23.333333333333332</v>
      </c>
      <c r="AH525" s="66"/>
      <c r="AI525" s="66"/>
      <c r="AJ525" s="1" t="s">
        <v>41</v>
      </c>
      <c r="AL525" s="8" t="str">
        <f>IF(X525&lt;AG525,"uygun.","uygun değil.")</f>
        <v>uygun.</v>
      </c>
      <c r="BE525" s="9"/>
      <c r="BH525" s="9"/>
      <c r="CC525" s="7"/>
    </row>
    <row r="526" spans="2:81" ht="12" thickBot="1">
      <c r="B526" s="12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4"/>
    </row>
    <row r="527" spans="2:81" ht="12" thickBot="1"/>
    <row r="528" spans="2:81" ht="48" customHeight="1">
      <c r="B528" s="73" t="s">
        <v>285</v>
      </c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  <c r="AL528" s="74"/>
      <c r="AM528" s="74"/>
      <c r="AN528" s="74"/>
      <c r="AO528" s="74"/>
      <c r="AP528" s="74"/>
      <c r="AQ528" s="74"/>
      <c r="AR528" s="74"/>
      <c r="AS528" s="74"/>
      <c r="AT528" s="74"/>
      <c r="AU528" s="74"/>
      <c r="AV528" s="74"/>
      <c r="AW528" s="74"/>
      <c r="AX528" s="74"/>
      <c r="AY528" s="74"/>
      <c r="AZ528" s="74"/>
      <c r="BA528" s="74"/>
      <c r="BB528" s="74"/>
      <c r="BC528" s="74"/>
      <c r="BD528" s="74"/>
      <c r="BE528" s="74"/>
      <c r="BF528" s="74"/>
      <c r="BG528" s="74"/>
      <c r="BH528" s="74"/>
      <c r="BI528" s="74"/>
      <c r="BJ528" s="74"/>
      <c r="BK528" s="74"/>
      <c r="BL528" s="74"/>
      <c r="BM528" s="74"/>
      <c r="BN528" s="74"/>
      <c r="BO528" s="74"/>
      <c r="BP528" s="74"/>
      <c r="BQ528" s="74"/>
      <c r="BR528" s="74"/>
      <c r="BS528" s="74"/>
      <c r="BT528" s="74"/>
      <c r="BU528" s="74"/>
      <c r="BV528" s="74"/>
      <c r="BW528" s="74"/>
      <c r="BX528" s="74"/>
      <c r="BY528" s="74"/>
      <c r="BZ528" s="74"/>
      <c r="CA528" s="74"/>
      <c r="CB528" s="74"/>
      <c r="CC528" s="75"/>
    </row>
    <row r="529" spans="2:81">
      <c r="B529" s="6"/>
      <c r="S529" s="8" t="s">
        <v>176</v>
      </c>
      <c r="CC529" s="7"/>
    </row>
    <row r="530" spans="2:81">
      <c r="B530" s="6"/>
      <c r="J530" s="67">
        <v>83</v>
      </c>
      <c r="K530" s="67"/>
      <c r="L530" s="1" t="s">
        <v>41</v>
      </c>
      <c r="AK530" s="1" t="s">
        <v>209</v>
      </c>
      <c r="AM530" s="67">
        <v>10</v>
      </c>
      <c r="AN530" s="67"/>
      <c r="AO530" s="1" t="s">
        <v>187</v>
      </c>
      <c r="CC530" s="7"/>
    </row>
    <row r="531" spans="2:81">
      <c r="B531" s="6"/>
      <c r="E531" s="71" t="s">
        <v>41</v>
      </c>
      <c r="O531" s="1" t="s">
        <v>170</v>
      </c>
      <c r="AZ531" s="1" t="s">
        <v>290</v>
      </c>
      <c r="CC531" s="7"/>
    </row>
    <row r="532" spans="2:81">
      <c r="B532" s="6"/>
      <c r="E532" s="71"/>
      <c r="J532" s="66">
        <f>+N536</f>
        <v>15</v>
      </c>
      <c r="K532" s="66"/>
      <c r="CC532" s="7"/>
    </row>
    <row r="533" spans="2:81">
      <c r="B533" s="6"/>
      <c r="E533" s="77">
        <v>22</v>
      </c>
      <c r="CC533" s="7"/>
    </row>
    <row r="534" spans="2:81">
      <c r="B534" s="6"/>
      <c r="E534" s="77"/>
      <c r="AH534" s="1" t="s">
        <v>13</v>
      </c>
      <c r="CC534" s="7"/>
    </row>
    <row r="535" spans="2:81">
      <c r="B535" s="6"/>
      <c r="E535" s="77"/>
      <c r="BA535" s="23" t="s">
        <v>266</v>
      </c>
      <c r="CC535" s="7"/>
    </row>
    <row r="536" spans="2:81">
      <c r="B536" s="6"/>
      <c r="C536" s="71">
        <f>+BY561</f>
        <v>202.75985663082437</v>
      </c>
      <c r="H536" s="71">
        <f>+J532</f>
        <v>15</v>
      </c>
      <c r="N536" s="67">
        <v>15</v>
      </c>
      <c r="O536" s="67"/>
      <c r="P536" s="1" t="s">
        <v>41</v>
      </c>
      <c r="AC536" s="1" t="s">
        <v>2</v>
      </c>
      <c r="AD536" s="66">
        <f>+AN540</f>
        <v>25</v>
      </c>
      <c r="AE536" s="66"/>
      <c r="AF536" s="1" t="s">
        <v>0</v>
      </c>
      <c r="AQ536" s="1" t="s">
        <v>3</v>
      </c>
      <c r="AR536" s="66">
        <f>+AN540</f>
        <v>25</v>
      </c>
      <c r="AS536" s="66"/>
      <c r="AT536" s="1" t="s">
        <v>0</v>
      </c>
      <c r="BA536" s="11" t="s">
        <v>265</v>
      </c>
      <c r="CC536" s="7"/>
    </row>
    <row r="537" spans="2:81">
      <c r="B537" s="6"/>
      <c r="C537" s="71"/>
      <c r="H537" s="71"/>
      <c r="AJ537" s="1" t="s">
        <v>197</v>
      </c>
      <c r="AK537" s="67">
        <v>5</v>
      </c>
      <c r="AL537" s="67"/>
      <c r="AM537" s="9" t="s">
        <v>1</v>
      </c>
      <c r="AQ537" s="20"/>
      <c r="BA537" s="11" t="s">
        <v>263</v>
      </c>
      <c r="CC537" s="7"/>
    </row>
    <row r="538" spans="2:81">
      <c r="B538" s="6"/>
      <c r="C538" s="71"/>
      <c r="H538" s="71"/>
      <c r="X538" s="71" t="s">
        <v>41</v>
      </c>
      <c r="BA538" s="11" t="s">
        <v>264</v>
      </c>
      <c r="CC538" s="7"/>
    </row>
    <row r="539" spans="2:81">
      <c r="B539" s="6"/>
      <c r="X539" s="71"/>
      <c r="Z539" s="23" t="s">
        <v>293</v>
      </c>
      <c r="CC539" s="7"/>
    </row>
    <row r="540" spans="2:81">
      <c r="B540" s="6"/>
      <c r="X540" s="77">
        <v>400</v>
      </c>
      <c r="Z540" s="1" t="s">
        <v>218</v>
      </c>
      <c r="AF540" s="66">
        <f>+AM530</f>
        <v>10</v>
      </c>
      <c r="AG540" s="66"/>
      <c r="AH540" s="9" t="s">
        <v>5</v>
      </c>
      <c r="AI540" s="66">
        <f>+AK537</f>
        <v>5</v>
      </c>
      <c r="AJ540" s="66"/>
      <c r="AK540" s="1" t="s">
        <v>173</v>
      </c>
      <c r="AL540" s="9">
        <v>2</v>
      </c>
      <c r="AM540" s="9" t="s">
        <v>7</v>
      </c>
      <c r="AN540" s="66">
        <f>AF540*AI540/AL540</f>
        <v>25</v>
      </c>
      <c r="AO540" s="66"/>
      <c r="AP540" s="66"/>
      <c r="AQ540" s="1" t="s">
        <v>0</v>
      </c>
      <c r="CC540" s="7"/>
    </row>
    <row r="541" spans="2:81">
      <c r="B541" s="6"/>
      <c r="X541" s="77"/>
      <c r="Z541" s="1" t="s">
        <v>272</v>
      </c>
      <c r="AF541" s="66">
        <f>+AM530</f>
        <v>10</v>
      </c>
      <c r="AG541" s="66"/>
      <c r="AH541" s="9" t="s">
        <v>5</v>
      </c>
      <c r="AI541" s="66">
        <f>+AK537</f>
        <v>5</v>
      </c>
      <c r="AJ541" s="66"/>
      <c r="AK541" s="1" t="s">
        <v>254</v>
      </c>
      <c r="AL541" s="9">
        <v>8</v>
      </c>
      <c r="AM541" s="9" t="s">
        <v>7</v>
      </c>
      <c r="AN541" s="66">
        <f>AF541*AI541^2/AL541</f>
        <v>31.25</v>
      </c>
      <c r="AO541" s="66"/>
      <c r="AP541" s="66"/>
      <c r="AQ541" s="1" t="s">
        <v>191</v>
      </c>
      <c r="CC541" s="7"/>
    </row>
    <row r="542" spans="2:81">
      <c r="B542" s="6"/>
      <c r="G542" s="1" t="s">
        <v>13</v>
      </c>
      <c r="U542" s="1" t="s">
        <v>13</v>
      </c>
      <c r="X542" s="77"/>
      <c r="Z542" s="23" t="s">
        <v>222</v>
      </c>
      <c r="CC542" s="7"/>
    </row>
    <row r="543" spans="2:81">
      <c r="B543" s="6"/>
      <c r="I543" s="1" t="s">
        <v>283</v>
      </c>
      <c r="T543" s="71">
        <f>+N536</f>
        <v>15</v>
      </c>
      <c r="Z543" s="1" t="s">
        <v>27</v>
      </c>
      <c r="AA543" s="67">
        <v>2</v>
      </c>
      <c r="AB543" s="67"/>
      <c r="AC543" s="1" t="s">
        <v>213</v>
      </c>
      <c r="AE543" s="9"/>
      <c r="AF543" s="9"/>
      <c r="AG543" s="9"/>
      <c r="AR543" s="8" t="str">
        <f>IF(AA543&lt;=AK537,"","azalt.")</f>
        <v/>
      </c>
      <c r="CC543" s="7"/>
    </row>
    <row r="544" spans="2:81">
      <c r="B544" s="6"/>
      <c r="T544" s="71"/>
      <c r="Z544" s="1" t="s">
        <v>291</v>
      </c>
      <c r="AI544" s="66">
        <f>+AM530</f>
        <v>10</v>
      </c>
      <c r="AJ544" s="66"/>
      <c r="AK544" s="9" t="s">
        <v>5</v>
      </c>
      <c r="AL544" s="66">
        <f>+AK537</f>
        <v>5</v>
      </c>
      <c r="AM544" s="66"/>
      <c r="AN544" s="9" t="s">
        <v>5</v>
      </c>
      <c r="AO544" s="66">
        <f>+AA543</f>
        <v>2</v>
      </c>
      <c r="AP544" s="66"/>
      <c r="AQ544" s="1" t="s">
        <v>173</v>
      </c>
      <c r="AR544" s="1">
        <v>2</v>
      </c>
      <c r="AS544" s="9" t="s">
        <v>6</v>
      </c>
      <c r="AT544" s="66">
        <f>+AM530</f>
        <v>10</v>
      </c>
      <c r="AU544" s="66"/>
      <c r="AV544" s="9" t="s">
        <v>5</v>
      </c>
      <c r="AW544" s="66">
        <f>+AA543</f>
        <v>2</v>
      </c>
      <c r="AX544" s="66"/>
      <c r="AY544" s="1" t="s">
        <v>254</v>
      </c>
      <c r="AZ544" s="1">
        <v>2</v>
      </c>
      <c r="BA544" s="9" t="s">
        <v>7</v>
      </c>
      <c r="BB544" s="66">
        <f>AI544*AL544*AO544/AR544-AT544*AW544^2/AZ544</f>
        <v>30</v>
      </c>
      <c r="BC544" s="66"/>
      <c r="BD544" s="66"/>
      <c r="BE544" s="1" t="s">
        <v>191</v>
      </c>
      <c r="CC544" s="7"/>
    </row>
    <row r="545" spans="2:81">
      <c r="B545" s="6"/>
      <c r="T545" s="71"/>
      <c r="Z545" s="1" t="s">
        <v>292</v>
      </c>
      <c r="AH545" s="66">
        <f>+AM530</f>
        <v>10</v>
      </c>
      <c r="AI545" s="66"/>
      <c r="AJ545" s="9" t="s">
        <v>5</v>
      </c>
      <c r="AK545" s="66">
        <f>+AK537</f>
        <v>5</v>
      </c>
      <c r="AL545" s="66"/>
      <c r="AM545" s="1" t="s">
        <v>173</v>
      </c>
      <c r="AN545" s="1">
        <v>2</v>
      </c>
      <c r="AO545" s="9" t="s">
        <v>6</v>
      </c>
      <c r="AP545" s="66">
        <f>+AM530</f>
        <v>10</v>
      </c>
      <c r="AQ545" s="66"/>
      <c r="AR545" s="9" t="s">
        <v>5</v>
      </c>
      <c r="AS545" s="66">
        <f>+AA543</f>
        <v>2</v>
      </c>
      <c r="AT545" s="66"/>
      <c r="AU545" s="9" t="s">
        <v>7</v>
      </c>
      <c r="AV545" s="66">
        <f>+AH545*AK545/AN545-AP545*AS545</f>
        <v>5</v>
      </c>
      <c r="AW545" s="66"/>
      <c r="AX545" s="66"/>
      <c r="AY545" s="1" t="s">
        <v>0</v>
      </c>
      <c r="CC545" s="7"/>
    </row>
    <row r="546" spans="2:81">
      <c r="B546" s="6"/>
      <c r="C546" s="71">
        <f>+X540-C536</f>
        <v>197.24014336917563</v>
      </c>
      <c r="Z546" s="23" t="s">
        <v>253</v>
      </c>
      <c r="AI546" s="9"/>
      <c r="AM546" s="9"/>
      <c r="AP546" s="9"/>
      <c r="AW546" s="9"/>
      <c r="CC546" s="7"/>
    </row>
    <row r="547" spans="2:81">
      <c r="B547" s="6"/>
      <c r="C547" s="71"/>
      <c r="Z547" s="1" t="s">
        <v>27</v>
      </c>
      <c r="AA547" s="66">
        <f>+AK537/2</f>
        <v>2.5</v>
      </c>
      <c r="AB547" s="66"/>
      <c r="AC547" s="66"/>
      <c r="AD547" s="1" t="s">
        <v>257</v>
      </c>
      <c r="AE547" s="9"/>
      <c r="AF547" s="9"/>
      <c r="AG547" s="9"/>
      <c r="AI547" s="9"/>
      <c r="AM547" s="9"/>
      <c r="AP547" s="9"/>
      <c r="AW547" s="9"/>
      <c r="CC547" s="7"/>
    </row>
    <row r="548" spans="2:81">
      <c r="B548" s="6"/>
      <c r="C548" s="71"/>
      <c r="V548" s="71">
        <f>+E533</f>
        <v>22</v>
      </c>
      <c r="Z548" s="1" t="s">
        <v>297</v>
      </c>
      <c r="AB548" s="66">
        <f>+AM530</f>
        <v>10</v>
      </c>
      <c r="AC548" s="66"/>
      <c r="AD548" s="9" t="s">
        <v>5</v>
      </c>
      <c r="AE548" s="66">
        <f>+AK537</f>
        <v>5</v>
      </c>
      <c r="AF548" s="66"/>
      <c r="AG548" s="9" t="s">
        <v>5</v>
      </c>
      <c r="AH548" s="66">
        <f>+AA547</f>
        <v>2.5</v>
      </c>
      <c r="AI548" s="66"/>
      <c r="AJ548" s="1" t="s">
        <v>173</v>
      </c>
      <c r="AK548" s="1">
        <v>2</v>
      </c>
      <c r="AL548" s="9" t="s">
        <v>6</v>
      </c>
      <c r="AM548" s="66">
        <f>+AM530</f>
        <v>10</v>
      </c>
      <c r="AN548" s="66"/>
      <c r="AO548" s="9" t="s">
        <v>5</v>
      </c>
      <c r="AP548" s="66">
        <f>+AA547</f>
        <v>2.5</v>
      </c>
      <c r="AQ548" s="66"/>
      <c r="AR548" s="1" t="s">
        <v>254</v>
      </c>
      <c r="AS548" s="66">
        <v>2</v>
      </c>
      <c r="AT548" s="66"/>
      <c r="AU548" s="9" t="s">
        <v>7</v>
      </c>
      <c r="AV548" s="66">
        <f>AB548*AE548*AH548/AK548-AM548*AP548^2/AS548</f>
        <v>31.25</v>
      </c>
      <c r="AW548" s="66"/>
      <c r="AX548" s="66"/>
      <c r="AY548" s="1" t="s">
        <v>191</v>
      </c>
      <c r="CC548" s="7"/>
    </row>
    <row r="549" spans="2:81">
      <c r="B549" s="6"/>
      <c r="Q549" s="66">
        <f>+N536</f>
        <v>15</v>
      </c>
      <c r="R549" s="66"/>
      <c r="V549" s="71"/>
      <c r="Z549" s="1" t="s">
        <v>247</v>
      </c>
      <c r="AB549" s="66">
        <f>+AK537/2</f>
        <v>2.5</v>
      </c>
      <c r="AC549" s="66"/>
      <c r="AD549" s="66"/>
      <c r="AE549" s="1" t="s">
        <v>252</v>
      </c>
      <c r="AG549" s="9"/>
      <c r="AJ549" s="9"/>
      <c r="AK549" s="21"/>
      <c r="AP549" s="9"/>
      <c r="AW549" s="9"/>
      <c r="CC549" s="7"/>
    </row>
    <row r="550" spans="2:81">
      <c r="B550" s="6"/>
      <c r="V550" s="71"/>
      <c r="Z550" s="1" t="s">
        <v>299</v>
      </c>
      <c r="AD550" s="66">
        <f>+AV548</f>
        <v>31.25</v>
      </c>
      <c r="AE550" s="66"/>
      <c r="AF550" s="66"/>
      <c r="AG550" s="1" t="s">
        <v>191</v>
      </c>
      <c r="AI550" s="9"/>
      <c r="AM550" s="9"/>
      <c r="AP550" s="9"/>
      <c r="AW550" s="9"/>
      <c r="CC550" s="7"/>
    </row>
    <row r="551" spans="2:81">
      <c r="B551" s="6"/>
      <c r="O551" s="1" t="s">
        <v>170</v>
      </c>
      <c r="Z551" s="1" t="s">
        <v>248</v>
      </c>
      <c r="AB551" s="66">
        <f>+AK537/4</f>
        <v>1.25</v>
      </c>
      <c r="AC551" s="66"/>
      <c r="AD551" s="66"/>
      <c r="AE551" s="1" t="s">
        <v>252</v>
      </c>
      <c r="AF551" s="9"/>
      <c r="AG551" s="9"/>
      <c r="AJ551" s="9"/>
      <c r="AK551" s="21"/>
      <c r="AM551" s="9"/>
      <c r="AP551" s="9"/>
      <c r="AW551" s="9"/>
      <c r="CC551" s="7"/>
    </row>
    <row r="552" spans="2:81">
      <c r="B552" s="6"/>
      <c r="P552" s="82">
        <v>91</v>
      </c>
      <c r="Q552" s="82"/>
      <c r="R552" s="1" t="s">
        <v>41</v>
      </c>
      <c r="Z552" s="1" t="s">
        <v>249</v>
      </c>
      <c r="AB552" s="66">
        <f>+AB548</f>
        <v>10</v>
      </c>
      <c r="AC552" s="66"/>
      <c r="AD552" s="9" t="s">
        <v>5</v>
      </c>
      <c r="AE552" s="66">
        <f>+AE548</f>
        <v>5</v>
      </c>
      <c r="AF552" s="66"/>
      <c r="AG552" s="9" t="s">
        <v>5</v>
      </c>
      <c r="AH552" s="66">
        <f>+AB551</f>
        <v>1.25</v>
      </c>
      <c r="AI552" s="66"/>
      <c r="AJ552" s="1" t="s">
        <v>173</v>
      </c>
      <c r="AK552" s="1">
        <v>2</v>
      </c>
      <c r="AL552" s="9" t="s">
        <v>6</v>
      </c>
      <c r="AM552" s="66">
        <f>+AM548</f>
        <v>10</v>
      </c>
      <c r="AN552" s="66"/>
      <c r="AO552" s="9" t="s">
        <v>5</v>
      </c>
      <c r="AP552" s="66">
        <f>+AB551</f>
        <v>1.25</v>
      </c>
      <c r="AQ552" s="66"/>
      <c r="AR552" s="1" t="s">
        <v>254</v>
      </c>
      <c r="AS552" s="66">
        <v>2</v>
      </c>
      <c r="AT552" s="66"/>
      <c r="AU552" s="9" t="s">
        <v>7</v>
      </c>
      <c r="AV552" s="66">
        <f>AB552*AE552*AH552/AK552-AM552*AP552^2/AS552</f>
        <v>23.4375</v>
      </c>
      <c r="AW552" s="66"/>
      <c r="AX552" s="66"/>
      <c r="AY552" s="1" t="s">
        <v>191</v>
      </c>
      <c r="CC552" s="7"/>
    </row>
    <row r="553" spans="2:81">
      <c r="B553" s="6"/>
      <c r="Z553" s="1" t="s">
        <v>250</v>
      </c>
      <c r="AC553" s="66">
        <f>3*AK537/4</f>
        <v>3.75</v>
      </c>
      <c r="AD553" s="66"/>
      <c r="AE553" s="66"/>
      <c r="AF553" s="1" t="s">
        <v>252</v>
      </c>
      <c r="AG553" s="9"/>
      <c r="AJ553" s="9"/>
      <c r="AK553" s="21"/>
      <c r="AM553" s="9"/>
      <c r="AP553" s="9"/>
      <c r="AW553" s="9"/>
      <c r="CC553" s="7"/>
    </row>
    <row r="554" spans="2:81">
      <c r="B554" s="6"/>
      <c r="J554" s="66">
        <f>+BY560</f>
        <v>76.740143369175627</v>
      </c>
      <c r="K554" s="66"/>
      <c r="L554" s="66"/>
      <c r="Q554" s="66">
        <f>+J530+P552-N536-J554</f>
        <v>82.259856630824373</v>
      </c>
      <c r="R554" s="66"/>
      <c r="S554" s="66"/>
      <c r="Z554" s="1" t="s">
        <v>251</v>
      </c>
      <c r="AB554" s="66">
        <f>+AB552</f>
        <v>10</v>
      </c>
      <c r="AC554" s="66"/>
      <c r="AD554" s="9" t="s">
        <v>5</v>
      </c>
      <c r="AE554" s="66">
        <f>+AE552</f>
        <v>5</v>
      </c>
      <c r="AF554" s="66"/>
      <c r="AG554" s="9" t="s">
        <v>5</v>
      </c>
      <c r="AH554" s="66">
        <f>+AC553</f>
        <v>3.75</v>
      </c>
      <c r="AI554" s="66"/>
      <c r="AJ554" s="1" t="s">
        <v>173</v>
      </c>
      <c r="AK554" s="1">
        <v>2</v>
      </c>
      <c r="AL554" s="9" t="s">
        <v>6</v>
      </c>
      <c r="AM554" s="66">
        <f>+AM552</f>
        <v>10</v>
      </c>
      <c r="AN554" s="66"/>
      <c r="AO554" s="9" t="s">
        <v>5</v>
      </c>
      <c r="AP554" s="66">
        <f>+AC553</f>
        <v>3.75</v>
      </c>
      <c r="AQ554" s="66"/>
      <c r="AR554" s="1" t="s">
        <v>254</v>
      </c>
      <c r="AS554" s="66">
        <v>2</v>
      </c>
      <c r="AT554" s="66"/>
      <c r="AU554" s="9" t="s">
        <v>7</v>
      </c>
      <c r="AV554" s="66">
        <f>AB554*AE554*AH554/AK554-AM554*AP554^2/AS554</f>
        <v>23.4375</v>
      </c>
      <c r="AW554" s="66"/>
      <c r="AX554" s="66"/>
      <c r="AY554" s="1" t="s">
        <v>191</v>
      </c>
      <c r="CC554" s="7"/>
    </row>
    <row r="555" spans="2:81">
      <c r="B555" s="6"/>
      <c r="Z555" s="1" t="s">
        <v>300</v>
      </c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R555" s="9"/>
      <c r="AS555" s="9"/>
      <c r="AT555" s="9"/>
      <c r="AU555" s="9"/>
      <c r="AV555" s="9"/>
      <c r="AW555" s="9"/>
      <c r="AX555" s="9"/>
      <c r="AY555" s="9"/>
      <c r="BA555" s="9"/>
      <c r="BB555" s="9"/>
      <c r="BC555" s="9"/>
      <c r="BD555" s="9"/>
      <c r="BE555" s="9"/>
      <c r="BF555" s="9"/>
      <c r="BG555" s="9"/>
      <c r="BH555" s="9"/>
      <c r="BJ555" s="9"/>
      <c r="BK555" s="9"/>
      <c r="CC555" s="7"/>
    </row>
    <row r="556" spans="2:81">
      <c r="B556" s="6"/>
      <c r="Z556" s="1" t="s">
        <v>301</v>
      </c>
      <c r="AB556" s="66">
        <v>12.5</v>
      </c>
      <c r="AC556" s="66"/>
      <c r="AD556" s="9" t="s">
        <v>5</v>
      </c>
      <c r="AE556" s="66">
        <f>+AV548</f>
        <v>31.25</v>
      </c>
      <c r="AF556" s="66"/>
      <c r="AG556" s="66"/>
      <c r="AH556" s="9" t="s">
        <v>275</v>
      </c>
      <c r="AI556" s="66">
        <v>2.5</v>
      </c>
      <c r="AJ556" s="66"/>
      <c r="AK556" s="9" t="s">
        <v>5</v>
      </c>
      <c r="AL556" s="66">
        <f>+AE556</f>
        <v>31.25</v>
      </c>
      <c r="AM556" s="66"/>
      <c r="AN556" s="66"/>
      <c r="AO556" s="9" t="s">
        <v>9</v>
      </c>
      <c r="AP556" s="9">
        <v>3</v>
      </c>
      <c r="AQ556" s="9" t="s">
        <v>5</v>
      </c>
      <c r="AR556" s="66">
        <f>+AV552</f>
        <v>23.4375</v>
      </c>
      <c r="AS556" s="66"/>
      <c r="AT556" s="66"/>
      <c r="AU556" s="9" t="s">
        <v>9</v>
      </c>
      <c r="AV556" s="9">
        <v>4</v>
      </c>
      <c r="AW556" s="9" t="s">
        <v>5</v>
      </c>
      <c r="AX556" s="66">
        <f>+AD550</f>
        <v>31.25</v>
      </c>
      <c r="AY556" s="66"/>
      <c r="AZ556" s="66"/>
      <c r="BA556" s="9" t="s">
        <v>9</v>
      </c>
      <c r="BB556" s="9">
        <v>3</v>
      </c>
      <c r="BC556" s="9" t="s">
        <v>5</v>
      </c>
      <c r="BD556" s="66">
        <f>+AV554</f>
        <v>23.4375</v>
      </c>
      <c r="BE556" s="66"/>
      <c r="BF556" s="66"/>
      <c r="BG556" s="9" t="s">
        <v>201</v>
      </c>
      <c r="BH556" s="66">
        <f>AB556*AE556/(AI556*AL556+AP556*AR556+AV556*AX556+BB556*BD556)</f>
        <v>1.1363636363636365</v>
      </c>
      <c r="BI556" s="66"/>
      <c r="BJ556" s="66"/>
      <c r="BK556" s="9"/>
      <c r="CC556" s="7"/>
    </row>
    <row r="557" spans="2:81">
      <c r="B557" s="6"/>
      <c r="Z557" s="23" t="s">
        <v>295</v>
      </c>
      <c r="CC557" s="7"/>
    </row>
    <row r="558" spans="2:81">
      <c r="B558" s="6"/>
      <c r="Z558" s="1" t="s">
        <v>38</v>
      </c>
      <c r="AB558" s="67">
        <v>200000</v>
      </c>
      <c r="AC558" s="67"/>
      <c r="AD558" s="67"/>
      <c r="AE558" s="67"/>
      <c r="AF558" s="1" t="s">
        <v>39</v>
      </c>
      <c r="AI558" s="1" t="s">
        <v>302</v>
      </c>
      <c r="CC558" s="7"/>
    </row>
    <row r="559" spans="2:81">
      <c r="B559" s="6"/>
      <c r="Z559" s="1" t="s">
        <v>273</v>
      </c>
      <c r="AC559" s="66">
        <f>+X540</f>
        <v>400</v>
      </c>
      <c r="AD559" s="66"/>
      <c r="AE559" s="9" t="s">
        <v>5</v>
      </c>
      <c r="AF559" s="66">
        <f>+N536</f>
        <v>15</v>
      </c>
      <c r="AG559" s="66"/>
      <c r="AH559" s="9" t="s">
        <v>9</v>
      </c>
      <c r="AI559" s="66">
        <f>+J530-2*N536</f>
        <v>53</v>
      </c>
      <c r="AJ559" s="66"/>
      <c r="AK559" s="9" t="s">
        <v>5</v>
      </c>
      <c r="AL559" s="66">
        <f>+J532</f>
        <v>15</v>
      </c>
      <c r="AM559" s="66"/>
      <c r="AN559" s="9" t="s">
        <v>9</v>
      </c>
      <c r="AO559" s="66">
        <f>+E533</f>
        <v>22</v>
      </c>
      <c r="AP559" s="66"/>
      <c r="AQ559" s="9" t="s">
        <v>5</v>
      </c>
      <c r="AR559" s="66">
        <f>+H536</f>
        <v>15</v>
      </c>
      <c r="AS559" s="66"/>
      <c r="AT559" s="9" t="s">
        <v>9</v>
      </c>
      <c r="AU559" s="66">
        <f>+P552-2*T543</f>
        <v>61</v>
      </c>
      <c r="AV559" s="66"/>
      <c r="AW559" s="9" t="s">
        <v>5</v>
      </c>
      <c r="AX559" s="66">
        <f>+Q549</f>
        <v>15</v>
      </c>
      <c r="AY559" s="66"/>
      <c r="AZ559" s="9" t="s">
        <v>9</v>
      </c>
      <c r="BA559" s="66">
        <f>+V548</f>
        <v>22</v>
      </c>
      <c r="BB559" s="66"/>
      <c r="BC559" s="9" t="s">
        <v>5</v>
      </c>
      <c r="BD559" s="66">
        <f>+T543</f>
        <v>15</v>
      </c>
      <c r="BE559" s="66"/>
      <c r="BF559" s="1" t="s">
        <v>7</v>
      </c>
      <c r="BG559" s="66">
        <f>AC559*AF559+AI559*AL559+AO559*AR559+AU559*AX559+BA559*BD559</f>
        <v>8370</v>
      </c>
      <c r="BH559" s="66"/>
      <c r="BI559" s="66"/>
      <c r="BJ559" s="1" t="s">
        <v>41</v>
      </c>
      <c r="CC559" s="7"/>
    </row>
    <row r="560" spans="2:81">
      <c r="B560" s="6"/>
      <c r="Z560" s="1" t="s">
        <v>267</v>
      </c>
      <c r="AB560" s="66">
        <f>+X540</f>
        <v>400</v>
      </c>
      <c r="AC560" s="66"/>
      <c r="AD560" s="9" t="s">
        <v>5</v>
      </c>
      <c r="AE560" s="66">
        <f>+N536</f>
        <v>15</v>
      </c>
      <c r="AF560" s="66"/>
      <c r="AG560" s="9" t="s">
        <v>5</v>
      </c>
      <c r="AH560" s="66">
        <f>+J530-N536/2</f>
        <v>75.5</v>
      </c>
      <c r="AI560" s="66"/>
      <c r="AJ560" s="9" t="s">
        <v>9</v>
      </c>
      <c r="AK560" s="66">
        <f>+J530-2*N536</f>
        <v>53</v>
      </c>
      <c r="AL560" s="66"/>
      <c r="AM560" s="9" t="s">
        <v>5</v>
      </c>
      <c r="AN560" s="66">
        <f>+J532</f>
        <v>15</v>
      </c>
      <c r="AO560" s="66"/>
      <c r="AP560" s="9" t="s">
        <v>5</v>
      </c>
      <c r="AQ560" s="66">
        <f>+H536+(J530-2*N536)/2</f>
        <v>41.5</v>
      </c>
      <c r="AR560" s="66"/>
      <c r="AS560" s="9" t="s">
        <v>9</v>
      </c>
      <c r="AT560" s="66">
        <f>+E533</f>
        <v>22</v>
      </c>
      <c r="AU560" s="66"/>
      <c r="AV560" s="9" t="s">
        <v>5</v>
      </c>
      <c r="AW560" s="66">
        <f>+H536</f>
        <v>15</v>
      </c>
      <c r="AX560" s="66"/>
      <c r="AY560" s="9" t="s">
        <v>5</v>
      </c>
      <c r="AZ560" s="66">
        <f>+H536/2</f>
        <v>7.5</v>
      </c>
      <c r="BA560" s="66"/>
      <c r="BB560" s="9" t="s">
        <v>9</v>
      </c>
      <c r="BC560" s="66">
        <f>+P552-2*T543</f>
        <v>61</v>
      </c>
      <c r="BD560" s="66"/>
      <c r="BE560" s="9" t="s">
        <v>5</v>
      </c>
      <c r="BF560" s="66">
        <f>+Q549</f>
        <v>15</v>
      </c>
      <c r="BG560" s="66"/>
      <c r="BH560" s="9" t="s">
        <v>5</v>
      </c>
      <c r="BI560" s="66">
        <f>+J530+(P552-2*T543)/2</f>
        <v>113.5</v>
      </c>
      <c r="BJ560" s="66"/>
      <c r="BK560" s="9" t="s">
        <v>9</v>
      </c>
      <c r="BL560" s="66">
        <f>+V548</f>
        <v>22</v>
      </c>
      <c r="BM560" s="66"/>
      <c r="BN560" s="9" t="s">
        <v>5</v>
      </c>
      <c r="BO560" s="66">
        <f>+T543</f>
        <v>15</v>
      </c>
      <c r="BP560" s="66"/>
      <c r="BQ560" s="9" t="s">
        <v>5</v>
      </c>
      <c r="BR560" s="66">
        <f>+J530-N536+P552-T543/2</f>
        <v>151.5</v>
      </c>
      <c r="BS560" s="66"/>
      <c r="BT560" s="1" t="s">
        <v>287</v>
      </c>
      <c r="BU560" s="66">
        <f>+BG559</f>
        <v>8370</v>
      </c>
      <c r="BV560" s="66"/>
      <c r="BW560" s="66"/>
      <c r="BX560" s="9" t="s">
        <v>7</v>
      </c>
      <c r="BY560" s="66">
        <f>(AB560*AE560*AH560+AK560*AN560*AQ560+AT560*AW560*AZ560+BC560*BF560*BI560+BL560*BO560*BR560)/BU560</f>
        <v>76.740143369175627</v>
      </c>
      <c r="BZ560" s="66"/>
      <c r="CA560" s="66"/>
      <c r="CB560" s="1" t="s">
        <v>41</v>
      </c>
      <c r="CC560" s="7"/>
    </row>
    <row r="561" spans="2:81">
      <c r="B561" s="6"/>
      <c r="Z561" s="1" t="s">
        <v>35</v>
      </c>
      <c r="AB561" s="66">
        <f>+AB560</f>
        <v>400</v>
      </c>
      <c r="AC561" s="66"/>
      <c r="AD561" s="9" t="s">
        <v>5</v>
      </c>
      <c r="AE561" s="66">
        <f>+AE560</f>
        <v>15</v>
      </c>
      <c r="AF561" s="66"/>
      <c r="AG561" s="9" t="s">
        <v>5</v>
      </c>
      <c r="AH561" s="66">
        <f>+X540/2</f>
        <v>200</v>
      </c>
      <c r="AI561" s="66"/>
      <c r="AJ561" s="9" t="s">
        <v>9</v>
      </c>
      <c r="AK561" s="66">
        <f>+AK560</f>
        <v>53</v>
      </c>
      <c r="AL561" s="66"/>
      <c r="AM561" s="9" t="s">
        <v>5</v>
      </c>
      <c r="AN561" s="66">
        <f>+AN560</f>
        <v>15</v>
      </c>
      <c r="AO561" s="66"/>
      <c r="AP561" s="9" t="s">
        <v>5</v>
      </c>
      <c r="AQ561" s="66">
        <f>+J532/2</f>
        <v>7.5</v>
      </c>
      <c r="AR561" s="66"/>
      <c r="AS561" s="9" t="s">
        <v>9</v>
      </c>
      <c r="AT561" s="66">
        <f>+AT560</f>
        <v>22</v>
      </c>
      <c r="AU561" s="66"/>
      <c r="AV561" s="9" t="s">
        <v>5</v>
      </c>
      <c r="AW561" s="66">
        <f>+AW560</f>
        <v>15</v>
      </c>
      <c r="AX561" s="66"/>
      <c r="AY561" s="9" t="s">
        <v>5</v>
      </c>
      <c r="AZ561" s="66">
        <f>+E533/2</f>
        <v>11</v>
      </c>
      <c r="BA561" s="66"/>
      <c r="BB561" s="9" t="s">
        <v>9</v>
      </c>
      <c r="BC561" s="66">
        <f>+BC560</f>
        <v>61</v>
      </c>
      <c r="BD561" s="66"/>
      <c r="BE561" s="9" t="s">
        <v>5</v>
      </c>
      <c r="BF561" s="66">
        <f>+BF560</f>
        <v>15</v>
      </c>
      <c r="BG561" s="66"/>
      <c r="BH561" s="9" t="s">
        <v>5</v>
      </c>
      <c r="BI561" s="66">
        <f>+X540-Q549/2</f>
        <v>392.5</v>
      </c>
      <c r="BJ561" s="66"/>
      <c r="BK561" s="9" t="s">
        <v>9</v>
      </c>
      <c r="BL561" s="66">
        <f>+BL560</f>
        <v>22</v>
      </c>
      <c r="BM561" s="66"/>
      <c r="BN561" s="9" t="s">
        <v>5</v>
      </c>
      <c r="BO561" s="66">
        <f>+BO560</f>
        <v>15</v>
      </c>
      <c r="BP561" s="66"/>
      <c r="BQ561" s="9" t="s">
        <v>5</v>
      </c>
      <c r="BR561" s="66">
        <f>+X540-V548/2</f>
        <v>389</v>
      </c>
      <c r="BS561" s="66"/>
      <c r="BT561" s="1" t="s">
        <v>287</v>
      </c>
      <c r="BU561" s="66">
        <f>+BU560</f>
        <v>8370</v>
      </c>
      <c r="BV561" s="66"/>
      <c r="BW561" s="66"/>
      <c r="BX561" s="9" t="s">
        <v>7</v>
      </c>
      <c r="BY561" s="66">
        <f>(AB561*AE561*AH561+AK561*AN561*AQ561+AT561*AW561*AZ561+BC561*BF561*BI561+BL561*BO561*BR561)/BU561</f>
        <v>202.75985663082437</v>
      </c>
      <c r="BZ561" s="66"/>
      <c r="CA561" s="66"/>
      <c r="CB561" s="1" t="s">
        <v>41</v>
      </c>
      <c r="CC561" s="7"/>
    </row>
    <row r="562" spans="2:81">
      <c r="B562" s="6"/>
      <c r="Z562" s="10" t="s">
        <v>36</v>
      </c>
      <c r="AB562" s="66">
        <f>+N536</f>
        <v>15</v>
      </c>
      <c r="AC562" s="66"/>
      <c r="AD562" s="9" t="s">
        <v>5</v>
      </c>
      <c r="AE562" s="66">
        <f>+X540</f>
        <v>400</v>
      </c>
      <c r="AF562" s="66"/>
      <c r="AG562" s="1" t="s">
        <v>30</v>
      </c>
      <c r="AH562" s="66">
        <v>12</v>
      </c>
      <c r="AI562" s="66"/>
      <c r="AJ562" s="9" t="s">
        <v>9</v>
      </c>
      <c r="AK562" s="66">
        <f t="shared" ref="AK562:AK567" si="0">+AB562</f>
        <v>15</v>
      </c>
      <c r="AL562" s="66"/>
      <c r="AM562" s="9" t="s">
        <v>5</v>
      </c>
      <c r="AN562" s="66">
        <f t="shared" ref="AN562:AN567" si="1">+AE562</f>
        <v>400</v>
      </c>
      <c r="AO562" s="66"/>
      <c r="AP562" s="9" t="s">
        <v>5</v>
      </c>
      <c r="AQ562" s="66">
        <f>+C536-X540/2</f>
        <v>2.7598566308243733</v>
      </c>
      <c r="AR562" s="66"/>
      <c r="AS562" s="1" t="s">
        <v>288</v>
      </c>
      <c r="AT562" s="66">
        <f>+J530-2*N536</f>
        <v>53</v>
      </c>
      <c r="AU562" s="66"/>
      <c r="AV562" s="9" t="s">
        <v>5</v>
      </c>
      <c r="AW562" s="66">
        <f>+J532</f>
        <v>15</v>
      </c>
      <c r="AX562" s="66"/>
      <c r="AY562" s="1" t="s">
        <v>30</v>
      </c>
      <c r="AZ562" s="66">
        <v>12</v>
      </c>
      <c r="BA562" s="66"/>
      <c r="BB562" s="9" t="s">
        <v>9</v>
      </c>
      <c r="BC562" s="66">
        <f>+AT562</f>
        <v>53</v>
      </c>
      <c r="BD562" s="66"/>
      <c r="BE562" s="9" t="s">
        <v>5</v>
      </c>
      <c r="BF562" s="66">
        <f>+AW562</f>
        <v>15</v>
      </c>
      <c r="BG562" s="66"/>
      <c r="BH562" s="9" t="s">
        <v>5</v>
      </c>
      <c r="BI562" s="66">
        <f>+C536-J532/2</f>
        <v>195.25985663082437</v>
      </c>
      <c r="BJ562" s="66"/>
      <c r="BK562" s="9" t="s">
        <v>288</v>
      </c>
      <c r="CC562" s="7"/>
    </row>
    <row r="563" spans="2:81">
      <c r="B563" s="6"/>
      <c r="AA563" s="9" t="s">
        <v>9</v>
      </c>
      <c r="AB563" s="66">
        <f>+H536</f>
        <v>15</v>
      </c>
      <c r="AC563" s="66"/>
      <c r="AD563" s="9" t="s">
        <v>5</v>
      </c>
      <c r="AE563" s="66">
        <f>+E533</f>
        <v>22</v>
      </c>
      <c r="AF563" s="66"/>
      <c r="AG563" s="1" t="s">
        <v>30</v>
      </c>
      <c r="AH563" s="66">
        <v>12</v>
      </c>
      <c r="AI563" s="66"/>
      <c r="AJ563" s="9" t="s">
        <v>9</v>
      </c>
      <c r="AK563" s="66">
        <f t="shared" si="0"/>
        <v>15</v>
      </c>
      <c r="AL563" s="66"/>
      <c r="AM563" s="9" t="s">
        <v>5</v>
      </c>
      <c r="AN563" s="66">
        <f t="shared" si="1"/>
        <v>22</v>
      </c>
      <c r="AO563" s="66"/>
      <c r="AP563" s="9" t="s">
        <v>5</v>
      </c>
      <c r="AQ563" s="66">
        <f>+C536-E533/2</f>
        <v>191.75985663082437</v>
      </c>
      <c r="AR563" s="66"/>
      <c r="AS563" s="9" t="s">
        <v>288</v>
      </c>
      <c r="AT563" s="66">
        <f>+P552-2*N536</f>
        <v>61</v>
      </c>
      <c r="AU563" s="66"/>
      <c r="AV563" s="9" t="s">
        <v>5</v>
      </c>
      <c r="AW563" s="66">
        <f>+Q549</f>
        <v>15</v>
      </c>
      <c r="AX563" s="66"/>
      <c r="AY563" s="1" t="s">
        <v>30</v>
      </c>
      <c r="AZ563" s="66">
        <v>12</v>
      </c>
      <c r="BA563" s="66"/>
      <c r="BB563" s="9" t="s">
        <v>9</v>
      </c>
      <c r="BC563" s="66">
        <f>+AT563</f>
        <v>61</v>
      </c>
      <c r="BD563" s="66"/>
      <c r="BE563" s="9" t="s">
        <v>5</v>
      </c>
      <c r="BF563" s="66">
        <f>+AW563</f>
        <v>15</v>
      </c>
      <c r="BG563" s="66"/>
      <c r="BH563" s="9" t="s">
        <v>5</v>
      </c>
      <c r="BI563" s="66">
        <f>+C546-Q549/2</f>
        <v>189.74014336917563</v>
      </c>
      <c r="BJ563" s="66"/>
      <c r="BK563" s="9" t="s">
        <v>288</v>
      </c>
      <c r="CC563" s="7"/>
    </row>
    <row r="564" spans="2:81">
      <c r="B564" s="6"/>
      <c r="AA564" s="9" t="s">
        <v>9</v>
      </c>
      <c r="AB564" s="66">
        <f>+T543</f>
        <v>15</v>
      </c>
      <c r="AC564" s="66"/>
      <c r="AD564" s="9" t="s">
        <v>5</v>
      </c>
      <c r="AE564" s="66">
        <f>+V548</f>
        <v>22</v>
      </c>
      <c r="AF564" s="66"/>
      <c r="AG564" s="1" t="s">
        <v>30</v>
      </c>
      <c r="AH564" s="66">
        <v>12</v>
      </c>
      <c r="AI564" s="66"/>
      <c r="AJ564" s="9" t="s">
        <v>9</v>
      </c>
      <c r="AK564" s="66">
        <f t="shared" si="0"/>
        <v>15</v>
      </c>
      <c r="AL564" s="66"/>
      <c r="AM564" s="9" t="s">
        <v>5</v>
      </c>
      <c r="AN564" s="66">
        <f t="shared" si="1"/>
        <v>22</v>
      </c>
      <c r="AO564" s="66"/>
      <c r="AP564" s="9" t="s">
        <v>5</v>
      </c>
      <c r="AQ564" s="66">
        <f>+C546-V548/2</f>
        <v>186.24014336917563</v>
      </c>
      <c r="AR564" s="66"/>
      <c r="AS564" s="9" t="s">
        <v>289</v>
      </c>
      <c r="AT564" s="66">
        <f>AB562*AE562^3/AH562+AK562*AN562*AQ562^2+AT562*AW562^3/AZ562+BC562*BF562*BI562^2+AB563*AE563^3/AH563+AK563*AN563*AQ563^2+AT563*AW563^3/AZ563+BC563*BF563*BI563^2+AB564*AE564^3/AH564+AK564*AN564*AQ564^2</f>
        <v>166936977.31182796</v>
      </c>
      <c r="AU564" s="66"/>
      <c r="AV564" s="66"/>
      <c r="AW564" s="66"/>
      <c r="AX564" s="66"/>
      <c r="AY564" s="1" t="s">
        <v>270</v>
      </c>
      <c r="CC564" s="7"/>
    </row>
    <row r="565" spans="2:81">
      <c r="B565" s="6"/>
      <c r="Z565" s="10" t="s">
        <v>271</v>
      </c>
      <c r="AB565" s="66">
        <f>+AE562</f>
        <v>400</v>
      </c>
      <c r="AC565" s="66"/>
      <c r="AD565" s="9" t="s">
        <v>5</v>
      </c>
      <c r="AE565" s="66">
        <f>+AB562</f>
        <v>15</v>
      </c>
      <c r="AF565" s="66"/>
      <c r="AG565" s="1" t="s">
        <v>30</v>
      </c>
      <c r="AH565" s="66">
        <v>12</v>
      </c>
      <c r="AI565" s="66"/>
      <c r="AJ565" s="9" t="s">
        <v>9</v>
      </c>
      <c r="AK565" s="66">
        <f t="shared" si="0"/>
        <v>400</v>
      </c>
      <c r="AL565" s="66"/>
      <c r="AM565" s="9" t="s">
        <v>5</v>
      </c>
      <c r="AN565" s="66">
        <f t="shared" si="1"/>
        <v>15</v>
      </c>
      <c r="AO565" s="66"/>
      <c r="AP565" s="9" t="s">
        <v>5</v>
      </c>
      <c r="AQ565" s="66">
        <f>+J554-J530+N536/2</f>
        <v>1.2401433691756267</v>
      </c>
      <c r="AR565" s="66"/>
      <c r="AS565" s="1" t="s">
        <v>288</v>
      </c>
      <c r="AT565" s="66">
        <f>+AW562</f>
        <v>15</v>
      </c>
      <c r="AU565" s="66"/>
      <c r="AV565" s="9" t="s">
        <v>5</v>
      </c>
      <c r="AW565" s="66">
        <f>+AT562</f>
        <v>53</v>
      </c>
      <c r="AX565" s="66"/>
      <c r="AY565" s="1" t="s">
        <v>30</v>
      </c>
      <c r="AZ565" s="66">
        <v>12</v>
      </c>
      <c r="BA565" s="66"/>
      <c r="BB565" s="9" t="s">
        <v>9</v>
      </c>
      <c r="BC565" s="66">
        <f>+AT565</f>
        <v>15</v>
      </c>
      <c r="BD565" s="66"/>
      <c r="BE565" s="9" t="s">
        <v>5</v>
      </c>
      <c r="BF565" s="66">
        <f>+AW565</f>
        <v>53</v>
      </c>
      <c r="BG565" s="66"/>
      <c r="BH565" s="9" t="s">
        <v>5</v>
      </c>
      <c r="BI565" s="66">
        <f>+J554-H536-(J530-2*N536)/2</f>
        <v>35.240143369175627</v>
      </c>
      <c r="BJ565" s="66"/>
      <c r="BK565" s="9" t="s">
        <v>288</v>
      </c>
      <c r="CC565" s="7"/>
    </row>
    <row r="566" spans="2:81">
      <c r="B566" s="6"/>
      <c r="AA566" s="9" t="s">
        <v>9</v>
      </c>
      <c r="AB566" s="66">
        <f>+AE563</f>
        <v>22</v>
      </c>
      <c r="AC566" s="66"/>
      <c r="AD566" s="9" t="s">
        <v>5</v>
      </c>
      <c r="AE566" s="66">
        <f>+AB563</f>
        <v>15</v>
      </c>
      <c r="AF566" s="66"/>
      <c r="AG566" s="1" t="s">
        <v>30</v>
      </c>
      <c r="AH566" s="66">
        <v>12</v>
      </c>
      <c r="AI566" s="66"/>
      <c r="AJ566" s="9" t="s">
        <v>9</v>
      </c>
      <c r="AK566" s="66">
        <f t="shared" si="0"/>
        <v>22</v>
      </c>
      <c r="AL566" s="66"/>
      <c r="AM566" s="9" t="s">
        <v>5</v>
      </c>
      <c r="AN566" s="66">
        <f t="shared" si="1"/>
        <v>15</v>
      </c>
      <c r="AO566" s="66"/>
      <c r="AP566" s="9" t="s">
        <v>5</v>
      </c>
      <c r="AQ566" s="66">
        <f>+J554-H536/2</f>
        <v>69.240143369175627</v>
      </c>
      <c r="AR566" s="66"/>
      <c r="AS566" s="9" t="s">
        <v>288</v>
      </c>
      <c r="AT566" s="66">
        <f>+AW563</f>
        <v>15</v>
      </c>
      <c r="AU566" s="66"/>
      <c r="AV566" s="9" t="s">
        <v>5</v>
      </c>
      <c r="AW566" s="66">
        <f>+AT563</f>
        <v>61</v>
      </c>
      <c r="AX566" s="66"/>
      <c r="AY566" s="1" t="s">
        <v>30</v>
      </c>
      <c r="AZ566" s="66">
        <v>12</v>
      </c>
      <c r="BA566" s="66"/>
      <c r="BB566" s="9" t="s">
        <v>9</v>
      </c>
      <c r="BC566" s="66">
        <f>+AT566</f>
        <v>15</v>
      </c>
      <c r="BD566" s="66"/>
      <c r="BE566" s="9" t="s">
        <v>5</v>
      </c>
      <c r="BF566" s="66">
        <f>+AW566</f>
        <v>61</v>
      </c>
      <c r="BG566" s="66"/>
      <c r="BH566" s="9" t="s">
        <v>5</v>
      </c>
      <c r="BI566" s="66">
        <f>+Q554-T543-(P552-2*T543)/2</f>
        <v>36.759856630824373</v>
      </c>
      <c r="BJ566" s="66"/>
      <c r="BK566" s="9" t="s">
        <v>288</v>
      </c>
      <c r="CC566" s="7"/>
    </row>
    <row r="567" spans="2:81">
      <c r="B567" s="6"/>
      <c r="AA567" s="9" t="s">
        <v>9</v>
      </c>
      <c r="AB567" s="66">
        <f>+AE564</f>
        <v>22</v>
      </c>
      <c r="AC567" s="66"/>
      <c r="AD567" s="9" t="s">
        <v>5</v>
      </c>
      <c r="AE567" s="66">
        <f>+AB564</f>
        <v>15</v>
      </c>
      <c r="AF567" s="66"/>
      <c r="AG567" s="1" t="s">
        <v>30</v>
      </c>
      <c r="AH567" s="66">
        <v>12</v>
      </c>
      <c r="AI567" s="66"/>
      <c r="AJ567" s="9" t="s">
        <v>9</v>
      </c>
      <c r="AK567" s="66">
        <f t="shared" si="0"/>
        <v>22</v>
      </c>
      <c r="AL567" s="66"/>
      <c r="AM567" s="9" t="s">
        <v>5</v>
      </c>
      <c r="AN567" s="66">
        <f t="shared" si="1"/>
        <v>15</v>
      </c>
      <c r="AO567" s="66"/>
      <c r="AP567" s="9" t="s">
        <v>5</v>
      </c>
      <c r="AQ567" s="66">
        <f>+Q554-T543/2</f>
        <v>74.759856630824373</v>
      </c>
      <c r="AR567" s="66"/>
      <c r="AS567" s="9" t="s">
        <v>289</v>
      </c>
      <c r="AT567" s="66">
        <f>AB565*AE565^3/AH565+AK565*AN565*AQ565^2+AT565*AW565^3/AZ565+BC565*BF565*BI565^2+AB566*AE566^3/AH566+AK566*AN566*AQ566^2+AT566*AW566^3/AZ566+BC566*BF566*BI566^2+AB567*AE567^3/AH567+AK567*AN567*AQ567^2</f>
        <v>6254104.8118279567</v>
      </c>
      <c r="AU567" s="66"/>
      <c r="AV567" s="66"/>
      <c r="AW567" s="66"/>
      <c r="AX567" s="66"/>
      <c r="AY567" s="1" t="s">
        <v>270</v>
      </c>
      <c r="CC567" s="7"/>
    </row>
    <row r="568" spans="2:81">
      <c r="B568" s="6"/>
      <c r="Z568" s="10" t="s">
        <v>276</v>
      </c>
      <c r="AB568" s="66">
        <f>+X540</f>
        <v>400</v>
      </c>
      <c r="AC568" s="66"/>
      <c r="AD568" s="9" t="s">
        <v>5</v>
      </c>
      <c r="AE568" s="66">
        <f>+N536</f>
        <v>15</v>
      </c>
      <c r="AF568" s="66"/>
      <c r="AG568" s="9" t="s">
        <v>5</v>
      </c>
      <c r="AH568" s="66">
        <f>-(C536-X540/2)</f>
        <v>-2.7598566308243733</v>
      </c>
      <c r="AI568" s="66"/>
      <c r="AJ568" s="9" t="s">
        <v>5</v>
      </c>
      <c r="AK568" s="66">
        <f>+J554-J530+N536/2</f>
        <v>1.2401433691756267</v>
      </c>
      <c r="AL568" s="66"/>
      <c r="AM568" s="9" t="s">
        <v>9</v>
      </c>
      <c r="AN568" s="66">
        <f>+J530-2*N536</f>
        <v>53</v>
      </c>
      <c r="AO568" s="66"/>
      <c r="AP568" s="9" t="s">
        <v>5</v>
      </c>
      <c r="AQ568" s="66">
        <f>+J532</f>
        <v>15</v>
      </c>
      <c r="AR568" s="66"/>
      <c r="AS568" s="9" t="s">
        <v>5</v>
      </c>
      <c r="AT568" s="66">
        <f>-(C536-J532/2)</f>
        <v>-195.25985663082437</v>
      </c>
      <c r="AU568" s="66"/>
      <c r="AV568" s="9" t="s">
        <v>5</v>
      </c>
      <c r="AW568" s="66">
        <f>+J554-H536-(J530-2*N536)/2</f>
        <v>35.240143369175627</v>
      </c>
      <c r="AX568" s="66"/>
      <c r="AY568" s="9" t="s">
        <v>9</v>
      </c>
      <c r="AZ568" s="66">
        <f>+E533</f>
        <v>22</v>
      </c>
      <c r="BA568" s="66"/>
      <c r="BB568" s="9" t="s">
        <v>5</v>
      </c>
      <c r="BC568" s="66">
        <f>+H536</f>
        <v>15</v>
      </c>
      <c r="BD568" s="66"/>
      <c r="BE568" s="9" t="s">
        <v>5</v>
      </c>
      <c r="BF568" s="66">
        <f>-(C536-E533/2)</f>
        <v>-191.75985663082437</v>
      </c>
      <c r="BG568" s="66"/>
      <c r="BH568" s="9" t="s">
        <v>5</v>
      </c>
      <c r="BI568" s="66">
        <f>+J554-H536/2</f>
        <v>69.240143369175627</v>
      </c>
      <c r="BJ568" s="66"/>
      <c r="BK568" s="9" t="s">
        <v>9</v>
      </c>
      <c r="BL568" s="66">
        <f>+P552-2*Q549</f>
        <v>61</v>
      </c>
      <c r="BM568" s="66"/>
      <c r="BN568" s="9" t="s">
        <v>5</v>
      </c>
      <c r="BO568" s="66">
        <f>+Q549</f>
        <v>15</v>
      </c>
      <c r="BP568" s="66"/>
      <c r="BQ568" s="9" t="s">
        <v>5</v>
      </c>
      <c r="BR568" s="66">
        <f>(C546-Q549/2)</f>
        <v>189.74014336917563</v>
      </c>
      <c r="BS568" s="66"/>
      <c r="BT568" s="9" t="s">
        <v>5</v>
      </c>
      <c r="BU568" s="66">
        <f>-(Q554-T543-(P552-2*T543)/2)</f>
        <v>-36.759856630824373</v>
      </c>
      <c r="BV568" s="66"/>
      <c r="BW568" s="9" t="s">
        <v>9</v>
      </c>
      <c r="CC568" s="7"/>
    </row>
    <row r="569" spans="2:81">
      <c r="B569" s="6"/>
      <c r="AA569" s="9" t="s">
        <v>9</v>
      </c>
      <c r="AB569" s="66">
        <f>+V548</f>
        <v>22</v>
      </c>
      <c r="AC569" s="66"/>
      <c r="AD569" s="9" t="s">
        <v>5</v>
      </c>
      <c r="AE569" s="66">
        <f>+T543</f>
        <v>15</v>
      </c>
      <c r="AF569" s="66"/>
      <c r="AG569" s="9" t="s">
        <v>5</v>
      </c>
      <c r="AH569" s="66">
        <f>(C546-V548/2)</f>
        <v>186.24014336917563</v>
      </c>
      <c r="AI569" s="66"/>
      <c r="AJ569" s="9" t="s">
        <v>5</v>
      </c>
      <c r="AK569" s="66">
        <f>-(Q554-T543/2)</f>
        <v>-74.759856630824373</v>
      </c>
      <c r="AL569" s="66"/>
      <c r="AM569" s="9" t="s">
        <v>7</v>
      </c>
      <c r="AN569" s="66">
        <f>AB568*AE568*AH568*AK568+AN568*AQ568*AT568*AW568+AZ568*BC568*BF568*BI568+BL568*BO568*BR568*BU568+AB569*AE569*AH569*AK569</f>
        <v>-20849132.688172042</v>
      </c>
      <c r="AO569" s="66"/>
      <c r="AP569" s="66"/>
      <c r="AQ569" s="66"/>
      <c r="AR569" s="66"/>
      <c r="AS569" s="1" t="s">
        <v>270</v>
      </c>
      <c r="CC569" s="7"/>
    </row>
    <row r="570" spans="2:81">
      <c r="B570" s="6"/>
      <c r="Z570" s="10" t="s">
        <v>274</v>
      </c>
      <c r="AI570" s="66">
        <f>+AT567</f>
        <v>6254104.8118279567</v>
      </c>
      <c r="AJ570" s="66"/>
      <c r="AK570" s="66"/>
      <c r="AL570" s="66"/>
      <c r="AM570" s="1" t="s">
        <v>275</v>
      </c>
      <c r="AN570" s="66">
        <f>+AB558</f>
        <v>200000</v>
      </c>
      <c r="AO570" s="66"/>
      <c r="AP570" s="66"/>
      <c r="AQ570" s="66"/>
      <c r="AR570" s="1" t="s">
        <v>14</v>
      </c>
      <c r="AS570" s="66">
        <f>+AT564</f>
        <v>166936977.31182796</v>
      </c>
      <c r="AT570" s="66"/>
      <c r="AU570" s="66"/>
      <c r="AV570" s="66"/>
      <c r="AW570" s="9" t="s">
        <v>5</v>
      </c>
      <c r="AX570" s="66">
        <f>+AT567</f>
        <v>6254104.8118279567</v>
      </c>
      <c r="AY570" s="66"/>
      <c r="AZ570" s="66"/>
      <c r="BA570" s="66"/>
      <c r="BB570" s="9" t="s">
        <v>6</v>
      </c>
      <c r="BC570" s="66">
        <f>+AN569</f>
        <v>-20849132.688172042</v>
      </c>
      <c r="BD570" s="66"/>
      <c r="BE570" s="66"/>
      <c r="BF570" s="66"/>
      <c r="BG570" s="66"/>
      <c r="BH570" s="1" t="s">
        <v>277</v>
      </c>
      <c r="BJ570" s="66">
        <f>AI570/(AN570*(AS570*AX570-BC570^2))</f>
        <v>5.1317414433887717E-14</v>
      </c>
      <c r="BK570" s="66"/>
      <c r="BL570" s="66"/>
      <c r="CC570" s="7"/>
    </row>
    <row r="571" spans="2:81">
      <c r="B571" s="6"/>
      <c r="Z571" s="10" t="s">
        <v>278</v>
      </c>
      <c r="AJ571" s="66">
        <f>+AN569</f>
        <v>-20849132.688172042</v>
      </c>
      <c r="AK571" s="66"/>
      <c r="AL571" s="66"/>
      <c r="AM571" s="66"/>
      <c r="AN571" s="66"/>
      <c r="AO571" s="1" t="s">
        <v>275</v>
      </c>
      <c r="AP571" s="66">
        <f>+AN570</f>
        <v>200000</v>
      </c>
      <c r="AQ571" s="66"/>
      <c r="AR571" s="66"/>
      <c r="AS571" s="66"/>
      <c r="AT571" s="1" t="s">
        <v>14</v>
      </c>
      <c r="AU571" s="66">
        <f>+AS570</f>
        <v>166936977.31182796</v>
      </c>
      <c r="AV571" s="66"/>
      <c r="AW571" s="66"/>
      <c r="AX571" s="66"/>
      <c r="AY571" s="9" t="s">
        <v>5</v>
      </c>
      <c r="AZ571" s="66">
        <f>+AX570</f>
        <v>6254104.8118279567</v>
      </c>
      <c r="BA571" s="66"/>
      <c r="BB571" s="66"/>
      <c r="BC571" s="66"/>
      <c r="BD571" s="9" t="s">
        <v>6</v>
      </c>
      <c r="BE571" s="66">
        <f>+BC570</f>
        <v>-20849132.688172042</v>
      </c>
      <c r="BF571" s="66"/>
      <c r="BG571" s="66"/>
      <c r="BH571" s="66"/>
      <c r="BI571" s="66"/>
      <c r="BJ571" s="1" t="s">
        <v>277</v>
      </c>
      <c r="BL571" s="66">
        <f>AJ571/(AP571*(AU571*AZ571-BE571^2))</f>
        <v>-1.7107541605675806E-13</v>
      </c>
      <c r="BM571" s="66"/>
      <c r="BN571" s="66"/>
      <c r="CC571" s="7"/>
    </row>
    <row r="572" spans="2:81">
      <c r="B572" s="6"/>
      <c r="Z572" s="1" t="s">
        <v>279</v>
      </c>
      <c r="AH572" s="1">
        <v>-5</v>
      </c>
      <c r="AI572" s="9" t="s">
        <v>5</v>
      </c>
      <c r="AJ572" s="66">
        <f>BL571</f>
        <v>-1.7107541605675806E-13</v>
      </c>
      <c r="AK572" s="66"/>
      <c r="AL572" s="66"/>
      <c r="AM572" s="9" t="s">
        <v>5</v>
      </c>
      <c r="AN572" s="66">
        <f>+AM530</f>
        <v>10</v>
      </c>
      <c r="AO572" s="66"/>
      <c r="AP572" s="9" t="s">
        <v>5</v>
      </c>
      <c r="AQ572" s="66">
        <f>+AK537*1000</f>
        <v>5000</v>
      </c>
      <c r="AR572" s="66"/>
      <c r="AS572" s="66"/>
      <c r="AT572" s="1" t="s">
        <v>186</v>
      </c>
      <c r="AU572" s="66">
        <v>384</v>
      </c>
      <c r="AV572" s="66"/>
      <c r="AW572" s="9" t="s">
        <v>7</v>
      </c>
      <c r="AX572" s="66">
        <f>+AH572*AJ572*AN572*AQ572^4/AU572</f>
        <v>13.922152999410649</v>
      </c>
      <c r="AY572" s="66"/>
      <c r="AZ572" s="66"/>
      <c r="BA572" s="1" t="s">
        <v>41</v>
      </c>
      <c r="BC572" s="1" t="s">
        <v>281</v>
      </c>
      <c r="CC572" s="7"/>
    </row>
    <row r="573" spans="2:81">
      <c r="B573" s="6"/>
      <c r="Z573" s="1" t="s">
        <v>280</v>
      </c>
      <c r="AH573" s="1">
        <v>5</v>
      </c>
      <c r="AI573" s="9" t="s">
        <v>5</v>
      </c>
      <c r="AJ573" s="66">
        <f>+BJ570</f>
        <v>5.1317414433887717E-14</v>
      </c>
      <c r="AK573" s="66"/>
      <c r="AL573" s="66"/>
      <c r="AM573" s="9" t="s">
        <v>5</v>
      </c>
      <c r="AN573" s="66">
        <f>+AN572</f>
        <v>10</v>
      </c>
      <c r="AO573" s="66"/>
      <c r="AP573" s="9" t="s">
        <v>5</v>
      </c>
      <c r="AQ573" s="66">
        <f>+AQ572</f>
        <v>5000</v>
      </c>
      <c r="AR573" s="66"/>
      <c r="AS573" s="66"/>
      <c r="AT573" s="1" t="s">
        <v>186</v>
      </c>
      <c r="AU573" s="66">
        <v>384</v>
      </c>
      <c r="AV573" s="66"/>
      <c r="AW573" s="9" t="s">
        <v>7</v>
      </c>
      <c r="AX573" s="66">
        <f>+AH573*AJ573*AN573*AQ573^4/AU573</f>
        <v>4.1762218777577891</v>
      </c>
      <c r="AY573" s="66"/>
      <c r="AZ573" s="66"/>
      <c r="BA573" s="1" t="s">
        <v>41</v>
      </c>
      <c r="BC573" s="1" t="s">
        <v>282</v>
      </c>
      <c r="CC573" s="7"/>
    </row>
    <row r="574" spans="2:81">
      <c r="B574" s="6"/>
      <c r="Z574" s="1" t="s">
        <v>286</v>
      </c>
      <c r="AH574" s="66">
        <f>+AK537*1000</f>
        <v>5000</v>
      </c>
      <c r="AI574" s="66"/>
      <c r="AJ574" s="66"/>
      <c r="AK574" s="1" t="s">
        <v>173</v>
      </c>
      <c r="AL574" s="66">
        <v>300</v>
      </c>
      <c r="AM574" s="66"/>
      <c r="AN574" s="9" t="s">
        <v>7</v>
      </c>
      <c r="AO574" s="66">
        <f>+AH574/AL574</f>
        <v>16.666666666666668</v>
      </c>
      <c r="AP574" s="66"/>
      <c r="AQ574" s="66"/>
      <c r="AR574" s="1" t="s">
        <v>41</v>
      </c>
      <c r="AU574" s="1" t="s">
        <v>192</v>
      </c>
      <c r="CC574" s="7"/>
    </row>
    <row r="575" spans="2:81">
      <c r="B575" s="6"/>
      <c r="Z575" s="1" t="s">
        <v>34</v>
      </c>
      <c r="AA575" s="66">
        <f>+AX572</f>
        <v>13.922152999410649</v>
      </c>
      <c r="AB575" s="66"/>
      <c r="AC575" s="66"/>
      <c r="AD575" s="1" t="s">
        <v>41</v>
      </c>
      <c r="AF575" s="1" t="str">
        <f>IF(AA575&lt;AJ575,"&lt;","&gt;")</f>
        <v>&lt;</v>
      </c>
      <c r="AG575" s="1" t="s">
        <v>174</v>
      </c>
      <c r="AJ575" s="66">
        <f>+AO574</f>
        <v>16.666666666666668</v>
      </c>
      <c r="AK575" s="66"/>
      <c r="AL575" s="66"/>
      <c r="AM575" s="1" t="s">
        <v>41</v>
      </c>
      <c r="AO575" s="8" t="str">
        <f>IF(AA575&lt;AJ575,"uygun.","uygun değil.")</f>
        <v>uygun.</v>
      </c>
      <c r="CC575" s="7"/>
    </row>
    <row r="576" spans="2:81">
      <c r="B576" s="6"/>
      <c r="Z576" s="1" t="s">
        <v>27</v>
      </c>
      <c r="AA576" s="66">
        <f>+AX573</f>
        <v>4.1762218777577891</v>
      </c>
      <c r="AB576" s="66"/>
      <c r="AC576" s="66"/>
      <c r="AD576" s="1" t="s">
        <v>41</v>
      </c>
      <c r="AF576" s="1" t="str">
        <f>IF(AA576&lt;AJ576,"&lt;","&gt;")</f>
        <v>&lt;</v>
      </c>
      <c r="AG576" s="1" t="s">
        <v>284</v>
      </c>
      <c r="AJ576" s="66">
        <f>+AJ575</f>
        <v>16.666666666666668</v>
      </c>
      <c r="AK576" s="66"/>
      <c r="AL576" s="66"/>
      <c r="AM576" s="1" t="s">
        <v>41</v>
      </c>
      <c r="AO576" s="8" t="str">
        <f>IF(AA576&lt;AJ576,"uygun.","uygun değil.")</f>
        <v>uygun.</v>
      </c>
      <c r="CC576" s="7"/>
    </row>
    <row r="577" spans="2:81" ht="12" thickBot="1">
      <c r="B577" s="12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4"/>
    </row>
    <row r="578" spans="2:81" ht="12" thickBot="1"/>
    <row r="579" spans="2:81" ht="48" customHeight="1">
      <c r="B579" s="73" t="s">
        <v>285</v>
      </c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  <c r="AL579" s="74"/>
      <c r="AM579" s="74"/>
      <c r="AN579" s="74"/>
      <c r="AO579" s="74"/>
      <c r="AP579" s="74"/>
      <c r="AQ579" s="74"/>
      <c r="AR579" s="74"/>
      <c r="AS579" s="74"/>
      <c r="AT579" s="74"/>
      <c r="AU579" s="74"/>
      <c r="AV579" s="74"/>
      <c r="AW579" s="74"/>
      <c r="AX579" s="74"/>
      <c r="AY579" s="74"/>
      <c r="AZ579" s="74"/>
      <c r="BA579" s="74"/>
      <c r="BB579" s="74"/>
      <c r="BC579" s="74"/>
      <c r="BD579" s="74"/>
      <c r="BE579" s="74"/>
      <c r="BF579" s="74"/>
      <c r="BG579" s="74"/>
      <c r="BH579" s="74"/>
      <c r="BI579" s="74"/>
      <c r="BJ579" s="74"/>
      <c r="BK579" s="74"/>
      <c r="BL579" s="74"/>
      <c r="BM579" s="74"/>
      <c r="BN579" s="74"/>
      <c r="BO579" s="74"/>
      <c r="BP579" s="74"/>
      <c r="BQ579" s="74"/>
      <c r="BR579" s="74"/>
      <c r="BS579" s="74"/>
      <c r="BT579" s="74"/>
      <c r="BU579" s="74"/>
      <c r="BV579" s="74"/>
      <c r="BW579" s="74"/>
      <c r="BX579" s="74"/>
      <c r="BY579" s="74"/>
      <c r="BZ579" s="74"/>
      <c r="CA579" s="74"/>
      <c r="CB579" s="74"/>
      <c r="CC579" s="75"/>
    </row>
    <row r="580" spans="2:81">
      <c r="B580" s="6"/>
      <c r="S580" s="8" t="s">
        <v>176</v>
      </c>
      <c r="CC580" s="7"/>
    </row>
    <row r="581" spans="2:81">
      <c r="B581" s="6"/>
      <c r="J581" s="66">
        <f>+BC610</f>
        <v>68.067010309278345</v>
      </c>
      <c r="K581" s="66"/>
      <c r="L581" s="66"/>
      <c r="N581" s="66">
        <f>+M595-J581</f>
        <v>181.93298969072166</v>
      </c>
      <c r="O581" s="66"/>
      <c r="P581" s="66"/>
      <c r="Q581" s="1" t="s">
        <v>41</v>
      </c>
      <c r="AG581" s="1" t="s">
        <v>209</v>
      </c>
      <c r="AI581" s="67">
        <v>25</v>
      </c>
      <c r="AJ581" s="67"/>
      <c r="AK581" s="1" t="s">
        <v>187</v>
      </c>
      <c r="CC581" s="7"/>
    </row>
    <row r="582" spans="2:81">
      <c r="B582" s="6"/>
      <c r="AV582" s="1" t="s">
        <v>290</v>
      </c>
      <c r="CC582" s="7"/>
    </row>
    <row r="583" spans="2:81">
      <c r="B583" s="6"/>
      <c r="CC583" s="7"/>
    </row>
    <row r="584" spans="2:81">
      <c r="B584" s="6"/>
      <c r="T584" s="71" t="s">
        <v>41</v>
      </c>
      <c r="CC584" s="7"/>
    </row>
    <row r="585" spans="2:81">
      <c r="B585" s="6"/>
      <c r="T585" s="71"/>
      <c r="AD585" s="1" t="s">
        <v>13</v>
      </c>
      <c r="CC585" s="7"/>
    </row>
    <row r="586" spans="2:81">
      <c r="B586" s="6"/>
      <c r="G586" s="71" t="s">
        <v>41</v>
      </c>
      <c r="T586" s="71">
        <f>+G588-T591</f>
        <v>145.54639175257734</v>
      </c>
      <c r="AW586" s="23" t="s">
        <v>266</v>
      </c>
      <c r="CC586" s="7"/>
    </row>
    <row r="587" spans="2:81">
      <c r="B587" s="6"/>
      <c r="G587" s="71"/>
      <c r="K587" s="67">
        <v>15</v>
      </c>
      <c r="L587" s="67"/>
      <c r="M587" s="1" t="s">
        <v>41</v>
      </c>
      <c r="T587" s="71"/>
      <c r="Y587" s="1" t="s">
        <v>2</v>
      </c>
      <c r="Z587" s="66">
        <f>+AK591</f>
        <v>37.5</v>
      </c>
      <c r="AA587" s="66"/>
      <c r="AB587" s="1" t="s">
        <v>0</v>
      </c>
      <c r="AM587" s="1" t="s">
        <v>3</v>
      </c>
      <c r="AN587" s="66">
        <f>+AK591</f>
        <v>37.5</v>
      </c>
      <c r="AO587" s="66"/>
      <c r="AP587" s="1" t="s">
        <v>0</v>
      </c>
      <c r="AW587" s="11" t="s">
        <v>265</v>
      </c>
      <c r="CC587" s="7"/>
    </row>
    <row r="588" spans="2:81">
      <c r="B588" s="6"/>
      <c r="G588" s="77">
        <v>200</v>
      </c>
      <c r="T588" s="71"/>
      <c r="AF588" s="1" t="s">
        <v>197</v>
      </c>
      <c r="AG588" s="67">
        <v>3</v>
      </c>
      <c r="AH588" s="67"/>
      <c r="AI588" s="9" t="s">
        <v>1</v>
      </c>
      <c r="AM588" s="20"/>
      <c r="AW588" s="11" t="s">
        <v>263</v>
      </c>
      <c r="CC588" s="7"/>
    </row>
    <row r="589" spans="2:81">
      <c r="B589" s="6"/>
      <c r="G589" s="77"/>
      <c r="N589" s="1" t="s">
        <v>283</v>
      </c>
      <c r="AW589" s="11" t="s">
        <v>264</v>
      </c>
      <c r="CC589" s="7"/>
    </row>
    <row r="590" spans="2:81">
      <c r="B590" s="6"/>
      <c r="G590" s="77"/>
      <c r="W590" s="23" t="s">
        <v>293</v>
      </c>
      <c r="CC590" s="7"/>
    </row>
    <row r="591" spans="2:81">
      <c r="B591" s="6"/>
      <c r="T591" s="71">
        <f>+BC611</f>
        <v>54.453608247422679</v>
      </c>
      <c r="W591" s="1" t="s">
        <v>218</v>
      </c>
      <c r="AC591" s="66">
        <f>+AI581</f>
        <v>25</v>
      </c>
      <c r="AD591" s="66"/>
      <c r="AE591" s="9" t="s">
        <v>5</v>
      </c>
      <c r="AF591" s="66">
        <f>+AG588</f>
        <v>3</v>
      </c>
      <c r="AG591" s="66"/>
      <c r="AH591" s="1" t="s">
        <v>173</v>
      </c>
      <c r="AI591" s="9">
        <v>2</v>
      </c>
      <c r="AJ591" s="9" t="s">
        <v>7</v>
      </c>
      <c r="AK591" s="66">
        <f>AC591*AF591/AI591</f>
        <v>37.5</v>
      </c>
      <c r="AL591" s="66"/>
      <c r="AM591" s="66"/>
      <c r="AN591" s="1" t="s">
        <v>0</v>
      </c>
      <c r="CC591" s="7"/>
    </row>
    <row r="592" spans="2:81">
      <c r="B592" s="6"/>
      <c r="M592" s="67">
        <v>12</v>
      </c>
      <c r="N592" s="67"/>
      <c r="O592" s="1" t="s">
        <v>41</v>
      </c>
      <c r="T592" s="71"/>
      <c r="W592" s="1" t="s">
        <v>272</v>
      </c>
      <c r="AC592" s="66">
        <f>+AI581</f>
        <v>25</v>
      </c>
      <c r="AD592" s="66"/>
      <c r="AE592" s="9" t="s">
        <v>5</v>
      </c>
      <c r="AF592" s="66">
        <f>+AG588</f>
        <v>3</v>
      </c>
      <c r="AG592" s="66"/>
      <c r="AH592" s="1" t="s">
        <v>254</v>
      </c>
      <c r="AI592" s="9">
        <v>8</v>
      </c>
      <c r="AJ592" s="9" t="s">
        <v>7</v>
      </c>
      <c r="AK592" s="66">
        <f>AC592*AF592^2/AI592</f>
        <v>28.125</v>
      </c>
      <c r="AL592" s="66"/>
      <c r="AM592" s="66"/>
      <c r="AN592" s="1" t="s">
        <v>191</v>
      </c>
      <c r="CC592" s="7"/>
    </row>
    <row r="593" spans="2:81">
      <c r="B593" s="6"/>
      <c r="T593" s="71"/>
      <c r="W593" s="23" t="s">
        <v>222</v>
      </c>
      <c r="CC593" s="7"/>
    </row>
    <row r="594" spans="2:81">
      <c r="B594" s="6"/>
      <c r="W594" s="1" t="s">
        <v>27</v>
      </c>
      <c r="X594" s="67">
        <v>2</v>
      </c>
      <c r="Y594" s="67"/>
      <c r="Z594" s="1" t="s">
        <v>213</v>
      </c>
      <c r="AB594" s="9"/>
      <c r="AC594" s="9"/>
      <c r="AD594" s="9"/>
      <c r="AO594" s="8" t="str">
        <f>IF(X594&lt;=AG588,"","azalt.")</f>
        <v/>
      </c>
      <c r="CC594" s="7"/>
    </row>
    <row r="595" spans="2:81">
      <c r="B595" s="6"/>
      <c r="M595" s="67">
        <v>250</v>
      </c>
      <c r="N595" s="67"/>
      <c r="O595" s="1" t="s">
        <v>41</v>
      </c>
      <c r="W595" s="1" t="s">
        <v>291</v>
      </c>
      <c r="AF595" s="66">
        <f>+AI581</f>
        <v>25</v>
      </c>
      <c r="AG595" s="66"/>
      <c r="AH595" s="9" t="s">
        <v>5</v>
      </c>
      <c r="AI595" s="66">
        <f>+AG588</f>
        <v>3</v>
      </c>
      <c r="AJ595" s="66"/>
      <c r="AK595" s="9" t="s">
        <v>5</v>
      </c>
      <c r="AL595" s="66">
        <f>+X594</f>
        <v>2</v>
      </c>
      <c r="AM595" s="66"/>
      <c r="AN595" s="1" t="s">
        <v>173</v>
      </c>
      <c r="AO595" s="1">
        <v>2</v>
      </c>
      <c r="AP595" s="9" t="s">
        <v>6</v>
      </c>
      <c r="AQ595" s="66">
        <f>+AI581</f>
        <v>25</v>
      </c>
      <c r="AR595" s="66"/>
      <c r="AS595" s="9" t="s">
        <v>5</v>
      </c>
      <c r="AT595" s="66">
        <f>+X594</f>
        <v>2</v>
      </c>
      <c r="AU595" s="66"/>
      <c r="AV595" s="1" t="s">
        <v>254</v>
      </c>
      <c r="AW595" s="1">
        <v>2</v>
      </c>
      <c r="AX595" s="9" t="s">
        <v>7</v>
      </c>
      <c r="AY595" s="66">
        <f>AF595*AI595*AL595/AO595-AQ595*AT595^2/AW595</f>
        <v>25</v>
      </c>
      <c r="AZ595" s="66"/>
      <c r="BA595" s="66"/>
      <c r="BB595" s="1" t="s">
        <v>191</v>
      </c>
      <c r="CC595" s="7"/>
    </row>
    <row r="596" spans="2:81">
      <c r="B596" s="6"/>
      <c r="W596" s="1" t="s">
        <v>292</v>
      </c>
      <c r="AE596" s="66">
        <f>+AI581</f>
        <v>25</v>
      </c>
      <c r="AF596" s="66"/>
      <c r="AG596" s="9" t="s">
        <v>5</v>
      </c>
      <c r="AH596" s="66">
        <f>+AG588</f>
        <v>3</v>
      </c>
      <c r="AI596" s="66"/>
      <c r="AJ596" s="1" t="s">
        <v>173</v>
      </c>
      <c r="AK596" s="1">
        <v>2</v>
      </c>
      <c r="AL596" s="9" t="s">
        <v>6</v>
      </c>
      <c r="AM596" s="66">
        <f>+AI581</f>
        <v>25</v>
      </c>
      <c r="AN596" s="66"/>
      <c r="AO596" s="9" t="s">
        <v>5</v>
      </c>
      <c r="AP596" s="66">
        <f>+X594</f>
        <v>2</v>
      </c>
      <c r="AQ596" s="66"/>
      <c r="AR596" s="9" t="s">
        <v>7</v>
      </c>
      <c r="AS596" s="66">
        <f>+AE596*AH596/AK596-AM596*AP596</f>
        <v>-12.5</v>
      </c>
      <c r="AT596" s="66"/>
      <c r="AU596" s="66"/>
      <c r="AV596" s="1" t="s">
        <v>0</v>
      </c>
      <c r="CC596" s="7"/>
    </row>
    <row r="597" spans="2:81">
      <c r="B597" s="6"/>
      <c r="W597" s="23" t="s">
        <v>253</v>
      </c>
      <c r="AF597" s="9"/>
      <c r="AJ597" s="9"/>
      <c r="AM597" s="9"/>
      <c r="AT597" s="9"/>
      <c r="CC597" s="7"/>
    </row>
    <row r="598" spans="2:81">
      <c r="B598" s="6"/>
      <c r="W598" s="1" t="s">
        <v>27</v>
      </c>
      <c r="X598" s="66">
        <f>+AG588/2</f>
        <v>1.5</v>
      </c>
      <c r="Y598" s="66"/>
      <c r="Z598" s="66"/>
      <c r="AA598" s="1" t="s">
        <v>257</v>
      </c>
      <c r="AB598" s="9"/>
      <c r="AC598" s="9"/>
      <c r="AD598" s="9"/>
      <c r="AF598" s="9"/>
      <c r="AJ598" s="9"/>
      <c r="AM598" s="9"/>
      <c r="AT598" s="9"/>
      <c r="CC598" s="7"/>
    </row>
    <row r="599" spans="2:81">
      <c r="B599" s="6"/>
      <c r="W599" s="1" t="s">
        <v>297</v>
      </c>
      <c r="Y599" s="66">
        <f>+AI581</f>
        <v>25</v>
      </c>
      <c r="Z599" s="66"/>
      <c r="AA599" s="9" t="s">
        <v>5</v>
      </c>
      <c r="AB599" s="66">
        <f>+AG588</f>
        <v>3</v>
      </c>
      <c r="AC599" s="66"/>
      <c r="AD599" s="9" t="s">
        <v>5</v>
      </c>
      <c r="AE599" s="66">
        <f>+X598</f>
        <v>1.5</v>
      </c>
      <c r="AF599" s="66"/>
      <c r="AG599" s="1" t="s">
        <v>173</v>
      </c>
      <c r="AH599" s="1">
        <v>2</v>
      </c>
      <c r="AI599" s="9" t="s">
        <v>6</v>
      </c>
      <c r="AJ599" s="66">
        <f>+AI581</f>
        <v>25</v>
      </c>
      <c r="AK599" s="66"/>
      <c r="AL599" s="9" t="s">
        <v>5</v>
      </c>
      <c r="AM599" s="66">
        <f>+X598</f>
        <v>1.5</v>
      </c>
      <c r="AN599" s="66"/>
      <c r="AO599" s="1" t="s">
        <v>254</v>
      </c>
      <c r="AP599" s="66">
        <v>2</v>
      </c>
      <c r="AQ599" s="66"/>
      <c r="AR599" s="9" t="s">
        <v>7</v>
      </c>
      <c r="AS599" s="66">
        <f>Y599*AB599*AE599/AH599-AJ599*AM599^2/AP599</f>
        <v>28.125</v>
      </c>
      <c r="AT599" s="66"/>
      <c r="AU599" s="66"/>
      <c r="AV599" s="1" t="s">
        <v>191</v>
      </c>
      <c r="CC599" s="7"/>
    </row>
    <row r="600" spans="2:81">
      <c r="B600" s="6"/>
      <c r="W600" s="1" t="s">
        <v>247</v>
      </c>
      <c r="Y600" s="66">
        <f>+AG588/2</f>
        <v>1.5</v>
      </c>
      <c r="Z600" s="66"/>
      <c r="AA600" s="66"/>
      <c r="AB600" s="1" t="s">
        <v>252</v>
      </c>
      <c r="AD600" s="9"/>
      <c r="AG600" s="9"/>
      <c r="AH600" s="21"/>
      <c r="AM600" s="9"/>
      <c r="AT600" s="9"/>
      <c r="CC600" s="7"/>
    </row>
    <row r="601" spans="2:81">
      <c r="B601" s="6"/>
      <c r="W601" s="1" t="s">
        <v>299</v>
      </c>
      <c r="AA601" s="66">
        <f>+AS599</f>
        <v>28.125</v>
      </c>
      <c r="AB601" s="66"/>
      <c r="AC601" s="66"/>
      <c r="AD601" s="1" t="s">
        <v>191</v>
      </c>
      <c r="AF601" s="9"/>
      <c r="AJ601" s="9"/>
      <c r="AM601" s="9"/>
      <c r="AT601" s="9"/>
      <c r="CC601" s="7"/>
    </row>
    <row r="602" spans="2:81">
      <c r="B602" s="6"/>
      <c r="W602" s="1" t="s">
        <v>248</v>
      </c>
      <c r="Y602" s="66">
        <f>+AG588/4</f>
        <v>0.75</v>
      </c>
      <c r="Z602" s="66"/>
      <c r="AA602" s="66"/>
      <c r="AB602" s="1" t="s">
        <v>252</v>
      </c>
      <c r="AC602" s="9"/>
      <c r="AD602" s="9"/>
      <c r="AG602" s="9"/>
      <c r="AH602" s="21"/>
      <c r="AJ602" s="9"/>
      <c r="AM602" s="9"/>
      <c r="AT602" s="9"/>
      <c r="CC602" s="7"/>
    </row>
    <row r="603" spans="2:81">
      <c r="B603" s="6"/>
      <c r="W603" s="1" t="s">
        <v>249</v>
      </c>
      <c r="Y603" s="66">
        <f>+Y599</f>
        <v>25</v>
      </c>
      <c r="Z603" s="66"/>
      <c r="AA603" s="9" t="s">
        <v>5</v>
      </c>
      <c r="AB603" s="66">
        <f>+AB599</f>
        <v>3</v>
      </c>
      <c r="AC603" s="66"/>
      <c r="AD603" s="9" t="s">
        <v>5</v>
      </c>
      <c r="AE603" s="66">
        <f>+Y602</f>
        <v>0.75</v>
      </c>
      <c r="AF603" s="66"/>
      <c r="AG603" s="1" t="s">
        <v>173</v>
      </c>
      <c r="AH603" s="1">
        <v>2</v>
      </c>
      <c r="AI603" s="9" t="s">
        <v>6</v>
      </c>
      <c r="AJ603" s="66">
        <f>+AJ599</f>
        <v>25</v>
      </c>
      <c r="AK603" s="66"/>
      <c r="AL603" s="9" t="s">
        <v>5</v>
      </c>
      <c r="AM603" s="66">
        <f>+Y602</f>
        <v>0.75</v>
      </c>
      <c r="AN603" s="66"/>
      <c r="AO603" s="1" t="s">
        <v>254</v>
      </c>
      <c r="AP603" s="66">
        <v>2</v>
      </c>
      <c r="AQ603" s="66"/>
      <c r="AR603" s="9" t="s">
        <v>7</v>
      </c>
      <c r="AS603" s="66">
        <f>Y603*AB603*AE603/AH603-AJ603*AM603^2/AP603</f>
        <v>21.09375</v>
      </c>
      <c r="AT603" s="66"/>
      <c r="AU603" s="66"/>
      <c r="AV603" s="1" t="s">
        <v>191</v>
      </c>
      <c r="CC603" s="7"/>
    </row>
    <row r="604" spans="2:81">
      <c r="B604" s="6"/>
      <c r="W604" s="1" t="s">
        <v>250</v>
      </c>
      <c r="Z604" s="66">
        <f>3*AG588/4</f>
        <v>2.25</v>
      </c>
      <c r="AA604" s="66"/>
      <c r="AB604" s="66"/>
      <c r="AC604" s="1" t="s">
        <v>252</v>
      </c>
      <c r="AD604" s="9"/>
      <c r="AG604" s="9"/>
      <c r="AH604" s="21"/>
      <c r="AJ604" s="9"/>
      <c r="AM604" s="9"/>
      <c r="AT604" s="9"/>
      <c r="CC604" s="7"/>
    </row>
    <row r="605" spans="2:81">
      <c r="B605" s="6"/>
      <c r="W605" s="1" t="s">
        <v>251</v>
      </c>
      <c r="Y605" s="66">
        <f>+Y603</f>
        <v>25</v>
      </c>
      <c r="Z605" s="66"/>
      <c r="AA605" s="9" t="s">
        <v>5</v>
      </c>
      <c r="AB605" s="66">
        <f>+AB603</f>
        <v>3</v>
      </c>
      <c r="AC605" s="66"/>
      <c r="AD605" s="9" t="s">
        <v>5</v>
      </c>
      <c r="AE605" s="66">
        <f>+Z604</f>
        <v>2.25</v>
      </c>
      <c r="AF605" s="66"/>
      <c r="AG605" s="1" t="s">
        <v>173</v>
      </c>
      <c r="AH605" s="1">
        <v>2</v>
      </c>
      <c r="AI605" s="9" t="s">
        <v>6</v>
      </c>
      <c r="AJ605" s="66">
        <f>+AJ603</f>
        <v>25</v>
      </c>
      <c r="AK605" s="66"/>
      <c r="AL605" s="9" t="s">
        <v>5</v>
      </c>
      <c r="AM605" s="66">
        <f>+Z604</f>
        <v>2.25</v>
      </c>
      <c r="AN605" s="66"/>
      <c r="AO605" s="1" t="s">
        <v>254</v>
      </c>
      <c r="AP605" s="66">
        <v>2</v>
      </c>
      <c r="AQ605" s="66"/>
      <c r="AR605" s="9" t="s">
        <v>7</v>
      </c>
      <c r="AS605" s="66">
        <f>Y605*AB605*AE605/AH605-AJ605*AM605^2/AP605</f>
        <v>21.09375</v>
      </c>
      <c r="AT605" s="66"/>
      <c r="AU605" s="66"/>
      <c r="AV605" s="1" t="s">
        <v>191</v>
      </c>
      <c r="CC605" s="7"/>
    </row>
    <row r="606" spans="2:81">
      <c r="B606" s="6"/>
      <c r="W606" s="1" t="s">
        <v>300</v>
      </c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O606" s="9"/>
      <c r="AP606" s="9"/>
      <c r="AQ606" s="9"/>
      <c r="AR606" s="9"/>
      <c r="AS606" s="9"/>
      <c r="AT606" s="9"/>
      <c r="AU606" s="9"/>
      <c r="AV606" s="9"/>
      <c r="AX606" s="9"/>
      <c r="AY606" s="9"/>
      <c r="AZ606" s="9"/>
      <c r="BA606" s="9"/>
      <c r="BB606" s="9"/>
      <c r="BC606" s="9"/>
      <c r="BD606" s="9"/>
      <c r="BE606" s="9"/>
      <c r="BG606" s="9"/>
      <c r="BH606" s="9"/>
      <c r="CC606" s="7"/>
    </row>
    <row r="607" spans="2:81">
      <c r="B607" s="6"/>
      <c r="W607" s="1" t="s">
        <v>301</v>
      </c>
      <c r="Y607" s="66">
        <v>12.5</v>
      </c>
      <c r="Z607" s="66"/>
      <c r="AA607" s="9" t="s">
        <v>5</v>
      </c>
      <c r="AB607" s="66">
        <f>+AS599</f>
        <v>28.125</v>
      </c>
      <c r="AC607" s="66"/>
      <c r="AD607" s="66"/>
      <c r="AE607" s="9" t="s">
        <v>275</v>
      </c>
      <c r="AF607" s="66">
        <v>2.5</v>
      </c>
      <c r="AG607" s="66"/>
      <c r="AH607" s="9" t="s">
        <v>5</v>
      </c>
      <c r="AI607" s="66">
        <f>+AB607</f>
        <v>28.125</v>
      </c>
      <c r="AJ607" s="66"/>
      <c r="AK607" s="66"/>
      <c r="AL607" s="9" t="s">
        <v>9</v>
      </c>
      <c r="AM607" s="9">
        <v>3</v>
      </c>
      <c r="AN607" s="9" t="s">
        <v>5</v>
      </c>
      <c r="AO607" s="66">
        <f>+AS603</f>
        <v>21.09375</v>
      </c>
      <c r="AP607" s="66"/>
      <c r="AQ607" s="66"/>
      <c r="AR607" s="9" t="s">
        <v>9</v>
      </c>
      <c r="AS607" s="9">
        <v>4</v>
      </c>
      <c r="AT607" s="9" t="s">
        <v>5</v>
      </c>
      <c r="AU607" s="66">
        <f>+AA601</f>
        <v>28.125</v>
      </c>
      <c r="AV607" s="66"/>
      <c r="AW607" s="66"/>
      <c r="AX607" s="9" t="s">
        <v>9</v>
      </c>
      <c r="AY607" s="9">
        <v>3</v>
      </c>
      <c r="AZ607" s="9" t="s">
        <v>5</v>
      </c>
      <c r="BA607" s="66">
        <f>+AS605</f>
        <v>21.09375</v>
      </c>
      <c r="BB607" s="66"/>
      <c r="BC607" s="66"/>
      <c r="BD607" s="9" t="s">
        <v>201</v>
      </c>
      <c r="BE607" s="66">
        <f>Y607*AB607/(AF607*AI607+AM607*AO607+AS607*AU607+AY607*BA607)</f>
        <v>1.1363636363636365</v>
      </c>
      <c r="BF607" s="66"/>
      <c r="BG607" s="66"/>
      <c r="BH607" s="9"/>
      <c r="CC607" s="7"/>
    </row>
    <row r="608" spans="2:81">
      <c r="B608" s="6"/>
      <c r="W608" s="23" t="s">
        <v>295</v>
      </c>
      <c r="CC608" s="7"/>
    </row>
    <row r="609" spans="2:81">
      <c r="B609" s="6"/>
      <c r="W609" s="1" t="s">
        <v>38</v>
      </c>
      <c r="Y609" s="67">
        <v>200000</v>
      </c>
      <c r="Z609" s="67"/>
      <c r="AA609" s="67"/>
      <c r="AB609" s="67"/>
      <c r="AC609" s="1" t="s">
        <v>39</v>
      </c>
      <c r="AF609" s="1" t="s">
        <v>302</v>
      </c>
      <c r="CC609" s="7"/>
    </row>
    <row r="610" spans="2:81">
      <c r="B610" s="6"/>
      <c r="W610" s="1" t="s">
        <v>267</v>
      </c>
      <c r="Y610" s="66">
        <f>+G588-M592</f>
        <v>188</v>
      </c>
      <c r="Z610" s="66"/>
      <c r="AA610" s="9" t="s">
        <v>5</v>
      </c>
      <c r="AB610" s="66">
        <f>+K587</f>
        <v>15</v>
      </c>
      <c r="AC610" s="66"/>
      <c r="AD610" s="9" t="s">
        <v>5</v>
      </c>
      <c r="AE610" s="66">
        <f>+K587/2</f>
        <v>7.5</v>
      </c>
      <c r="AF610" s="66"/>
      <c r="AG610" s="9" t="s">
        <v>9</v>
      </c>
      <c r="AH610" s="66">
        <f>+M595</f>
        <v>250</v>
      </c>
      <c r="AI610" s="66"/>
      <c r="AJ610" s="9" t="s">
        <v>5</v>
      </c>
      <c r="AK610" s="66">
        <f>+M592</f>
        <v>12</v>
      </c>
      <c r="AL610" s="66"/>
      <c r="AM610" s="9" t="s">
        <v>5</v>
      </c>
      <c r="AN610" s="66">
        <f>+M595/2</f>
        <v>125</v>
      </c>
      <c r="AO610" s="66"/>
      <c r="AP610" s="1" t="s">
        <v>255</v>
      </c>
      <c r="AQ610" s="66">
        <f>+G588-M592</f>
        <v>188</v>
      </c>
      <c r="AR610" s="66"/>
      <c r="AS610" s="9" t="s">
        <v>5</v>
      </c>
      <c r="AT610" s="66">
        <f>+K587</f>
        <v>15</v>
      </c>
      <c r="AU610" s="66"/>
      <c r="AV610" s="9" t="s">
        <v>9</v>
      </c>
      <c r="AW610" s="66">
        <f>+M595</f>
        <v>250</v>
      </c>
      <c r="AX610" s="66"/>
      <c r="AY610" s="9" t="s">
        <v>5</v>
      </c>
      <c r="AZ610" s="66">
        <f>+M592</f>
        <v>12</v>
      </c>
      <c r="BA610" s="66"/>
      <c r="BB610" s="1" t="s">
        <v>201</v>
      </c>
      <c r="BC610" s="66">
        <f>(Y610*AB610*AE610+AH610*AK610*AN610)/(AQ610*AT610+AW610*AZ610)</f>
        <v>68.067010309278345</v>
      </c>
      <c r="BD610" s="66"/>
      <c r="BE610" s="66"/>
      <c r="BF610" s="1" t="s">
        <v>41</v>
      </c>
      <c r="CC610" s="7"/>
    </row>
    <row r="611" spans="2:81">
      <c r="B611" s="6"/>
      <c r="W611" s="1" t="s">
        <v>35</v>
      </c>
      <c r="Y611" s="66">
        <f>+Y610</f>
        <v>188</v>
      </c>
      <c r="Z611" s="66"/>
      <c r="AA611" s="9" t="s">
        <v>5</v>
      </c>
      <c r="AB611" s="66">
        <f>+AB610</f>
        <v>15</v>
      </c>
      <c r="AC611" s="66"/>
      <c r="AD611" s="9" t="s">
        <v>5</v>
      </c>
      <c r="AE611" s="66">
        <f>(G588-M592)/2+M592</f>
        <v>106</v>
      </c>
      <c r="AF611" s="66"/>
      <c r="AG611" s="9" t="s">
        <v>9</v>
      </c>
      <c r="AH611" s="66">
        <f>+AH610</f>
        <v>250</v>
      </c>
      <c r="AI611" s="66"/>
      <c r="AJ611" s="9" t="s">
        <v>5</v>
      </c>
      <c r="AK611" s="66">
        <f>+AK610</f>
        <v>12</v>
      </c>
      <c r="AL611" s="66"/>
      <c r="AM611" s="9" t="s">
        <v>5</v>
      </c>
      <c r="AN611" s="66">
        <f>+M592/2</f>
        <v>6</v>
      </c>
      <c r="AO611" s="66"/>
      <c r="AP611" s="1" t="s">
        <v>255</v>
      </c>
      <c r="AQ611" s="66">
        <f>+AQ610</f>
        <v>188</v>
      </c>
      <c r="AR611" s="66"/>
      <c r="AS611" s="9" t="s">
        <v>5</v>
      </c>
      <c r="AT611" s="66">
        <f>+AT610</f>
        <v>15</v>
      </c>
      <c r="AU611" s="66"/>
      <c r="AV611" s="9" t="s">
        <v>9</v>
      </c>
      <c r="AW611" s="66">
        <f>+AW610</f>
        <v>250</v>
      </c>
      <c r="AX611" s="66"/>
      <c r="AY611" s="9" t="s">
        <v>5</v>
      </c>
      <c r="AZ611" s="66">
        <f>+AZ610</f>
        <v>12</v>
      </c>
      <c r="BA611" s="66"/>
      <c r="BB611" s="1" t="s">
        <v>201</v>
      </c>
      <c r="BC611" s="66">
        <f>(Y611*AB611*AE611+AH611*AK611*AN611)/(AQ611*AT611+AW611*AZ611)</f>
        <v>54.453608247422679</v>
      </c>
      <c r="BD611" s="66"/>
      <c r="BE611" s="66"/>
      <c r="BF611" s="1" t="s">
        <v>41</v>
      </c>
      <c r="CC611" s="7"/>
    </row>
    <row r="612" spans="2:81">
      <c r="B612" s="6"/>
      <c r="W612" s="10" t="s">
        <v>36</v>
      </c>
      <c r="Y612" s="66">
        <f>+K587</f>
        <v>15</v>
      </c>
      <c r="Z612" s="66"/>
      <c r="AA612" s="9" t="s">
        <v>5</v>
      </c>
      <c r="AB612" s="66">
        <f>+G588-M592</f>
        <v>188</v>
      </c>
      <c r="AC612" s="66"/>
      <c r="AD612" s="1" t="s">
        <v>30</v>
      </c>
      <c r="AE612" s="66">
        <v>12</v>
      </c>
      <c r="AF612" s="66"/>
      <c r="AG612" s="9" t="s">
        <v>9</v>
      </c>
      <c r="AH612" s="66">
        <f t="shared" ref="AH612" si="2">+Y612</f>
        <v>15</v>
      </c>
      <c r="AI612" s="66"/>
      <c r="AJ612" s="9" t="s">
        <v>5</v>
      </c>
      <c r="AK612" s="66">
        <f t="shared" ref="AK612" si="3">+AB612</f>
        <v>188</v>
      </c>
      <c r="AL612" s="66"/>
      <c r="AM612" s="9" t="s">
        <v>5</v>
      </c>
      <c r="AN612" s="66">
        <f>+T586-(G588-M592)/2</f>
        <v>51.546391752577335</v>
      </c>
      <c r="AO612" s="66"/>
      <c r="AP612" s="1" t="s">
        <v>288</v>
      </c>
      <c r="AQ612" s="66">
        <f>+M595</f>
        <v>250</v>
      </c>
      <c r="AR612" s="66"/>
      <c r="AS612" s="9" t="s">
        <v>5</v>
      </c>
      <c r="AT612" s="66">
        <f>+M592</f>
        <v>12</v>
      </c>
      <c r="AU612" s="66"/>
      <c r="AV612" s="1" t="s">
        <v>30</v>
      </c>
      <c r="AW612" s="66">
        <v>12</v>
      </c>
      <c r="AX612" s="66"/>
      <c r="AY612" s="9" t="s">
        <v>9</v>
      </c>
      <c r="AZ612" s="66">
        <f>+AQ612</f>
        <v>250</v>
      </c>
      <c r="BA612" s="66"/>
      <c r="BB612" s="9" t="s">
        <v>5</v>
      </c>
      <c r="BC612" s="66">
        <f>+AT612</f>
        <v>12</v>
      </c>
      <c r="BD612" s="66"/>
      <c r="BE612" s="9" t="s">
        <v>5</v>
      </c>
      <c r="BF612" s="66">
        <f>+T591-M592/2</f>
        <v>48.453608247422679</v>
      </c>
      <c r="BG612" s="66"/>
      <c r="BH612" s="9" t="s">
        <v>289</v>
      </c>
      <c r="BI612" s="66">
        <f>Y612*AB612^3/AE612+AH612*AK612*AN612^2+AQ612*AT612^3/AW612+AZ612*BC612*BF612^2</f>
        <v>22877922.47422681</v>
      </c>
      <c r="BJ612" s="66"/>
      <c r="BK612" s="66"/>
      <c r="BL612" s="66"/>
      <c r="BM612" s="1" t="s">
        <v>270</v>
      </c>
      <c r="CC612" s="7"/>
    </row>
    <row r="613" spans="2:81">
      <c r="B613" s="6"/>
      <c r="W613" s="10" t="s">
        <v>271</v>
      </c>
      <c r="Y613" s="66">
        <f>+G588-M592</f>
        <v>188</v>
      </c>
      <c r="Z613" s="66"/>
      <c r="AA613" s="9" t="s">
        <v>5</v>
      </c>
      <c r="AB613" s="66">
        <f>+K587</f>
        <v>15</v>
      </c>
      <c r="AC613" s="66"/>
      <c r="AD613" s="1" t="s">
        <v>30</v>
      </c>
      <c r="AE613" s="66">
        <v>12</v>
      </c>
      <c r="AF613" s="66"/>
      <c r="AG613" s="9" t="s">
        <v>9</v>
      </c>
      <c r="AH613" s="66">
        <f t="shared" ref="AH613" si="4">+Y613</f>
        <v>188</v>
      </c>
      <c r="AI613" s="66"/>
      <c r="AJ613" s="9" t="s">
        <v>5</v>
      </c>
      <c r="AK613" s="66">
        <f t="shared" ref="AK613" si="5">+AB613</f>
        <v>15</v>
      </c>
      <c r="AL613" s="66"/>
      <c r="AM613" s="9" t="s">
        <v>5</v>
      </c>
      <c r="AN613" s="66">
        <f>+J581-K587/2</f>
        <v>60.567010309278345</v>
      </c>
      <c r="AO613" s="66"/>
      <c r="AP613" s="1" t="s">
        <v>288</v>
      </c>
      <c r="AQ613" s="66">
        <f>+M592</f>
        <v>12</v>
      </c>
      <c r="AR613" s="66"/>
      <c r="AS613" s="9" t="s">
        <v>5</v>
      </c>
      <c r="AT613" s="66">
        <f>+M595</f>
        <v>250</v>
      </c>
      <c r="AU613" s="66"/>
      <c r="AV613" s="1" t="s">
        <v>30</v>
      </c>
      <c r="AW613" s="66">
        <v>12</v>
      </c>
      <c r="AX613" s="66"/>
      <c r="AY613" s="9" t="s">
        <v>9</v>
      </c>
      <c r="AZ613" s="66">
        <f>+AQ613</f>
        <v>12</v>
      </c>
      <c r="BA613" s="66"/>
      <c r="BB613" s="9" t="s">
        <v>5</v>
      </c>
      <c r="BC613" s="66">
        <f>+AT613</f>
        <v>250</v>
      </c>
      <c r="BD613" s="66"/>
      <c r="BE613" s="9" t="s">
        <v>5</v>
      </c>
      <c r="BF613" s="66">
        <f>+N581-M595/2</f>
        <v>56.932989690721655</v>
      </c>
      <c r="BG613" s="66"/>
      <c r="BH613" s="9" t="s">
        <v>289</v>
      </c>
      <c r="BI613" s="66">
        <f>Y613*AB613^3/AE613+AH613*AK613*AN613^2+AQ613*AT613^3/AW613+AZ613*BC613*BF613^2</f>
        <v>35746753.865979381</v>
      </c>
      <c r="BJ613" s="66"/>
      <c r="BK613" s="66"/>
      <c r="BL613" s="66"/>
      <c r="BM613" s="1" t="s">
        <v>270</v>
      </c>
      <c r="CC613" s="7"/>
    </row>
    <row r="614" spans="2:81">
      <c r="B614" s="6"/>
      <c r="W614" s="10" t="s">
        <v>276</v>
      </c>
      <c r="Y614" s="66">
        <f>+G588-M592</f>
        <v>188</v>
      </c>
      <c r="Z614" s="66"/>
      <c r="AA614" s="9" t="s">
        <v>5</v>
      </c>
      <c r="AB614" s="66">
        <f>+K587</f>
        <v>15</v>
      </c>
      <c r="AC614" s="66"/>
      <c r="AD614" s="9" t="s">
        <v>5</v>
      </c>
      <c r="AE614" s="66">
        <f>+J581-K587/2</f>
        <v>60.567010309278345</v>
      </c>
      <c r="AF614" s="66"/>
      <c r="AG614" s="9" t="s">
        <v>5</v>
      </c>
      <c r="AH614" s="66">
        <f>-(T586-(G588-M592)/2)</f>
        <v>-51.546391752577335</v>
      </c>
      <c r="AI614" s="66"/>
      <c r="AJ614" s="9" t="s">
        <v>9</v>
      </c>
      <c r="AK614" s="66">
        <f>+M595</f>
        <v>250</v>
      </c>
      <c r="AL614" s="66"/>
      <c r="AM614" s="9" t="s">
        <v>5</v>
      </c>
      <c r="AN614" s="66">
        <f>+M592</f>
        <v>12</v>
      </c>
      <c r="AO614" s="66"/>
      <c r="AP614" s="9" t="s">
        <v>5</v>
      </c>
      <c r="AQ614" s="66">
        <f>+J581-M595/2</f>
        <v>-56.932989690721655</v>
      </c>
      <c r="AR614" s="66"/>
      <c r="AS614" s="9" t="s">
        <v>5</v>
      </c>
      <c r="AT614" s="66">
        <f>+T591-M592/2</f>
        <v>48.453608247422679</v>
      </c>
      <c r="AU614" s="66"/>
      <c r="AV614" s="9" t="s">
        <v>7</v>
      </c>
      <c r="AW614" s="66">
        <f>Y614*AB614*AE614*AH614+AK614*AN614*AQ614*AT614</f>
        <v>-17079896.907216497</v>
      </c>
      <c r="AX614" s="66"/>
      <c r="AY614" s="66"/>
      <c r="AZ614" s="66"/>
      <c r="BA614" s="1" t="s">
        <v>270</v>
      </c>
      <c r="CC614" s="7"/>
    </row>
    <row r="615" spans="2:81">
      <c r="B615" s="6"/>
      <c r="W615" s="10" t="s">
        <v>274</v>
      </c>
      <c r="AF615" s="66">
        <f>+BI613</f>
        <v>35746753.865979381</v>
      </c>
      <c r="AG615" s="66"/>
      <c r="AH615" s="66"/>
      <c r="AI615" s="66"/>
      <c r="AJ615" s="1" t="s">
        <v>275</v>
      </c>
      <c r="AK615" s="66">
        <f>+Y609</f>
        <v>200000</v>
      </c>
      <c r="AL615" s="66"/>
      <c r="AM615" s="66"/>
      <c r="AN615" s="66"/>
      <c r="AO615" s="1" t="s">
        <v>14</v>
      </c>
      <c r="AP615" s="66">
        <f>+BI612</f>
        <v>22877922.47422681</v>
      </c>
      <c r="AQ615" s="66"/>
      <c r="AR615" s="66"/>
      <c r="AS615" s="66"/>
      <c r="AT615" s="9" t="s">
        <v>5</v>
      </c>
      <c r="AU615" s="66">
        <f>+BI613</f>
        <v>35746753.865979381</v>
      </c>
      <c r="AV615" s="66"/>
      <c r="AW615" s="66"/>
      <c r="AX615" s="66"/>
      <c r="AY615" s="9" t="s">
        <v>6</v>
      </c>
      <c r="AZ615" s="66">
        <f>+AW614</f>
        <v>-17079896.907216497</v>
      </c>
      <c r="BA615" s="66"/>
      <c r="BB615" s="66"/>
      <c r="BC615" s="66"/>
      <c r="BD615" s="66"/>
      <c r="BE615" s="1" t="s">
        <v>277</v>
      </c>
      <c r="BG615" s="66">
        <f>AF615/(AK615*(AP615*AU615-AZ615^2))</f>
        <v>3.3974082374619861E-13</v>
      </c>
      <c r="BH615" s="66"/>
      <c r="BI615" s="66"/>
      <c r="CC615" s="7"/>
    </row>
    <row r="616" spans="2:81">
      <c r="B616" s="6"/>
      <c r="W616" s="10" t="s">
        <v>278</v>
      </c>
      <c r="AG616" s="66">
        <f>+AW614</f>
        <v>-17079896.907216497</v>
      </c>
      <c r="AH616" s="66"/>
      <c r="AI616" s="66"/>
      <c r="AJ616" s="66"/>
      <c r="AK616" s="66"/>
      <c r="AL616" s="1" t="s">
        <v>275</v>
      </c>
      <c r="AM616" s="66">
        <f>+AK615</f>
        <v>200000</v>
      </c>
      <c r="AN616" s="66"/>
      <c r="AO616" s="66"/>
      <c r="AP616" s="66"/>
      <c r="AQ616" s="1" t="s">
        <v>14</v>
      </c>
      <c r="AR616" s="66">
        <f>+AP615</f>
        <v>22877922.47422681</v>
      </c>
      <c r="AS616" s="66"/>
      <c r="AT616" s="66"/>
      <c r="AU616" s="66"/>
      <c r="AV616" s="9" t="s">
        <v>5</v>
      </c>
      <c r="AW616" s="66">
        <f>+AU615</f>
        <v>35746753.865979381</v>
      </c>
      <c r="AX616" s="66"/>
      <c r="AY616" s="66"/>
      <c r="AZ616" s="66"/>
      <c r="BA616" s="9" t="s">
        <v>6</v>
      </c>
      <c r="BB616" s="66">
        <f>+AZ615</f>
        <v>-17079896.907216497</v>
      </c>
      <c r="BC616" s="66"/>
      <c r="BD616" s="66"/>
      <c r="BE616" s="66"/>
      <c r="BF616" s="66"/>
      <c r="BG616" s="1" t="s">
        <v>277</v>
      </c>
      <c r="BI616" s="66">
        <f>AG616/(AM616*(AR616*AW616-BB616^2))</f>
        <v>-1.6232909613312942E-13</v>
      </c>
      <c r="BJ616" s="66"/>
      <c r="BK616" s="66"/>
      <c r="CC616" s="7"/>
    </row>
    <row r="617" spans="2:81">
      <c r="B617" s="6"/>
      <c r="W617" s="1" t="s">
        <v>279</v>
      </c>
      <c r="AE617" s="1">
        <v>-5</v>
      </c>
      <c r="AF617" s="9" t="s">
        <v>5</v>
      </c>
      <c r="AG617" s="66">
        <f>BI616</f>
        <v>-1.6232909613312942E-13</v>
      </c>
      <c r="AH617" s="66"/>
      <c r="AI617" s="66"/>
      <c r="AJ617" s="9" t="s">
        <v>5</v>
      </c>
      <c r="AK617" s="66">
        <f>+AI581</f>
        <v>25</v>
      </c>
      <c r="AL617" s="66"/>
      <c r="AM617" s="9" t="s">
        <v>5</v>
      </c>
      <c r="AN617" s="66">
        <f>+AG588*1000</f>
        <v>3000</v>
      </c>
      <c r="AO617" s="66"/>
      <c r="AP617" s="66"/>
      <c r="AQ617" s="1" t="s">
        <v>186</v>
      </c>
      <c r="AR617" s="66">
        <v>384</v>
      </c>
      <c r="AS617" s="66"/>
      <c r="AT617" s="9" t="s">
        <v>7</v>
      </c>
      <c r="AU617" s="66">
        <f>+AE617*AG617*AK617*AN617^4/AR617</f>
        <v>4.2801617144477477</v>
      </c>
      <c r="AV617" s="66"/>
      <c r="AW617" s="66"/>
      <c r="AX617" s="1" t="s">
        <v>41</v>
      </c>
      <c r="AZ617" s="1" t="s">
        <v>281</v>
      </c>
      <c r="CC617" s="7"/>
    </row>
    <row r="618" spans="2:81">
      <c r="B618" s="6"/>
      <c r="W618" s="1" t="s">
        <v>280</v>
      </c>
      <c r="AE618" s="1">
        <v>5</v>
      </c>
      <c r="AF618" s="9" t="s">
        <v>5</v>
      </c>
      <c r="AG618" s="66">
        <f>+BG615</f>
        <v>3.3974082374619861E-13</v>
      </c>
      <c r="AH618" s="66"/>
      <c r="AI618" s="66"/>
      <c r="AJ618" s="9" t="s">
        <v>5</v>
      </c>
      <c r="AK618" s="66">
        <f>+AK617</f>
        <v>25</v>
      </c>
      <c r="AL618" s="66"/>
      <c r="AM618" s="9" t="s">
        <v>5</v>
      </c>
      <c r="AN618" s="66">
        <f>+AN617</f>
        <v>3000</v>
      </c>
      <c r="AO618" s="66"/>
      <c r="AP618" s="66"/>
      <c r="AQ618" s="1" t="s">
        <v>186</v>
      </c>
      <c r="AR618" s="66">
        <v>384</v>
      </c>
      <c r="AS618" s="66"/>
      <c r="AT618" s="9" t="s">
        <v>7</v>
      </c>
      <c r="AU618" s="66">
        <f>+AE618*AG618*AK618*AN618^4/AR618</f>
        <v>8.9580100011204724</v>
      </c>
      <c r="AV618" s="66"/>
      <c r="AW618" s="66"/>
      <c r="AX618" s="1" t="s">
        <v>41</v>
      </c>
      <c r="AZ618" s="1" t="s">
        <v>282</v>
      </c>
      <c r="CC618" s="7"/>
    </row>
    <row r="619" spans="2:81">
      <c r="B619" s="6"/>
      <c r="W619" s="1" t="s">
        <v>286</v>
      </c>
      <c r="AE619" s="66">
        <f>+AG588*1000</f>
        <v>3000</v>
      </c>
      <c r="AF619" s="66"/>
      <c r="AG619" s="66"/>
      <c r="AH619" s="1" t="s">
        <v>173</v>
      </c>
      <c r="AI619" s="66">
        <v>300</v>
      </c>
      <c r="AJ619" s="66"/>
      <c r="AK619" s="9" t="s">
        <v>7</v>
      </c>
      <c r="AL619" s="66">
        <f>+AE619/AI619</f>
        <v>10</v>
      </c>
      <c r="AM619" s="66"/>
      <c r="AN619" s="66"/>
      <c r="AO619" s="1" t="s">
        <v>41</v>
      </c>
      <c r="AR619" s="1" t="s">
        <v>192</v>
      </c>
      <c r="CC619" s="7"/>
    </row>
    <row r="620" spans="2:81">
      <c r="B620" s="6"/>
      <c r="W620" s="1" t="s">
        <v>34</v>
      </c>
      <c r="X620" s="66">
        <f>+AU617</f>
        <v>4.2801617144477477</v>
      </c>
      <c r="Y620" s="66"/>
      <c r="Z620" s="66"/>
      <c r="AA620" s="1" t="s">
        <v>41</v>
      </c>
      <c r="AC620" s="1" t="str">
        <f>IF(X620&lt;AG620,"&lt;","&gt;")</f>
        <v>&lt;</v>
      </c>
      <c r="AD620" s="1" t="s">
        <v>174</v>
      </c>
      <c r="AG620" s="66">
        <f>+AL619</f>
        <v>10</v>
      </c>
      <c r="AH620" s="66"/>
      <c r="AI620" s="66"/>
      <c r="AJ620" s="1" t="s">
        <v>41</v>
      </c>
      <c r="AL620" s="8" t="str">
        <f>IF(X620&lt;AG620,"uygun.","uygun değil.")</f>
        <v>uygun.</v>
      </c>
      <c r="CC620" s="7"/>
    </row>
    <row r="621" spans="2:81">
      <c r="B621" s="6"/>
      <c r="W621" s="1" t="s">
        <v>27</v>
      </c>
      <c r="X621" s="66">
        <f>+AU618</f>
        <v>8.9580100011204724</v>
      </c>
      <c r="Y621" s="66"/>
      <c r="Z621" s="66"/>
      <c r="AA621" s="1" t="s">
        <v>41</v>
      </c>
      <c r="AC621" s="1" t="str">
        <f>IF(X621&lt;AG621,"&lt;","&gt;")</f>
        <v>&lt;</v>
      </c>
      <c r="AD621" s="1" t="s">
        <v>284</v>
      </c>
      <c r="AG621" s="66">
        <f>+AG620</f>
        <v>10</v>
      </c>
      <c r="AH621" s="66"/>
      <c r="AI621" s="66"/>
      <c r="AJ621" s="1" t="s">
        <v>41</v>
      </c>
      <c r="AL621" s="8" t="str">
        <f>IF(X621&lt;AG621,"uygun.","uygun değil.")</f>
        <v>uygun.</v>
      </c>
      <c r="CC621" s="7"/>
    </row>
    <row r="622" spans="2:81" ht="12" thickBot="1">
      <c r="B622" s="12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4"/>
    </row>
    <row r="623" spans="2:81" ht="12" thickBot="1"/>
    <row r="624" spans="2:81" ht="48" customHeight="1">
      <c r="B624" s="73" t="s">
        <v>323</v>
      </c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  <c r="AL624" s="74"/>
      <c r="AM624" s="74"/>
      <c r="AN624" s="74"/>
      <c r="AO624" s="74"/>
      <c r="AP624" s="74"/>
      <c r="AQ624" s="74"/>
      <c r="AR624" s="74"/>
      <c r="AS624" s="74"/>
      <c r="AT624" s="74"/>
      <c r="AU624" s="74"/>
      <c r="AV624" s="74"/>
      <c r="AW624" s="74"/>
      <c r="AX624" s="74"/>
      <c r="AY624" s="74"/>
      <c r="AZ624" s="74"/>
      <c r="BA624" s="74"/>
      <c r="BB624" s="74"/>
      <c r="BC624" s="74"/>
      <c r="BD624" s="74"/>
      <c r="BE624" s="74"/>
      <c r="BF624" s="74"/>
      <c r="BG624" s="74"/>
      <c r="BH624" s="74"/>
      <c r="BI624" s="74"/>
      <c r="BJ624" s="74"/>
      <c r="BK624" s="74"/>
      <c r="BL624" s="74"/>
      <c r="BM624" s="74"/>
      <c r="BN624" s="74"/>
      <c r="BO624" s="74"/>
      <c r="BP624" s="74"/>
      <c r="BQ624" s="74"/>
      <c r="BR624" s="74"/>
      <c r="BS624" s="74"/>
      <c r="BT624" s="74"/>
      <c r="BU624" s="74"/>
      <c r="BV624" s="74"/>
      <c r="BW624" s="74"/>
      <c r="BX624" s="74"/>
      <c r="BY624" s="74"/>
      <c r="BZ624" s="74"/>
      <c r="CA624" s="74"/>
      <c r="CB624" s="74"/>
      <c r="CC624" s="75"/>
    </row>
    <row r="625" spans="2:81">
      <c r="B625" s="6"/>
      <c r="S625" s="8" t="s">
        <v>176</v>
      </c>
      <c r="CC625" s="7"/>
    </row>
    <row r="626" spans="2:81">
      <c r="B626" s="6"/>
      <c r="AW626" s="1" t="s">
        <v>290</v>
      </c>
      <c r="CC626" s="7"/>
    </row>
    <row r="627" spans="2:81">
      <c r="B627" s="6"/>
      <c r="O627" s="67" t="s">
        <v>171</v>
      </c>
      <c r="P627" s="67"/>
      <c r="Q627" s="67"/>
      <c r="R627" s="67"/>
      <c r="S627" s="67"/>
      <c r="T627" s="67"/>
      <c r="Y627" s="1" t="s">
        <v>505</v>
      </c>
      <c r="AG627" s="1" t="s">
        <v>504</v>
      </c>
      <c r="AL627" s="1" t="s">
        <v>506</v>
      </c>
      <c r="AP627" s="67">
        <v>75</v>
      </c>
      <c r="AQ627" s="67"/>
      <c r="AR627" s="1" t="s">
        <v>0</v>
      </c>
      <c r="CC627" s="7"/>
    </row>
    <row r="628" spans="2:81">
      <c r="B628" s="6"/>
      <c r="AC628" s="67">
        <v>65</v>
      </c>
      <c r="AD628" s="67"/>
      <c r="AE628" s="1" t="s">
        <v>0</v>
      </c>
      <c r="AL628" s="67">
        <v>25</v>
      </c>
      <c r="AM628" s="67"/>
      <c r="AN628" s="1" t="s">
        <v>187</v>
      </c>
      <c r="CC628" s="7"/>
    </row>
    <row r="629" spans="2:81">
      <c r="B629" s="6"/>
      <c r="Z629" s="67">
        <v>55</v>
      </c>
      <c r="AA629" s="67"/>
      <c r="AB629" s="1" t="s">
        <v>187</v>
      </c>
      <c r="AW629" s="23" t="s">
        <v>341</v>
      </c>
      <c r="CC629" s="7"/>
    </row>
    <row r="630" spans="2:81">
      <c r="B630" s="6"/>
      <c r="AW630" s="1" t="s">
        <v>301</v>
      </c>
      <c r="AY630" s="66">
        <f>+AK677</f>
        <v>1.1763270769430065</v>
      </c>
      <c r="AZ630" s="66"/>
      <c r="BA630" s="66"/>
      <c r="BC630" s="1" t="s">
        <v>365</v>
      </c>
      <c r="BN630" s="1" t="s">
        <v>366</v>
      </c>
      <c r="CC630" s="7"/>
    </row>
    <row r="631" spans="2:81">
      <c r="B631" s="6"/>
      <c r="C631" s="71">
        <f>INDEX($CI$24:$CI$138,MATCH(O627,$CG$24:$CG$138,0),0)</f>
        <v>600</v>
      </c>
      <c r="AW631" s="1" t="s">
        <v>297</v>
      </c>
      <c r="AY631" s="66">
        <f>ABS(AC669)</f>
        <v>325.83263276901664</v>
      </c>
      <c r="AZ631" s="66"/>
      <c r="BA631" s="66"/>
      <c r="BB631" s="1" t="s">
        <v>191</v>
      </c>
      <c r="BD631" s="1" t="s">
        <v>329</v>
      </c>
      <c r="CC631" s="7"/>
    </row>
    <row r="632" spans="2:81">
      <c r="B632" s="6"/>
      <c r="C632" s="71"/>
      <c r="AW632" s="1" t="s">
        <v>330</v>
      </c>
      <c r="AZ632" s="66">
        <f>MAX(ABS(AY641),ABS(AZ641),ABS(BA641),ABS(BB641),ABS(BC641),ABS(BD641))</f>
        <v>226.51785714285714</v>
      </c>
      <c r="BA632" s="66"/>
      <c r="BB632" s="66"/>
      <c r="BC632" s="1" t="s">
        <v>0</v>
      </c>
      <c r="BE632" s="1" t="s">
        <v>331</v>
      </c>
      <c r="CC632" s="7"/>
    </row>
    <row r="633" spans="2:81">
      <c r="B633" s="6"/>
      <c r="C633" s="71"/>
      <c r="J633" s="66">
        <f>INDEX($CK$24:$CK$138,MATCH(O627,$CG$24:$CG$138,0),0)</f>
        <v>12</v>
      </c>
      <c r="K633" s="66"/>
      <c r="Z633" s="1" t="s">
        <v>13</v>
      </c>
      <c r="CC633" s="7"/>
    </row>
    <row r="634" spans="2:81">
      <c r="B634" s="6"/>
      <c r="CC634" s="7"/>
    </row>
    <row r="635" spans="2:81">
      <c r="B635" s="6"/>
      <c r="U635" s="1" t="s">
        <v>2</v>
      </c>
      <c r="V635" s="66">
        <f>+E647</f>
        <v>223.48214285714286</v>
      </c>
      <c r="W635" s="66"/>
      <c r="X635" s="1" t="s">
        <v>0</v>
      </c>
      <c r="AI635" s="1" t="s">
        <v>3</v>
      </c>
      <c r="AJ635" s="66">
        <f>+E649</f>
        <v>339.01785714285711</v>
      </c>
      <c r="AK635" s="66"/>
      <c r="AL635" s="1" t="s">
        <v>0</v>
      </c>
      <c r="CC635" s="7"/>
    </row>
    <row r="636" spans="2:81">
      <c r="B636" s="6"/>
      <c r="K636" s="66">
        <f>INDEX($CL$24:$CL$138,MATCH(O627,$CG$24:$CG$138,0),0)</f>
        <v>19</v>
      </c>
      <c r="L636" s="66"/>
      <c r="Y636" s="67">
        <v>1.5</v>
      </c>
      <c r="Z636" s="67"/>
      <c r="AA636" s="1" t="s">
        <v>1</v>
      </c>
      <c r="AF636" s="66">
        <f>+AC638-Y636</f>
        <v>5.5</v>
      </c>
      <c r="AG636" s="66"/>
      <c r="AH636" s="1" t="s">
        <v>1</v>
      </c>
      <c r="AI636" s="20"/>
      <c r="AM636" s="67">
        <v>1.5</v>
      </c>
      <c r="AN636" s="67"/>
      <c r="AO636" s="9" t="s">
        <v>1</v>
      </c>
      <c r="AW636" s="23" t="s">
        <v>266</v>
      </c>
      <c r="CC636" s="7"/>
    </row>
    <row r="637" spans="2:81">
      <c r="B637" s="6"/>
      <c r="AW637" s="11" t="s">
        <v>265</v>
      </c>
      <c r="CC637" s="7"/>
    </row>
    <row r="638" spans="2:81">
      <c r="B638" s="6"/>
      <c r="AC638" s="67">
        <v>7</v>
      </c>
      <c r="AD638" s="67"/>
      <c r="AE638" s="9" t="s">
        <v>1</v>
      </c>
      <c r="AW638" s="11" t="s">
        <v>263</v>
      </c>
      <c r="CC638" s="7"/>
    </row>
    <row r="639" spans="2:81">
      <c r="B639" s="6"/>
      <c r="I639" s="66">
        <f>INDEX($CJ$24:$CJ$138,MATCH(O627,$CG$24:$CG$138,0),0)</f>
        <v>220</v>
      </c>
      <c r="J639" s="66"/>
      <c r="AW639" s="11" t="s">
        <v>264</v>
      </c>
      <c r="CC639" s="7"/>
    </row>
    <row r="640" spans="2:81">
      <c r="B640" s="6"/>
      <c r="AH640" s="23" t="s">
        <v>317</v>
      </c>
      <c r="CC640" s="7"/>
    </row>
    <row r="641" spans="2:81">
      <c r="B641" s="6"/>
      <c r="D641" s="10" t="s">
        <v>36</v>
      </c>
      <c r="F641" s="66">
        <f>INDEX($CM$24:$CM$138,MATCH(O627,$CG$24:$CG$138,0),0)</f>
        <v>92080</v>
      </c>
      <c r="G641" s="66"/>
      <c r="H641" s="66"/>
      <c r="I641" s="66"/>
      <c r="J641" s="1" t="s">
        <v>37</v>
      </c>
      <c r="M641" s="1" t="s">
        <v>175</v>
      </c>
      <c r="AH641" s="1" t="s">
        <v>348</v>
      </c>
      <c r="AY641" s="40">
        <f>V635</f>
        <v>223.48214285714286</v>
      </c>
      <c r="AZ641" s="40">
        <f>+AY641-Z629*Y636</f>
        <v>140.98214285714286</v>
      </c>
      <c r="BA641" s="40">
        <f>+AZ641-AC628</f>
        <v>75.982142857142861</v>
      </c>
      <c r="BB641" s="40">
        <f>+BA641-Z629*AF636</f>
        <v>-226.51785714285714</v>
      </c>
      <c r="BC641" s="40">
        <f>+BB641+AJ635</f>
        <v>112.49999999999997</v>
      </c>
      <c r="BD641" s="40">
        <f>+BC641-AL628*AM636</f>
        <v>74.999999999999972</v>
      </c>
      <c r="CC641" s="7"/>
    </row>
    <row r="642" spans="2:81">
      <c r="B642" s="6"/>
      <c r="D642" s="1" t="s">
        <v>38</v>
      </c>
      <c r="F642" s="67">
        <v>200000</v>
      </c>
      <c r="G642" s="67"/>
      <c r="H642" s="67"/>
      <c r="I642" s="67"/>
      <c r="J642" s="1" t="s">
        <v>39</v>
      </c>
      <c r="M642" s="1" t="s">
        <v>302</v>
      </c>
      <c r="CC642" s="7"/>
    </row>
    <row r="643" spans="2:81">
      <c r="B643" s="6"/>
      <c r="CC643" s="7"/>
    </row>
    <row r="644" spans="2:81">
      <c r="B644" s="6"/>
      <c r="U644" s="1" t="s">
        <v>316</v>
      </c>
      <c r="AG644" s="1" t="s">
        <v>344</v>
      </c>
      <c r="CC644" s="7"/>
    </row>
    <row r="645" spans="2:81">
      <c r="B645" s="6"/>
      <c r="C645" s="23" t="s">
        <v>221</v>
      </c>
      <c r="CC645" s="7"/>
    </row>
    <row r="646" spans="2:81">
      <c r="B646" s="6"/>
      <c r="C646" s="1" t="s">
        <v>4</v>
      </c>
      <c r="D646" s="9" t="s">
        <v>5</v>
      </c>
      <c r="E646" s="66">
        <f>+AC638</f>
        <v>7</v>
      </c>
      <c r="F646" s="66"/>
      <c r="G646" s="9" t="s">
        <v>6</v>
      </c>
      <c r="H646" s="66">
        <f>+Z629</f>
        <v>55</v>
      </c>
      <c r="I646" s="66"/>
      <c r="J646" s="9" t="s">
        <v>5</v>
      </c>
      <c r="K646" s="66">
        <f>+AC638</f>
        <v>7</v>
      </c>
      <c r="L646" s="66"/>
      <c r="M646" s="9" t="s">
        <v>5</v>
      </c>
      <c r="N646" s="66">
        <f>+K646/2</f>
        <v>3.5</v>
      </c>
      <c r="O646" s="66"/>
      <c r="P646" s="9" t="s">
        <v>6</v>
      </c>
      <c r="Q646" s="66">
        <f>+AC628</f>
        <v>65</v>
      </c>
      <c r="R646" s="66"/>
      <c r="S646" s="9" t="s">
        <v>5</v>
      </c>
      <c r="T646" s="66">
        <f>+AF636</f>
        <v>5.5</v>
      </c>
      <c r="U646" s="66"/>
      <c r="V646" s="9" t="s">
        <v>9</v>
      </c>
      <c r="W646" s="66">
        <f>+AL628</f>
        <v>25</v>
      </c>
      <c r="X646" s="66"/>
      <c r="Y646" s="9" t="s">
        <v>5</v>
      </c>
      <c r="Z646" s="66">
        <f>+AM636</f>
        <v>1.5</v>
      </c>
      <c r="AA646" s="66"/>
      <c r="AB646" s="9" t="s">
        <v>5</v>
      </c>
      <c r="AC646" s="66">
        <f>+Z646/2</f>
        <v>0.75</v>
      </c>
      <c r="AD646" s="66"/>
      <c r="AE646" s="9" t="s">
        <v>9</v>
      </c>
      <c r="AF646" s="66">
        <f>+AP627</f>
        <v>75</v>
      </c>
      <c r="AG646" s="66"/>
      <c r="AH646" s="9" t="s">
        <v>5</v>
      </c>
      <c r="AI646" s="66">
        <f>+AM636</f>
        <v>1.5</v>
      </c>
      <c r="AJ646" s="66"/>
      <c r="AK646" s="9" t="s">
        <v>7</v>
      </c>
      <c r="AL646" s="1">
        <v>0</v>
      </c>
      <c r="CC646" s="7"/>
    </row>
    <row r="647" spans="2:81">
      <c r="B647" s="6"/>
      <c r="C647" s="1" t="s">
        <v>4</v>
      </c>
      <c r="D647" s="9" t="s">
        <v>7</v>
      </c>
      <c r="E647" s="66">
        <f>(H646*K646*N646+Q646*T646-W646*Z646*AC646-AF646*AI646)/E646</f>
        <v>223.48214285714286</v>
      </c>
      <c r="F647" s="66"/>
      <c r="G647" s="66"/>
      <c r="H647" s="1" t="s">
        <v>0</v>
      </c>
      <c r="CC647" s="7"/>
    </row>
    <row r="648" spans="2:81">
      <c r="B648" s="6"/>
      <c r="C648" s="1" t="s">
        <v>4</v>
      </c>
      <c r="D648" s="9" t="s">
        <v>9</v>
      </c>
      <c r="E648" s="1" t="s">
        <v>10</v>
      </c>
      <c r="F648" s="9" t="s">
        <v>6</v>
      </c>
      <c r="G648" s="66">
        <f>+Z629</f>
        <v>55</v>
      </c>
      <c r="H648" s="66"/>
      <c r="I648" s="9" t="s">
        <v>5</v>
      </c>
      <c r="J648" s="66">
        <f>+AC638</f>
        <v>7</v>
      </c>
      <c r="K648" s="66"/>
      <c r="L648" s="9" t="s">
        <v>6</v>
      </c>
      <c r="M648" s="66">
        <f>+AC628</f>
        <v>65</v>
      </c>
      <c r="N648" s="66"/>
      <c r="O648" s="9" t="s">
        <v>6</v>
      </c>
      <c r="P648" s="66">
        <f>+AL628</f>
        <v>25</v>
      </c>
      <c r="Q648" s="66"/>
      <c r="R648" s="9" t="s">
        <v>5</v>
      </c>
      <c r="S648" s="66">
        <f>+AM636</f>
        <v>1.5</v>
      </c>
      <c r="T648" s="66"/>
      <c r="U648" s="9" t="s">
        <v>6</v>
      </c>
      <c r="V648" s="66">
        <f>+AP627</f>
        <v>75</v>
      </c>
      <c r="W648" s="66"/>
      <c r="X648" s="9" t="s">
        <v>7</v>
      </c>
      <c r="Y648" s="1">
        <v>0</v>
      </c>
      <c r="CC648" s="7"/>
    </row>
    <row r="649" spans="2:81">
      <c r="B649" s="6"/>
      <c r="C649" s="1" t="s">
        <v>10</v>
      </c>
      <c r="D649" s="9" t="s">
        <v>7</v>
      </c>
      <c r="E649" s="66">
        <f>+G648*J648+M648+P648*S648+V648-E647</f>
        <v>339.01785714285711</v>
      </c>
      <c r="F649" s="66"/>
      <c r="G649" s="66"/>
      <c r="H649" s="1" t="s">
        <v>0</v>
      </c>
      <c r="CC649" s="7"/>
    </row>
    <row r="650" spans="2:81">
      <c r="B650" s="6"/>
      <c r="C650" s="23" t="s">
        <v>222</v>
      </c>
      <c r="D650" s="9"/>
      <c r="E650" s="9"/>
      <c r="F650" s="9"/>
      <c r="G650" s="9"/>
      <c r="CC650" s="7"/>
    </row>
    <row r="651" spans="2:81">
      <c r="B651" s="6"/>
      <c r="C651" s="24" t="s">
        <v>303</v>
      </c>
      <c r="D651" s="9"/>
      <c r="E651" s="9"/>
      <c r="F651" s="9"/>
      <c r="G651" s="9"/>
      <c r="CC651" s="7"/>
    </row>
    <row r="652" spans="2:81">
      <c r="B652" s="6"/>
      <c r="C652" s="1" t="s">
        <v>12</v>
      </c>
      <c r="D652" s="9"/>
      <c r="E652" s="66">
        <f>+E682</f>
        <v>223.48214285714286</v>
      </c>
      <c r="F652" s="66"/>
      <c r="G652" s="9" t="s">
        <v>5</v>
      </c>
      <c r="H652" s="1" t="s">
        <v>13</v>
      </c>
      <c r="I652" s="9" t="s">
        <v>6</v>
      </c>
      <c r="J652" s="66">
        <f>+J682</f>
        <v>55</v>
      </c>
      <c r="K652" s="66"/>
      <c r="L652" s="9" t="s">
        <v>5</v>
      </c>
      <c r="M652" s="1" t="s">
        <v>183</v>
      </c>
      <c r="N652" s="1" t="s">
        <v>173</v>
      </c>
      <c r="O652" s="1">
        <v>2</v>
      </c>
      <c r="P652" s="9"/>
      <c r="U652" s="9"/>
      <c r="AC652" s="9"/>
      <c r="CC652" s="7"/>
    </row>
    <row r="653" spans="2:81">
      <c r="B653" s="6"/>
      <c r="C653" s="1" t="s">
        <v>27</v>
      </c>
      <c r="D653" s="67">
        <v>1</v>
      </c>
      <c r="E653" s="67"/>
      <c r="F653" s="67"/>
      <c r="G653" s="1" t="s">
        <v>213</v>
      </c>
      <c r="H653" s="9"/>
      <c r="I653" s="9"/>
      <c r="J653" s="9"/>
      <c r="M653" s="9"/>
      <c r="N653" s="21"/>
      <c r="P653" s="9"/>
      <c r="Q653" s="9"/>
      <c r="U653" s="8" t="str">
        <f>IF(D653&lt;=Y636,"","azalt.")</f>
        <v/>
      </c>
      <c r="W653" s="9"/>
      <c r="X653" s="9"/>
      <c r="AA653" s="9"/>
      <c r="AB653" s="9"/>
      <c r="CC653" s="7"/>
    </row>
    <row r="654" spans="2:81">
      <c r="B654" s="6"/>
      <c r="C654" s="1" t="s">
        <v>12</v>
      </c>
      <c r="D654" s="9"/>
      <c r="E654" s="66">
        <f>+E684</f>
        <v>223.48214285714286</v>
      </c>
      <c r="F654" s="66"/>
      <c r="G654" s="9" t="s">
        <v>5</v>
      </c>
      <c r="H654" s="66">
        <f>+D653</f>
        <v>1</v>
      </c>
      <c r="I654" s="66"/>
      <c r="J654" s="9" t="s">
        <v>6</v>
      </c>
      <c r="K654" s="66">
        <f>+J652</f>
        <v>55</v>
      </c>
      <c r="L654" s="66"/>
      <c r="M654" s="9" t="s">
        <v>5</v>
      </c>
      <c r="N654" s="66">
        <f>+D653</f>
        <v>1</v>
      </c>
      <c r="O654" s="66"/>
      <c r="P654" s="1" t="s">
        <v>190</v>
      </c>
      <c r="Q654" s="1">
        <v>2</v>
      </c>
      <c r="R654" s="9" t="s">
        <v>7</v>
      </c>
      <c r="S654" s="66">
        <f>+E654*H654-K654*N654^2/Q654</f>
        <v>195.98214285714286</v>
      </c>
      <c r="T654" s="66"/>
      <c r="U654" s="66"/>
      <c r="V654" s="1" t="s">
        <v>191</v>
      </c>
      <c r="X654" s="9"/>
      <c r="CC654" s="7"/>
    </row>
    <row r="655" spans="2:81">
      <c r="B655" s="6"/>
      <c r="C655" s="1" t="s">
        <v>220</v>
      </c>
      <c r="D655" s="9"/>
      <c r="E655" s="66">
        <f>+E652</f>
        <v>223.48214285714286</v>
      </c>
      <c r="F655" s="66"/>
      <c r="G655" s="9" t="s">
        <v>6</v>
      </c>
      <c r="H655" s="66">
        <f>+J652</f>
        <v>55</v>
      </c>
      <c r="I655" s="66"/>
      <c r="J655" s="1" t="s">
        <v>5</v>
      </c>
      <c r="K655" s="66">
        <f>+D653</f>
        <v>1</v>
      </c>
      <c r="L655" s="66"/>
      <c r="M655" s="9" t="s">
        <v>7</v>
      </c>
      <c r="N655" s="66">
        <f>+E655</f>
        <v>223.48214285714286</v>
      </c>
      <c r="O655" s="66"/>
      <c r="P655" s="9" t="s">
        <v>6</v>
      </c>
      <c r="Q655" s="66">
        <f>+H655*K655</f>
        <v>55</v>
      </c>
      <c r="R655" s="66"/>
      <c r="S655" s="9" t="s">
        <v>7</v>
      </c>
      <c r="T655" s="66">
        <f>+N655-Q655</f>
        <v>168.48214285714286</v>
      </c>
      <c r="U655" s="66"/>
      <c r="V655" s="66"/>
      <c r="W655" s="1" t="s">
        <v>191</v>
      </c>
      <c r="CC655" s="7"/>
    </row>
    <row r="656" spans="2:81">
      <c r="B656" s="6"/>
      <c r="C656" s="24" t="s">
        <v>308</v>
      </c>
      <c r="D656" s="9"/>
      <c r="E656" s="9"/>
      <c r="F656" s="9"/>
      <c r="G656" s="9"/>
      <c r="CC656" s="7"/>
    </row>
    <row r="657" spans="2:81">
      <c r="B657" s="6"/>
      <c r="C657" s="1" t="s">
        <v>12</v>
      </c>
      <c r="D657" s="9"/>
      <c r="E657" s="66">
        <f>+E686</f>
        <v>223.48214285714286</v>
      </c>
      <c r="F657" s="66"/>
      <c r="G657" s="9" t="s">
        <v>5</v>
      </c>
      <c r="H657" s="9" t="s">
        <v>13</v>
      </c>
      <c r="I657" s="9" t="s">
        <v>6</v>
      </c>
      <c r="J657" s="66">
        <f>+Z629</f>
        <v>55</v>
      </c>
      <c r="K657" s="66"/>
      <c r="L657" s="9" t="s">
        <v>5</v>
      </c>
      <c r="M657" s="1" t="s">
        <v>183</v>
      </c>
      <c r="N657" s="1" t="s">
        <v>173</v>
      </c>
      <c r="O657" s="1">
        <v>2</v>
      </c>
      <c r="P657" s="9" t="s">
        <v>6</v>
      </c>
      <c r="Q657" s="66">
        <f>+AC628</f>
        <v>65</v>
      </c>
      <c r="R657" s="66"/>
      <c r="S657" s="1" t="s">
        <v>14</v>
      </c>
      <c r="T657" s="9" t="s">
        <v>13</v>
      </c>
      <c r="U657" s="9" t="s">
        <v>6</v>
      </c>
      <c r="V657" s="66">
        <f>+Y636</f>
        <v>1.5</v>
      </c>
      <c r="W657" s="66"/>
      <c r="X657" s="1" t="s">
        <v>40</v>
      </c>
      <c r="AC657" s="9"/>
      <c r="AD657" s="9"/>
      <c r="AH657" s="9"/>
      <c r="AI657" s="9"/>
      <c r="AJ657" s="9"/>
      <c r="AM657" s="9"/>
      <c r="AQ657" s="9"/>
      <c r="AT657" s="9"/>
      <c r="AU657" s="9"/>
      <c r="CC657" s="7"/>
    </row>
    <row r="658" spans="2:81">
      <c r="B658" s="6"/>
      <c r="C658" s="1" t="s">
        <v>27</v>
      </c>
      <c r="D658" s="67">
        <v>3</v>
      </c>
      <c r="E658" s="67"/>
      <c r="F658" s="67"/>
      <c r="G658" s="1" t="s">
        <v>213</v>
      </c>
      <c r="H658" s="9"/>
      <c r="I658" s="9"/>
      <c r="J658" s="9"/>
      <c r="M658" s="9"/>
      <c r="N658" s="21"/>
      <c r="P658" s="9"/>
      <c r="Q658" s="9"/>
      <c r="U658" s="8" t="str">
        <f>IF(D658&lt;Y636,"artır.",IF(D658&gt;AC638,"azalt.",""))</f>
        <v/>
      </c>
      <c r="W658" s="9"/>
      <c r="X658" s="9"/>
      <c r="AA658" s="9"/>
      <c r="CC658" s="7"/>
    </row>
    <row r="659" spans="2:81">
      <c r="B659" s="6"/>
      <c r="C659" s="1" t="s">
        <v>12</v>
      </c>
      <c r="D659" s="9"/>
      <c r="E659" s="66">
        <f>+E657</f>
        <v>223.48214285714286</v>
      </c>
      <c r="F659" s="66"/>
      <c r="G659" s="9" t="s">
        <v>5</v>
      </c>
      <c r="H659" s="66">
        <f>+D658</f>
        <v>3</v>
      </c>
      <c r="I659" s="66"/>
      <c r="J659" s="9" t="s">
        <v>6</v>
      </c>
      <c r="K659" s="66">
        <f>+J657</f>
        <v>55</v>
      </c>
      <c r="L659" s="66"/>
      <c r="M659" s="9" t="s">
        <v>5</v>
      </c>
      <c r="N659" s="66">
        <f>+D658</f>
        <v>3</v>
      </c>
      <c r="O659" s="66"/>
      <c r="P659" s="1" t="s">
        <v>190</v>
      </c>
      <c r="Q659" s="1">
        <v>2</v>
      </c>
      <c r="R659" s="1" t="s">
        <v>6</v>
      </c>
      <c r="S659" s="66">
        <f>+Q657</f>
        <v>65</v>
      </c>
      <c r="T659" s="66"/>
      <c r="U659" s="1" t="s">
        <v>14</v>
      </c>
      <c r="V659" s="66">
        <f>+D658</f>
        <v>3</v>
      </c>
      <c r="W659" s="66"/>
      <c r="X659" s="9" t="s">
        <v>6</v>
      </c>
      <c r="Y659" s="66">
        <f>+V657</f>
        <v>1.5</v>
      </c>
      <c r="Z659" s="66"/>
      <c r="AA659" s="1" t="s">
        <v>201</v>
      </c>
      <c r="AB659" s="66">
        <f>+E659*H659-K659*N659^2/Q659-S659*(V659-Y659)</f>
        <v>325.44642857142856</v>
      </c>
      <c r="AC659" s="66"/>
      <c r="AD659" s="66"/>
      <c r="AE659" s="1" t="s">
        <v>191</v>
      </c>
      <c r="AK659" s="9"/>
      <c r="AN659" s="9"/>
      <c r="AQ659" s="9"/>
      <c r="CC659" s="7"/>
    </row>
    <row r="660" spans="2:81">
      <c r="B660" s="6"/>
      <c r="C660" s="1" t="s">
        <v>220</v>
      </c>
      <c r="D660" s="9"/>
      <c r="E660" s="66">
        <f>+E659</f>
        <v>223.48214285714286</v>
      </c>
      <c r="F660" s="66"/>
      <c r="G660" s="9" t="s">
        <v>6</v>
      </c>
      <c r="H660" s="66">
        <f>+K659</f>
        <v>55</v>
      </c>
      <c r="I660" s="66"/>
      <c r="J660" s="9" t="s">
        <v>5</v>
      </c>
      <c r="K660" s="66">
        <f>+N659</f>
        <v>3</v>
      </c>
      <c r="L660" s="66"/>
      <c r="M660" s="9" t="s">
        <v>6</v>
      </c>
      <c r="N660" s="66">
        <f>+S659</f>
        <v>65</v>
      </c>
      <c r="O660" s="66"/>
      <c r="P660" s="9" t="s">
        <v>7</v>
      </c>
      <c r="Q660" s="66">
        <f>+E660-H660*K660-N660</f>
        <v>-6.5178571428571388</v>
      </c>
      <c r="R660" s="66"/>
      <c r="S660" s="66"/>
      <c r="T660" s="1" t="s">
        <v>0</v>
      </c>
      <c r="V660" s="9"/>
      <c r="CC660" s="7"/>
    </row>
    <row r="661" spans="2:81">
      <c r="B661" s="6"/>
      <c r="C661" s="24" t="s">
        <v>343</v>
      </c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CC661" s="7"/>
    </row>
    <row r="662" spans="2:81">
      <c r="B662" s="6"/>
      <c r="C662" s="1" t="s">
        <v>12</v>
      </c>
      <c r="D662" s="9"/>
      <c r="E662" s="66">
        <f>+V635</f>
        <v>223.48214285714286</v>
      </c>
      <c r="F662" s="66"/>
      <c r="G662" s="9" t="s">
        <v>5</v>
      </c>
      <c r="H662" s="9" t="s">
        <v>13</v>
      </c>
      <c r="I662" s="9" t="s">
        <v>6</v>
      </c>
      <c r="J662" s="66">
        <f>+Z629</f>
        <v>55</v>
      </c>
      <c r="K662" s="66"/>
      <c r="L662" s="9" t="s">
        <v>5</v>
      </c>
      <c r="M662" s="66">
        <f>+AC638</f>
        <v>7</v>
      </c>
      <c r="N662" s="66"/>
      <c r="O662" s="1" t="s">
        <v>14</v>
      </c>
      <c r="P662" s="1" t="s">
        <v>13</v>
      </c>
      <c r="Q662" s="9" t="s">
        <v>6</v>
      </c>
      <c r="R662" s="66">
        <f>+AC638</f>
        <v>7</v>
      </c>
      <c r="S662" s="66"/>
      <c r="T662" s="1" t="s">
        <v>173</v>
      </c>
      <c r="U662" s="1">
        <v>2</v>
      </c>
      <c r="V662" s="1" t="s">
        <v>16</v>
      </c>
      <c r="W662" s="66">
        <f>+AC628</f>
        <v>65</v>
      </c>
      <c r="X662" s="66"/>
      <c r="Y662" s="1" t="s">
        <v>14</v>
      </c>
      <c r="Z662" s="9" t="s">
        <v>13</v>
      </c>
      <c r="AA662" s="9" t="s">
        <v>6</v>
      </c>
      <c r="AB662" s="66">
        <f>+Y636</f>
        <v>1.5</v>
      </c>
      <c r="AC662" s="66"/>
      <c r="AD662" s="1" t="s">
        <v>306</v>
      </c>
      <c r="AE662" s="66">
        <f>+AJ635</f>
        <v>339.01785714285711</v>
      </c>
      <c r="AF662" s="66"/>
      <c r="AG662" s="1" t="s">
        <v>14</v>
      </c>
      <c r="AH662" s="1" t="s">
        <v>13</v>
      </c>
      <c r="AI662" s="9" t="s">
        <v>6</v>
      </c>
      <c r="AJ662" s="66">
        <f>+AC638</f>
        <v>7</v>
      </c>
      <c r="AK662" s="66"/>
      <c r="AL662" s="9" t="s">
        <v>16</v>
      </c>
      <c r="AM662" s="66">
        <f>+AL628</f>
        <v>25</v>
      </c>
      <c r="AN662" s="66"/>
      <c r="AO662" s="1" t="s">
        <v>14</v>
      </c>
      <c r="AP662" s="1" t="s">
        <v>13</v>
      </c>
      <c r="AQ662" s="9" t="s">
        <v>6</v>
      </c>
      <c r="AR662" s="66">
        <f>+AC638</f>
        <v>7</v>
      </c>
      <c r="AS662" s="66"/>
      <c r="AT662" s="1" t="s">
        <v>200</v>
      </c>
      <c r="AU662" s="1" t="s">
        <v>173</v>
      </c>
      <c r="AV662" s="1">
        <v>2</v>
      </c>
      <c r="CC662" s="7"/>
    </row>
    <row r="663" spans="2:81">
      <c r="B663" s="6"/>
      <c r="C663" s="1" t="s">
        <v>27</v>
      </c>
      <c r="D663" s="67">
        <v>8</v>
      </c>
      <c r="E663" s="67"/>
      <c r="F663" s="67"/>
      <c r="G663" s="1" t="s">
        <v>213</v>
      </c>
      <c r="H663" s="9"/>
      <c r="I663" s="9"/>
      <c r="J663" s="9"/>
      <c r="M663" s="9"/>
      <c r="N663" s="21"/>
      <c r="P663" s="9"/>
      <c r="Q663" s="9"/>
      <c r="U663" s="8" t="str">
        <f>IF(D663&lt;AC638,"artır.",IF(D663&gt;(AC638+AM636),"azalt.",""))</f>
        <v/>
      </c>
      <c r="W663" s="9"/>
      <c r="X663" s="9"/>
      <c r="AA663" s="9"/>
      <c r="CC663" s="7"/>
    </row>
    <row r="664" spans="2:81">
      <c r="B664" s="6"/>
      <c r="C664" s="1" t="s">
        <v>12</v>
      </c>
      <c r="D664" s="9"/>
      <c r="E664" s="66">
        <f>+E662</f>
        <v>223.48214285714286</v>
      </c>
      <c r="F664" s="66"/>
      <c r="G664" s="9" t="s">
        <v>5</v>
      </c>
      <c r="H664" s="66">
        <f>+D663</f>
        <v>8</v>
      </c>
      <c r="I664" s="66"/>
      <c r="J664" s="9" t="s">
        <v>6</v>
      </c>
      <c r="K664" s="66">
        <f>+J662</f>
        <v>55</v>
      </c>
      <c r="L664" s="66"/>
      <c r="M664" s="9" t="s">
        <v>5</v>
      </c>
      <c r="N664" s="66">
        <f>+AC638</f>
        <v>7</v>
      </c>
      <c r="O664" s="66"/>
      <c r="P664" s="9" t="s">
        <v>14</v>
      </c>
      <c r="Q664" s="66">
        <f>+D663</f>
        <v>8</v>
      </c>
      <c r="R664" s="66"/>
      <c r="S664" s="9" t="s">
        <v>6</v>
      </c>
      <c r="T664" s="66">
        <f>+R662</f>
        <v>7</v>
      </c>
      <c r="U664" s="66"/>
      <c r="V664" s="1" t="s">
        <v>173</v>
      </c>
      <c r="W664" s="1">
        <v>2</v>
      </c>
      <c r="X664" s="1" t="s">
        <v>16</v>
      </c>
      <c r="Y664" s="66">
        <f>+W662</f>
        <v>65</v>
      </c>
      <c r="Z664" s="66"/>
      <c r="AA664" s="1" t="s">
        <v>14</v>
      </c>
      <c r="AB664" s="66">
        <f>+D663</f>
        <v>8</v>
      </c>
      <c r="AC664" s="66"/>
      <c r="AD664" s="9" t="s">
        <v>6</v>
      </c>
      <c r="AE664" s="66">
        <f>+AB662</f>
        <v>1.5</v>
      </c>
      <c r="AF664" s="66"/>
      <c r="AG664" s="1" t="s">
        <v>306</v>
      </c>
      <c r="AH664" s="66">
        <f>+AE662</f>
        <v>339.01785714285711</v>
      </c>
      <c r="AI664" s="66"/>
      <c r="AJ664" s="1" t="s">
        <v>14</v>
      </c>
      <c r="AK664" s="66">
        <f>+AB664</f>
        <v>8</v>
      </c>
      <c r="AL664" s="66"/>
      <c r="AM664" s="9" t="s">
        <v>6</v>
      </c>
      <c r="AN664" s="66">
        <f>+AJ662</f>
        <v>7</v>
      </c>
      <c r="AO664" s="66"/>
      <c r="AP664" s="9" t="s">
        <v>16</v>
      </c>
      <c r="AQ664" s="66">
        <f>+AM662</f>
        <v>25</v>
      </c>
      <c r="AR664" s="66"/>
      <c r="AS664" s="1" t="s">
        <v>14</v>
      </c>
      <c r="AT664" s="66">
        <f>+AK664</f>
        <v>8</v>
      </c>
      <c r="AU664" s="66"/>
      <c r="AV664" s="9" t="s">
        <v>6</v>
      </c>
      <c r="AW664" s="66">
        <f>+AR662</f>
        <v>7</v>
      </c>
      <c r="AX664" s="66"/>
      <c r="AY664" s="1" t="s">
        <v>200</v>
      </c>
      <c r="AZ664" s="1" t="s">
        <v>173</v>
      </c>
      <c r="BA664" s="1">
        <v>2</v>
      </c>
      <c r="BB664" s="1" t="s">
        <v>7</v>
      </c>
      <c r="BC664" s="66">
        <f>E664*H664-K664*N664*(Q664-T664/W664)-Y664*(AB664-AE664)+AH664*(AK664-AN664)-AQ664*(AT664-AW664)^2/BA664</f>
        <v>-40.625</v>
      </c>
      <c r="BD664" s="66"/>
      <c r="BE664" s="66"/>
      <c r="BF664" s="1" t="s">
        <v>191</v>
      </c>
      <c r="CC664" s="7"/>
    </row>
    <row r="665" spans="2:81">
      <c r="B665" s="6"/>
      <c r="C665" s="1" t="s">
        <v>220</v>
      </c>
      <c r="D665" s="9"/>
      <c r="E665" s="66">
        <f>+E664</f>
        <v>223.48214285714286</v>
      </c>
      <c r="F665" s="66"/>
      <c r="G665" s="9" t="s">
        <v>6</v>
      </c>
      <c r="H665" s="66">
        <f>+K664</f>
        <v>55</v>
      </c>
      <c r="I665" s="66"/>
      <c r="J665" s="9" t="s">
        <v>5</v>
      </c>
      <c r="K665" s="66">
        <f>+N664</f>
        <v>7</v>
      </c>
      <c r="L665" s="66"/>
      <c r="M665" s="9" t="s">
        <v>6</v>
      </c>
      <c r="N665" s="66">
        <f>+Y664</f>
        <v>65</v>
      </c>
      <c r="O665" s="66"/>
      <c r="P665" s="9" t="s">
        <v>9</v>
      </c>
      <c r="Q665" s="66">
        <f>+AH664</f>
        <v>339.01785714285711</v>
      </c>
      <c r="R665" s="66"/>
      <c r="S665" s="9" t="s">
        <v>6</v>
      </c>
      <c r="T665" s="66">
        <f>+AQ664</f>
        <v>25</v>
      </c>
      <c r="U665" s="66"/>
      <c r="V665" s="9" t="s">
        <v>5</v>
      </c>
      <c r="W665" s="66">
        <f>+D663-AC638</f>
        <v>1</v>
      </c>
      <c r="X665" s="66"/>
      <c r="Y665" s="9" t="s">
        <v>7</v>
      </c>
      <c r="Z665" s="66">
        <f>+E665-H665*K665-N665+Q665-T665*W665</f>
        <v>87.499999999999972</v>
      </c>
      <c r="AA665" s="66"/>
      <c r="AB665" s="66"/>
      <c r="AC665" s="1" t="s">
        <v>0</v>
      </c>
      <c r="CC665" s="7"/>
    </row>
    <row r="666" spans="2:81">
      <c r="B666" s="6"/>
      <c r="C666" s="23" t="s">
        <v>253</v>
      </c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CC666" s="7"/>
    </row>
    <row r="667" spans="2:81">
      <c r="B667" s="6"/>
      <c r="C667" s="24" t="s">
        <v>364</v>
      </c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40" t="s">
        <v>325</v>
      </c>
      <c r="R667" s="40"/>
      <c r="S667" s="76">
        <f>V635/Z629</f>
        <v>4.0633116883116882</v>
      </c>
      <c r="T667" s="76"/>
      <c r="U667" s="40" t="s">
        <v>1</v>
      </c>
      <c r="V667" s="40"/>
      <c r="W667" s="40" t="s">
        <v>327</v>
      </c>
      <c r="X667" s="40"/>
      <c r="Y667" s="76">
        <f>V635*S667-Z629*S667*S667/2</f>
        <v>454.03880160018554</v>
      </c>
      <c r="Z667" s="76"/>
      <c r="AA667" s="40" t="s">
        <v>191</v>
      </c>
      <c r="AB667" s="40"/>
      <c r="AC667" s="40"/>
      <c r="AD667" s="76">
        <f>IF(S667&lt;Y636,S667,S668)</f>
        <v>2.8814935064935066</v>
      </c>
      <c r="AE667" s="76"/>
      <c r="AF667" s="76" cm="1">
        <f t="array" ref="AF667">INDEX(Y667:Y668,MATCH(AD667,S667:S668,0),0)</f>
        <v>325.83263276901675</v>
      </c>
      <c r="AG667" s="76"/>
      <c r="CC667" s="7"/>
    </row>
    <row r="668" spans="2:81">
      <c r="B668" s="6"/>
      <c r="C668" s="1" t="s">
        <v>27</v>
      </c>
      <c r="D668" s="66">
        <f>IF(AF667&lt;AF668,AD668,AD667)</f>
        <v>2.8814935064935066</v>
      </c>
      <c r="E668" s="66"/>
      <c r="F668" s="66"/>
      <c r="G668" s="1" t="s">
        <v>257</v>
      </c>
      <c r="H668" s="9"/>
      <c r="I668" s="9"/>
      <c r="J668" s="9"/>
      <c r="M668" s="9"/>
      <c r="P668" s="9"/>
      <c r="Q668" s="40" t="s">
        <v>326</v>
      </c>
      <c r="R668" s="40"/>
      <c r="S668" s="76">
        <f>(V635-AC628)/Z629</f>
        <v>2.8814935064935066</v>
      </c>
      <c r="T668" s="76"/>
      <c r="U668" s="40" t="s">
        <v>1</v>
      </c>
      <c r="V668" s="40"/>
      <c r="W668" s="40" t="s">
        <v>328</v>
      </c>
      <c r="X668" s="40"/>
      <c r="Y668" s="76">
        <f>V635*S668-Z629*S668*S668/2-AC628*(S668-Y636)</f>
        <v>325.83263276901675</v>
      </c>
      <c r="Z668" s="76"/>
      <c r="AA668" s="40" t="s">
        <v>191</v>
      </c>
      <c r="AB668" s="40"/>
      <c r="AC668" s="40"/>
      <c r="AD668" s="76">
        <f>+AC638</f>
        <v>7</v>
      </c>
      <c r="AE668" s="76"/>
      <c r="AF668" s="76">
        <f>AP627*AM636+AL628*AM636*AM636/2</f>
        <v>140.625</v>
      </c>
      <c r="AG668" s="76"/>
      <c r="CC668" s="7"/>
    </row>
    <row r="669" spans="2:81">
      <c r="B669" s="6"/>
      <c r="C669" s="1" t="s">
        <v>260</v>
      </c>
      <c r="D669" s="9"/>
      <c r="E669" s="9"/>
      <c r="F669" s="66">
        <f>+E654</f>
        <v>223.48214285714286</v>
      </c>
      <c r="G669" s="66"/>
      <c r="H669" s="9" t="s">
        <v>5</v>
      </c>
      <c r="I669" s="66">
        <f>+D668</f>
        <v>2.8814935064935066</v>
      </c>
      <c r="J669" s="66"/>
      <c r="K669" s="9" t="s">
        <v>6</v>
      </c>
      <c r="L669" s="66">
        <f>+K654</f>
        <v>55</v>
      </c>
      <c r="M669" s="66"/>
      <c r="N669" s="9" t="s">
        <v>5</v>
      </c>
      <c r="O669" s="66">
        <f>+D668</f>
        <v>2.8814935064935066</v>
      </c>
      <c r="P669" s="66"/>
      <c r="Q669" s="1" t="s">
        <v>190</v>
      </c>
      <c r="R669" s="1">
        <v>2</v>
      </c>
      <c r="S669" s="9" t="s">
        <v>6</v>
      </c>
      <c r="T669" s="66">
        <f>IF((W669-Z669)&lt;0,0,AC628)</f>
        <v>65</v>
      </c>
      <c r="U669" s="66"/>
      <c r="V669" s="1" t="s">
        <v>14</v>
      </c>
      <c r="W669" s="66">
        <f>+I669</f>
        <v>2.8814935064935066</v>
      </c>
      <c r="X669" s="66"/>
      <c r="Y669" s="9" t="s">
        <v>6</v>
      </c>
      <c r="Z669" s="66">
        <f>+Y636</f>
        <v>1.5</v>
      </c>
      <c r="AA669" s="66"/>
      <c r="AB669" s="1" t="s">
        <v>201</v>
      </c>
      <c r="AC669" s="66">
        <f>+F669*I669-L669*O669^2/R669-T669*(W669-Z669)</f>
        <v>325.83263276901664</v>
      </c>
      <c r="AD669" s="66"/>
      <c r="AE669" s="66"/>
      <c r="AF669" s="1" t="s">
        <v>191</v>
      </c>
      <c r="CC669" s="7"/>
    </row>
    <row r="670" spans="2:81">
      <c r="B670" s="6"/>
      <c r="C670" s="1" t="s">
        <v>247</v>
      </c>
      <c r="E670" s="66">
        <f>+AC638/2</f>
        <v>3.5</v>
      </c>
      <c r="F670" s="66"/>
      <c r="G670" s="66"/>
      <c r="H670" s="1" t="s">
        <v>252</v>
      </c>
      <c r="I670" s="9"/>
      <c r="J670" s="9"/>
      <c r="M670" s="9"/>
      <c r="N670" s="21"/>
      <c r="P670" s="9"/>
      <c r="Q670" s="9"/>
      <c r="S670" s="9"/>
      <c r="T670" s="8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CC670" s="7"/>
    </row>
    <row r="671" spans="2:81">
      <c r="B671" s="6"/>
      <c r="C671" s="1" t="s">
        <v>261</v>
      </c>
      <c r="D671" s="9"/>
      <c r="E671" s="9"/>
      <c r="F671" s="66">
        <f>+F669</f>
        <v>223.48214285714286</v>
      </c>
      <c r="G671" s="66"/>
      <c r="H671" s="9" t="s">
        <v>5</v>
      </c>
      <c r="I671" s="66">
        <f>+E670</f>
        <v>3.5</v>
      </c>
      <c r="J671" s="66"/>
      <c r="K671" s="9" t="s">
        <v>6</v>
      </c>
      <c r="L671" s="66">
        <f>+L669</f>
        <v>55</v>
      </c>
      <c r="M671" s="66"/>
      <c r="N671" s="9" t="s">
        <v>5</v>
      </c>
      <c r="O671" s="66">
        <f>+E670</f>
        <v>3.5</v>
      </c>
      <c r="P671" s="66"/>
      <c r="Q671" s="1" t="s">
        <v>190</v>
      </c>
      <c r="R671" s="1">
        <v>2</v>
      </c>
      <c r="S671" s="9" t="s">
        <v>6</v>
      </c>
      <c r="T671" s="66">
        <f>IF((W671-Z671)&lt;0,0,AC628)</f>
        <v>65</v>
      </c>
      <c r="U671" s="66"/>
      <c r="V671" s="1" t="s">
        <v>14</v>
      </c>
      <c r="W671" s="66">
        <f>+I671</f>
        <v>3.5</v>
      </c>
      <c r="X671" s="66"/>
      <c r="Y671" s="9" t="s">
        <v>6</v>
      </c>
      <c r="Z671" s="66">
        <f>+Z669</f>
        <v>1.5</v>
      </c>
      <c r="AA671" s="66"/>
      <c r="AB671" s="1" t="s">
        <v>201</v>
      </c>
      <c r="AC671" s="66">
        <f>+F671*I671-L671*O671^2/R671-T671*(W671-Z671)</f>
        <v>315.3125</v>
      </c>
      <c r="AD671" s="66"/>
      <c r="AE671" s="66"/>
      <c r="AF671" s="1" t="s">
        <v>191</v>
      </c>
      <c r="CC671" s="7"/>
    </row>
    <row r="672" spans="2:81">
      <c r="B672" s="6"/>
      <c r="C672" s="1" t="s">
        <v>248</v>
      </c>
      <c r="E672" s="66">
        <f>+AC638/4</f>
        <v>1.75</v>
      </c>
      <c r="F672" s="66"/>
      <c r="G672" s="66"/>
      <c r="H672" s="1" t="s">
        <v>252</v>
      </c>
      <c r="I672" s="9"/>
      <c r="J672" s="9"/>
      <c r="M672" s="9"/>
      <c r="N672" s="21"/>
      <c r="P672" s="9"/>
      <c r="Q672" s="9"/>
      <c r="S672" s="9"/>
      <c r="T672" s="8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CC672" s="7"/>
    </row>
    <row r="673" spans="2:81">
      <c r="B673" s="6"/>
      <c r="C673" s="1" t="s">
        <v>249</v>
      </c>
      <c r="F673" s="66">
        <f>+F671</f>
        <v>223.48214285714286</v>
      </c>
      <c r="G673" s="66"/>
      <c r="H673" s="9" t="s">
        <v>5</v>
      </c>
      <c r="I673" s="66">
        <f>+E672</f>
        <v>1.75</v>
      </c>
      <c r="J673" s="66"/>
      <c r="K673" s="9" t="s">
        <v>6</v>
      </c>
      <c r="L673" s="66">
        <f>+L671</f>
        <v>55</v>
      </c>
      <c r="M673" s="66"/>
      <c r="N673" s="9" t="s">
        <v>5</v>
      </c>
      <c r="O673" s="66">
        <f>+E672</f>
        <v>1.75</v>
      </c>
      <c r="P673" s="66"/>
      <c r="Q673" s="1" t="s">
        <v>190</v>
      </c>
      <c r="R673" s="1">
        <v>2</v>
      </c>
      <c r="S673" s="9" t="s">
        <v>6</v>
      </c>
      <c r="T673" s="66">
        <f>IF((W673-Z673)&lt;0,0,AC628)</f>
        <v>65</v>
      </c>
      <c r="U673" s="66"/>
      <c r="V673" s="1" t="s">
        <v>14</v>
      </c>
      <c r="W673" s="66">
        <f>+I673</f>
        <v>1.75</v>
      </c>
      <c r="X673" s="66"/>
      <c r="Y673" s="9" t="s">
        <v>6</v>
      </c>
      <c r="Z673" s="66">
        <f>+Z671</f>
        <v>1.5</v>
      </c>
      <c r="AA673" s="66"/>
      <c r="AB673" s="1" t="s">
        <v>201</v>
      </c>
      <c r="AC673" s="66">
        <f>+F673*I673-L673*O673^2/R673-T673*(W673-Z673)</f>
        <v>290.625</v>
      </c>
      <c r="AD673" s="66"/>
      <c r="AE673" s="66"/>
      <c r="AF673" s="1" t="s">
        <v>191</v>
      </c>
      <c r="CC673" s="7"/>
    </row>
    <row r="674" spans="2:81">
      <c r="B674" s="6"/>
      <c r="C674" s="1" t="s">
        <v>250</v>
      </c>
      <c r="F674" s="66">
        <f>3*AC638/4</f>
        <v>5.25</v>
      </c>
      <c r="G674" s="66"/>
      <c r="H674" s="66"/>
      <c r="I674" s="1" t="s">
        <v>252</v>
      </c>
      <c r="J674" s="9"/>
      <c r="M674" s="9"/>
      <c r="N674" s="21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CC674" s="7"/>
    </row>
    <row r="675" spans="2:81">
      <c r="B675" s="6"/>
      <c r="C675" s="1" t="s">
        <v>251</v>
      </c>
      <c r="F675" s="66">
        <f>+F673</f>
        <v>223.48214285714286</v>
      </c>
      <c r="G675" s="66"/>
      <c r="H675" s="9" t="s">
        <v>5</v>
      </c>
      <c r="I675" s="66">
        <f>+F674</f>
        <v>5.25</v>
      </c>
      <c r="J675" s="66"/>
      <c r="K675" s="9" t="s">
        <v>6</v>
      </c>
      <c r="L675" s="66">
        <f>+L673</f>
        <v>55</v>
      </c>
      <c r="M675" s="66"/>
      <c r="N675" s="9" t="s">
        <v>5</v>
      </c>
      <c r="O675" s="66">
        <f>+F674</f>
        <v>5.25</v>
      </c>
      <c r="P675" s="66"/>
      <c r="Q675" s="1" t="s">
        <v>190</v>
      </c>
      <c r="R675" s="1">
        <v>2</v>
      </c>
      <c r="S675" s="9" t="s">
        <v>6</v>
      </c>
      <c r="T675" s="66">
        <f>IF((W675-Z675)&lt;0,0,AC628)</f>
        <v>65</v>
      </c>
      <c r="U675" s="66"/>
      <c r="V675" s="1" t="s">
        <v>14</v>
      </c>
      <c r="W675" s="66">
        <f>+I675</f>
        <v>5.25</v>
      </c>
      <c r="X675" s="66"/>
      <c r="Y675" s="9" t="s">
        <v>6</v>
      </c>
      <c r="Z675" s="66">
        <f>+Z673</f>
        <v>1.5</v>
      </c>
      <c r="AA675" s="66"/>
      <c r="AB675" s="1" t="s">
        <v>201</v>
      </c>
      <c r="AC675" s="66">
        <f>+F675*I675-L675*O675^2/R675-T675*(W675-Z675)</f>
        <v>171.5625</v>
      </c>
      <c r="AD675" s="66"/>
      <c r="AE675" s="66"/>
      <c r="AF675" s="1" t="s">
        <v>191</v>
      </c>
      <c r="CC675" s="7"/>
    </row>
    <row r="676" spans="2:81">
      <c r="B676" s="6"/>
      <c r="C676" s="1" t="s">
        <v>300</v>
      </c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U676" s="9"/>
      <c r="V676" s="9"/>
      <c r="W676" s="9"/>
      <c r="X676" s="9"/>
      <c r="Y676" s="9"/>
      <c r="Z676" s="9"/>
      <c r="AA676" s="9"/>
      <c r="AB676" s="9"/>
      <c r="AD676" s="9"/>
      <c r="AE676" s="9"/>
      <c r="AF676" s="9"/>
      <c r="AG676" s="9"/>
      <c r="AH676" s="9"/>
      <c r="AI676" s="9"/>
      <c r="AJ676" s="9"/>
      <c r="AK676" s="9"/>
      <c r="AM676" s="9"/>
      <c r="AN676" s="9"/>
      <c r="AO676" s="9"/>
      <c r="AP676" s="9"/>
      <c r="AQ676" s="9"/>
      <c r="AR676" s="9"/>
      <c r="CC676" s="7"/>
    </row>
    <row r="677" spans="2:81">
      <c r="B677" s="6"/>
      <c r="C677" s="1" t="s">
        <v>301</v>
      </c>
      <c r="E677" s="66">
        <v>12.5</v>
      </c>
      <c r="F677" s="66"/>
      <c r="G677" s="9" t="s">
        <v>5</v>
      </c>
      <c r="H677" s="66">
        <f>ABS(AC669)</f>
        <v>325.83263276901664</v>
      </c>
      <c r="I677" s="66"/>
      <c r="J677" s="66"/>
      <c r="K677" s="9" t="s">
        <v>275</v>
      </c>
      <c r="L677" s="66">
        <v>2.5</v>
      </c>
      <c r="M677" s="66"/>
      <c r="N677" s="9" t="s">
        <v>5</v>
      </c>
      <c r="O677" s="66">
        <f>+H677</f>
        <v>325.83263276901664</v>
      </c>
      <c r="P677" s="66"/>
      <c r="Q677" s="66"/>
      <c r="R677" s="9" t="s">
        <v>9</v>
      </c>
      <c r="S677" s="9">
        <v>3</v>
      </c>
      <c r="T677" s="9" t="s">
        <v>5</v>
      </c>
      <c r="U677" s="66">
        <f>ABS(AC673)</f>
        <v>290.625</v>
      </c>
      <c r="V677" s="66"/>
      <c r="W677" s="66"/>
      <c r="X677" s="9" t="s">
        <v>9</v>
      </c>
      <c r="Y677" s="9">
        <v>4</v>
      </c>
      <c r="Z677" s="9" t="s">
        <v>5</v>
      </c>
      <c r="AA677" s="66">
        <f>ABS(AC671)</f>
        <v>315.3125</v>
      </c>
      <c r="AB677" s="66"/>
      <c r="AC677" s="66"/>
      <c r="AD677" s="9" t="s">
        <v>9</v>
      </c>
      <c r="AE677" s="9">
        <v>3</v>
      </c>
      <c r="AF677" s="9" t="s">
        <v>5</v>
      </c>
      <c r="AG677" s="66">
        <f>ABS(AC675)</f>
        <v>171.5625</v>
      </c>
      <c r="AH677" s="66"/>
      <c r="AI677" s="66"/>
      <c r="AJ677" s="9" t="s">
        <v>201</v>
      </c>
      <c r="AK677" s="66">
        <f>E677*H677/(L677*O677+S677*U677+Y677*AA677+AE677*AG677)</f>
        <v>1.1763270769430065</v>
      </c>
      <c r="AL677" s="66"/>
      <c r="AM677" s="66"/>
      <c r="AN677" s="9"/>
      <c r="AO677" s="9"/>
      <c r="AP677" s="9"/>
      <c r="AQ677" s="9"/>
      <c r="AR677" s="9"/>
      <c r="CC677" s="7"/>
    </row>
    <row r="678" spans="2:81">
      <c r="B678" s="6"/>
      <c r="C678" s="24" t="s">
        <v>332</v>
      </c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CC678" s="7"/>
    </row>
    <row r="679" spans="2:81">
      <c r="B679" s="6"/>
      <c r="C679" s="1" t="s">
        <v>298</v>
      </c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CC679" s="7"/>
    </row>
    <row r="680" spans="2:81">
      <c r="B680" s="6"/>
      <c r="C680" s="23" t="s">
        <v>223</v>
      </c>
      <c r="L680" s="9"/>
      <c r="M680" s="9"/>
      <c r="N680" s="9"/>
      <c r="O680" s="9"/>
      <c r="P680" s="9"/>
      <c r="R680" s="9"/>
      <c r="V680" s="9"/>
      <c r="W680" s="9"/>
      <c r="X680" s="9"/>
      <c r="Y680" s="9"/>
      <c r="Z680" s="9"/>
      <c r="AA680" s="9"/>
      <c r="AB680" s="9"/>
      <c r="AC680" s="9"/>
      <c r="AE680" s="9"/>
      <c r="AK680" s="9"/>
      <c r="AL680" s="9"/>
      <c r="AM680" s="9"/>
      <c r="CC680" s="7"/>
    </row>
    <row r="681" spans="2:81">
      <c r="B681" s="6"/>
      <c r="C681" s="24" t="s">
        <v>303</v>
      </c>
      <c r="BL681" s="9"/>
      <c r="CC681" s="7"/>
    </row>
    <row r="682" spans="2:81">
      <c r="B682" s="6"/>
      <c r="C682" s="1" t="s">
        <v>305</v>
      </c>
      <c r="E682" s="66">
        <f>+V635</f>
        <v>223.48214285714286</v>
      </c>
      <c r="F682" s="66"/>
      <c r="G682" s="9" t="s">
        <v>5</v>
      </c>
      <c r="H682" s="9" t="s">
        <v>13</v>
      </c>
      <c r="I682" s="9" t="s">
        <v>6</v>
      </c>
      <c r="J682" s="66">
        <f>+Z629</f>
        <v>55</v>
      </c>
      <c r="K682" s="66"/>
      <c r="L682" s="9" t="s">
        <v>5</v>
      </c>
      <c r="M682" s="1" t="s">
        <v>183</v>
      </c>
      <c r="N682" s="1" t="s">
        <v>173</v>
      </c>
      <c r="O682" s="1">
        <v>2</v>
      </c>
      <c r="P682" s="9"/>
      <c r="U682" s="9"/>
      <c r="CC682" s="7"/>
    </row>
    <row r="683" spans="2:81">
      <c r="B683" s="6"/>
      <c r="C683" s="1" t="s">
        <v>304</v>
      </c>
      <c r="E683" s="66">
        <f>+E682</f>
        <v>223.48214285714286</v>
      </c>
      <c r="F683" s="66"/>
      <c r="G683" s="9" t="s">
        <v>5</v>
      </c>
      <c r="H683" s="1" t="s">
        <v>183</v>
      </c>
      <c r="I683" s="1" t="s">
        <v>173</v>
      </c>
      <c r="J683" s="1">
        <v>2</v>
      </c>
      <c r="K683" s="9" t="s">
        <v>6</v>
      </c>
      <c r="L683" s="66">
        <f>+J682</f>
        <v>55</v>
      </c>
      <c r="M683" s="66"/>
      <c r="N683" s="9" t="s">
        <v>5</v>
      </c>
      <c r="O683" s="1" t="s">
        <v>184</v>
      </c>
      <c r="P683" s="1" t="s">
        <v>173</v>
      </c>
      <c r="Q683" s="1">
        <v>6</v>
      </c>
      <c r="R683" s="9" t="s">
        <v>9</v>
      </c>
      <c r="S683" s="1" t="s">
        <v>24</v>
      </c>
      <c r="W683" s="9"/>
      <c r="CC683" s="7"/>
    </row>
    <row r="684" spans="2:81">
      <c r="B684" s="6"/>
      <c r="C684" s="1" t="s">
        <v>310</v>
      </c>
      <c r="E684" s="66">
        <f>+E683</f>
        <v>223.48214285714286</v>
      </c>
      <c r="F684" s="66"/>
      <c r="G684" s="9" t="s">
        <v>5</v>
      </c>
      <c r="H684" s="1" t="s">
        <v>184</v>
      </c>
      <c r="I684" s="1" t="s">
        <v>173</v>
      </c>
      <c r="J684" s="1">
        <v>6</v>
      </c>
      <c r="K684" s="9" t="s">
        <v>6</v>
      </c>
      <c r="L684" s="66">
        <f>+L683</f>
        <v>55</v>
      </c>
      <c r="M684" s="66"/>
      <c r="N684" s="9" t="s">
        <v>5</v>
      </c>
      <c r="O684" s="1" t="s">
        <v>185</v>
      </c>
      <c r="P684" s="1" t="s">
        <v>173</v>
      </c>
      <c r="Q684" s="66">
        <v>24</v>
      </c>
      <c r="R684" s="66"/>
      <c r="S684" s="9" t="s">
        <v>9</v>
      </c>
      <c r="T684" s="1" t="s">
        <v>24</v>
      </c>
      <c r="U684" s="9" t="s">
        <v>5</v>
      </c>
      <c r="V684" s="1" t="s">
        <v>13</v>
      </c>
      <c r="W684" s="9" t="s">
        <v>9</v>
      </c>
      <c r="X684" s="1" t="s">
        <v>307</v>
      </c>
      <c r="AD684" s="9"/>
      <c r="CC684" s="7"/>
    </row>
    <row r="685" spans="2:81">
      <c r="B685" s="6"/>
      <c r="C685" s="24" t="s">
        <v>308</v>
      </c>
      <c r="CC685" s="7"/>
    </row>
    <row r="686" spans="2:81">
      <c r="B686" s="6"/>
      <c r="C686" s="1" t="s">
        <v>309</v>
      </c>
      <c r="E686" s="66">
        <f>+V635</f>
        <v>223.48214285714286</v>
      </c>
      <c r="F686" s="66"/>
      <c r="G686" s="9" t="s">
        <v>5</v>
      </c>
      <c r="H686" s="9" t="s">
        <v>13</v>
      </c>
      <c r="I686" s="9" t="s">
        <v>6</v>
      </c>
      <c r="J686" s="66">
        <f>+Z629</f>
        <v>55</v>
      </c>
      <c r="K686" s="66"/>
      <c r="L686" s="9" t="s">
        <v>5</v>
      </c>
      <c r="M686" s="1" t="s">
        <v>183</v>
      </c>
      <c r="N686" s="1" t="s">
        <v>173</v>
      </c>
      <c r="O686" s="1">
        <v>2</v>
      </c>
      <c r="P686" s="9" t="s">
        <v>6</v>
      </c>
      <c r="Q686" s="66">
        <f>+AC628</f>
        <v>65</v>
      </c>
      <c r="R686" s="66"/>
      <c r="S686" s="1" t="s">
        <v>14</v>
      </c>
      <c r="T686" s="9" t="s">
        <v>13</v>
      </c>
      <c r="U686" s="9" t="s">
        <v>6</v>
      </c>
      <c r="V686" s="66">
        <f>+Y636</f>
        <v>1.5</v>
      </c>
      <c r="W686" s="66"/>
      <c r="X686" s="1" t="s">
        <v>40</v>
      </c>
      <c r="AC686" s="9"/>
      <c r="AD686" s="9"/>
      <c r="AH686" s="9"/>
      <c r="AI686" s="9"/>
      <c r="AJ686" s="9"/>
      <c r="AM686" s="9"/>
      <c r="AQ686" s="9"/>
      <c r="AT686" s="9"/>
      <c r="AU686" s="9"/>
      <c r="CC686" s="7"/>
    </row>
    <row r="687" spans="2:81">
      <c r="B687" s="6"/>
      <c r="C687" s="1" t="s">
        <v>312</v>
      </c>
      <c r="E687" s="66">
        <f>+E686</f>
        <v>223.48214285714286</v>
      </c>
      <c r="F687" s="66"/>
      <c r="G687" s="9" t="s">
        <v>5</v>
      </c>
      <c r="H687" s="1" t="s">
        <v>183</v>
      </c>
      <c r="I687" s="1" t="s">
        <v>173</v>
      </c>
      <c r="J687" s="1">
        <v>2</v>
      </c>
      <c r="K687" s="9" t="s">
        <v>6</v>
      </c>
      <c r="L687" s="66">
        <f>+J686</f>
        <v>55</v>
      </c>
      <c r="M687" s="66"/>
      <c r="N687" s="9" t="s">
        <v>5</v>
      </c>
      <c r="O687" s="1" t="s">
        <v>184</v>
      </c>
      <c r="P687" s="1" t="s">
        <v>173</v>
      </c>
      <c r="Q687" s="1">
        <v>6</v>
      </c>
      <c r="R687" s="9" t="s">
        <v>6</v>
      </c>
      <c r="S687" s="66">
        <f>+Q686</f>
        <v>65</v>
      </c>
      <c r="T687" s="66"/>
      <c r="U687" s="1" t="s">
        <v>14</v>
      </c>
      <c r="V687" s="9" t="s">
        <v>13</v>
      </c>
      <c r="W687" s="9" t="s">
        <v>6</v>
      </c>
      <c r="X687" s="66">
        <f>+V686</f>
        <v>1.5</v>
      </c>
      <c r="Y687" s="66"/>
      <c r="Z687" s="1" t="s">
        <v>200</v>
      </c>
      <c r="AA687" s="1" t="s">
        <v>173</v>
      </c>
      <c r="AB687" s="1">
        <v>2</v>
      </c>
      <c r="AC687" s="9" t="s">
        <v>9</v>
      </c>
      <c r="AD687" s="1" t="s">
        <v>313</v>
      </c>
      <c r="AF687" s="9"/>
      <c r="AG687" s="9"/>
      <c r="AK687" s="9"/>
      <c r="AN687" s="9"/>
      <c r="AO687" s="9"/>
      <c r="AR687" s="9"/>
      <c r="AU687" s="9"/>
      <c r="CC687" s="7"/>
    </row>
    <row r="688" spans="2:81">
      <c r="B688" s="6"/>
      <c r="C688" s="1" t="s">
        <v>314</v>
      </c>
      <c r="E688" s="66">
        <f>+E687</f>
        <v>223.48214285714286</v>
      </c>
      <c r="F688" s="66"/>
      <c r="G688" s="9" t="s">
        <v>5</v>
      </c>
      <c r="H688" s="1" t="s">
        <v>184</v>
      </c>
      <c r="I688" s="1" t="s">
        <v>173</v>
      </c>
      <c r="J688" s="1">
        <v>6</v>
      </c>
      <c r="K688" s="9" t="s">
        <v>6</v>
      </c>
      <c r="L688" s="66">
        <f>+L687</f>
        <v>55</v>
      </c>
      <c r="M688" s="66"/>
      <c r="N688" s="9" t="s">
        <v>5</v>
      </c>
      <c r="O688" s="1" t="s">
        <v>185</v>
      </c>
      <c r="P688" s="1" t="s">
        <v>173</v>
      </c>
      <c r="Q688" s="66">
        <v>24</v>
      </c>
      <c r="R688" s="66"/>
      <c r="S688" s="9" t="s">
        <v>6</v>
      </c>
      <c r="T688" s="66">
        <f>+S687</f>
        <v>65</v>
      </c>
      <c r="U688" s="66"/>
      <c r="V688" s="1" t="s">
        <v>14</v>
      </c>
      <c r="W688" s="9" t="s">
        <v>13</v>
      </c>
      <c r="X688" s="9" t="s">
        <v>6</v>
      </c>
      <c r="Y688" s="66">
        <f>+X687</f>
        <v>1.5</v>
      </c>
      <c r="Z688" s="66"/>
      <c r="AA688" s="1" t="s">
        <v>311</v>
      </c>
      <c r="AB688" s="1" t="s">
        <v>173</v>
      </c>
      <c r="AC688" s="1">
        <v>6</v>
      </c>
      <c r="AD688" s="9" t="s">
        <v>9</v>
      </c>
      <c r="AE688" s="1" t="s">
        <v>313</v>
      </c>
      <c r="AF688" s="9" t="s">
        <v>5</v>
      </c>
      <c r="AG688" s="9" t="s">
        <v>13</v>
      </c>
      <c r="AH688" s="9" t="s">
        <v>9</v>
      </c>
      <c r="AI688" s="1" t="s">
        <v>315</v>
      </c>
      <c r="AK688" s="9"/>
      <c r="AR688" s="9"/>
      <c r="AU688" s="9"/>
      <c r="AZ688" s="9"/>
      <c r="CC688" s="7"/>
    </row>
    <row r="689" spans="2:83">
      <c r="B689" s="6"/>
      <c r="C689" s="24" t="s">
        <v>343</v>
      </c>
      <c r="E689" s="9"/>
      <c r="F689" s="9"/>
      <c r="G689" s="9"/>
      <c r="K689" s="9"/>
      <c r="L689" s="9"/>
      <c r="M689" s="9"/>
      <c r="N689" s="9"/>
      <c r="Q689" s="9"/>
      <c r="R689" s="9"/>
      <c r="S689" s="9"/>
      <c r="CC689" s="7"/>
    </row>
    <row r="690" spans="2:83">
      <c r="B690" s="6"/>
      <c r="C690" s="1" t="s">
        <v>333</v>
      </c>
      <c r="E690" s="66">
        <f>+V635</f>
        <v>223.48214285714286</v>
      </c>
      <c r="F690" s="66"/>
      <c r="G690" s="9" t="s">
        <v>5</v>
      </c>
      <c r="H690" s="9" t="s">
        <v>13</v>
      </c>
      <c r="I690" s="9" t="s">
        <v>6</v>
      </c>
      <c r="J690" s="66">
        <f>+Z629</f>
        <v>55</v>
      </c>
      <c r="K690" s="66"/>
      <c r="L690" s="9" t="s">
        <v>5</v>
      </c>
      <c r="M690" s="66">
        <f>+AC638</f>
        <v>7</v>
      </c>
      <c r="N690" s="66"/>
      <c r="O690" s="9" t="s">
        <v>14</v>
      </c>
      <c r="P690" s="9" t="s">
        <v>13</v>
      </c>
      <c r="Q690" s="9" t="s">
        <v>6</v>
      </c>
      <c r="R690" s="66">
        <f>+AC638</f>
        <v>7</v>
      </c>
      <c r="S690" s="66"/>
      <c r="T690" s="1" t="s">
        <v>173</v>
      </c>
      <c r="U690" s="1">
        <v>2</v>
      </c>
      <c r="V690" s="1" t="s">
        <v>16</v>
      </c>
      <c r="W690" s="66">
        <f>+AC628</f>
        <v>65</v>
      </c>
      <c r="X690" s="66"/>
      <c r="Y690" s="1" t="s">
        <v>14</v>
      </c>
      <c r="Z690" s="9" t="s">
        <v>13</v>
      </c>
      <c r="AA690" s="9" t="s">
        <v>6</v>
      </c>
      <c r="AB690" s="66">
        <f>+Y636</f>
        <v>1.5</v>
      </c>
      <c r="AC690" s="66"/>
      <c r="AD690" s="1" t="s">
        <v>306</v>
      </c>
      <c r="AE690" s="66">
        <f>+AJ635</f>
        <v>339.01785714285711</v>
      </c>
      <c r="AF690" s="66"/>
      <c r="AG690" s="1" t="s">
        <v>14</v>
      </c>
      <c r="AH690" s="9" t="s">
        <v>13</v>
      </c>
      <c r="AI690" s="9" t="s">
        <v>6</v>
      </c>
      <c r="AJ690" s="66">
        <f>+AC638</f>
        <v>7</v>
      </c>
      <c r="AK690" s="66"/>
      <c r="AL690" s="9" t="s">
        <v>16</v>
      </c>
      <c r="AM690" s="66">
        <f>AL628</f>
        <v>25</v>
      </c>
      <c r="AN690" s="66"/>
      <c r="AO690" s="1" t="s">
        <v>14</v>
      </c>
      <c r="AP690" s="1" t="s">
        <v>13</v>
      </c>
      <c r="AQ690" s="9" t="s">
        <v>6</v>
      </c>
      <c r="AR690" s="66">
        <f>+AC638</f>
        <v>7</v>
      </c>
      <c r="AS690" s="66"/>
      <c r="AT690" s="1" t="s">
        <v>200</v>
      </c>
      <c r="AU690" s="1" t="s">
        <v>173</v>
      </c>
      <c r="AV690" s="1">
        <v>2</v>
      </c>
      <c r="AW690" s="9"/>
      <c r="BB690" s="9"/>
      <c r="CC690" s="7"/>
    </row>
    <row r="691" spans="2:83">
      <c r="B691" s="6"/>
      <c r="C691" s="1" t="s">
        <v>334</v>
      </c>
      <c r="E691" s="66">
        <f>+E690</f>
        <v>223.48214285714286</v>
      </c>
      <c r="F691" s="66"/>
      <c r="G691" s="9" t="s">
        <v>5</v>
      </c>
      <c r="H691" s="1" t="s">
        <v>183</v>
      </c>
      <c r="I691" s="1" t="s">
        <v>173</v>
      </c>
      <c r="J691" s="1">
        <v>2</v>
      </c>
      <c r="K691" s="9" t="s">
        <v>6</v>
      </c>
      <c r="L691" s="66">
        <f>+J690*M690</f>
        <v>385</v>
      </c>
      <c r="M691" s="66"/>
      <c r="N691" s="9" t="s">
        <v>14</v>
      </c>
      <c r="O691" s="9" t="s">
        <v>13</v>
      </c>
      <c r="P691" s="9" t="s">
        <v>6</v>
      </c>
      <c r="Q691" s="66">
        <f>+R690/U690</f>
        <v>3.5</v>
      </c>
      <c r="R691" s="66"/>
      <c r="S691" s="1" t="s">
        <v>200</v>
      </c>
      <c r="T691" s="1" t="s">
        <v>173</v>
      </c>
      <c r="U691" s="1">
        <v>2</v>
      </c>
      <c r="V691" s="9" t="s">
        <v>6</v>
      </c>
      <c r="W691" s="66">
        <f>+W690</f>
        <v>65</v>
      </c>
      <c r="X691" s="66"/>
      <c r="Y691" s="1" t="s">
        <v>14</v>
      </c>
      <c r="Z691" s="9" t="s">
        <v>13</v>
      </c>
      <c r="AA691" s="9" t="s">
        <v>6</v>
      </c>
      <c r="AB691" s="66">
        <f>+AB690</f>
        <v>1.5</v>
      </c>
      <c r="AC691" s="66"/>
      <c r="AD691" s="1" t="s">
        <v>200</v>
      </c>
      <c r="AE691" s="1" t="s">
        <v>173</v>
      </c>
      <c r="AF691" s="1">
        <v>2</v>
      </c>
      <c r="AG691" s="9" t="s">
        <v>9</v>
      </c>
      <c r="AH691" s="66">
        <f>+AE690</f>
        <v>339.01785714285711</v>
      </c>
      <c r="AI691" s="66"/>
      <c r="AJ691" s="1" t="s">
        <v>14</v>
      </c>
      <c r="AK691" s="9" t="s">
        <v>13</v>
      </c>
      <c r="AL691" s="9" t="s">
        <v>6</v>
      </c>
      <c r="AM691" s="66">
        <f>+AJ690</f>
        <v>7</v>
      </c>
      <c r="AN691" s="66"/>
      <c r="AO691" s="1" t="s">
        <v>200</v>
      </c>
      <c r="AP691" s="1" t="s">
        <v>173</v>
      </c>
      <c r="AQ691" s="1">
        <v>2</v>
      </c>
      <c r="AR691" s="9" t="s">
        <v>6</v>
      </c>
      <c r="AS691" s="66">
        <f>+AM690</f>
        <v>25</v>
      </c>
      <c r="AT691" s="66"/>
      <c r="AU691" s="1" t="s">
        <v>14</v>
      </c>
      <c r="AV691" s="1" t="s">
        <v>13</v>
      </c>
      <c r="AW691" s="9" t="s">
        <v>6</v>
      </c>
      <c r="AX691" s="66">
        <f>+AR690</f>
        <v>7</v>
      </c>
      <c r="AY691" s="66"/>
      <c r="AZ691" s="1" t="s">
        <v>311</v>
      </c>
      <c r="BA691" s="1" t="s">
        <v>173</v>
      </c>
      <c r="BB691" s="1">
        <v>6</v>
      </c>
      <c r="BC691" s="9" t="s">
        <v>9</v>
      </c>
      <c r="BD691" s="1" t="s">
        <v>335</v>
      </c>
      <c r="BH691" s="9"/>
      <c r="CC691" s="7"/>
    </row>
    <row r="692" spans="2:83">
      <c r="B692" s="6"/>
      <c r="C692" s="1" t="s">
        <v>336</v>
      </c>
      <c r="E692" s="66">
        <f>+E691</f>
        <v>223.48214285714286</v>
      </c>
      <c r="F692" s="66"/>
      <c r="G692" s="9" t="s">
        <v>5</v>
      </c>
      <c r="H692" s="1" t="s">
        <v>184</v>
      </c>
      <c r="I692" s="1" t="s">
        <v>173</v>
      </c>
      <c r="J692" s="1">
        <v>6</v>
      </c>
      <c r="K692" s="9" t="s">
        <v>6</v>
      </c>
      <c r="L692" s="66">
        <f>+L691</f>
        <v>385</v>
      </c>
      <c r="M692" s="66"/>
      <c r="N692" s="9" t="s">
        <v>14</v>
      </c>
      <c r="O692" s="9" t="s">
        <v>13</v>
      </c>
      <c r="P692" s="9" t="s">
        <v>6</v>
      </c>
      <c r="Q692" s="66">
        <f>+Q691</f>
        <v>3.5</v>
      </c>
      <c r="R692" s="66"/>
      <c r="S692" s="1" t="s">
        <v>311</v>
      </c>
      <c r="T692" s="1" t="s">
        <v>173</v>
      </c>
      <c r="U692" s="1">
        <v>6</v>
      </c>
      <c r="V692" s="9" t="s">
        <v>6</v>
      </c>
      <c r="W692" s="66">
        <f>+W691</f>
        <v>65</v>
      </c>
      <c r="X692" s="66"/>
      <c r="Y692" s="1" t="s">
        <v>14</v>
      </c>
      <c r="Z692" s="9" t="s">
        <v>13</v>
      </c>
      <c r="AA692" s="9" t="s">
        <v>6</v>
      </c>
      <c r="AB692" s="66">
        <f>+AB691</f>
        <v>1.5</v>
      </c>
      <c r="AC692" s="66"/>
      <c r="AD692" s="1" t="s">
        <v>311</v>
      </c>
      <c r="AE692" s="1" t="s">
        <v>173</v>
      </c>
      <c r="AF692" s="1">
        <v>6</v>
      </c>
      <c r="AG692" s="9" t="s">
        <v>9</v>
      </c>
      <c r="AH692" s="66">
        <f>+AH691</f>
        <v>339.01785714285711</v>
      </c>
      <c r="AI692" s="66"/>
      <c r="AJ692" s="1" t="s">
        <v>14</v>
      </c>
      <c r="AK692" s="9" t="s">
        <v>13</v>
      </c>
      <c r="AL692" s="9" t="s">
        <v>6</v>
      </c>
      <c r="AM692" s="66">
        <f>+AM691</f>
        <v>7</v>
      </c>
      <c r="AN692" s="66"/>
      <c r="AO692" s="1" t="s">
        <v>311</v>
      </c>
      <c r="AP692" s="1" t="s">
        <v>173</v>
      </c>
      <c r="AQ692" s="1">
        <v>6</v>
      </c>
      <c r="AR692" s="9" t="s">
        <v>6</v>
      </c>
      <c r="AS692" s="66">
        <f>+AS691</f>
        <v>25</v>
      </c>
      <c r="AT692" s="66"/>
      <c r="AU692" s="1" t="s">
        <v>14</v>
      </c>
      <c r="AV692" s="1" t="s">
        <v>13</v>
      </c>
      <c r="AW692" s="9" t="s">
        <v>6</v>
      </c>
      <c r="AX692" s="66">
        <f>+AX691</f>
        <v>7</v>
      </c>
      <c r="AY692" s="66"/>
      <c r="AZ692" s="1" t="s">
        <v>342</v>
      </c>
      <c r="BA692" s="1" t="s">
        <v>173</v>
      </c>
      <c r="BB692" s="66">
        <v>24</v>
      </c>
      <c r="BC692" s="66"/>
      <c r="BD692" s="9" t="s">
        <v>9</v>
      </c>
      <c r="BE692" s="1" t="s">
        <v>335</v>
      </c>
      <c r="BF692" s="9" t="s">
        <v>5</v>
      </c>
      <c r="BG692" s="9" t="s">
        <v>13</v>
      </c>
      <c r="BH692" s="9" t="s">
        <v>9</v>
      </c>
      <c r="BI692" s="1" t="s">
        <v>337</v>
      </c>
      <c r="CC692" s="7"/>
    </row>
    <row r="693" spans="2:83">
      <c r="B693" s="6"/>
      <c r="C693" s="24" t="s">
        <v>318</v>
      </c>
      <c r="CC693" s="7"/>
    </row>
    <row r="694" spans="2:83">
      <c r="B694" s="6"/>
      <c r="C694" s="1" t="s">
        <v>319</v>
      </c>
      <c r="I694" s="1" t="s">
        <v>307</v>
      </c>
      <c r="J694" s="9" t="s">
        <v>7</v>
      </c>
      <c r="K694" s="1">
        <v>0</v>
      </c>
      <c r="P694" s="9"/>
      <c r="W694" s="9"/>
      <c r="CC694" s="7"/>
    </row>
    <row r="695" spans="2:83">
      <c r="B695" s="6"/>
      <c r="C695" s="1" t="s">
        <v>345</v>
      </c>
      <c r="I695" s="66">
        <f>+E688</f>
        <v>223.48214285714286</v>
      </c>
      <c r="J695" s="66"/>
      <c r="K695" s="9" t="s">
        <v>5</v>
      </c>
      <c r="L695" s="66">
        <f>+AC638</f>
        <v>7</v>
      </c>
      <c r="M695" s="66"/>
      <c r="N695" s="1" t="s">
        <v>30</v>
      </c>
      <c r="O695" s="1">
        <f>+J688</f>
        <v>6</v>
      </c>
      <c r="P695" s="9" t="s">
        <v>6</v>
      </c>
      <c r="Q695" s="66">
        <f>+L688</f>
        <v>55</v>
      </c>
      <c r="R695" s="66"/>
      <c r="S695" s="9" t="s">
        <v>5</v>
      </c>
      <c r="T695" s="66">
        <f>+L695</f>
        <v>7</v>
      </c>
      <c r="U695" s="66"/>
      <c r="V695" s="1" t="s">
        <v>186</v>
      </c>
      <c r="W695" s="66">
        <f>+Q688</f>
        <v>24</v>
      </c>
      <c r="X695" s="66"/>
      <c r="Y695" s="9" t="s">
        <v>6</v>
      </c>
      <c r="Z695" s="66">
        <f>+T688</f>
        <v>65</v>
      </c>
      <c r="AA695" s="66"/>
      <c r="AB695" s="1" t="s">
        <v>14</v>
      </c>
      <c r="AC695" s="66">
        <f>+T695</f>
        <v>7</v>
      </c>
      <c r="AD695" s="66"/>
      <c r="AE695" s="9" t="s">
        <v>6</v>
      </c>
      <c r="AF695" s="66">
        <f>+Y688</f>
        <v>1.5</v>
      </c>
      <c r="AG695" s="66"/>
      <c r="AH695" s="1" t="s">
        <v>311</v>
      </c>
      <c r="AI695" s="1" t="s">
        <v>173</v>
      </c>
      <c r="AJ695" s="1">
        <f>+AC688</f>
        <v>6</v>
      </c>
      <c r="AK695" s="9" t="s">
        <v>9</v>
      </c>
      <c r="AL695" s="1" t="s">
        <v>313</v>
      </c>
      <c r="AM695" s="9" t="s">
        <v>5</v>
      </c>
      <c r="AN695" s="66">
        <f>+AC695</f>
        <v>7</v>
      </c>
      <c r="AO695" s="66"/>
      <c r="AP695" s="9" t="s">
        <v>9</v>
      </c>
      <c r="AQ695" s="1" t="s">
        <v>315</v>
      </c>
      <c r="AR695" s="9" t="s">
        <v>7</v>
      </c>
      <c r="AS695" s="1">
        <v>0</v>
      </c>
      <c r="AV695" s="66">
        <f>I695*L695^3/O695-Q695*T695^4/W695-Z695*(AC695-AF695)^3/AJ695</f>
        <v>5471.0416666666661</v>
      </c>
      <c r="AW695" s="66"/>
      <c r="AX695" s="66"/>
      <c r="AY695" s="9" t="s">
        <v>9</v>
      </c>
      <c r="AZ695" s="1" t="s">
        <v>313</v>
      </c>
      <c r="BA695" s="9" t="s">
        <v>5</v>
      </c>
      <c r="BB695" s="66">
        <f>+AN695</f>
        <v>7</v>
      </c>
      <c r="BC695" s="66"/>
      <c r="BD695" s="9" t="s">
        <v>9</v>
      </c>
      <c r="BE695" s="1" t="s">
        <v>315</v>
      </c>
      <c r="BF695" s="9" t="s">
        <v>7</v>
      </c>
      <c r="BG695" s="1">
        <v>0</v>
      </c>
      <c r="BI695" s="1" t="s">
        <v>352</v>
      </c>
      <c r="CC695" s="7"/>
    </row>
    <row r="696" spans="2:83">
      <c r="B696" s="6"/>
      <c r="C696" s="1" t="s">
        <v>346</v>
      </c>
      <c r="I696" s="66">
        <f>+E692</f>
        <v>223.48214285714286</v>
      </c>
      <c r="J696" s="66"/>
      <c r="K696" s="9" t="s">
        <v>5</v>
      </c>
      <c r="L696" s="66">
        <f>+AC638</f>
        <v>7</v>
      </c>
      <c r="M696" s="66"/>
      <c r="N696" s="1" t="s">
        <v>30</v>
      </c>
      <c r="O696" s="1">
        <f>+J692</f>
        <v>6</v>
      </c>
      <c r="P696" s="9" t="s">
        <v>6</v>
      </c>
      <c r="Q696" s="66">
        <f>+L692</f>
        <v>385</v>
      </c>
      <c r="R696" s="66"/>
      <c r="S696" s="9" t="s">
        <v>14</v>
      </c>
      <c r="T696" s="66">
        <f>+L696</f>
        <v>7</v>
      </c>
      <c r="U696" s="66"/>
      <c r="V696" s="9" t="s">
        <v>6</v>
      </c>
      <c r="W696" s="66">
        <f>+Q692</f>
        <v>3.5</v>
      </c>
      <c r="X696" s="66"/>
      <c r="Y696" s="1" t="s">
        <v>311</v>
      </c>
      <c r="Z696" s="1" t="s">
        <v>173</v>
      </c>
      <c r="AA696" s="1">
        <v>6</v>
      </c>
      <c r="AB696" s="9" t="s">
        <v>6</v>
      </c>
      <c r="AC696" s="66">
        <f>+W692</f>
        <v>65</v>
      </c>
      <c r="AD696" s="66"/>
      <c r="AE696" s="1" t="s">
        <v>14</v>
      </c>
      <c r="AF696" s="66">
        <f>+T696</f>
        <v>7</v>
      </c>
      <c r="AG696" s="66"/>
      <c r="AH696" s="9" t="s">
        <v>6</v>
      </c>
      <c r="AI696" s="66">
        <f>+AB692</f>
        <v>1.5</v>
      </c>
      <c r="AJ696" s="66"/>
      <c r="AK696" s="1" t="s">
        <v>311</v>
      </c>
      <c r="AL696" s="1" t="s">
        <v>173</v>
      </c>
      <c r="AM696" s="1">
        <f>+AF692</f>
        <v>6</v>
      </c>
      <c r="AN696" s="9" t="s">
        <v>9</v>
      </c>
      <c r="AO696" s="66">
        <f>+AH692</f>
        <v>339.01785714285711</v>
      </c>
      <c r="AP696" s="66"/>
      <c r="AQ696" s="1" t="s">
        <v>14</v>
      </c>
      <c r="AR696" s="66">
        <f>+AF696</f>
        <v>7</v>
      </c>
      <c r="AS696" s="66"/>
      <c r="AT696" s="9" t="s">
        <v>6</v>
      </c>
      <c r="AU696" s="66">
        <f>+AM692</f>
        <v>7</v>
      </c>
      <c r="AV696" s="66"/>
      <c r="AW696" s="1" t="s">
        <v>311</v>
      </c>
      <c r="AX696" s="1" t="s">
        <v>173</v>
      </c>
      <c r="AY696" s="1">
        <v>6</v>
      </c>
      <c r="AZ696" s="9" t="s">
        <v>6</v>
      </c>
      <c r="BA696" s="66">
        <f>+AS692</f>
        <v>25</v>
      </c>
      <c r="BB696" s="66"/>
      <c r="BC696" s="1" t="s">
        <v>14</v>
      </c>
      <c r="BD696" s="66">
        <f>+AR696</f>
        <v>7</v>
      </c>
      <c r="BE696" s="66"/>
      <c r="BF696" s="9" t="s">
        <v>6</v>
      </c>
      <c r="BG696" s="66">
        <f>+AX692</f>
        <v>7</v>
      </c>
      <c r="BH696" s="66"/>
      <c r="BI696" s="1" t="s">
        <v>342</v>
      </c>
      <c r="BJ696" s="1" t="s">
        <v>173</v>
      </c>
      <c r="BK696" s="66">
        <v>24</v>
      </c>
      <c r="BL696" s="66"/>
      <c r="BM696" s="9" t="s">
        <v>9</v>
      </c>
      <c r="BN696" s="1" t="s">
        <v>335</v>
      </c>
      <c r="BO696" s="9" t="s">
        <v>5</v>
      </c>
      <c r="BP696" s="66">
        <f>+BD696</f>
        <v>7</v>
      </c>
      <c r="BQ696" s="66"/>
      <c r="BR696" s="9" t="s">
        <v>9</v>
      </c>
      <c r="BS696" s="1" t="s">
        <v>337</v>
      </c>
      <c r="CC696" s="7"/>
    </row>
    <row r="697" spans="2:83">
      <c r="B697" s="6"/>
      <c r="F697" s="66">
        <f>I696*L696^3/O696-Q696*(T696-W696)^3/AA696-AC696*(AF696-AI696)^3/AM696+AO696*(AR696-AU696)^3/AY696-BA696*(BD696-BG696)^4/BK696</f>
        <v>8222.1874999999982</v>
      </c>
      <c r="G697" s="66"/>
      <c r="H697" s="66"/>
      <c r="I697" s="9" t="s">
        <v>9</v>
      </c>
      <c r="J697" s="1" t="s">
        <v>335</v>
      </c>
      <c r="K697" s="9" t="s">
        <v>5</v>
      </c>
      <c r="L697" s="66">
        <f>+BP696</f>
        <v>7</v>
      </c>
      <c r="M697" s="66"/>
      <c r="N697" s="9" t="s">
        <v>9</v>
      </c>
      <c r="O697" s="1" t="s">
        <v>337</v>
      </c>
      <c r="P697" s="9" t="s">
        <v>7</v>
      </c>
      <c r="Q697" s="9">
        <v>0</v>
      </c>
      <c r="R697" s="9"/>
      <c r="S697" s="1" t="s">
        <v>351</v>
      </c>
      <c r="T697" s="9"/>
      <c r="BK697" s="9"/>
      <c r="BL697" s="9"/>
      <c r="BV697" s="9"/>
      <c r="BW697" s="9"/>
      <c r="BX697" s="9"/>
      <c r="BZ697" s="9"/>
      <c r="CA697" s="9"/>
      <c r="CB697" s="9"/>
      <c r="CC697" s="7"/>
      <c r="CE697" s="9"/>
    </row>
    <row r="698" spans="2:83">
      <c r="B698" s="6"/>
      <c r="C698" s="1" t="s">
        <v>347</v>
      </c>
      <c r="G698" s="66">
        <f>+E687</f>
        <v>223.48214285714286</v>
      </c>
      <c r="H698" s="66"/>
      <c r="I698" s="9" t="s">
        <v>5</v>
      </c>
      <c r="J698" s="66">
        <f>+AC638</f>
        <v>7</v>
      </c>
      <c r="K698" s="66"/>
      <c r="L698" s="1" t="s">
        <v>254</v>
      </c>
      <c r="M698" s="1">
        <v>2</v>
      </c>
      <c r="N698" s="9" t="s">
        <v>6</v>
      </c>
      <c r="O698" s="66">
        <f>+L687</f>
        <v>55</v>
      </c>
      <c r="P698" s="66"/>
      <c r="Q698" s="9" t="s">
        <v>5</v>
      </c>
      <c r="R698" s="66">
        <f>+J698</f>
        <v>7</v>
      </c>
      <c r="S698" s="66"/>
      <c r="T698" s="1" t="s">
        <v>321</v>
      </c>
      <c r="U698" s="1">
        <f>+Q687</f>
        <v>6</v>
      </c>
      <c r="V698" s="9" t="s">
        <v>6</v>
      </c>
      <c r="W698" s="66">
        <f>+S687</f>
        <v>65</v>
      </c>
      <c r="X698" s="66"/>
      <c r="Y698" s="1" t="s">
        <v>14</v>
      </c>
      <c r="Z698" s="66">
        <f>+R698</f>
        <v>7</v>
      </c>
      <c r="AA698" s="66"/>
      <c r="AB698" s="9" t="s">
        <v>6</v>
      </c>
      <c r="AC698" s="66">
        <f>+X687</f>
        <v>1.5</v>
      </c>
      <c r="AD698" s="66"/>
      <c r="AE698" s="1" t="s">
        <v>200</v>
      </c>
      <c r="AF698" s="1" t="s">
        <v>173</v>
      </c>
      <c r="AG698" s="1">
        <v>2</v>
      </c>
      <c r="AH698" s="9" t="s">
        <v>9</v>
      </c>
      <c r="AI698" s="1" t="s">
        <v>313</v>
      </c>
      <c r="AJ698" s="9" t="s">
        <v>7</v>
      </c>
      <c r="AK698" s="1" t="s">
        <v>313</v>
      </c>
      <c r="AL698" s="9" t="s">
        <v>9</v>
      </c>
      <c r="AM698" s="66">
        <f>G698*J698^2/M698-O698*R698^3/U698-W698*(Z698-AC698)^2/AG698</f>
        <v>1348.0208333333335</v>
      </c>
      <c r="AN698" s="66"/>
      <c r="AO698" s="66"/>
      <c r="CC698" s="7"/>
    </row>
    <row r="699" spans="2:83">
      <c r="B699" s="6"/>
      <c r="C699" s="1" t="s">
        <v>349</v>
      </c>
      <c r="G699" s="66">
        <f>+E691</f>
        <v>223.48214285714286</v>
      </c>
      <c r="H699" s="66"/>
      <c r="I699" s="9" t="s">
        <v>5</v>
      </c>
      <c r="J699" s="66">
        <f>+AC638</f>
        <v>7</v>
      </c>
      <c r="K699" s="66"/>
      <c r="L699" s="1" t="s">
        <v>254</v>
      </c>
      <c r="M699" s="1">
        <f>+J691</f>
        <v>2</v>
      </c>
      <c r="N699" s="9" t="s">
        <v>6</v>
      </c>
      <c r="O699" s="66">
        <f>+L691</f>
        <v>385</v>
      </c>
      <c r="P699" s="66"/>
      <c r="Q699" s="9" t="s">
        <v>14</v>
      </c>
      <c r="R699" s="66">
        <f>+J699</f>
        <v>7</v>
      </c>
      <c r="S699" s="66"/>
      <c r="T699" s="9" t="s">
        <v>6</v>
      </c>
      <c r="U699" s="66">
        <f>+Q691</f>
        <v>3.5</v>
      </c>
      <c r="V699" s="66"/>
      <c r="W699" s="1" t="s">
        <v>200</v>
      </c>
      <c r="X699" s="1" t="s">
        <v>173</v>
      </c>
      <c r="Y699" s="1">
        <v>2</v>
      </c>
      <c r="Z699" s="9" t="s">
        <v>6</v>
      </c>
      <c r="AA699" s="66">
        <f>+W691</f>
        <v>65</v>
      </c>
      <c r="AB699" s="66"/>
      <c r="AC699" s="9" t="s">
        <v>14</v>
      </c>
      <c r="AD699" s="66">
        <f>+R699</f>
        <v>7</v>
      </c>
      <c r="AE699" s="66"/>
      <c r="AF699" s="9" t="s">
        <v>6</v>
      </c>
      <c r="AG699" s="66">
        <f>+AB691</f>
        <v>1.5</v>
      </c>
      <c r="AH699" s="66"/>
      <c r="AI699" s="1" t="s">
        <v>200</v>
      </c>
      <c r="AJ699" s="1" t="s">
        <v>173</v>
      </c>
      <c r="AK699" s="1">
        <f>+AF691</f>
        <v>2</v>
      </c>
      <c r="AL699" s="9" t="s">
        <v>9</v>
      </c>
      <c r="AM699" s="66">
        <f>+AH691</f>
        <v>339.01785714285711</v>
      </c>
      <c r="AN699" s="66"/>
      <c r="AO699" s="1" t="s">
        <v>14</v>
      </c>
      <c r="AP699" s="66">
        <f>+AD699</f>
        <v>7</v>
      </c>
      <c r="AQ699" s="66"/>
      <c r="AR699" s="9" t="s">
        <v>6</v>
      </c>
      <c r="AS699" s="66">
        <f>+AM691</f>
        <v>7</v>
      </c>
      <c r="AT699" s="66"/>
      <c r="AU699" s="1" t="s">
        <v>200</v>
      </c>
      <c r="AV699" s="1" t="s">
        <v>173</v>
      </c>
      <c r="AW699" s="1">
        <v>2</v>
      </c>
      <c r="AX699" s="9" t="s">
        <v>6</v>
      </c>
      <c r="AY699" s="66">
        <f>+AS691</f>
        <v>25</v>
      </c>
      <c r="AZ699" s="66"/>
      <c r="BA699" s="1" t="s">
        <v>14</v>
      </c>
      <c r="BB699" s="66">
        <f>+AP699</f>
        <v>7</v>
      </c>
      <c r="BC699" s="66"/>
      <c r="BD699" s="9" t="s">
        <v>6</v>
      </c>
      <c r="BE699" s="66">
        <f>+AX691</f>
        <v>7</v>
      </c>
      <c r="BF699" s="66"/>
      <c r="BG699" s="1" t="s">
        <v>311</v>
      </c>
      <c r="BH699" s="1" t="s">
        <v>173</v>
      </c>
      <c r="BI699" s="1">
        <f>+BB691</f>
        <v>6</v>
      </c>
      <c r="BJ699" s="9" t="s">
        <v>9</v>
      </c>
      <c r="BK699" s="1" t="s">
        <v>335</v>
      </c>
      <c r="BL699" s="9" t="s">
        <v>7</v>
      </c>
      <c r="BM699" s="66">
        <f>G699*J699^2/M699-O699*(R699-U699)^2/Y699-AA699*(AD699-AG699)^2/AK699+AM699*(AP699-AS699)^2/AW699-AY699*(BB699-BE699)^3/BI699</f>
        <v>2134.0625</v>
      </c>
      <c r="BN699" s="66"/>
      <c r="BO699" s="66"/>
      <c r="BP699" s="9" t="s">
        <v>9</v>
      </c>
      <c r="BQ699" s="1" t="s">
        <v>335</v>
      </c>
      <c r="CC699" s="7"/>
    </row>
    <row r="700" spans="2:83">
      <c r="B700" s="6"/>
      <c r="C700" s="1" t="s">
        <v>350</v>
      </c>
      <c r="L700" s="1" t="s">
        <v>313</v>
      </c>
      <c r="M700" s="9" t="s">
        <v>9</v>
      </c>
      <c r="N700" s="66">
        <f>+AM698</f>
        <v>1348.0208333333335</v>
      </c>
      <c r="O700" s="66"/>
      <c r="P700" s="66"/>
      <c r="Q700" s="9" t="s">
        <v>7</v>
      </c>
      <c r="R700" s="66">
        <f>+BM699</f>
        <v>2134.0625</v>
      </c>
      <c r="S700" s="66"/>
      <c r="T700" s="66"/>
      <c r="U700" s="9" t="s">
        <v>9</v>
      </c>
      <c r="V700" s="1" t="s">
        <v>335</v>
      </c>
      <c r="Y700" s="66">
        <f>+R700-N700</f>
        <v>786.04166666666652</v>
      </c>
      <c r="Z700" s="66"/>
      <c r="AA700" s="66"/>
      <c r="AB700" s="9" t="s">
        <v>9</v>
      </c>
      <c r="AC700" s="1" t="s">
        <v>335</v>
      </c>
      <c r="AD700" s="9" t="s">
        <v>6</v>
      </c>
      <c r="AE700" s="1" t="s">
        <v>313</v>
      </c>
      <c r="AF700" s="9" t="s">
        <v>7</v>
      </c>
      <c r="AG700" s="9">
        <v>0</v>
      </c>
      <c r="AI700" s="1" t="s">
        <v>353</v>
      </c>
      <c r="CC700" s="7"/>
    </row>
    <row r="701" spans="2:83">
      <c r="B701" s="6"/>
      <c r="C701" s="1" t="s">
        <v>358</v>
      </c>
      <c r="G701" s="66">
        <f>+E684</f>
        <v>223.48214285714286</v>
      </c>
      <c r="H701" s="66"/>
      <c r="I701" s="9" t="s">
        <v>5</v>
      </c>
      <c r="J701" s="66">
        <f>+Y636</f>
        <v>1.5</v>
      </c>
      <c r="K701" s="66"/>
      <c r="L701" s="1" t="s">
        <v>30</v>
      </c>
      <c r="M701" s="1">
        <f>+J684</f>
        <v>6</v>
      </c>
      <c r="N701" s="9" t="s">
        <v>6</v>
      </c>
      <c r="O701" s="66">
        <f>+L684</f>
        <v>55</v>
      </c>
      <c r="P701" s="66"/>
      <c r="Q701" s="9" t="s">
        <v>5</v>
      </c>
      <c r="R701" s="66">
        <f>+J701</f>
        <v>1.5</v>
      </c>
      <c r="S701" s="66"/>
      <c r="T701" s="1" t="s">
        <v>186</v>
      </c>
      <c r="U701" s="66">
        <f>+Q684</f>
        <v>24</v>
      </c>
      <c r="V701" s="66"/>
      <c r="W701" s="9" t="s">
        <v>9</v>
      </c>
      <c r="X701" s="1" t="s">
        <v>24</v>
      </c>
      <c r="Y701" s="9" t="s">
        <v>5</v>
      </c>
      <c r="Z701" s="66">
        <f>+R701</f>
        <v>1.5</v>
      </c>
      <c r="AA701" s="66"/>
      <c r="AB701" s="9" t="s">
        <v>9</v>
      </c>
      <c r="AC701" s="1" t="s">
        <v>307</v>
      </c>
      <c r="AF701" s="66">
        <f>G701*J701^3/M701-O701*R701^4/U701</f>
        <v>114.10714285714285</v>
      </c>
      <c r="AG701" s="66"/>
      <c r="AH701" s="66"/>
      <c r="AI701" s="9" t="s">
        <v>9</v>
      </c>
      <c r="AJ701" s="1" t="s">
        <v>24</v>
      </c>
      <c r="AK701" s="9" t="s">
        <v>5</v>
      </c>
      <c r="AL701" s="66">
        <f>+Z701</f>
        <v>1.5</v>
      </c>
      <c r="AM701" s="66"/>
      <c r="AN701" s="9" t="s">
        <v>9</v>
      </c>
      <c r="AO701" s="1" t="s">
        <v>307</v>
      </c>
      <c r="CC701" s="7"/>
    </row>
    <row r="702" spans="2:83">
      <c r="B702" s="6"/>
      <c r="C702" s="1" t="s">
        <v>359</v>
      </c>
      <c r="G702" s="66">
        <f>+E688</f>
        <v>223.48214285714286</v>
      </c>
      <c r="H702" s="66"/>
      <c r="I702" s="9" t="s">
        <v>5</v>
      </c>
      <c r="J702" s="66">
        <f>+Y636</f>
        <v>1.5</v>
      </c>
      <c r="K702" s="66"/>
      <c r="L702" s="1" t="s">
        <v>30</v>
      </c>
      <c r="M702" s="1">
        <f>+J688</f>
        <v>6</v>
      </c>
      <c r="N702" s="9" t="s">
        <v>6</v>
      </c>
      <c r="O702" s="66">
        <f>+L688</f>
        <v>55</v>
      </c>
      <c r="P702" s="66"/>
      <c r="Q702" s="9" t="s">
        <v>5</v>
      </c>
      <c r="R702" s="66">
        <f>+J702</f>
        <v>1.5</v>
      </c>
      <c r="S702" s="66"/>
      <c r="T702" s="1" t="s">
        <v>186</v>
      </c>
      <c r="U702" s="66">
        <f>+Q688</f>
        <v>24</v>
      </c>
      <c r="V702" s="66"/>
      <c r="W702" s="9" t="s">
        <v>6</v>
      </c>
      <c r="X702" s="66">
        <f>+T688</f>
        <v>65</v>
      </c>
      <c r="Y702" s="66"/>
      <c r="Z702" s="1" t="s">
        <v>14</v>
      </c>
      <c r="AA702" s="66">
        <f>+R702</f>
        <v>1.5</v>
      </c>
      <c r="AB702" s="66"/>
      <c r="AC702" s="9" t="s">
        <v>6</v>
      </c>
      <c r="AD702" s="66">
        <f>+Y688</f>
        <v>1.5</v>
      </c>
      <c r="AE702" s="66"/>
      <c r="AF702" s="1" t="s">
        <v>311</v>
      </c>
      <c r="AG702" s="1" t="s">
        <v>173</v>
      </c>
      <c r="AH702" s="1">
        <v>6</v>
      </c>
      <c r="AI702" s="9" t="s">
        <v>9</v>
      </c>
      <c r="AJ702" s="1" t="s">
        <v>313</v>
      </c>
      <c r="AK702" s="9" t="s">
        <v>5</v>
      </c>
      <c r="AL702" s="66">
        <f>+AA702</f>
        <v>1.5</v>
      </c>
      <c r="AM702" s="66"/>
      <c r="AN702" s="9" t="s">
        <v>9</v>
      </c>
      <c r="AO702" s="1" t="s">
        <v>315</v>
      </c>
      <c r="AR702" s="66">
        <f>G702*J702^3/M702-O702*R702^4/U702-X702*(AA702-AD702)^3/AH702</f>
        <v>114.10714285714285</v>
      </c>
      <c r="AS702" s="66"/>
      <c r="AT702" s="66"/>
      <c r="AU702" s="9" t="s">
        <v>9</v>
      </c>
      <c r="AV702" s="1" t="s">
        <v>313</v>
      </c>
      <c r="AW702" s="9" t="s">
        <v>5</v>
      </c>
      <c r="AX702" s="66">
        <f>+AL702</f>
        <v>1.5</v>
      </c>
      <c r="AY702" s="66"/>
      <c r="AZ702" s="9" t="s">
        <v>9</v>
      </c>
      <c r="BA702" s="1" t="s">
        <v>315</v>
      </c>
      <c r="CC702" s="7"/>
    </row>
    <row r="703" spans="2:83">
      <c r="B703" s="6"/>
      <c r="C703" s="1" t="s">
        <v>360</v>
      </c>
      <c r="L703" s="66">
        <f>+AF701</f>
        <v>114.10714285714285</v>
      </c>
      <c r="M703" s="66"/>
      <c r="N703" s="66"/>
      <c r="O703" s="9" t="s">
        <v>9</v>
      </c>
      <c r="P703" s="1" t="s">
        <v>24</v>
      </c>
      <c r="Q703" s="9" t="s">
        <v>5</v>
      </c>
      <c r="R703" s="66">
        <f>+AL701</f>
        <v>1.5</v>
      </c>
      <c r="S703" s="66"/>
      <c r="T703" s="9" t="s">
        <v>9</v>
      </c>
      <c r="U703" s="1" t="s">
        <v>307</v>
      </c>
      <c r="V703" s="9" t="s">
        <v>7</v>
      </c>
      <c r="W703" s="66">
        <f>+AR702</f>
        <v>114.10714285714285</v>
      </c>
      <c r="X703" s="66"/>
      <c r="Y703" s="66"/>
      <c r="Z703" s="9" t="s">
        <v>9</v>
      </c>
      <c r="AA703" s="1" t="s">
        <v>313</v>
      </c>
      <c r="AB703" s="9" t="s">
        <v>5</v>
      </c>
      <c r="AC703" s="66">
        <f>+AX702</f>
        <v>1.5</v>
      </c>
      <c r="AD703" s="66"/>
      <c r="AE703" s="9" t="s">
        <v>9</v>
      </c>
      <c r="AF703" s="1" t="s">
        <v>315</v>
      </c>
      <c r="AI703" s="1" t="s">
        <v>24</v>
      </c>
      <c r="AJ703" s="9" t="s">
        <v>5</v>
      </c>
      <c r="AK703" s="66">
        <f>+R703</f>
        <v>1.5</v>
      </c>
      <c r="AL703" s="66"/>
      <c r="AM703" s="9" t="s">
        <v>6</v>
      </c>
      <c r="AN703" s="1" t="s">
        <v>313</v>
      </c>
      <c r="AO703" s="9" t="s">
        <v>5</v>
      </c>
      <c r="AP703" s="66">
        <f>+AC703</f>
        <v>1.5</v>
      </c>
      <c r="AQ703" s="66"/>
      <c r="AR703" s="9" t="s">
        <v>6</v>
      </c>
      <c r="AS703" s="1" t="s">
        <v>315</v>
      </c>
      <c r="AT703" s="9" t="s">
        <v>9</v>
      </c>
      <c r="AU703" s="9">
        <f>+L703-W703</f>
        <v>0</v>
      </c>
      <c r="AV703" s="9" t="s">
        <v>7</v>
      </c>
      <c r="AW703" s="1">
        <v>0</v>
      </c>
      <c r="AY703" s="1" t="s">
        <v>361</v>
      </c>
      <c r="CC703" s="7"/>
    </row>
    <row r="704" spans="2:83">
      <c r="B704" s="6"/>
      <c r="C704" s="1" t="s">
        <v>320</v>
      </c>
      <c r="G704" s="66">
        <f>+E683</f>
        <v>223.48214285714286</v>
      </c>
      <c r="H704" s="66"/>
      <c r="I704" s="9" t="s">
        <v>5</v>
      </c>
      <c r="J704" s="66">
        <f>+Y636</f>
        <v>1.5</v>
      </c>
      <c r="K704" s="66"/>
      <c r="L704" s="1" t="s">
        <v>254</v>
      </c>
      <c r="M704" s="1">
        <v>2</v>
      </c>
      <c r="N704" s="9" t="s">
        <v>6</v>
      </c>
      <c r="O704" s="66">
        <f>+L683</f>
        <v>55</v>
      </c>
      <c r="P704" s="66"/>
      <c r="Q704" s="9" t="s">
        <v>5</v>
      </c>
      <c r="R704" s="66">
        <f>+J704</f>
        <v>1.5</v>
      </c>
      <c r="S704" s="66"/>
      <c r="T704" s="1" t="s">
        <v>321</v>
      </c>
      <c r="U704" s="1">
        <f>+Q683</f>
        <v>6</v>
      </c>
      <c r="V704" s="9" t="s">
        <v>9</v>
      </c>
      <c r="W704" s="9" t="s">
        <v>24</v>
      </c>
      <c r="Z704" s="66">
        <f>G704*J704^2/M704-O704*R704^3/U704</f>
        <v>220.47991071428572</v>
      </c>
      <c r="AA704" s="66"/>
      <c r="AB704" s="66"/>
      <c r="AC704" s="9" t="s">
        <v>9</v>
      </c>
      <c r="AD704" s="9" t="s">
        <v>24</v>
      </c>
      <c r="AE704" s="9"/>
      <c r="AJ704" s="9"/>
      <c r="AK704" s="9"/>
      <c r="AL704" s="9"/>
      <c r="AM704" s="9"/>
      <c r="AO704" s="9"/>
      <c r="AP704" s="9"/>
      <c r="AQ704" s="9"/>
      <c r="AR704" s="9"/>
      <c r="AT704" s="9"/>
      <c r="CC704" s="7"/>
    </row>
    <row r="705" spans="2:81">
      <c r="B705" s="6"/>
      <c r="C705" s="1" t="s">
        <v>347</v>
      </c>
      <c r="G705" s="66">
        <f>+E687</f>
        <v>223.48214285714286</v>
      </c>
      <c r="H705" s="66"/>
      <c r="I705" s="9" t="s">
        <v>5</v>
      </c>
      <c r="J705" s="66">
        <f>+Y636</f>
        <v>1.5</v>
      </c>
      <c r="K705" s="66"/>
      <c r="L705" s="1" t="s">
        <v>254</v>
      </c>
      <c r="M705" s="1">
        <v>2</v>
      </c>
      <c r="N705" s="9" t="s">
        <v>6</v>
      </c>
      <c r="O705" s="66">
        <f>+L687</f>
        <v>55</v>
      </c>
      <c r="P705" s="66"/>
      <c r="Q705" s="9" t="s">
        <v>5</v>
      </c>
      <c r="R705" s="66">
        <f>+J705</f>
        <v>1.5</v>
      </c>
      <c r="S705" s="66"/>
      <c r="T705" s="1" t="s">
        <v>321</v>
      </c>
      <c r="U705" s="1">
        <f>+Q687</f>
        <v>6</v>
      </c>
      <c r="V705" s="9" t="s">
        <v>6</v>
      </c>
      <c r="W705" s="66">
        <f>+S687</f>
        <v>65</v>
      </c>
      <c r="X705" s="66"/>
      <c r="Y705" s="1" t="s">
        <v>14</v>
      </c>
      <c r="Z705" s="66">
        <f>+R705</f>
        <v>1.5</v>
      </c>
      <c r="AA705" s="66"/>
      <c r="AB705" s="9" t="s">
        <v>6</v>
      </c>
      <c r="AC705" s="66">
        <f>+X687</f>
        <v>1.5</v>
      </c>
      <c r="AD705" s="66"/>
      <c r="AE705" s="1" t="s">
        <v>200</v>
      </c>
      <c r="AF705" s="1" t="s">
        <v>173</v>
      </c>
      <c r="AG705" s="1">
        <v>2</v>
      </c>
      <c r="AH705" s="9" t="s">
        <v>9</v>
      </c>
      <c r="AI705" s="1" t="s">
        <v>313</v>
      </c>
      <c r="AL705" s="66">
        <f>G705*J705^2/M705-O705*R705^3/U705-W705*(Z705-AC705)^2/AG705</f>
        <v>220.47991071428572</v>
      </c>
      <c r="AM705" s="66"/>
      <c r="AN705" s="66"/>
      <c r="AO705" s="9" t="s">
        <v>9</v>
      </c>
      <c r="AP705" s="1" t="s">
        <v>313</v>
      </c>
      <c r="AQ705" s="9"/>
      <c r="AR705" s="9"/>
      <c r="CC705" s="7"/>
    </row>
    <row r="706" spans="2:81">
      <c r="B706" s="6"/>
      <c r="C706" s="1" t="s">
        <v>362</v>
      </c>
      <c r="L706" s="66">
        <f>+Z704</f>
        <v>220.47991071428572</v>
      </c>
      <c r="M706" s="66"/>
      <c r="N706" s="66"/>
      <c r="O706" s="9" t="s">
        <v>9</v>
      </c>
      <c r="P706" s="9" t="s">
        <v>24</v>
      </c>
      <c r="Q706" s="9" t="s">
        <v>7</v>
      </c>
      <c r="R706" s="66">
        <f>+AL705</f>
        <v>220.47991071428572</v>
      </c>
      <c r="S706" s="66"/>
      <c r="T706" s="66"/>
      <c r="U706" s="9" t="s">
        <v>9</v>
      </c>
      <c r="V706" s="1" t="s">
        <v>313</v>
      </c>
      <c r="Y706" s="9" t="s">
        <v>24</v>
      </c>
      <c r="Z706" s="9" t="s">
        <v>6</v>
      </c>
      <c r="AA706" s="1" t="s">
        <v>313</v>
      </c>
      <c r="AB706" s="9" t="s">
        <v>9</v>
      </c>
      <c r="AC706" s="9">
        <f>+L706-R706</f>
        <v>0</v>
      </c>
      <c r="AD706" s="9" t="s">
        <v>7</v>
      </c>
      <c r="AE706" s="9">
        <v>0</v>
      </c>
      <c r="AF706" s="9"/>
      <c r="AG706" s="1" t="s">
        <v>363</v>
      </c>
      <c r="AK706" s="9"/>
      <c r="AM706" s="9"/>
      <c r="AO706" s="9"/>
      <c r="AP706" s="9"/>
      <c r="AQ706" s="9"/>
      <c r="AR706" s="9"/>
      <c r="AT706" s="9"/>
      <c r="CC706" s="7"/>
    </row>
    <row r="707" spans="2:81">
      <c r="B707" s="6"/>
      <c r="C707" s="24" t="s">
        <v>367</v>
      </c>
      <c r="L707" s="9"/>
      <c r="M707" s="9"/>
      <c r="N707" s="9"/>
      <c r="O707" s="9"/>
      <c r="P707" s="9"/>
      <c r="Q707" s="9"/>
      <c r="R707" s="9"/>
      <c r="S707" s="9"/>
      <c r="T707" s="9"/>
      <c r="U707" s="9"/>
      <c r="Y707" s="9"/>
      <c r="Z707" s="9"/>
      <c r="AL707" s="9"/>
      <c r="AM707" s="9"/>
      <c r="AO707" s="9"/>
      <c r="AP707" s="9"/>
      <c r="AQ707" s="9"/>
      <c r="AR707" s="9"/>
      <c r="AT707" s="9"/>
      <c r="CC707" s="7"/>
    </row>
    <row r="708" spans="2:81">
      <c r="B708" s="6"/>
      <c r="C708" s="1" t="s">
        <v>32</v>
      </c>
      <c r="E708" s="66">
        <f>+T708</f>
        <v>-781.57738095238085</v>
      </c>
      <c r="F708" s="66"/>
      <c r="G708" s="66"/>
      <c r="H708" s="40">
        <v>0</v>
      </c>
      <c r="I708" s="40">
        <f>+BB695</f>
        <v>7</v>
      </c>
      <c r="J708" s="40">
        <v>1</v>
      </c>
      <c r="K708" s="40">
        <v>0</v>
      </c>
      <c r="L708" s="43">
        <v>0</v>
      </c>
      <c r="M708" s="43">
        <f>-AV695</f>
        <v>-5471.0416666666661</v>
      </c>
      <c r="N708" s="43"/>
      <c r="O708" s="43" cm="1">
        <f t="array" ref="O708:S712">MINVERSE(H708:L712)</f>
        <v>0.14285714285714285</v>
      </c>
      <c r="P708" s="43">
        <v>0</v>
      </c>
      <c r="Q708" s="43">
        <v>0</v>
      </c>
      <c r="R708" s="43">
        <v>0.14285714285714279</v>
      </c>
      <c r="S708" s="43">
        <v>0.7857142857142857</v>
      </c>
      <c r="T708" s="43" cm="1">
        <f t="array" ref="T708:T712">MMULT(O708:S712,M708:M712)</f>
        <v>-781.57738095238085</v>
      </c>
      <c r="U708" s="42"/>
      <c r="V708" s="2"/>
      <c r="W708" s="2"/>
      <c r="X708" s="2"/>
      <c r="Y708" s="42"/>
      <c r="Z708" s="42"/>
      <c r="AA708" s="2"/>
      <c r="AB708" s="42"/>
      <c r="AC708" s="42"/>
      <c r="AD708" s="42"/>
      <c r="AE708" s="2"/>
      <c r="AF708" s="2"/>
      <c r="AG708" s="2"/>
      <c r="AJ708" s="9"/>
      <c r="AK708" s="9"/>
      <c r="AL708" s="9"/>
      <c r="AM708" s="9"/>
      <c r="AO708" s="9"/>
      <c r="AP708" s="9"/>
      <c r="AQ708" s="9"/>
      <c r="AR708" s="9"/>
      <c r="AT708" s="9"/>
      <c r="CC708" s="7"/>
    </row>
    <row r="709" spans="2:81">
      <c r="B709" s="6"/>
      <c r="C709" s="1" t="s">
        <v>354</v>
      </c>
      <c r="E709" s="66">
        <f t="shared" ref="E709:E712" si="6">+T709</f>
        <v>-781.57738095238085</v>
      </c>
      <c r="F709" s="66"/>
      <c r="G709" s="66"/>
      <c r="H709" s="40">
        <v>0</v>
      </c>
      <c r="I709" s="40">
        <v>0</v>
      </c>
      <c r="J709" s="40">
        <v>0</v>
      </c>
      <c r="K709" s="40">
        <f>+L697</f>
        <v>7</v>
      </c>
      <c r="L709" s="43">
        <v>1</v>
      </c>
      <c r="M709" s="43">
        <f>-F697</f>
        <v>-8222.1874999999982</v>
      </c>
      <c r="N709" s="43"/>
      <c r="O709" s="43">
        <v>0.14285714285714285</v>
      </c>
      <c r="P709" s="43">
        <v>0</v>
      </c>
      <c r="Q709" s="43">
        <v>0</v>
      </c>
      <c r="R709" s="43">
        <v>0.14285714285714285</v>
      </c>
      <c r="S709" s="43">
        <v>-0.21428571428571427</v>
      </c>
      <c r="T709" s="43">
        <v>-781.57738095238085</v>
      </c>
      <c r="U709" s="42"/>
      <c r="V709" s="2"/>
      <c r="W709" s="2"/>
      <c r="X709" s="2"/>
      <c r="Y709" s="42"/>
      <c r="Z709" s="42"/>
      <c r="AA709" s="2"/>
      <c r="AB709" s="42"/>
      <c r="AC709" s="42"/>
      <c r="AD709" s="42"/>
      <c r="AE709" s="2"/>
      <c r="AF709" s="2"/>
      <c r="AG709" s="2"/>
      <c r="AJ709" s="9"/>
      <c r="AK709" s="9"/>
      <c r="AL709" s="9"/>
      <c r="AM709" s="9"/>
      <c r="AO709" s="9"/>
      <c r="AP709" s="9"/>
      <c r="AQ709" s="9"/>
      <c r="AR709" s="9"/>
      <c r="AT709" s="9"/>
      <c r="CC709" s="7"/>
    </row>
    <row r="710" spans="2:81">
      <c r="B710" s="6"/>
      <c r="C710" s="1" t="s">
        <v>355</v>
      </c>
      <c r="E710" s="66">
        <f>+T710</f>
        <v>0</v>
      </c>
      <c r="F710" s="66"/>
      <c r="G710" s="66"/>
      <c r="H710" s="40">
        <v>0</v>
      </c>
      <c r="I710" s="40">
        <v>-1</v>
      </c>
      <c r="J710" s="40">
        <v>0</v>
      </c>
      <c r="K710" s="40">
        <v>1</v>
      </c>
      <c r="L710" s="43">
        <v>0</v>
      </c>
      <c r="M710" s="43">
        <f>-Y700</f>
        <v>-786.04166666666652</v>
      </c>
      <c r="N710" s="43"/>
      <c r="O710" s="43">
        <v>0</v>
      </c>
      <c r="P710" s="43">
        <v>0</v>
      </c>
      <c r="Q710" s="43">
        <v>0</v>
      </c>
      <c r="R710" s="43">
        <v>-1</v>
      </c>
      <c r="S710" s="43">
        <v>1.5</v>
      </c>
      <c r="T710" s="43">
        <v>0</v>
      </c>
      <c r="U710" s="42"/>
      <c r="V710" s="2"/>
      <c r="W710" s="2"/>
      <c r="X710" s="2"/>
      <c r="Y710" s="42"/>
      <c r="Z710" s="42"/>
      <c r="AA710" s="2"/>
      <c r="AB710" s="42"/>
      <c r="AC710" s="42"/>
      <c r="AD710" s="42"/>
      <c r="AE710" s="2"/>
      <c r="AF710" s="2"/>
      <c r="AG710" s="2"/>
      <c r="AJ710" s="9"/>
      <c r="AK710" s="9"/>
      <c r="AL710" s="9"/>
      <c r="AM710" s="9"/>
      <c r="AO710" s="9"/>
      <c r="AP710" s="9"/>
      <c r="AQ710" s="9"/>
      <c r="AR710" s="9"/>
      <c r="AT710" s="9"/>
      <c r="CC710" s="7"/>
    </row>
    <row r="711" spans="2:81">
      <c r="B711" s="6"/>
      <c r="C711" s="1" t="s">
        <v>356</v>
      </c>
      <c r="E711" s="66">
        <f t="shared" si="6"/>
        <v>-1567.6190476190473</v>
      </c>
      <c r="F711" s="66"/>
      <c r="G711" s="66"/>
      <c r="H711" s="40">
        <f>+AK703</f>
        <v>1.5</v>
      </c>
      <c r="I711" s="40">
        <f>-AP703</f>
        <v>-1.5</v>
      </c>
      <c r="J711" s="40">
        <v>-1</v>
      </c>
      <c r="K711" s="40">
        <v>0</v>
      </c>
      <c r="L711" s="43">
        <v>0</v>
      </c>
      <c r="M711" s="43">
        <f>-AU703</f>
        <v>0</v>
      </c>
      <c r="N711" s="43"/>
      <c r="O711" s="43">
        <v>0.14285714285714285</v>
      </c>
      <c r="P711" s="43">
        <v>0</v>
      </c>
      <c r="Q711" s="43">
        <v>1</v>
      </c>
      <c r="R711" s="43">
        <v>0.14285714285714285</v>
      </c>
      <c r="S711" s="43">
        <v>-0.21428571428571427</v>
      </c>
      <c r="T711" s="43">
        <v>-1567.6190476190473</v>
      </c>
      <c r="U711" s="42"/>
      <c r="V711" s="2"/>
      <c r="W711" s="2"/>
      <c r="X711" s="2"/>
      <c r="Y711" s="42"/>
      <c r="Z711" s="42"/>
      <c r="AA711" s="2"/>
      <c r="AB711" s="42"/>
      <c r="AC711" s="42"/>
      <c r="AD711" s="42"/>
      <c r="AE711" s="2"/>
      <c r="AF711" s="2"/>
      <c r="AG711" s="2"/>
      <c r="AJ711" s="9"/>
      <c r="AK711" s="9"/>
      <c r="AL711" s="9"/>
      <c r="AM711" s="9"/>
      <c r="AO711" s="9"/>
      <c r="AP711" s="9"/>
      <c r="AQ711" s="9"/>
      <c r="AR711" s="9"/>
      <c r="AT711" s="9"/>
      <c r="CC711" s="7"/>
    </row>
    <row r="712" spans="2:81">
      <c r="B712" s="6"/>
      <c r="C712" s="1" t="s">
        <v>357</v>
      </c>
      <c r="E712" s="66">
        <f t="shared" si="6"/>
        <v>2751.1458333333339</v>
      </c>
      <c r="F712" s="66"/>
      <c r="G712" s="66"/>
      <c r="H712" s="40">
        <v>1</v>
      </c>
      <c r="I712" s="40">
        <v>-1</v>
      </c>
      <c r="J712" s="40">
        <v>0</v>
      </c>
      <c r="K712" s="40">
        <v>0</v>
      </c>
      <c r="L712" s="43">
        <v>0</v>
      </c>
      <c r="M712" s="43">
        <f>-AC706</f>
        <v>0</v>
      </c>
      <c r="N712" s="43"/>
      <c r="O712" s="43">
        <v>-1</v>
      </c>
      <c r="P712" s="43">
        <v>1</v>
      </c>
      <c r="Q712" s="43">
        <v>-7</v>
      </c>
      <c r="R712" s="43">
        <v>-1</v>
      </c>
      <c r="S712" s="43">
        <v>1.5</v>
      </c>
      <c r="T712" s="43">
        <v>2751.1458333333339</v>
      </c>
      <c r="U712" s="42"/>
      <c r="V712" s="2"/>
      <c r="W712" s="2"/>
      <c r="X712" s="2"/>
      <c r="Y712" s="42"/>
      <c r="Z712" s="42"/>
      <c r="AA712" s="2"/>
      <c r="AB712" s="42"/>
      <c r="AC712" s="42"/>
      <c r="AD712" s="42"/>
      <c r="AE712" s="2"/>
      <c r="AF712" s="2"/>
      <c r="AG712" s="2"/>
      <c r="AJ712" s="9"/>
      <c r="AK712" s="9"/>
      <c r="AL712" s="9"/>
      <c r="AM712" s="9"/>
      <c r="AO712" s="9"/>
      <c r="AP712" s="9"/>
      <c r="AQ712" s="9"/>
      <c r="AR712" s="9"/>
      <c r="AT712" s="9"/>
      <c r="CC712" s="7"/>
    </row>
    <row r="713" spans="2:81">
      <c r="B713" s="6"/>
      <c r="C713" s="1" t="s">
        <v>340</v>
      </c>
      <c r="L713" s="9"/>
      <c r="M713" s="9"/>
      <c r="N713" s="9"/>
      <c r="O713" s="9"/>
      <c r="P713" s="9"/>
      <c r="R713" s="9"/>
      <c r="V713" s="9"/>
      <c r="W713" s="9"/>
      <c r="X713" s="9"/>
      <c r="Y713" s="9"/>
      <c r="Z713" s="9"/>
      <c r="AA713" s="9"/>
      <c r="AB713" s="9"/>
      <c r="AC713" s="9"/>
      <c r="AE713" s="9"/>
      <c r="AK713" s="9"/>
      <c r="AL713" s="9"/>
      <c r="AM713" s="9"/>
      <c r="CC713" s="7"/>
    </row>
    <row r="714" spans="2:81">
      <c r="B714" s="6"/>
      <c r="C714" s="1" t="s">
        <v>195</v>
      </c>
      <c r="H714" s="66">
        <f>+E684</f>
        <v>223.48214285714286</v>
      </c>
      <c r="I714" s="66"/>
      <c r="J714" s="9" t="s">
        <v>5</v>
      </c>
      <c r="K714" s="1" t="s">
        <v>184</v>
      </c>
      <c r="L714" s="1" t="s">
        <v>173</v>
      </c>
      <c r="M714" s="1">
        <v>6</v>
      </c>
      <c r="N714" s="9" t="s">
        <v>6</v>
      </c>
      <c r="O714" s="66">
        <f>+L684</f>
        <v>55</v>
      </c>
      <c r="P714" s="66"/>
      <c r="Q714" s="9" t="s">
        <v>5</v>
      </c>
      <c r="R714" s="1" t="s">
        <v>185</v>
      </c>
      <c r="S714" s="1" t="s">
        <v>173</v>
      </c>
      <c r="T714" s="66">
        <v>24</v>
      </c>
      <c r="U714" s="66"/>
      <c r="V714" s="9" t="s">
        <v>9</v>
      </c>
      <c r="W714" s="1" t="s">
        <v>24</v>
      </c>
      <c r="X714" s="9" t="s">
        <v>5</v>
      </c>
      <c r="Y714" s="1" t="s">
        <v>13</v>
      </c>
      <c r="Z714" s="9" t="s">
        <v>9</v>
      </c>
      <c r="AA714" s="1" t="s">
        <v>307</v>
      </c>
      <c r="AM714" s="9"/>
      <c r="CC714" s="7"/>
    </row>
    <row r="715" spans="2:81">
      <c r="B715" s="6"/>
      <c r="C715" s="1" t="s">
        <v>35</v>
      </c>
      <c r="E715" s="66">
        <f>+H714</f>
        <v>223.48214285714286</v>
      </c>
      <c r="F715" s="66"/>
      <c r="G715" s="9" t="s">
        <v>5</v>
      </c>
      <c r="H715" s="1" t="s">
        <v>184</v>
      </c>
      <c r="I715" s="1" t="s">
        <v>173</v>
      </c>
      <c r="J715" s="1">
        <v>6</v>
      </c>
      <c r="K715" s="9" t="s">
        <v>6</v>
      </c>
      <c r="L715" s="66">
        <f>+O714</f>
        <v>55</v>
      </c>
      <c r="M715" s="66"/>
      <c r="N715" s="9" t="s">
        <v>5</v>
      </c>
      <c r="O715" s="1" t="s">
        <v>185</v>
      </c>
      <c r="P715" s="1" t="s">
        <v>173</v>
      </c>
      <c r="Q715" s="66">
        <v>24</v>
      </c>
      <c r="R715" s="66"/>
      <c r="S715" s="9" t="s">
        <v>9</v>
      </c>
      <c r="T715" s="66">
        <f>+E708</f>
        <v>-781.57738095238085</v>
      </c>
      <c r="U715" s="66"/>
      <c r="V715" s="66"/>
      <c r="W715" s="9" t="s">
        <v>5</v>
      </c>
      <c r="X715" s="1" t="s">
        <v>13</v>
      </c>
      <c r="Y715" s="1" t="s">
        <v>322</v>
      </c>
      <c r="AD715" s="9"/>
      <c r="AJ715" s="9"/>
      <c r="AO715" s="9"/>
      <c r="AQ715" s="9"/>
      <c r="CC715" s="7"/>
    </row>
    <row r="716" spans="2:81">
      <c r="B716" s="6"/>
      <c r="C716" s="1" t="s">
        <v>27</v>
      </c>
      <c r="D716" s="67">
        <v>1</v>
      </c>
      <c r="E716" s="67"/>
      <c r="F716" s="67"/>
      <c r="G716" s="1" t="s">
        <v>42</v>
      </c>
      <c r="P716" s="8" t="str">
        <f>IF(D716&lt;=Y636,"","azalt.")</f>
        <v/>
      </c>
      <c r="CC716" s="7"/>
    </row>
    <row r="717" spans="2:81">
      <c r="B717" s="6"/>
      <c r="C717" s="1" t="s">
        <v>35</v>
      </c>
      <c r="E717" s="66">
        <f>+E715</f>
        <v>223.48214285714286</v>
      </c>
      <c r="F717" s="66"/>
      <c r="G717" s="9" t="s">
        <v>5</v>
      </c>
      <c r="H717" s="66">
        <f>+D716</f>
        <v>1</v>
      </c>
      <c r="I717" s="66"/>
      <c r="J717" s="1" t="s">
        <v>321</v>
      </c>
      <c r="K717" s="1">
        <v>6</v>
      </c>
      <c r="L717" s="9" t="s">
        <v>6</v>
      </c>
      <c r="M717" s="66">
        <f>+L715</f>
        <v>55</v>
      </c>
      <c r="N717" s="66"/>
      <c r="O717" s="9" t="s">
        <v>5</v>
      </c>
      <c r="P717" s="66">
        <f>+H717</f>
        <v>1</v>
      </c>
      <c r="Q717" s="66"/>
      <c r="R717" s="1" t="s">
        <v>186</v>
      </c>
      <c r="S717" s="66">
        <f>+Q715</f>
        <v>24</v>
      </c>
      <c r="T717" s="66"/>
      <c r="U717" s="9" t="s">
        <v>9</v>
      </c>
      <c r="V717" s="66">
        <f>+T715</f>
        <v>-781.57738095238085</v>
      </c>
      <c r="W717" s="66"/>
      <c r="X717" s="66"/>
      <c r="Y717" s="9" t="s">
        <v>5</v>
      </c>
      <c r="Z717" s="66">
        <f>+D716</f>
        <v>1</v>
      </c>
      <c r="AA717" s="66"/>
      <c r="AB717" s="1" t="s">
        <v>193</v>
      </c>
      <c r="AE717" s="66">
        <f>+F642</f>
        <v>200000</v>
      </c>
      <c r="AF717" s="66"/>
      <c r="AG717" s="66"/>
      <c r="AH717" s="9" t="s">
        <v>5</v>
      </c>
      <c r="AI717" s="66">
        <f>+F641</f>
        <v>92080</v>
      </c>
      <c r="AJ717" s="66"/>
      <c r="AK717" s="66"/>
      <c r="AL717" s="1" t="s">
        <v>40</v>
      </c>
      <c r="CC717" s="7"/>
    </row>
    <row r="718" spans="2:81">
      <c r="B718" s="6"/>
      <c r="C718" s="1" t="s">
        <v>33</v>
      </c>
      <c r="E718" s="66">
        <f>(E717*H717^3/K717-M717*P717^4/S717+V717*Z717)*100000000/(AE717*AI717)</f>
        <v>-4.0542029963592734</v>
      </c>
      <c r="F718" s="66"/>
      <c r="G718" s="66"/>
      <c r="H718" s="1" t="s">
        <v>41</v>
      </c>
      <c r="CC718" s="7"/>
    </row>
    <row r="719" spans="2:81">
      <c r="B719" s="6"/>
      <c r="C719" s="1" t="s">
        <v>172</v>
      </c>
      <c r="H719" s="66">
        <f>+AC638*1000</f>
        <v>7000</v>
      </c>
      <c r="I719" s="66"/>
      <c r="J719" s="66"/>
      <c r="K719" s="1" t="s">
        <v>173</v>
      </c>
      <c r="L719" s="66">
        <v>300</v>
      </c>
      <c r="M719" s="66"/>
      <c r="N719" s="9" t="s">
        <v>7</v>
      </c>
      <c r="O719" s="66">
        <f>+H719/L719</f>
        <v>23.333333333333332</v>
      </c>
      <c r="P719" s="66"/>
      <c r="Q719" s="66"/>
      <c r="R719" s="1" t="s">
        <v>41</v>
      </c>
      <c r="U719" s="1" t="s">
        <v>192</v>
      </c>
      <c r="CC719" s="7"/>
    </row>
    <row r="720" spans="2:81">
      <c r="B720" s="6"/>
      <c r="C720" s="1" t="s">
        <v>34</v>
      </c>
      <c r="D720" s="66">
        <f>+E718</f>
        <v>-4.0542029963592734</v>
      </c>
      <c r="E720" s="66"/>
      <c r="F720" s="66"/>
      <c r="G720" s="1" t="s">
        <v>41</v>
      </c>
      <c r="I720" s="1" t="str">
        <f>IF(ABS(D720)&lt;ABS(M720),"&lt;","&gt;")</f>
        <v>&lt;</v>
      </c>
      <c r="J720" s="1" t="s">
        <v>174</v>
      </c>
      <c r="M720" s="66">
        <f>+O719</f>
        <v>23.333333333333332</v>
      </c>
      <c r="N720" s="66"/>
      <c r="O720" s="66"/>
      <c r="P720" s="1" t="s">
        <v>41</v>
      </c>
      <c r="R720" s="8" t="str">
        <f>IF(ABS(D720)&lt;ABS(M720),"uygun.","uygun değil.")</f>
        <v>uygun.</v>
      </c>
      <c r="CC720" s="7"/>
    </row>
    <row r="721" spans="2:81">
      <c r="B721" s="6"/>
      <c r="C721" s="1" t="s">
        <v>339</v>
      </c>
      <c r="CC721" s="7"/>
    </row>
    <row r="722" spans="2:81">
      <c r="B722" s="6"/>
      <c r="C722" s="1" t="s">
        <v>195</v>
      </c>
      <c r="H722" s="66">
        <f>+E688</f>
        <v>223.48214285714286</v>
      </c>
      <c r="I722" s="66"/>
      <c r="J722" s="9" t="s">
        <v>5</v>
      </c>
      <c r="K722" s="1" t="s">
        <v>184</v>
      </c>
      <c r="L722" s="1" t="s">
        <v>173</v>
      </c>
      <c r="M722" s="1">
        <v>6</v>
      </c>
      <c r="N722" s="9" t="s">
        <v>6</v>
      </c>
      <c r="O722" s="66">
        <f>+L688</f>
        <v>55</v>
      </c>
      <c r="P722" s="66"/>
      <c r="Q722" s="9" t="s">
        <v>5</v>
      </c>
      <c r="R722" s="1" t="s">
        <v>185</v>
      </c>
      <c r="S722" s="1" t="s">
        <v>173</v>
      </c>
      <c r="T722" s="66">
        <v>24</v>
      </c>
      <c r="U722" s="66"/>
      <c r="V722" s="9" t="s">
        <v>6</v>
      </c>
      <c r="W722" s="66">
        <f>+T688</f>
        <v>65</v>
      </c>
      <c r="X722" s="66"/>
      <c r="Y722" s="1" t="s">
        <v>14</v>
      </c>
      <c r="Z722" s="9" t="s">
        <v>13</v>
      </c>
      <c r="AA722" s="9" t="s">
        <v>6</v>
      </c>
      <c r="AB722" s="66">
        <f>+Y688</f>
        <v>1.5</v>
      </c>
      <c r="AC722" s="66"/>
      <c r="AD722" s="1" t="s">
        <v>311</v>
      </c>
      <c r="AE722" s="1" t="s">
        <v>173</v>
      </c>
      <c r="AF722" s="1">
        <v>6</v>
      </c>
      <c r="AG722" s="9" t="s">
        <v>9</v>
      </c>
      <c r="AH722" s="1" t="s">
        <v>313</v>
      </c>
      <c r="AI722" s="9" t="s">
        <v>5</v>
      </c>
      <c r="AJ722" s="9" t="s">
        <v>13</v>
      </c>
      <c r="AK722" s="9" t="s">
        <v>9</v>
      </c>
      <c r="AL722" s="1" t="s">
        <v>315</v>
      </c>
      <c r="AN722" s="9"/>
      <c r="AQ722" s="9"/>
      <c r="AR722" s="9"/>
      <c r="AU722" s="9"/>
      <c r="AX722" s="9"/>
      <c r="BC722" s="9"/>
      <c r="BG722" s="9"/>
      <c r="BH722" s="9"/>
      <c r="BI722" s="9"/>
      <c r="CC722" s="7"/>
    </row>
    <row r="723" spans="2:81">
      <c r="B723" s="6"/>
      <c r="C723" s="1" t="s">
        <v>35</v>
      </c>
      <c r="E723" s="66">
        <f>+H722</f>
        <v>223.48214285714286</v>
      </c>
      <c r="F723" s="66"/>
      <c r="G723" s="9" t="s">
        <v>5</v>
      </c>
      <c r="H723" s="1" t="s">
        <v>184</v>
      </c>
      <c r="I723" s="1" t="s">
        <v>173</v>
      </c>
      <c r="J723" s="1">
        <v>6</v>
      </c>
      <c r="K723" s="9" t="s">
        <v>6</v>
      </c>
      <c r="L723" s="66">
        <f>+O722</f>
        <v>55</v>
      </c>
      <c r="M723" s="66"/>
      <c r="N723" s="9" t="s">
        <v>5</v>
      </c>
      <c r="O723" s="1" t="s">
        <v>185</v>
      </c>
      <c r="P723" s="1" t="s">
        <v>173</v>
      </c>
      <c r="Q723" s="66">
        <v>24</v>
      </c>
      <c r="R723" s="66"/>
      <c r="S723" s="9" t="s">
        <v>6</v>
      </c>
      <c r="T723" s="66">
        <f>+W722</f>
        <v>65</v>
      </c>
      <c r="U723" s="66"/>
      <c r="V723" s="1" t="s">
        <v>14</v>
      </c>
      <c r="W723" s="9" t="s">
        <v>13</v>
      </c>
      <c r="X723" s="9" t="s">
        <v>6</v>
      </c>
      <c r="Y723" s="66">
        <f>+AB722</f>
        <v>1.5</v>
      </c>
      <c r="Z723" s="66"/>
      <c r="AA723" s="1" t="s">
        <v>311</v>
      </c>
      <c r="AB723" s="1" t="s">
        <v>173</v>
      </c>
      <c r="AC723" s="1">
        <v>6</v>
      </c>
      <c r="AD723" s="9" t="s">
        <v>9</v>
      </c>
      <c r="AE723" s="66">
        <f>+E709</f>
        <v>-781.57738095238085</v>
      </c>
      <c r="AF723" s="66"/>
      <c r="AG723" s="66"/>
      <c r="AH723" s="9" t="s">
        <v>5</v>
      </c>
      <c r="AI723" s="9" t="s">
        <v>13</v>
      </c>
      <c r="AJ723" s="9" t="s">
        <v>9</v>
      </c>
      <c r="AK723" s="1">
        <f>+E710</f>
        <v>0</v>
      </c>
      <c r="AL723" s="1" t="s">
        <v>322</v>
      </c>
      <c r="AN723" s="9"/>
      <c r="AO723" s="9"/>
      <c r="AR723" s="9"/>
      <c r="AZ723" s="9"/>
      <c r="BD723" s="9"/>
      <c r="BE723" s="9"/>
      <c r="BF723" s="9"/>
      <c r="CC723" s="7"/>
    </row>
    <row r="724" spans="2:81">
      <c r="B724" s="6"/>
      <c r="C724" s="1" t="s">
        <v>27</v>
      </c>
      <c r="D724" s="67">
        <v>5</v>
      </c>
      <c r="E724" s="67"/>
      <c r="F724" s="67"/>
      <c r="G724" s="1" t="s">
        <v>42</v>
      </c>
      <c r="P724" s="8" t="str">
        <f>IF(D724&lt;Y636,"artır.",IF(D724&gt;AC638,"azalt.",""))</f>
        <v/>
      </c>
      <c r="AB724" s="9"/>
      <c r="AD724" s="9"/>
      <c r="AE724" s="9"/>
      <c r="AF724" s="9"/>
      <c r="AG724" s="9"/>
      <c r="AK724" s="9"/>
      <c r="AL724" s="9"/>
      <c r="AM724" s="9"/>
      <c r="AN724" s="9"/>
      <c r="AO724" s="9"/>
      <c r="AR724" s="9"/>
      <c r="AS724" s="9"/>
      <c r="AT724" s="9"/>
      <c r="AU724" s="9"/>
      <c r="AX724" s="9"/>
      <c r="AY724" s="9"/>
      <c r="CC724" s="7"/>
    </row>
    <row r="725" spans="2:81">
      <c r="B725" s="6"/>
      <c r="C725" s="1" t="s">
        <v>35</v>
      </c>
      <c r="E725" s="66">
        <f>+E723</f>
        <v>223.48214285714286</v>
      </c>
      <c r="F725" s="66"/>
      <c r="G725" s="9" t="s">
        <v>5</v>
      </c>
      <c r="H725" s="66">
        <f>+D724</f>
        <v>5</v>
      </c>
      <c r="I725" s="66"/>
      <c r="J725" s="1" t="s">
        <v>321</v>
      </c>
      <c r="K725" s="1">
        <v>6</v>
      </c>
      <c r="L725" s="9" t="s">
        <v>6</v>
      </c>
      <c r="M725" s="66">
        <f>+L723</f>
        <v>55</v>
      </c>
      <c r="N725" s="66"/>
      <c r="O725" s="9" t="s">
        <v>5</v>
      </c>
      <c r="P725" s="66">
        <f>+H725</f>
        <v>5</v>
      </c>
      <c r="Q725" s="66"/>
      <c r="R725" s="1" t="s">
        <v>186</v>
      </c>
      <c r="S725" s="66">
        <f>+Q723</f>
        <v>24</v>
      </c>
      <c r="T725" s="66"/>
      <c r="U725" s="9" t="s">
        <v>6</v>
      </c>
      <c r="V725" s="66">
        <f>+T723</f>
        <v>65</v>
      </c>
      <c r="W725" s="66"/>
      <c r="X725" s="1" t="s">
        <v>14</v>
      </c>
      <c r="Y725" s="66">
        <f>+P725</f>
        <v>5</v>
      </c>
      <c r="Z725" s="66"/>
      <c r="AA725" s="9" t="s">
        <v>6</v>
      </c>
      <c r="AB725" s="66">
        <f>+Y723</f>
        <v>1.5</v>
      </c>
      <c r="AC725" s="66"/>
      <c r="AD725" s="1" t="s">
        <v>311</v>
      </c>
      <c r="AE725" s="1" t="s">
        <v>173</v>
      </c>
      <c r="AF725" s="1">
        <v>6</v>
      </c>
      <c r="AG725" s="9" t="s">
        <v>9</v>
      </c>
      <c r="AH725" s="66">
        <f>+AE723</f>
        <v>-781.57738095238085</v>
      </c>
      <c r="AI725" s="66"/>
      <c r="AJ725" s="66"/>
      <c r="AK725" s="9" t="s">
        <v>5</v>
      </c>
      <c r="AL725" s="66">
        <f>+Y725</f>
        <v>5</v>
      </c>
      <c r="AM725" s="66"/>
      <c r="AN725" s="1" t="s">
        <v>193</v>
      </c>
      <c r="AQ725" s="66">
        <f>+AE717</f>
        <v>200000</v>
      </c>
      <c r="AR725" s="66"/>
      <c r="AS725" s="66"/>
      <c r="AT725" s="9" t="s">
        <v>5</v>
      </c>
      <c r="AU725" s="66">
        <f>+AI717</f>
        <v>92080</v>
      </c>
      <c r="AV725" s="66"/>
      <c r="AW725" s="66"/>
      <c r="AX725" s="1" t="s">
        <v>40</v>
      </c>
      <c r="AY725" s="9"/>
      <c r="BN725" s="9"/>
      <c r="CC725" s="7"/>
    </row>
    <row r="726" spans="2:81">
      <c r="B726" s="6"/>
      <c r="C726" s="1" t="s">
        <v>33</v>
      </c>
      <c r="E726" s="66">
        <f>(E725*H725^3/K725-M725*P725^4/S725-V725*(Y725-AB725)^3/AF725+AH725*AL725)*100000000/(AQ725*AU725)</f>
        <v>-6.2379439721153425</v>
      </c>
      <c r="F726" s="66"/>
      <c r="G726" s="66"/>
      <c r="H726" s="1" t="s">
        <v>41</v>
      </c>
      <c r="CC726" s="7"/>
    </row>
    <row r="727" spans="2:81">
      <c r="B727" s="6"/>
      <c r="C727" s="1" t="s">
        <v>172</v>
      </c>
      <c r="H727" s="66">
        <f>+AC638*1000</f>
        <v>7000</v>
      </c>
      <c r="I727" s="66"/>
      <c r="J727" s="66"/>
      <c r="K727" s="1" t="s">
        <v>173</v>
      </c>
      <c r="L727" s="66">
        <v>300</v>
      </c>
      <c r="M727" s="66"/>
      <c r="N727" s="9" t="s">
        <v>7</v>
      </c>
      <c r="O727" s="66">
        <f>+H727/L727</f>
        <v>23.333333333333332</v>
      </c>
      <c r="P727" s="66"/>
      <c r="Q727" s="66"/>
      <c r="R727" s="1" t="s">
        <v>41</v>
      </c>
      <c r="U727" s="1" t="s">
        <v>192</v>
      </c>
      <c r="CC727" s="7"/>
    </row>
    <row r="728" spans="2:81">
      <c r="B728" s="6"/>
      <c r="C728" s="1" t="s">
        <v>34</v>
      </c>
      <c r="D728" s="66">
        <f>+E726</f>
        <v>-6.2379439721153425</v>
      </c>
      <c r="E728" s="66"/>
      <c r="F728" s="66"/>
      <c r="G728" s="1" t="s">
        <v>41</v>
      </c>
      <c r="I728" s="1" t="str">
        <f>IF(ABS(D728)&lt;ABS(M728),"&lt;","&gt;")</f>
        <v>&lt;</v>
      </c>
      <c r="J728" s="1" t="s">
        <v>174</v>
      </c>
      <c r="M728" s="66">
        <f>+O727</f>
        <v>23.333333333333332</v>
      </c>
      <c r="N728" s="66"/>
      <c r="O728" s="66"/>
      <c r="P728" s="1" t="s">
        <v>41</v>
      </c>
      <c r="R728" s="8" t="str">
        <f>IF(ABS(D728)&lt;ABS(M728),"uygun.","uygun değil.")</f>
        <v>uygun.</v>
      </c>
      <c r="CC728" s="7"/>
    </row>
    <row r="729" spans="2:81">
      <c r="B729" s="6"/>
      <c r="C729" s="1" t="s">
        <v>338</v>
      </c>
      <c r="D729" s="9"/>
      <c r="E729" s="9"/>
      <c r="F729" s="9"/>
      <c r="M729" s="9"/>
      <c r="N729" s="9"/>
      <c r="O729" s="9"/>
      <c r="R729" s="8"/>
      <c r="CC729" s="7"/>
    </row>
    <row r="730" spans="2:81">
      <c r="B730" s="6"/>
      <c r="C730" s="1" t="s">
        <v>195</v>
      </c>
      <c r="D730" s="9"/>
      <c r="E730" s="9"/>
      <c r="F730" s="9"/>
      <c r="H730" s="66">
        <f>+E692</f>
        <v>223.48214285714286</v>
      </c>
      <c r="I730" s="66"/>
      <c r="J730" s="9" t="s">
        <v>5</v>
      </c>
      <c r="K730" s="1" t="s">
        <v>184</v>
      </c>
      <c r="L730" s="1" t="s">
        <v>173</v>
      </c>
      <c r="M730" s="1">
        <v>6</v>
      </c>
      <c r="N730" s="9" t="s">
        <v>6</v>
      </c>
      <c r="O730" s="66">
        <f>+L692</f>
        <v>385</v>
      </c>
      <c r="P730" s="66"/>
      <c r="Q730" s="9" t="s">
        <v>14</v>
      </c>
      <c r="R730" s="9" t="s">
        <v>13</v>
      </c>
      <c r="S730" s="9" t="s">
        <v>6</v>
      </c>
      <c r="T730" s="66">
        <f>+Q692</f>
        <v>3.5</v>
      </c>
      <c r="U730" s="66"/>
      <c r="V730" s="1" t="s">
        <v>311</v>
      </c>
      <c r="W730" s="1" t="s">
        <v>173</v>
      </c>
      <c r="X730" s="1">
        <v>6</v>
      </c>
      <c r="Y730" s="9" t="s">
        <v>6</v>
      </c>
      <c r="Z730" s="66">
        <f>+W692</f>
        <v>65</v>
      </c>
      <c r="AA730" s="66"/>
      <c r="AB730" s="1" t="s">
        <v>14</v>
      </c>
      <c r="AC730" s="9" t="s">
        <v>13</v>
      </c>
      <c r="AD730" s="9" t="s">
        <v>6</v>
      </c>
      <c r="AE730" s="66">
        <f>+AB692</f>
        <v>1.5</v>
      </c>
      <c r="AF730" s="66"/>
      <c r="AG730" s="1" t="s">
        <v>311</v>
      </c>
      <c r="AH730" s="1" t="s">
        <v>173</v>
      </c>
      <c r="AI730" s="1">
        <v>6</v>
      </c>
      <c r="AJ730" s="9" t="s">
        <v>9</v>
      </c>
      <c r="AK730" s="66">
        <f>+AH692</f>
        <v>339.01785714285711</v>
      </c>
      <c r="AL730" s="66"/>
      <c r="AM730" s="1" t="s">
        <v>14</v>
      </c>
      <c r="AN730" s="1" t="s">
        <v>13</v>
      </c>
      <c r="AO730" s="9" t="s">
        <v>6</v>
      </c>
      <c r="AP730" s="66">
        <f>+AM692</f>
        <v>7</v>
      </c>
      <c r="AQ730" s="66"/>
      <c r="AR730" s="1" t="s">
        <v>311</v>
      </c>
      <c r="AS730" s="1" t="s">
        <v>173</v>
      </c>
      <c r="AT730" s="1">
        <v>6</v>
      </c>
      <c r="AU730" s="9" t="s">
        <v>6</v>
      </c>
      <c r="AV730" s="66">
        <f>+AS692</f>
        <v>25</v>
      </c>
      <c r="AW730" s="66"/>
      <c r="AX730" s="1" t="s">
        <v>14</v>
      </c>
      <c r="AY730" s="1" t="s">
        <v>13</v>
      </c>
      <c r="AZ730" s="9" t="s">
        <v>6</v>
      </c>
      <c r="BA730" s="66">
        <f>+AX692</f>
        <v>7</v>
      </c>
      <c r="BB730" s="66"/>
      <c r="BC730" s="1" t="s">
        <v>342</v>
      </c>
      <c r="BD730" s="1" t="s">
        <v>173</v>
      </c>
      <c r="BE730" s="66">
        <v>24</v>
      </c>
      <c r="BF730" s="66"/>
      <c r="BG730" s="9" t="s">
        <v>9</v>
      </c>
      <c r="BH730" s="1" t="s">
        <v>335</v>
      </c>
      <c r="BI730" s="9" t="s">
        <v>5</v>
      </c>
      <c r="BJ730" s="9" t="s">
        <v>13</v>
      </c>
      <c r="BK730" s="9" t="s">
        <v>9</v>
      </c>
      <c r="BL730" s="1" t="s">
        <v>337</v>
      </c>
      <c r="CC730" s="7"/>
    </row>
    <row r="731" spans="2:81">
      <c r="B731" s="6"/>
      <c r="C731" s="1" t="s">
        <v>35</v>
      </c>
      <c r="D731" s="9"/>
      <c r="E731" s="66">
        <f>+H730</f>
        <v>223.48214285714286</v>
      </c>
      <c r="F731" s="66"/>
      <c r="G731" s="9" t="s">
        <v>5</v>
      </c>
      <c r="H731" s="1" t="s">
        <v>184</v>
      </c>
      <c r="I731" s="1" t="s">
        <v>173</v>
      </c>
      <c r="J731" s="1">
        <v>6</v>
      </c>
      <c r="K731" s="9" t="s">
        <v>6</v>
      </c>
      <c r="L731" s="66">
        <f>+O730</f>
        <v>385</v>
      </c>
      <c r="M731" s="66"/>
      <c r="N731" s="9" t="s">
        <v>14</v>
      </c>
      <c r="O731" s="9" t="s">
        <v>13</v>
      </c>
      <c r="P731" s="9" t="s">
        <v>6</v>
      </c>
      <c r="Q731" s="66">
        <f>+T730</f>
        <v>3.5</v>
      </c>
      <c r="R731" s="66"/>
      <c r="S731" s="1" t="s">
        <v>311</v>
      </c>
      <c r="T731" s="1" t="s">
        <v>173</v>
      </c>
      <c r="U731" s="1">
        <v>6</v>
      </c>
      <c r="V731" s="9" t="s">
        <v>6</v>
      </c>
      <c r="W731" s="66">
        <f>+Z730</f>
        <v>65</v>
      </c>
      <c r="X731" s="66"/>
      <c r="Y731" s="1" t="s">
        <v>14</v>
      </c>
      <c r="Z731" s="9" t="s">
        <v>13</v>
      </c>
      <c r="AA731" s="9" t="s">
        <v>6</v>
      </c>
      <c r="AB731" s="66">
        <f>+AE730</f>
        <v>1.5</v>
      </c>
      <c r="AC731" s="66"/>
      <c r="AD731" s="1" t="s">
        <v>311</v>
      </c>
      <c r="AE731" s="1" t="s">
        <v>173</v>
      </c>
      <c r="AF731" s="1">
        <v>6</v>
      </c>
      <c r="AG731" s="9" t="s">
        <v>9</v>
      </c>
      <c r="AH731" s="66">
        <f>+AK730</f>
        <v>339.01785714285711</v>
      </c>
      <c r="AI731" s="66"/>
      <c r="AJ731" s="1" t="s">
        <v>14</v>
      </c>
      <c r="AK731" s="1" t="s">
        <v>13</v>
      </c>
      <c r="AL731" s="9" t="s">
        <v>6</v>
      </c>
      <c r="AM731" s="66">
        <f>+AP730</f>
        <v>7</v>
      </c>
      <c r="AN731" s="66"/>
      <c r="AO731" s="1" t="s">
        <v>311</v>
      </c>
      <c r="AP731" s="1" t="s">
        <v>173</v>
      </c>
      <c r="AQ731" s="1">
        <v>6</v>
      </c>
      <c r="AR731" s="9" t="s">
        <v>6</v>
      </c>
      <c r="AS731" s="66">
        <f>+AV730</f>
        <v>25</v>
      </c>
      <c r="AT731" s="66"/>
      <c r="AU731" s="1" t="s">
        <v>14</v>
      </c>
      <c r="AV731" s="1" t="s">
        <v>13</v>
      </c>
      <c r="AW731" s="9" t="s">
        <v>6</v>
      </c>
      <c r="AX731" s="66">
        <f>+BA730</f>
        <v>7</v>
      </c>
      <c r="AY731" s="66"/>
      <c r="AZ731" s="1" t="s">
        <v>342</v>
      </c>
      <c r="BA731" s="1" t="s">
        <v>173</v>
      </c>
      <c r="BB731" s="66">
        <v>24</v>
      </c>
      <c r="BC731" s="66"/>
      <c r="BD731" s="9" t="s">
        <v>9</v>
      </c>
      <c r="BE731" s="66">
        <f>+E711</f>
        <v>-1567.6190476190473</v>
      </c>
      <c r="BF731" s="66"/>
      <c r="BG731" s="66"/>
      <c r="BH731" s="9" t="s">
        <v>5</v>
      </c>
      <c r="BI731" s="9" t="s">
        <v>13</v>
      </c>
      <c r="BJ731" s="9" t="s">
        <v>9</v>
      </c>
      <c r="BK731" s="66">
        <f>+E712</f>
        <v>2751.1458333333339</v>
      </c>
      <c r="BL731" s="66"/>
      <c r="BM731" s="66"/>
      <c r="BN731" s="1" t="s">
        <v>322</v>
      </c>
      <c r="CC731" s="7"/>
    </row>
    <row r="732" spans="2:81">
      <c r="B732" s="6"/>
      <c r="C732" s="1" t="s">
        <v>27</v>
      </c>
      <c r="D732" s="67">
        <v>8.5</v>
      </c>
      <c r="E732" s="67"/>
      <c r="F732" s="67"/>
      <c r="G732" s="1" t="s">
        <v>42</v>
      </c>
      <c r="P732" s="8" t="str">
        <f>IF(D732&lt;AC638,"artır.",IF(D732&gt;(AC638+AM636),"azalt.",""))</f>
        <v/>
      </c>
      <c r="AB732" s="9"/>
      <c r="AD732" s="9"/>
      <c r="AE732" s="9"/>
      <c r="AF732" s="9"/>
      <c r="AG732" s="9"/>
      <c r="AK732" s="9"/>
      <c r="AL732" s="9"/>
      <c r="AM732" s="9"/>
      <c r="AN732" s="9"/>
      <c r="AO732" s="9"/>
      <c r="AR732" s="9"/>
      <c r="AS732" s="9"/>
      <c r="AT732" s="9"/>
      <c r="AU732" s="9"/>
      <c r="AX732" s="9"/>
      <c r="AY732" s="9"/>
      <c r="CC732" s="7"/>
    </row>
    <row r="733" spans="2:81">
      <c r="B733" s="6"/>
      <c r="C733" s="1" t="s">
        <v>35</v>
      </c>
      <c r="E733" s="66">
        <f>+E731</f>
        <v>223.48214285714286</v>
      </c>
      <c r="F733" s="66"/>
      <c r="G733" s="9" t="s">
        <v>5</v>
      </c>
      <c r="H733" s="66">
        <f>+D732</f>
        <v>8.5</v>
      </c>
      <c r="I733" s="66"/>
      <c r="J733" s="1" t="s">
        <v>321</v>
      </c>
      <c r="K733" s="1">
        <v>6</v>
      </c>
      <c r="L733" s="9" t="s">
        <v>6</v>
      </c>
      <c r="M733" s="66">
        <f>+L731</f>
        <v>385</v>
      </c>
      <c r="N733" s="66"/>
      <c r="O733" s="9" t="s">
        <v>14</v>
      </c>
      <c r="P733" s="66">
        <f>+D732</f>
        <v>8.5</v>
      </c>
      <c r="Q733" s="66"/>
      <c r="R733" s="9" t="s">
        <v>6</v>
      </c>
      <c r="S733" s="66">
        <f>+Q731</f>
        <v>3.5</v>
      </c>
      <c r="T733" s="66"/>
      <c r="U733" s="1" t="s">
        <v>311</v>
      </c>
      <c r="V733" s="1" t="s">
        <v>173</v>
      </c>
      <c r="W733" s="1">
        <v>6</v>
      </c>
      <c r="X733" s="9" t="s">
        <v>6</v>
      </c>
      <c r="Y733" s="66">
        <f>+W731</f>
        <v>65</v>
      </c>
      <c r="Z733" s="66"/>
      <c r="AA733" s="1" t="s">
        <v>14</v>
      </c>
      <c r="AB733" s="66">
        <f>+P733</f>
        <v>8.5</v>
      </c>
      <c r="AC733" s="66"/>
      <c r="AD733" s="9" t="s">
        <v>6</v>
      </c>
      <c r="AE733" s="66">
        <f>+AB731</f>
        <v>1.5</v>
      </c>
      <c r="AF733" s="66"/>
      <c r="AG733" s="1" t="s">
        <v>311</v>
      </c>
      <c r="AH733" s="1" t="s">
        <v>173</v>
      </c>
      <c r="AI733" s="1">
        <v>6</v>
      </c>
      <c r="AJ733" s="9" t="s">
        <v>9</v>
      </c>
      <c r="AK733" s="66">
        <f>+AH731</f>
        <v>339.01785714285711</v>
      </c>
      <c r="AL733" s="66"/>
      <c r="AM733" s="1" t="s">
        <v>14</v>
      </c>
      <c r="AN733" s="66">
        <f>+AB733</f>
        <v>8.5</v>
      </c>
      <c r="AO733" s="66"/>
      <c r="AP733" s="9" t="s">
        <v>6</v>
      </c>
      <c r="AQ733" s="66">
        <f>+AM731</f>
        <v>7</v>
      </c>
      <c r="AR733" s="66"/>
      <c r="AS733" s="1" t="s">
        <v>311</v>
      </c>
      <c r="AT733" s="1" t="s">
        <v>173</v>
      </c>
      <c r="AU733" s="1">
        <v>6</v>
      </c>
      <c r="AV733" s="9" t="s">
        <v>6</v>
      </c>
      <c r="AW733" s="66">
        <f>+AS731</f>
        <v>25</v>
      </c>
      <c r="AX733" s="66"/>
      <c r="AY733" s="1" t="s">
        <v>14</v>
      </c>
      <c r="AZ733" s="66">
        <f>+AN733</f>
        <v>8.5</v>
      </c>
      <c r="BA733" s="66"/>
      <c r="BB733" s="9" t="s">
        <v>6</v>
      </c>
      <c r="BC733" s="66">
        <f>+AX731</f>
        <v>7</v>
      </c>
      <c r="BD733" s="66"/>
      <c r="BE733" s="1" t="s">
        <v>342</v>
      </c>
      <c r="BF733" s="1" t="s">
        <v>173</v>
      </c>
      <c r="BG733" s="1">
        <v>24</v>
      </c>
      <c r="BH733" s="9" t="s">
        <v>9</v>
      </c>
      <c r="BI733" s="66">
        <f>+BE731</f>
        <v>-1567.6190476190473</v>
      </c>
      <c r="BJ733" s="66"/>
      <c r="BK733" s="66"/>
      <c r="BL733" s="9" t="s">
        <v>5</v>
      </c>
      <c r="BM733" s="66">
        <f>+AZ733</f>
        <v>8.5</v>
      </c>
      <c r="BN733" s="66"/>
      <c r="BO733" s="9" t="s">
        <v>9</v>
      </c>
      <c r="BP733" s="66">
        <f>+BK731</f>
        <v>2751.1458333333339</v>
      </c>
      <c r="BQ733" s="66"/>
      <c r="BR733" s="66"/>
      <c r="BS733" s="1" t="s">
        <v>193</v>
      </c>
      <c r="BV733" s="66">
        <f>+AQ725</f>
        <v>200000</v>
      </c>
      <c r="BW733" s="66"/>
      <c r="BX733" s="66"/>
      <c r="BY733" s="9" t="s">
        <v>5</v>
      </c>
      <c r="BZ733" s="66">
        <f>+AU725</f>
        <v>92080</v>
      </c>
      <c r="CA733" s="66"/>
      <c r="CB733" s="66"/>
      <c r="CC733" s="7" t="s">
        <v>40</v>
      </c>
    </row>
    <row r="734" spans="2:81">
      <c r="B734" s="6"/>
      <c r="C734" s="1" t="s">
        <v>33</v>
      </c>
      <c r="E734" s="66">
        <f>(E733*H733^3/K733-M733*(P733-S733)^3/W733-Y733*(AB733-AE733)^3/AI733+AK733*(AN733-AQ733)^3/AU733-AW733*(AZ733-BC733)^4/BG733+BI733*BM733+BP733)*100000000/(BV733*BZ733)</f>
        <v>4.0696669530377747</v>
      </c>
      <c r="F734" s="66"/>
      <c r="G734" s="66"/>
      <c r="H734" s="1" t="s">
        <v>41</v>
      </c>
      <c r="BH734" s="9"/>
      <c r="CC734" s="7"/>
    </row>
    <row r="735" spans="2:81">
      <c r="B735" s="6"/>
      <c r="C735" s="1" t="s">
        <v>202</v>
      </c>
      <c r="H735" s="66">
        <f>+AM636*1000</f>
        <v>1500</v>
      </c>
      <c r="I735" s="66"/>
      <c r="J735" s="66"/>
      <c r="K735" s="1" t="s">
        <v>173</v>
      </c>
      <c r="L735" s="66">
        <v>200</v>
      </c>
      <c r="M735" s="66"/>
      <c r="N735" s="9" t="s">
        <v>7</v>
      </c>
      <c r="O735" s="66">
        <f>+H735/L735</f>
        <v>7.5</v>
      </c>
      <c r="P735" s="66"/>
      <c r="Q735" s="66"/>
      <c r="R735" s="1" t="s">
        <v>41</v>
      </c>
      <c r="U735" s="1" t="s">
        <v>192</v>
      </c>
      <c r="CC735" s="7"/>
    </row>
    <row r="736" spans="2:81">
      <c r="B736" s="6"/>
      <c r="C736" s="1" t="s">
        <v>34</v>
      </c>
      <c r="D736" s="66">
        <f>+E734</f>
        <v>4.0696669530377747</v>
      </c>
      <c r="E736" s="66"/>
      <c r="F736" s="66"/>
      <c r="G736" s="1" t="s">
        <v>41</v>
      </c>
      <c r="I736" s="1" t="str">
        <f>IF(ABS(D736)&lt;ABS(M736),"&lt;","&gt;")</f>
        <v>&lt;</v>
      </c>
      <c r="J736" s="1" t="s">
        <v>174</v>
      </c>
      <c r="M736" s="66">
        <f>+O735</f>
        <v>7.5</v>
      </c>
      <c r="N736" s="66"/>
      <c r="O736" s="66"/>
      <c r="P736" s="1" t="s">
        <v>41</v>
      </c>
      <c r="R736" s="8" t="str">
        <f>IF(ABS(D736)&lt;ABS(M736),"uygun.","uygun değil.")</f>
        <v>uygun.</v>
      </c>
      <c r="CC736" s="7"/>
    </row>
    <row r="737" spans="2:81" ht="12" thickBot="1">
      <c r="B737" s="12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4"/>
    </row>
    <row r="738" spans="2:81" ht="12" thickBot="1"/>
    <row r="739" spans="2:81" ht="48" customHeight="1">
      <c r="B739" s="73" t="s">
        <v>323</v>
      </c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  <c r="AL739" s="74"/>
      <c r="AM739" s="74"/>
      <c r="AN739" s="74"/>
      <c r="AO739" s="74"/>
      <c r="AP739" s="74"/>
      <c r="AQ739" s="74"/>
      <c r="AR739" s="74"/>
      <c r="AS739" s="74"/>
      <c r="AT739" s="74"/>
      <c r="AU739" s="74"/>
      <c r="AV739" s="74"/>
      <c r="AW739" s="74"/>
      <c r="AX739" s="74"/>
      <c r="AY739" s="74"/>
      <c r="AZ739" s="74"/>
      <c r="BA739" s="74"/>
      <c r="BB739" s="74"/>
      <c r="BC739" s="74"/>
      <c r="BD739" s="74"/>
      <c r="BE739" s="74"/>
      <c r="BF739" s="74"/>
      <c r="BG739" s="74"/>
      <c r="BH739" s="74"/>
      <c r="BI739" s="74"/>
      <c r="BJ739" s="74"/>
      <c r="BK739" s="74"/>
      <c r="BL739" s="74"/>
      <c r="BM739" s="74"/>
      <c r="BN739" s="74"/>
      <c r="BO739" s="74"/>
      <c r="BP739" s="74"/>
      <c r="BQ739" s="74"/>
      <c r="BR739" s="74"/>
      <c r="BS739" s="74"/>
      <c r="BT739" s="74"/>
      <c r="BU739" s="74"/>
      <c r="BV739" s="74"/>
      <c r="BW739" s="74"/>
      <c r="BX739" s="74"/>
      <c r="BY739" s="74"/>
      <c r="BZ739" s="74"/>
      <c r="CA739" s="74"/>
      <c r="CB739" s="74"/>
      <c r="CC739" s="75"/>
    </row>
    <row r="740" spans="2:81">
      <c r="B740" s="6"/>
      <c r="S740" s="8" t="s">
        <v>176</v>
      </c>
      <c r="AW740" s="1" t="s">
        <v>290</v>
      </c>
      <c r="CC740" s="7"/>
    </row>
    <row r="741" spans="2:81">
      <c r="B741" s="6"/>
      <c r="Z741" s="1" t="s">
        <v>505</v>
      </c>
      <c r="AT741" s="1" t="s">
        <v>507</v>
      </c>
      <c r="CC741" s="7"/>
    </row>
    <row r="742" spans="2:81">
      <c r="B742" s="6"/>
      <c r="O742" s="67" t="s">
        <v>171</v>
      </c>
      <c r="P742" s="67"/>
      <c r="Q742" s="67"/>
      <c r="R742" s="67"/>
      <c r="S742" s="67"/>
      <c r="T742" s="67"/>
      <c r="W742" s="67">
        <v>20</v>
      </c>
      <c r="X742" s="67"/>
      <c r="Y742" s="1" t="s">
        <v>0</v>
      </c>
      <c r="AF742" s="1" t="s">
        <v>504</v>
      </c>
      <c r="AN742" s="1" t="s">
        <v>506</v>
      </c>
      <c r="AW742" s="67">
        <v>40</v>
      </c>
      <c r="AX742" s="67"/>
      <c r="AY742" s="1" t="s">
        <v>0</v>
      </c>
      <c r="CC742" s="7"/>
    </row>
    <row r="743" spans="2:81">
      <c r="B743" s="6"/>
      <c r="Z743" s="67">
        <v>35</v>
      </c>
      <c r="AA743" s="67"/>
      <c r="AB743" s="1" t="s">
        <v>187</v>
      </c>
      <c r="AJ743" s="67">
        <v>85</v>
      </c>
      <c r="AK743" s="67"/>
      <c r="AL743" s="1" t="s">
        <v>0</v>
      </c>
      <c r="AS743" s="67">
        <v>25</v>
      </c>
      <c r="AT743" s="67"/>
      <c r="AU743" s="1" t="s">
        <v>187</v>
      </c>
      <c r="CC743" s="7"/>
    </row>
    <row r="744" spans="2:81">
      <c r="B744" s="6"/>
      <c r="AG744" s="67">
        <v>65</v>
      </c>
      <c r="AH744" s="67"/>
      <c r="AI744" s="1" t="s">
        <v>187</v>
      </c>
      <c r="BA744" s="23" t="s">
        <v>341</v>
      </c>
      <c r="CC744" s="7"/>
    </row>
    <row r="745" spans="2:81">
      <c r="B745" s="6"/>
      <c r="BA745" s="1" t="s">
        <v>301</v>
      </c>
      <c r="BC745" s="66">
        <f>+AK797</f>
        <v>1.1526499077284678</v>
      </c>
      <c r="BD745" s="66"/>
      <c r="BE745" s="66"/>
      <c r="BG745" s="1" t="s">
        <v>399</v>
      </c>
      <c r="BR745" s="1" t="s">
        <v>398</v>
      </c>
      <c r="CC745" s="7"/>
    </row>
    <row r="746" spans="2:81">
      <c r="B746" s="6"/>
      <c r="C746" s="71">
        <f>INDEX($CI$24:$CI$138,MATCH(O742,$CG$24:$CG$138,0),0)</f>
        <v>600</v>
      </c>
      <c r="BA746" s="1" t="s">
        <v>297</v>
      </c>
      <c r="BC746" s="66">
        <f>ABS(BB789)</f>
        <v>376.04889634639898</v>
      </c>
      <c r="BD746" s="66"/>
      <c r="BE746" s="66"/>
      <c r="BF746" s="1" t="s">
        <v>191</v>
      </c>
      <c r="BH746" s="1" t="s">
        <v>329</v>
      </c>
      <c r="CC746" s="7"/>
    </row>
    <row r="747" spans="2:81">
      <c r="B747" s="6"/>
      <c r="C747" s="71"/>
      <c r="BA747" s="1" t="s">
        <v>330</v>
      </c>
      <c r="BD747" s="66">
        <f>MAX(ABS(BA748),ABS(BB748),ABS(BC748),ABS(BD748),ABS(BE748),ABS(BF748),ABS(BG748),ABS(BH748))</f>
        <v>294.35267857142856</v>
      </c>
      <c r="BE747" s="66"/>
      <c r="BF747" s="66"/>
      <c r="BG747" s="1" t="s">
        <v>0</v>
      </c>
      <c r="BI747" s="1" t="s">
        <v>331</v>
      </c>
      <c r="CC747" s="7"/>
    </row>
    <row r="748" spans="2:81">
      <c r="B748" s="6"/>
      <c r="C748" s="71"/>
      <c r="J748" s="66">
        <f>INDEX($CK$24:$CK$138,MATCH(O742,$CG$24:$CG$138,0),0)</f>
        <v>12</v>
      </c>
      <c r="K748" s="66"/>
      <c r="AA748" s="1" t="s">
        <v>13</v>
      </c>
      <c r="BA748" s="40">
        <f>-W742</f>
        <v>-20</v>
      </c>
      <c r="BB748" s="40">
        <f>+BA748-Z743*Z751</f>
        <v>-81.25</v>
      </c>
      <c r="BC748" s="40">
        <f>BB748+AC750</f>
        <v>294.35267857142856</v>
      </c>
      <c r="BD748" s="40">
        <f>+BC748-AG744*AF751</f>
        <v>196.85267857142856</v>
      </c>
      <c r="BE748" s="40">
        <f>+BD748-AJ743</f>
        <v>111.85267857142856</v>
      </c>
      <c r="BF748" s="40">
        <f>+BE748-AG744*AM751</f>
        <v>-245.64732142857144</v>
      </c>
      <c r="BG748" s="40">
        <f>+BF748+AQ750</f>
        <v>77.5</v>
      </c>
      <c r="BH748" s="40">
        <f>+BG748-AS743*AT751</f>
        <v>40</v>
      </c>
      <c r="BI748" s="2"/>
      <c r="BJ748" s="2"/>
      <c r="BK748" s="2"/>
      <c r="BL748" s="2"/>
      <c r="BM748" s="2"/>
      <c r="CC748" s="7"/>
    </row>
    <row r="749" spans="2:81">
      <c r="B749" s="6"/>
      <c r="CC749" s="7"/>
    </row>
    <row r="750" spans="2:81">
      <c r="B750" s="6"/>
      <c r="AB750" s="1" t="s">
        <v>2</v>
      </c>
      <c r="AC750" s="66">
        <f>+E762</f>
        <v>375.60267857142856</v>
      </c>
      <c r="AD750" s="66"/>
      <c r="AE750" s="1" t="s">
        <v>0</v>
      </c>
      <c r="AP750" s="1" t="s">
        <v>3</v>
      </c>
      <c r="AQ750" s="66">
        <f>+E764</f>
        <v>323.14732142857144</v>
      </c>
      <c r="AR750" s="66"/>
      <c r="AS750" s="1" t="s">
        <v>0</v>
      </c>
      <c r="CC750" s="7"/>
    </row>
    <row r="751" spans="2:81">
      <c r="B751" s="6"/>
      <c r="K751" s="66">
        <f>INDEX($CL$24:$CL$138,MATCH(O742,$CG$24:$CG$138,0),0)</f>
        <v>19</v>
      </c>
      <c r="L751" s="66"/>
      <c r="Z751" s="67">
        <v>1.75</v>
      </c>
      <c r="AA751" s="67"/>
      <c r="AB751" s="9" t="s">
        <v>1</v>
      </c>
      <c r="AF751" s="67">
        <v>1.5</v>
      </c>
      <c r="AG751" s="67"/>
      <c r="AH751" s="1" t="s">
        <v>1</v>
      </c>
      <c r="AM751" s="66">
        <f>+AJ753-AF751</f>
        <v>5.5</v>
      </c>
      <c r="AN751" s="66"/>
      <c r="AO751" s="1" t="s">
        <v>1</v>
      </c>
      <c r="AP751" s="20"/>
      <c r="AT751" s="67">
        <v>1.5</v>
      </c>
      <c r="AU751" s="67"/>
      <c r="AV751" s="9" t="s">
        <v>1</v>
      </c>
      <c r="CC751" s="7"/>
    </row>
    <row r="752" spans="2:81">
      <c r="B752" s="6"/>
      <c r="BC752" s="23" t="s">
        <v>266</v>
      </c>
      <c r="CC752" s="7"/>
    </row>
    <row r="753" spans="2:81">
      <c r="B753" s="6"/>
      <c r="AJ753" s="67">
        <v>7</v>
      </c>
      <c r="AK753" s="67"/>
      <c r="AL753" s="9" t="s">
        <v>1</v>
      </c>
      <c r="BC753" s="11" t="s">
        <v>265</v>
      </c>
      <c r="CC753" s="7"/>
    </row>
    <row r="754" spans="2:81">
      <c r="B754" s="6"/>
      <c r="I754" s="66">
        <f>INDEX($CJ$24:$CJ$138,MATCH(O742,$CG$24:$CG$138,0),0)</f>
        <v>220</v>
      </c>
      <c r="J754" s="66"/>
      <c r="BC754" s="11" t="s">
        <v>263</v>
      </c>
      <c r="CC754" s="7"/>
    </row>
    <row r="755" spans="2:81">
      <c r="B755" s="6"/>
      <c r="AI755" s="23" t="s">
        <v>317</v>
      </c>
      <c r="BC755" s="11" t="s">
        <v>264</v>
      </c>
      <c r="CC755" s="7"/>
    </row>
    <row r="756" spans="2:81">
      <c r="B756" s="6"/>
      <c r="D756" s="10" t="s">
        <v>36</v>
      </c>
      <c r="F756" s="66">
        <f>INDEX($CM$24:$CM$138,MATCH(O742,$CG$24:$CG$138,0),0)</f>
        <v>92080</v>
      </c>
      <c r="G756" s="66"/>
      <c r="H756" s="66"/>
      <c r="I756" s="66"/>
      <c r="J756" s="1" t="s">
        <v>37</v>
      </c>
      <c r="M756" s="1" t="s">
        <v>175</v>
      </c>
      <c r="AA756" s="1" t="s">
        <v>374</v>
      </c>
      <c r="AO756" s="1" t="s">
        <v>381</v>
      </c>
      <c r="CC756" s="7"/>
    </row>
    <row r="757" spans="2:81">
      <c r="B757" s="6"/>
      <c r="D757" s="1" t="s">
        <v>38</v>
      </c>
      <c r="F757" s="67">
        <v>200000</v>
      </c>
      <c r="G757" s="67"/>
      <c r="H757" s="67"/>
      <c r="I757" s="67"/>
      <c r="J757" s="1" t="s">
        <v>39</v>
      </c>
      <c r="M757" s="1" t="s">
        <v>302</v>
      </c>
      <c r="CC757" s="7"/>
    </row>
    <row r="758" spans="2:81">
      <c r="B758" s="6"/>
      <c r="CC758" s="7"/>
    </row>
    <row r="759" spans="2:81">
      <c r="B759" s="6"/>
      <c r="Z759" s="1" t="s">
        <v>375</v>
      </c>
      <c r="AN759" s="1" t="s">
        <v>382</v>
      </c>
      <c r="CC759" s="7"/>
    </row>
    <row r="760" spans="2:81">
      <c r="B760" s="6"/>
      <c r="C760" s="23" t="s">
        <v>422</v>
      </c>
      <c r="CC760" s="7"/>
    </row>
    <row r="761" spans="2:81">
      <c r="B761" s="6"/>
      <c r="C761" s="1" t="s">
        <v>4</v>
      </c>
      <c r="D761" s="9" t="s">
        <v>5</v>
      </c>
      <c r="E761" s="66">
        <f>+AJ753</f>
        <v>7</v>
      </c>
      <c r="F761" s="66"/>
      <c r="G761" s="9" t="s">
        <v>6</v>
      </c>
      <c r="H761" s="66">
        <f>+AG744</f>
        <v>65</v>
      </c>
      <c r="I761" s="66"/>
      <c r="J761" s="9" t="s">
        <v>5</v>
      </c>
      <c r="K761" s="66">
        <f>+AJ753</f>
        <v>7</v>
      </c>
      <c r="L761" s="66"/>
      <c r="M761" s="9" t="s">
        <v>5</v>
      </c>
      <c r="N761" s="66">
        <f>+K761/2</f>
        <v>3.5</v>
      </c>
      <c r="O761" s="66"/>
      <c r="P761" s="9" t="s">
        <v>6</v>
      </c>
      <c r="Q761" s="66">
        <f>+AJ743</f>
        <v>85</v>
      </c>
      <c r="R761" s="66"/>
      <c r="S761" s="9" t="s">
        <v>5</v>
      </c>
      <c r="T761" s="66">
        <f>+AM751</f>
        <v>5.5</v>
      </c>
      <c r="U761" s="66"/>
      <c r="V761" s="9" t="s">
        <v>9</v>
      </c>
      <c r="W761" s="66">
        <f>+AS743</f>
        <v>25</v>
      </c>
      <c r="X761" s="66"/>
      <c r="Y761" s="9" t="s">
        <v>5</v>
      </c>
      <c r="Z761" s="66">
        <f>+AT751</f>
        <v>1.5</v>
      </c>
      <c r="AA761" s="66"/>
      <c r="AB761" s="9" t="s">
        <v>5</v>
      </c>
      <c r="AC761" s="66">
        <f>+Z761/2</f>
        <v>0.75</v>
      </c>
      <c r="AD761" s="66"/>
      <c r="AE761" s="9" t="s">
        <v>9</v>
      </c>
      <c r="AF761" s="66">
        <f>+AW742</f>
        <v>40</v>
      </c>
      <c r="AG761" s="66"/>
      <c r="AH761" s="9" t="s">
        <v>5</v>
      </c>
      <c r="AI761" s="66">
        <f>+AT751</f>
        <v>1.5</v>
      </c>
      <c r="AJ761" s="66"/>
      <c r="AK761" s="9" t="s">
        <v>6</v>
      </c>
      <c r="AL761" s="66">
        <f>+Z743</f>
        <v>35</v>
      </c>
      <c r="AM761" s="66"/>
      <c r="AN761" s="9" t="s">
        <v>5</v>
      </c>
      <c r="AO761" s="66">
        <f>+Z751</f>
        <v>1.75</v>
      </c>
      <c r="AP761" s="66"/>
      <c r="AQ761" s="9" t="s">
        <v>5</v>
      </c>
      <c r="AR761" s="66">
        <f>+AO761/2+AJ753</f>
        <v>7.875</v>
      </c>
      <c r="AS761" s="66"/>
      <c r="AT761" s="9" t="s">
        <v>6</v>
      </c>
      <c r="AU761" s="66">
        <f>+W742</f>
        <v>20</v>
      </c>
      <c r="AV761" s="66"/>
      <c r="AW761" s="9" t="s">
        <v>5</v>
      </c>
      <c r="AX761" s="66">
        <f>+Z751+AJ753</f>
        <v>8.75</v>
      </c>
      <c r="AY761" s="66"/>
      <c r="AZ761" s="9" t="s">
        <v>7</v>
      </c>
      <c r="BA761" s="1">
        <v>0</v>
      </c>
      <c r="CC761" s="7"/>
    </row>
    <row r="762" spans="2:81">
      <c r="B762" s="6"/>
      <c r="C762" s="1" t="s">
        <v>4</v>
      </c>
      <c r="D762" s="9" t="s">
        <v>7</v>
      </c>
      <c r="E762" s="66">
        <f>(H761*K761*N761+Q761*T761-W761*Z761*AC761-AF761*AI761+AL761*AO761*AR761+AU761*AX761)/E761</f>
        <v>375.60267857142856</v>
      </c>
      <c r="F762" s="66"/>
      <c r="G762" s="66"/>
      <c r="H762" s="1" t="s">
        <v>0</v>
      </c>
      <c r="CC762" s="7"/>
    </row>
    <row r="763" spans="2:81">
      <c r="B763" s="6"/>
      <c r="C763" s="1" t="s">
        <v>4</v>
      </c>
      <c r="D763" s="9" t="s">
        <v>9</v>
      </c>
      <c r="E763" s="1" t="s">
        <v>10</v>
      </c>
      <c r="F763" s="9" t="s">
        <v>6</v>
      </c>
      <c r="G763" s="66">
        <f>+AG744</f>
        <v>65</v>
      </c>
      <c r="H763" s="66"/>
      <c r="I763" s="9" t="s">
        <v>5</v>
      </c>
      <c r="J763" s="66">
        <f>+AJ753</f>
        <v>7</v>
      </c>
      <c r="K763" s="66"/>
      <c r="L763" s="9" t="s">
        <v>6</v>
      </c>
      <c r="M763" s="66">
        <f>+AJ743</f>
        <v>85</v>
      </c>
      <c r="N763" s="66"/>
      <c r="O763" s="9" t="s">
        <v>6</v>
      </c>
      <c r="P763" s="66">
        <f>+AS743</f>
        <v>25</v>
      </c>
      <c r="Q763" s="66"/>
      <c r="R763" s="9" t="s">
        <v>5</v>
      </c>
      <c r="S763" s="66">
        <f>+AT751</f>
        <v>1.5</v>
      </c>
      <c r="T763" s="66"/>
      <c r="U763" s="9" t="s">
        <v>6</v>
      </c>
      <c r="V763" s="66">
        <f>+AW742</f>
        <v>40</v>
      </c>
      <c r="W763" s="66"/>
      <c r="X763" s="9" t="s">
        <v>6</v>
      </c>
      <c r="Y763" s="66">
        <f>+Z743</f>
        <v>35</v>
      </c>
      <c r="Z763" s="66"/>
      <c r="AA763" s="9" t="s">
        <v>5</v>
      </c>
      <c r="AB763" s="66">
        <f>+Z751</f>
        <v>1.75</v>
      </c>
      <c r="AC763" s="66"/>
      <c r="AD763" s="9" t="s">
        <v>6</v>
      </c>
      <c r="AE763" s="66">
        <f>+W742</f>
        <v>20</v>
      </c>
      <c r="AF763" s="66"/>
      <c r="AG763" s="9" t="s">
        <v>7</v>
      </c>
      <c r="AH763" s="1">
        <v>0</v>
      </c>
      <c r="CC763" s="7"/>
    </row>
    <row r="764" spans="2:81">
      <c r="B764" s="6"/>
      <c r="C764" s="1" t="s">
        <v>10</v>
      </c>
      <c r="D764" s="9" t="s">
        <v>7</v>
      </c>
      <c r="E764" s="66">
        <f>+G763*J763+M763+P763*S763+V763+Y763*AB763+AE763-E762</f>
        <v>323.14732142857144</v>
      </c>
      <c r="F764" s="66"/>
      <c r="G764" s="66"/>
      <c r="H764" s="1" t="s">
        <v>0</v>
      </c>
      <c r="CC764" s="7"/>
    </row>
    <row r="765" spans="2:81">
      <c r="B765" s="6"/>
      <c r="C765" s="23" t="s">
        <v>222</v>
      </c>
      <c r="D765" s="9"/>
      <c r="E765" s="9"/>
      <c r="F765" s="9"/>
      <c r="G765" s="9"/>
      <c r="CC765" s="7"/>
    </row>
    <row r="766" spans="2:81">
      <c r="B766" s="6"/>
      <c r="C766" s="24" t="s">
        <v>303</v>
      </c>
      <c r="D766" s="9"/>
      <c r="E766" s="9"/>
      <c r="F766" s="9"/>
      <c r="G766" s="9"/>
      <c r="CC766" s="7"/>
    </row>
    <row r="767" spans="2:81">
      <c r="B767" s="6"/>
      <c r="C767" s="1" t="s">
        <v>12</v>
      </c>
      <c r="D767" s="9"/>
      <c r="E767" s="66">
        <f>-W742</f>
        <v>-20</v>
      </c>
      <c r="F767" s="66"/>
      <c r="G767" s="9" t="s">
        <v>5</v>
      </c>
      <c r="H767" s="1" t="s">
        <v>13</v>
      </c>
      <c r="I767" s="9" t="s">
        <v>6</v>
      </c>
      <c r="J767" s="66">
        <f>Z743</f>
        <v>35</v>
      </c>
      <c r="K767" s="66"/>
      <c r="L767" s="9" t="s">
        <v>5</v>
      </c>
      <c r="M767" s="1" t="s">
        <v>183</v>
      </c>
      <c r="N767" s="1" t="s">
        <v>173</v>
      </c>
      <c r="O767" s="1">
        <v>2</v>
      </c>
      <c r="U767" s="9"/>
      <c r="V767" s="9"/>
      <c r="Z767" s="9"/>
      <c r="AA767" s="9"/>
      <c r="AB767" s="9"/>
      <c r="AE767" s="9"/>
      <c r="AI767" s="9"/>
      <c r="AN767" s="9"/>
      <c r="BD767" s="66"/>
      <c r="BE767" s="66"/>
      <c r="BF767" s="66"/>
      <c r="CC767" s="7"/>
    </row>
    <row r="768" spans="2:81">
      <c r="B768" s="6"/>
      <c r="C768" s="1" t="s">
        <v>27</v>
      </c>
      <c r="D768" s="67">
        <v>1</v>
      </c>
      <c r="E768" s="67"/>
      <c r="F768" s="67"/>
      <c r="G768" s="1" t="s">
        <v>213</v>
      </c>
      <c r="H768" s="9"/>
      <c r="I768" s="9"/>
      <c r="J768" s="9"/>
      <c r="M768" s="9"/>
      <c r="N768" s="21"/>
      <c r="P768" s="9"/>
      <c r="Q768" s="9"/>
      <c r="U768" s="8" t="str">
        <f>IF(D768&lt;=Z751,"","azalt.")</f>
        <v/>
      </c>
      <c r="CC768" s="7"/>
    </row>
    <row r="769" spans="2:81">
      <c r="B769" s="6"/>
      <c r="C769" s="1" t="s">
        <v>12</v>
      </c>
      <c r="D769" s="9"/>
      <c r="E769" s="66">
        <f>+E767</f>
        <v>-20</v>
      </c>
      <c r="F769" s="66"/>
      <c r="G769" s="9" t="s">
        <v>5</v>
      </c>
      <c r="H769" s="66">
        <f>+D768</f>
        <v>1</v>
      </c>
      <c r="I769" s="66"/>
      <c r="J769" s="9" t="s">
        <v>6</v>
      </c>
      <c r="K769" s="66">
        <f>+J767</f>
        <v>35</v>
      </c>
      <c r="L769" s="66"/>
      <c r="M769" s="9" t="s">
        <v>5</v>
      </c>
      <c r="N769" s="66">
        <f>+D768</f>
        <v>1</v>
      </c>
      <c r="O769" s="66"/>
      <c r="P769" s="1" t="s">
        <v>190</v>
      </c>
      <c r="Q769" s="1">
        <v>2</v>
      </c>
      <c r="R769" s="9" t="s">
        <v>7</v>
      </c>
      <c r="S769" s="66">
        <f>+E769*H769-K769*N769^2/Q769</f>
        <v>-37.5</v>
      </c>
      <c r="T769" s="66"/>
      <c r="U769" s="66"/>
      <c r="V769" s="1" t="s">
        <v>191</v>
      </c>
      <c r="Y769" s="9"/>
      <c r="AB769" s="9"/>
      <c r="AE769" s="9"/>
      <c r="AJ769" s="9"/>
      <c r="AP769" s="9"/>
      <c r="CC769" s="7"/>
    </row>
    <row r="770" spans="2:81">
      <c r="B770" s="6"/>
      <c r="C770" s="1" t="s">
        <v>220</v>
      </c>
      <c r="D770" s="9"/>
      <c r="E770" s="66">
        <f>+E769</f>
        <v>-20</v>
      </c>
      <c r="F770" s="66"/>
      <c r="G770" s="9" t="s">
        <v>6</v>
      </c>
      <c r="H770" s="66">
        <f>+K769</f>
        <v>35</v>
      </c>
      <c r="I770" s="66"/>
      <c r="J770" s="9" t="s">
        <v>5</v>
      </c>
      <c r="K770" s="66">
        <f>+D768</f>
        <v>1</v>
      </c>
      <c r="L770" s="66"/>
      <c r="M770" s="9" t="s">
        <v>7</v>
      </c>
      <c r="N770" s="66">
        <f>+E770-H770*K770</f>
        <v>-55</v>
      </c>
      <c r="O770" s="66"/>
      <c r="P770" s="66"/>
      <c r="Q770" s="1" t="s">
        <v>191</v>
      </c>
      <c r="S770" s="9"/>
      <c r="V770" s="9"/>
      <c r="AE770" s="9"/>
      <c r="AH770" s="9"/>
      <c r="CC770" s="7"/>
    </row>
    <row r="771" spans="2:81">
      <c r="B771" s="6"/>
      <c r="C771" s="24" t="s">
        <v>308</v>
      </c>
      <c r="D771" s="9"/>
      <c r="E771" s="9"/>
      <c r="F771" s="9"/>
      <c r="G771" s="9"/>
      <c r="CC771" s="7"/>
    </row>
    <row r="772" spans="2:81">
      <c r="B772" s="6"/>
      <c r="C772" s="1" t="s">
        <v>12</v>
      </c>
      <c r="D772" s="9"/>
      <c r="E772" s="66">
        <f>-W742</f>
        <v>-20</v>
      </c>
      <c r="F772" s="66"/>
      <c r="G772" s="9" t="s">
        <v>5</v>
      </c>
      <c r="H772" s="9" t="s">
        <v>13</v>
      </c>
      <c r="I772" s="9" t="s">
        <v>6</v>
      </c>
      <c r="J772" s="66">
        <f>Z743</f>
        <v>35</v>
      </c>
      <c r="K772" s="66"/>
      <c r="L772" s="9" t="s">
        <v>5</v>
      </c>
      <c r="M772" s="66">
        <f>+Z751</f>
        <v>1.75</v>
      </c>
      <c r="N772" s="66"/>
      <c r="O772" s="9" t="s">
        <v>14</v>
      </c>
      <c r="P772" s="9" t="s">
        <v>13</v>
      </c>
      <c r="Q772" s="9" t="s">
        <v>6</v>
      </c>
      <c r="R772" s="66">
        <f>+Z751/2</f>
        <v>0.875</v>
      </c>
      <c r="S772" s="66"/>
      <c r="T772" s="1" t="s">
        <v>306</v>
      </c>
      <c r="U772" s="66">
        <f>+AC750</f>
        <v>375.60267857142856</v>
      </c>
      <c r="V772" s="66"/>
      <c r="W772" s="1" t="s">
        <v>14</v>
      </c>
      <c r="X772" s="1" t="s">
        <v>13</v>
      </c>
      <c r="Y772" s="9" t="s">
        <v>6</v>
      </c>
      <c r="Z772" s="66">
        <f>+Z751</f>
        <v>1.75</v>
      </c>
      <c r="AA772" s="66"/>
      <c r="AB772" s="1" t="s">
        <v>16</v>
      </c>
      <c r="AC772" s="66">
        <f>+AG744</f>
        <v>65</v>
      </c>
      <c r="AD772" s="66"/>
      <c r="AE772" s="1" t="s">
        <v>14</v>
      </c>
      <c r="AF772" s="1" t="s">
        <v>13</v>
      </c>
      <c r="AG772" s="9" t="s">
        <v>6</v>
      </c>
      <c r="AH772" s="66">
        <f>+Z751</f>
        <v>1.75</v>
      </c>
      <c r="AI772" s="66"/>
      <c r="AJ772" s="1" t="s">
        <v>200</v>
      </c>
      <c r="AK772" s="1" t="s">
        <v>173</v>
      </c>
      <c r="AL772" s="1">
        <v>2</v>
      </c>
      <c r="AV772" s="9"/>
      <c r="AW772" s="9"/>
      <c r="BA772" s="9"/>
      <c r="BB772" s="9"/>
      <c r="BC772" s="9"/>
      <c r="BF772" s="9"/>
      <c r="CC772" s="7"/>
    </row>
    <row r="773" spans="2:81">
      <c r="B773" s="6"/>
      <c r="C773" s="1" t="s">
        <v>27</v>
      </c>
      <c r="D773" s="67">
        <v>2</v>
      </c>
      <c r="E773" s="67"/>
      <c r="F773" s="67"/>
      <c r="G773" s="1" t="s">
        <v>213</v>
      </c>
      <c r="H773" s="9"/>
      <c r="I773" s="9"/>
      <c r="J773" s="9"/>
      <c r="M773" s="9"/>
      <c r="N773" s="21"/>
      <c r="P773" s="9"/>
      <c r="Q773" s="9"/>
      <c r="U773" s="8" t="str">
        <f>IF(D773&lt;=Z751,"artır.",IF(D773&gt;(AF751+Z751),"azalt.",""))</f>
        <v/>
      </c>
      <c r="W773" s="9"/>
      <c r="X773" s="9"/>
      <c r="AA773" s="9"/>
      <c r="AB773" s="9"/>
      <c r="CC773" s="7"/>
    </row>
    <row r="774" spans="2:81">
      <c r="B774" s="6"/>
      <c r="C774" s="1" t="s">
        <v>12</v>
      </c>
      <c r="D774" s="9"/>
      <c r="E774" s="66">
        <f>+E772</f>
        <v>-20</v>
      </c>
      <c r="F774" s="66"/>
      <c r="G774" s="9" t="s">
        <v>5</v>
      </c>
      <c r="H774" s="66">
        <f>+D773</f>
        <v>2</v>
      </c>
      <c r="I774" s="66"/>
      <c r="J774" s="9" t="s">
        <v>6</v>
      </c>
      <c r="K774" s="66">
        <f>+J772*M772</f>
        <v>61.25</v>
      </c>
      <c r="L774" s="66"/>
      <c r="M774" s="9" t="s">
        <v>14</v>
      </c>
      <c r="N774" s="66">
        <f>+D773</f>
        <v>2</v>
      </c>
      <c r="O774" s="66"/>
      <c r="P774" s="9" t="s">
        <v>6</v>
      </c>
      <c r="Q774" s="66">
        <f>+R772</f>
        <v>0.875</v>
      </c>
      <c r="R774" s="66"/>
      <c r="S774" s="1" t="s">
        <v>306</v>
      </c>
      <c r="T774" s="66">
        <f>+U772</f>
        <v>375.60267857142856</v>
      </c>
      <c r="U774" s="66"/>
      <c r="V774" s="1" t="s">
        <v>14</v>
      </c>
      <c r="W774" s="66">
        <f>+D773</f>
        <v>2</v>
      </c>
      <c r="X774" s="66"/>
      <c r="Y774" s="9" t="s">
        <v>6</v>
      </c>
      <c r="Z774" s="66">
        <f>+Z772</f>
        <v>1.75</v>
      </c>
      <c r="AA774" s="66"/>
      <c r="AB774" s="1" t="s">
        <v>16</v>
      </c>
      <c r="AC774" s="66">
        <f>+AC772</f>
        <v>65</v>
      </c>
      <c r="AD774" s="66"/>
      <c r="AE774" s="1" t="s">
        <v>14</v>
      </c>
      <c r="AF774" s="66">
        <f>+W774</f>
        <v>2</v>
      </c>
      <c r="AG774" s="66"/>
      <c r="AH774" s="9" t="s">
        <v>6</v>
      </c>
      <c r="AI774" s="66">
        <f>+AH772</f>
        <v>1.75</v>
      </c>
      <c r="AJ774" s="66"/>
      <c r="AK774" s="1" t="s">
        <v>200</v>
      </c>
      <c r="AL774" s="1" t="s">
        <v>173</v>
      </c>
      <c r="AM774" s="1">
        <v>2</v>
      </c>
      <c r="AN774" s="9" t="s">
        <v>7</v>
      </c>
      <c r="AO774" s="66">
        <f>+E774*H774-K774*(N774-Q774)+T774*(W774-Z774)-AC774*(AF774-AI774)^2/AM774</f>
        <v>-17.036830357142861</v>
      </c>
      <c r="AP774" s="66"/>
      <c r="AQ774" s="66"/>
      <c r="AR774" s="1" t="s">
        <v>191</v>
      </c>
      <c r="AZ774" s="9"/>
      <c r="BF774" s="9"/>
      <c r="BI774" s="9"/>
      <c r="BL774" s="9"/>
      <c r="BQ774" s="9"/>
      <c r="CC774" s="7"/>
    </row>
    <row r="775" spans="2:81">
      <c r="B775" s="6"/>
      <c r="C775" s="1" t="s">
        <v>220</v>
      </c>
      <c r="D775" s="9"/>
      <c r="E775" s="66">
        <f>+E774</f>
        <v>-20</v>
      </c>
      <c r="F775" s="66"/>
      <c r="G775" s="9" t="s">
        <v>6</v>
      </c>
      <c r="H775" s="66">
        <f>+J772</f>
        <v>35</v>
      </c>
      <c r="I775" s="66"/>
      <c r="J775" s="9" t="s">
        <v>5</v>
      </c>
      <c r="K775" s="66">
        <f>+M772</f>
        <v>1.75</v>
      </c>
      <c r="L775" s="66"/>
      <c r="M775" s="9" t="s">
        <v>9</v>
      </c>
      <c r="N775" s="66">
        <f>+T774</f>
        <v>375.60267857142856</v>
      </c>
      <c r="O775" s="66"/>
      <c r="P775" s="9" t="s">
        <v>6</v>
      </c>
      <c r="Q775" s="66">
        <f>+AC774</f>
        <v>65</v>
      </c>
      <c r="R775" s="66"/>
      <c r="S775" s="9" t="s">
        <v>14</v>
      </c>
      <c r="T775" s="66">
        <f>+D773</f>
        <v>2</v>
      </c>
      <c r="U775" s="66"/>
      <c r="V775" s="9" t="s">
        <v>6</v>
      </c>
      <c r="W775" s="66">
        <f>+Z751</f>
        <v>1.75</v>
      </c>
      <c r="X775" s="66"/>
      <c r="Y775" s="9" t="s">
        <v>201</v>
      </c>
      <c r="Z775" s="66">
        <f>E775-H775*K775+N775-Q775*(T775-W775)</f>
        <v>278.10267857142856</v>
      </c>
      <c r="AA775" s="66"/>
      <c r="AB775" s="66"/>
      <c r="AC775" s="1" t="s">
        <v>0</v>
      </c>
      <c r="AE775" s="9"/>
      <c r="AH775" s="9"/>
      <c r="CC775" s="7"/>
    </row>
    <row r="776" spans="2:81">
      <c r="B776" s="6"/>
      <c r="C776" s="24" t="s">
        <v>332</v>
      </c>
      <c r="D776" s="9"/>
      <c r="E776" s="9"/>
      <c r="F776" s="9"/>
      <c r="G776" s="9"/>
      <c r="H776" s="9"/>
      <c r="I776" s="9"/>
      <c r="J776" s="9"/>
      <c r="K776" s="9"/>
      <c r="L776" s="9"/>
      <c r="M776" s="9"/>
      <c r="CC776" s="7"/>
    </row>
    <row r="777" spans="2:81">
      <c r="B777" s="6"/>
      <c r="C777" s="1" t="s">
        <v>12</v>
      </c>
      <c r="D777" s="9"/>
      <c r="E777" s="66">
        <f>-W742</f>
        <v>-20</v>
      </c>
      <c r="F777" s="66"/>
      <c r="G777" s="9" t="s">
        <v>5</v>
      </c>
      <c r="H777" s="9" t="s">
        <v>13</v>
      </c>
      <c r="I777" s="9" t="s">
        <v>6</v>
      </c>
      <c r="J777" s="66">
        <f>+Z743</f>
        <v>35</v>
      </c>
      <c r="K777" s="66"/>
      <c r="L777" s="9" t="s">
        <v>5</v>
      </c>
      <c r="M777" s="66">
        <f>+Z751</f>
        <v>1.75</v>
      </c>
      <c r="N777" s="66"/>
      <c r="O777" s="9" t="s">
        <v>14</v>
      </c>
      <c r="P777" s="9" t="s">
        <v>13</v>
      </c>
      <c r="Q777" s="9" t="s">
        <v>6</v>
      </c>
      <c r="R777" s="66">
        <f>+Z751/2</f>
        <v>0.875</v>
      </c>
      <c r="S777" s="66"/>
      <c r="T777" s="1" t="s">
        <v>306</v>
      </c>
      <c r="U777" s="66">
        <f>+AC750</f>
        <v>375.60267857142856</v>
      </c>
      <c r="V777" s="66"/>
      <c r="W777" s="1" t="s">
        <v>14</v>
      </c>
      <c r="X777" s="1" t="s">
        <v>13</v>
      </c>
      <c r="Y777" s="9" t="s">
        <v>6</v>
      </c>
      <c r="Z777" s="66">
        <f>+Z751</f>
        <v>1.75</v>
      </c>
      <c r="AA777" s="66"/>
      <c r="AB777" s="1" t="s">
        <v>16</v>
      </c>
      <c r="AC777" s="66">
        <f>+AG744</f>
        <v>65</v>
      </c>
      <c r="AD777" s="66"/>
      <c r="AE777" s="1" t="s">
        <v>14</v>
      </c>
      <c r="AF777" s="1" t="s">
        <v>13</v>
      </c>
      <c r="AG777" s="9" t="s">
        <v>6</v>
      </c>
      <c r="AH777" s="66">
        <f>+Z751</f>
        <v>1.75</v>
      </c>
      <c r="AI777" s="66"/>
      <c r="AJ777" s="1" t="s">
        <v>200</v>
      </c>
      <c r="AK777" s="1" t="s">
        <v>173</v>
      </c>
      <c r="AL777" s="1">
        <v>2</v>
      </c>
      <c r="AM777" s="9" t="s">
        <v>6</v>
      </c>
      <c r="AN777" s="66">
        <f>+AJ743</f>
        <v>85</v>
      </c>
      <c r="AO777" s="66"/>
      <c r="AP777" s="1" t="s">
        <v>14</v>
      </c>
      <c r="AQ777" s="1" t="s">
        <v>13</v>
      </c>
      <c r="AR777" s="9" t="s">
        <v>6</v>
      </c>
      <c r="AS777" s="66">
        <f>+Z751+AF751</f>
        <v>3.25</v>
      </c>
      <c r="AT777" s="66"/>
      <c r="AU777" s="1" t="s">
        <v>40</v>
      </c>
      <c r="CC777" s="7"/>
    </row>
    <row r="778" spans="2:81">
      <c r="B778" s="6"/>
      <c r="C778" s="1" t="s">
        <v>27</v>
      </c>
      <c r="D778" s="67">
        <v>4.5</v>
      </c>
      <c r="E778" s="67"/>
      <c r="F778" s="67"/>
      <c r="G778" s="1" t="s">
        <v>213</v>
      </c>
      <c r="H778" s="9"/>
      <c r="I778" s="9"/>
      <c r="J778" s="9"/>
      <c r="M778" s="9"/>
      <c r="N778" s="21"/>
      <c r="P778" s="9"/>
      <c r="Q778" s="9"/>
      <c r="U778" s="8" t="str">
        <f>IF(D778&lt;=(Z751+AF751),"artır.",IF(D778&gt;(AF751+Z751+AM751),"azalt.",""))</f>
        <v/>
      </c>
      <c r="W778" s="9"/>
      <c r="X778" s="9"/>
      <c r="AA778" s="9"/>
      <c r="AB778" s="9"/>
      <c r="AD778" s="9"/>
      <c r="AE778" s="9"/>
      <c r="CC778" s="7"/>
    </row>
    <row r="779" spans="2:81">
      <c r="B779" s="6"/>
      <c r="C779" s="1" t="s">
        <v>12</v>
      </c>
      <c r="D779" s="9"/>
      <c r="E779" s="66">
        <f>+E777</f>
        <v>-20</v>
      </c>
      <c r="F779" s="66"/>
      <c r="G779" s="9" t="s">
        <v>5</v>
      </c>
      <c r="H779" s="66">
        <f>+D778</f>
        <v>4.5</v>
      </c>
      <c r="I779" s="66"/>
      <c r="J779" s="9" t="s">
        <v>6</v>
      </c>
      <c r="K779" s="66">
        <f>+J777*M777</f>
        <v>61.25</v>
      </c>
      <c r="L779" s="66"/>
      <c r="M779" s="9" t="s">
        <v>14</v>
      </c>
      <c r="N779" s="66">
        <f>+D778</f>
        <v>4.5</v>
      </c>
      <c r="O779" s="66"/>
      <c r="P779" s="9" t="s">
        <v>6</v>
      </c>
      <c r="Q779" s="66">
        <f>+R777</f>
        <v>0.875</v>
      </c>
      <c r="R779" s="66"/>
      <c r="S779" s="1" t="s">
        <v>306</v>
      </c>
      <c r="T779" s="66">
        <f>+U777</f>
        <v>375.60267857142856</v>
      </c>
      <c r="U779" s="66"/>
      <c r="V779" s="1" t="s">
        <v>14</v>
      </c>
      <c r="W779" s="66">
        <f>+N779</f>
        <v>4.5</v>
      </c>
      <c r="X779" s="66"/>
      <c r="Y779" s="9" t="s">
        <v>6</v>
      </c>
      <c r="Z779" s="66">
        <f>+Z777</f>
        <v>1.75</v>
      </c>
      <c r="AA779" s="66"/>
      <c r="AB779" s="1" t="s">
        <v>16</v>
      </c>
      <c r="AC779" s="66">
        <f>+AC777</f>
        <v>65</v>
      </c>
      <c r="AD779" s="66"/>
      <c r="AE779" s="1" t="s">
        <v>14</v>
      </c>
      <c r="AF779" s="66">
        <f>+W779</f>
        <v>4.5</v>
      </c>
      <c r="AG779" s="66"/>
      <c r="AH779" s="9" t="s">
        <v>6</v>
      </c>
      <c r="AI779" s="66">
        <f>+AH777</f>
        <v>1.75</v>
      </c>
      <c r="AJ779" s="66"/>
      <c r="AK779" s="1" t="s">
        <v>200</v>
      </c>
      <c r="AL779" s="1" t="s">
        <v>173</v>
      </c>
      <c r="AM779" s="1">
        <v>2</v>
      </c>
      <c r="AN779" s="9" t="s">
        <v>6</v>
      </c>
      <c r="AO779" s="66">
        <f>+AN777</f>
        <v>85</v>
      </c>
      <c r="AP779" s="66"/>
      <c r="AQ779" s="1" t="s">
        <v>14</v>
      </c>
      <c r="AR779" s="66">
        <f>+AF779</f>
        <v>4.5</v>
      </c>
      <c r="AS779" s="66"/>
      <c r="AT779" s="9" t="s">
        <v>6</v>
      </c>
      <c r="AU779" s="66">
        <f>+AS777</f>
        <v>3.25</v>
      </c>
      <c r="AV779" s="66"/>
      <c r="AW779" s="1" t="s">
        <v>201</v>
      </c>
      <c r="AX779" s="66">
        <f>E779*H779-K779*(N779-Q779)+T779*(W779-Z779)-AC779*(AF779-AI779)^2/AM779-AO779*(AR779-AU779)</f>
        <v>368.84486607142844</v>
      </c>
      <c r="AY779" s="66"/>
      <c r="AZ779" s="66"/>
      <c r="BA779" s="11" t="s">
        <v>191</v>
      </c>
      <c r="BE779" s="9"/>
      <c r="BJ779" s="9"/>
      <c r="CC779" s="7"/>
    </row>
    <row r="780" spans="2:81">
      <c r="B780" s="6"/>
      <c r="C780" s="1" t="s">
        <v>220</v>
      </c>
      <c r="D780" s="9"/>
      <c r="E780" s="66">
        <f>+E779</f>
        <v>-20</v>
      </c>
      <c r="F780" s="66"/>
      <c r="G780" s="9" t="s">
        <v>6</v>
      </c>
      <c r="H780" s="66">
        <f>+J777</f>
        <v>35</v>
      </c>
      <c r="I780" s="66"/>
      <c r="J780" s="9" t="s">
        <v>5</v>
      </c>
      <c r="K780" s="66">
        <f>+M777</f>
        <v>1.75</v>
      </c>
      <c r="L780" s="66"/>
      <c r="M780" s="1" t="s">
        <v>9</v>
      </c>
      <c r="N780" s="66">
        <f>+T779</f>
        <v>375.60267857142856</v>
      </c>
      <c r="O780" s="66"/>
      <c r="P780" s="9" t="s">
        <v>6</v>
      </c>
      <c r="Q780" s="66">
        <f>+AC779</f>
        <v>65</v>
      </c>
      <c r="R780" s="66"/>
      <c r="S780" s="1" t="s">
        <v>14</v>
      </c>
      <c r="T780" s="66">
        <f>+AF779</f>
        <v>4.5</v>
      </c>
      <c r="U780" s="66"/>
      <c r="V780" s="9" t="s">
        <v>6</v>
      </c>
      <c r="W780" s="66">
        <f>+AI779</f>
        <v>1.75</v>
      </c>
      <c r="X780" s="66"/>
      <c r="Y780" s="9" t="s">
        <v>16</v>
      </c>
      <c r="Z780" s="66">
        <f>+AO779</f>
        <v>85</v>
      </c>
      <c r="AA780" s="66"/>
      <c r="AB780" s="9" t="s">
        <v>7</v>
      </c>
      <c r="AC780" s="66">
        <f>+E780-H780*K780+N780-Q780*(T780-W780)-Z780</f>
        <v>30.602678571428555</v>
      </c>
      <c r="AD780" s="66"/>
      <c r="AE780" s="66"/>
      <c r="AF780" s="11" t="s">
        <v>0</v>
      </c>
      <c r="CC780" s="7"/>
    </row>
    <row r="781" spans="2:81">
      <c r="B781" s="6"/>
      <c r="C781" s="24" t="s">
        <v>369</v>
      </c>
      <c r="D781" s="9"/>
      <c r="E781" s="9"/>
      <c r="F781" s="9"/>
      <c r="G781" s="9"/>
      <c r="H781" s="9"/>
      <c r="I781" s="9"/>
      <c r="J781" s="9"/>
      <c r="K781" s="9"/>
      <c r="L781" s="9"/>
      <c r="M781" s="9"/>
      <c r="CC781" s="7"/>
    </row>
    <row r="782" spans="2:81">
      <c r="B782" s="6"/>
      <c r="C782" s="1" t="s">
        <v>12</v>
      </c>
      <c r="D782" s="9"/>
      <c r="E782" s="66">
        <f>-W742</f>
        <v>-20</v>
      </c>
      <c r="F782" s="66"/>
      <c r="G782" s="9" t="s">
        <v>5</v>
      </c>
      <c r="H782" s="9" t="s">
        <v>13</v>
      </c>
      <c r="I782" s="9" t="s">
        <v>6</v>
      </c>
      <c r="J782" s="66">
        <f>+Z743</f>
        <v>35</v>
      </c>
      <c r="K782" s="66"/>
      <c r="L782" s="9" t="s">
        <v>5</v>
      </c>
      <c r="M782" s="66">
        <f>+Z751</f>
        <v>1.75</v>
      </c>
      <c r="N782" s="66"/>
      <c r="O782" s="9" t="s">
        <v>14</v>
      </c>
      <c r="P782" s="9" t="s">
        <v>13</v>
      </c>
      <c r="Q782" s="9" t="s">
        <v>6</v>
      </c>
      <c r="R782" s="66">
        <f>+Z751/2</f>
        <v>0.875</v>
      </c>
      <c r="S782" s="66"/>
      <c r="T782" s="1" t="s">
        <v>306</v>
      </c>
      <c r="U782" s="66">
        <f>+AC750</f>
        <v>375.60267857142856</v>
      </c>
      <c r="V782" s="66"/>
      <c r="W782" s="1" t="s">
        <v>14</v>
      </c>
      <c r="X782" s="1" t="s">
        <v>13</v>
      </c>
      <c r="Y782" s="9" t="s">
        <v>6</v>
      </c>
      <c r="Z782" s="66">
        <f>+Z751</f>
        <v>1.75</v>
      </c>
      <c r="AA782" s="66"/>
      <c r="AB782" s="1" t="s">
        <v>16</v>
      </c>
      <c r="AC782" s="66">
        <f>+AG744</f>
        <v>65</v>
      </c>
      <c r="AD782" s="66"/>
      <c r="AE782" s="9" t="s">
        <v>5</v>
      </c>
      <c r="AF782" s="66">
        <f>+AJ753</f>
        <v>7</v>
      </c>
      <c r="AG782" s="66"/>
      <c r="AH782" s="1" t="s">
        <v>14</v>
      </c>
      <c r="AI782" s="9" t="s">
        <v>13</v>
      </c>
      <c r="AJ782" s="9" t="s">
        <v>6</v>
      </c>
      <c r="AK782" s="66">
        <f>Z751+AJ753/2</f>
        <v>5.25</v>
      </c>
      <c r="AL782" s="66"/>
      <c r="AM782" s="1" t="s">
        <v>16</v>
      </c>
      <c r="AN782" s="66">
        <f>+AJ743</f>
        <v>85</v>
      </c>
      <c r="AO782" s="66"/>
      <c r="AP782" s="1" t="s">
        <v>14</v>
      </c>
      <c r="AQ782" s="1" t="s">
        <v>13</v>
      </c>
      <c r="AR782" s="9" t="s">
        <v>6</v>
      </c>
      <c r="AS782" s="66">
        <f>+Z751+AF751</f>
        <v>3.25</v>
      </c>
      <c r="AT782" s="66"/>
      <c r="AU782" s="1" t="s">
        <v>306</v>
      </c>
      <c r="AV782" s="66">
        <f>+AQ750</f>
        <v>323.14732142857144</v>
      </c>
      <c r="AW782" s="66"/>
      <c r="AX782" s="1" t="s">
        <v>14</v>
      </c>
      <c r="AY782" s="1" t="s">
        <v>13</v>
      </c>
      <c r="AZ782" s="9" t="s">
        <v>6</v>
      </c>
      <c r="BA782" s="66">
        <f>+Z751+AJ753</f>
        <v>8.75</v>
      </c>
      <c r="BB782" s="66"/>
      <c r="BC782" s="1" t="s">
        <v>16</v>
      </c>
      <c r="BD782" s="66">
        <f>+AS743</f>
        <v>25</v>
      </c>
      <c r="BE782" s="66"/>
      <c r="BF782" s="1" t="s">
        <v>14</v>
      </c>
      <c r="BG782" s="1" t="s">
        <v>13</v>
      </c>
      <c r="BH782" s="9" t="s">
        <v>6</v>
      </c>
      <c r="BI782" s="66">
        <f>+Z751+AJ753</f>
        <v>8.75</v>
      </c>
      <c r="BJ782" s="66"/>
      <c r="BK782" s="1" t="s">
        <v>200</v>
      </c>
      <c r="BL782" s="1" t="s">
        <v>173</v>
      </c>
      <c r="BM782" s="1">
        <v>2</v>
      </c>
      <c r="BN782" s="9"/>
      <c r="BS782" s="9"/>
      <c r="CC782" s="7"/>
    </row>
    <row r="783" spans="2:81">
      <c r="B783" s="6"/>
      <c r="C783" s="1" t="s">
        <v>27</v>
      </c>
      <c r="D783" s="67">
        <v>9.25</v>
      </c>
      <c r="E783" s="67"/>
      <c r="F783" s="67"/>
      <c r="G783" s="1" t="s">
        <v>213</v>
      </c>
      <c r="H783" s="9"/>
      <c r="I783" s="9"/>
      <c r="J783" s="9"/>
      <c r="M783" s="9"/>
      <c r="N783" s="21"/>
      <c r="P783" s="9"/>
      <c r="Q783" s="9"/>
      <c r="U783" s="8" t="str">
        <f>IF(D783&lt;=(Z751+AF751+AM751),"artır.",IF(D783&gt;(AF751+Z751+AM751+AT751),"azalt.",""))</f>
        <v/>
      </c>
      <c r="W783" s="9"/>
      <c r="X783" s="9"/>
      <c r="AA783" s="9"/>
      <c r="AB783" s="9"/>
      <c r="AD783" s="9"/>
      <c r="AE783" s="9"/>
      <c r="CC783" s="7"/>
    </row>
    <row r="784" spans="2:81">
      <c r="B784" s="6"/>
      <c r="C784" s="1" t="s">
        <v>12</v>
      </c>
      <c r="D784" s="9"/>
      <c r="E784" s="66">
        <f>+E782</f>
        <v>-20</v>
      </c>
      <c r="F784" s="66"/>
      <c r="G784" s="9" t="s">
        <v>5</v>
      </c>
      <c r="H784" s="66">
        <f>+D783</f>
        <v>9.25</v>
      </c>
      <c r="I784" s="66"/>
      <c r="J784" s="9" t="s">
        <v>6</v>
      </c>
      <c r="K784" s="66">
        <f>+J782*M782</f>
        <v>61.25</v>
      </c>
      <c r="L784" s="66"/>
      <c r="M784" s="9" t="s">
        <v>14</v>
      </c>
      <c r="N784" s="66">
        <f>+D783</f>
        <v>9.25</v>
      </c>
      <c r="O784" s="66"/>
      <c r="P784" s="9" t="s">
        <v>6</v>
      </c>
      <c r="Q784" s="66">
        <f>+R782</f>
        <v>0.875</v>
      </c>
      <c r="R784" s="66"/>
      <c r="S784" s="1" t="s">
        <v>306</v>
      </c>
      <c r="T784" s="66">
        <f>+U782</f>
        <v>375.60267857142856</v>
      </c>
      <c r="U784" s="66"/>
      <c r="V784" s="1" t="s">
        <v>14</v>
      </c>
      <c r="W784" s="66">
        <f>+N784</f>
        <v>9.25</v>
      </c>
      <c r="X784" s="66"/>
      <c r="Y784" s="9" t="s">
        <v>6</v>
      </c>
      <c r="Z784" s="66">
        <f>+Z782</f>
        <v>1.75</v>
      </c>
      <c r="AA784" s="66"/>
      <c r="AB784" s="1" t="s">
        <v>16</v>
      </c>
      <c r="AC784" s="66">
        <f>+AC782*AF782</f>
        <v>455</v>
      </c>
      <c r="AD784" s="66"/>
      <c r="AE784" s="1" t="s">
        <v>14</v>
      </c>
      <c r="AF784" s="66">
        <f>+W784</f>
        <v>9.25</v>
      </c>
      <c r="AG784" s="66"/>
      <c r="AH784" s="9" t="s">
        <v>6</v>
      </c>
      <c r="AI784" s="66">
        <f>+AK782</f>
        <v>5.25</v>
      </c>
      <c r="AJ784" s="66"/>
      <c r="AK784" s="1" t="s">
        <v>16</v>
      </c>
      <c r="AL784" s="66">
        <f>+AN782</f>
        <v>85</v>
      </c>
      <c r="AM784" s="66"/>
      <c r="AN784" s="1" t="s">
        <v>14</v>
      </c>
      <c r="AO784" s="66">
        <f>+AF784</f>
        <v>9.25</v>
      </c>
      <c r="AP784" s="66"/>
      <c r="AQ784" s="9" t="s">
        <v>6</v>
      </c>
      <c r="AR784" s="66">
        <f>+AS782</f>
        <v>3.25</v>
      </c>
      <c r="AS784" s="66"/>
      <c r="AT784" s="1" t="s">
        <v>306</v>
      </c>
      <c r="AU784" s="66">
        <f>+AV782</f>
        <v>323.14732142857144</v>
      </c>
      <c r="AV784" s="66"/>
      <c r="AW784" s="1" t="s">
        <v>14</v>
      </c>
      <c r="AX784" s="66">
        <f>+AO784</f>
        <v>9.25</v>
      </c>
      <c r="AY784" s="66"/>
      <c r="AZ784" s="9" t="s">
        <v>6</v>
      </c>
      <c r="BA784" s="66">
        <f>+BA782</f>
        <v>8.75</v>
      </c>
      <c r="BB784" s="66"/>
      <c r="BC784" s="1" t="s">
        <v>16</v>
      </c>
      <c r="BD784" s="66">
        <f>+BD782</f>
        <v>25</v>
      </c>
      <c r="BE784" s="66"/>
      <c r="BF784" s="1" t="s">
        <v>14</v>
      </c>
      <c r="BG784" s="66">
        <f>+AX784</f>
        <v>9.25</v>
      </c>
      <c r="BH784" s="66"/>
      <c r="BI784" s="9" t="s">
        <v>6</v>
      </c>
      <c r="BJ784" s="66">
        <f>+BI782</f>
        <v>8.75</v>
      </c>
      <c r="BK784" s="66"/>
      <c r="BL784" s="1" t="s">
        <v>200</v>
      </c>
      <c r="BM784" s="1" t="s">
        <v>173</v>
      </c>
      <c r="BN784" s="1">
        <v>2</v>
      </c>
      <c r="BO784" s="9" t="s">
        <v>7</v>
      </c>
      <c r="BP784" s="66">
        <f>E784*H784-K784*(N784-Q784)+T784*(W784-Z784)-AC784*(AF784-AI784)-AL784*(AO784-AR784)+AU784*(AX784-BA784)-BD784*(BG784-BJ784)^2/BN784</f>
        <v>-52.500000000000057</v>
      </c>
      <c r="BQ784" s="66"/>
      <c r="BR784" s="66"/>
      <c r="BS784" s="11" t="s">
        <v>191</v>
      </c>
      <c r="BU784" s="9"/>
      <c r="CC784" s="7"/>
    </row>
    <row r="785" spans="2:81">
      <c r="B785" s="6"/>
      <c r="C785" s="1" t="s">
        <v>220</v>
      </c>
      <c r="D785" s="9"/>
      <c r="E785" s="66">
        <f>+E784</f>
        <v>-20</v>
      </c>
      <c r="F785" s="66"/>
      <c r="G785" s="9" t="s">
        <v>6</v>
      </c>
      <c r="H785" s="66">
        <f>+J782</f>
        <v>35</v>
      </c>
      <c r="I785" s="66"/>
      <c r="J785" s="9" t="s">
        <v>5</v>
      </c>
      <c r="K785" s="66">
        <f>+M782</f>
        <v>1.75</v>
      </c>
      <c r="L785" s="66"/>
      <c r="M785" s="1" t="s">
        <v>9</v>
      </c>
      <c r="N785" s="66">
        <f>+T784</f>
        <v>375.60267857142856</v>
      </c>
      <c r="O785" s="66"/>
      <c r="P785" s="9" t="s">
        <v>6</v>
      </c>
      <c r="Q785" s="66">
        <f>+AC784</f>
        <v>455</v>
      </c>
      <c r="R785" s="66"/>
      <c r="S785" s="1" t="s">
        <v>6</v>
      </c>
      <c r="T785" s="66">
        <f>+AL784</f>
        <v>85</v>
      </c>
      <c r="U785" s="66"/>
      <c r="V785" s="9" t="s">
        <v>9</v>
      </c>
      <c r="W785" s="66">
        <f>+AU784</f>
        <v>323.14732142857144</v>
      </c>
      <c r="X785" s="66"/>
      <c r="Y785" s="9" t="s">
        <v>6</v>
      </c>
      <c r="Z785" s="66">
        <f>+BD784</f>
        <v>25</v>
      </c>
      <c r="AA785" s="66"/>
      <c r="AB785" s="1" t="s">
        <v>14</v>
      </c>
      <c r="AC785" s="66">
        <f>+BG784</f>
        <v>9.25</v>
      </c>
      <c r="AD785" s="66"/>
      <c r="AE785" s="9" t="s">
        <v>6</v>
      </c>
      <c r="AF785" s="66">
        <f>+BJ784</f>
        <v>8.75</v>
      </c>
      <c r="AG785" s="66"/>
      <c r="AH785" s="1" t="s">
        <v>201</v>
      </c>
      <c r="AI785" s="66">
        <f>+E785-H785*K785+N785-Q785-T785+W785-Z785*(AC785-AF785)</f>
        <v>65</v>
      </c>
      <c r="AJ785" s="66"/>
      <c r="AK785" s="66"/>
      <c r="AL785" s="11" t="s">
        <v>0</v>
      </c>
      <c r="CC785" s="7"/>
    </row>
    <row r="786" spans="2:81">
      <c r="B786" s="6"/>
      <c r="C786" s="23" t="s">
        <v>253</v>
      </c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CC786" s="7"/>
    </row>
    <row r="787" spans="2:81">
      <c r="B787" s="6"/>
      <c r="C787" s="24" t="s">
        <v>397</v>
      </c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42"/>
      <c r="P787" s="42"/>
      <c r="Q787" s="40" t="s">
        <v>325</v>
      </c>
      <c r="R787" s="40"/>
      <c r="S787" s="76">
        <f>(-W742-Z743*Z751+AC750)/AG744</f>
        <v>4.5285027472527473</v>
      </c>
      <c r="T787" s="76"/>
      <c r="U787" s="40" t="s">
        <v>1</v>
      </c>
      <c r="V787" s="40"/>
      <c r="W787" s="40" t="s">
        <v>327</v>
      </c>
      <c r="X787" s="40"/>
      <c r="Y787" s="76">
        <f>AC750*S787-W742*(Z751+S787)-Z743*Z751*(Z751/2+S787)-AG744*S787*S787/2</f>
        <v>577.89470678595956</v>
      </c>
      <c r="Z787" s="76"/>
      <c r="AA787" s="40" t="s">
        <v>191</v>
      </c>
      <c r="AB787" s="40"/>
      <c r="AC787" s="40"/>
      <c r="AD787" s="76">
        <f>IF(S787&lt;AF751,S787,S788)</f>
        <v>3.2208104395604393</v>
      </c>
      <c r="AE787" s="76"/>
      <c r="AF787" s="76" cm="1">
        <f t="array" ref="AF787">INDEX(Y787:Y788,MATCH(AD787,S787:S788,0),0)</f>
        <v>376.04889634639903</v>
      </c>
      <c r="AG787" s="76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CC787" s="7"/>
    </row>
    <row r="788" spans="2:81">
      <c r="B788" s="6"/>
      <c r="C788" s="1" t="s">
        <v>27</v>
      </c>
      <c r="D788" s="66">
        <f>IF(AF787&lt;AF788,AD788+Z751,AD787+Z751)</f>
        <v>4.9708104395604398</v>
      </c>
      <c r="E788" s="66"/>
      <c r="F788" s="66"/>
      <c r="G788" s="1" t="s">
        <v>257</v>
      </c>
      <c r="H788" s="9"/>
      <c r="I788" s="9"/>
      <c r="J788" s="9"/>
      <c r="M788" s="9"/>
      <c r="O788" s="2"/>
      <c r="P788" s="42"/>
      <c r="Q788" s="40" t="s">
        <v>326</v>
      </c>
      <c r="R788" s="40"/>
      <c r="S788" s="76">
        <f>(-W742-Z743*Z751-AJ743+AC750)/AG744</f>
        <v>3.2208104395604393</v>
      </c>
      <c r="T788" s="76"/>
      <c r="U788" s="40" t="s">
        <v>1</v>
      </c>
      <c r="V788" s="40"/>
      <c r="W788" s="40" t="s">
        <v>328</v>
      </c>
      <c r="X788" s="40"/>
      <c r="Y788" s="76">
        <f>AC750*S788-W742*(Z751+S788)-Z743*Z751*(Z751/2+S788)-AG744*S788*S788/2-AJ743*(S788-AF751)</f>
        <v>376.04889634639903</v>
      </c>
      <c r="Z788" s="76"/>
      <c r="AA788" s="40" t="s">
        <v>191</v>
      </c>
      <c r="AB788" s="40"/>
      <c r="AC788" s="40"/>
      <c r="AD788" s="76">
        <f>+AJ753</f>
        <v>7</v>
      </c>
      <c r="AE788" s="76"/>
      <c r="AF788" s="76">
        <f>AW742*AT751+AS743*AT751*AT751/2</f>
        <v>88.125</v>
      </c>
      <c r="AG788" s="76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CC788" s="7"/>
    </row>
    <row r="789" spans="2:81">
      <c r="B789" s="6"/>
      <c r="C789" s="1" t="s">
        <v>260</v>
      </c>
      <c r="D789" s="9"/>
      <c r="E789" s="9"/>
      <c r="F789" s="66">
        <f>+E769</f>
        <v>-20</v>
      </c>
      <c r="G789" s="66"/>
      <c r="H789" s="9" t="s">
        <v>5</v>
      </c>
      <c r="I789" s="66">
        <f>+D788</f>
        <v>4.9708104395604398</v>
      </c>
      <c r="J789" s="66"/>
      <c r="K789" s="9" t="s">
        <v>6</v>
      </c>
      <c r="L789" s="66">
        <f>+Z743</f>
        <v>35</v>
      </c>
      <c r="M789" s="66"/>
      <c r="N789" s="9" t="s">
        <v>5</v>
      </c>
      <c r="O789" s="66">
        <f>+Z751</f>
        <v>1.75</v>
      </c>
      <c r="P789" s="66"/>
      <c r="Q789" s="1" t="s">
        <v>14</v>
      </c>
      <c r="R789" s="66">
        <f>+I789</f>
        <v>4.9708104395604398</v>
      </c>
      <c r="S789" s="66"/>
      <c r="T789" s="9" t="s">
        <v>6</v>
      </c>
      <c r="U789" s="66">
        <f>+Z751/2</f>
        <v>0.875</v>
      </c>
      <c r="V789" s="66"/>
      <c r="W789" s="9" t="s">
        <v>306</v>
      </c>
      <c r="X789" s="66">
        <f>+AC750</f>
        <v>375.60267857142856</v>
      </c>
      <c r="Y789" s="66"/>
      <c r="Z789" s="1" t="s">
        <v>14</v>
      </c>
      <c r="AA789" s="66">
        <f>+R789</f>
        <v>4.9708104395604398</v>
      </c>
      <c r="AB789" s="66"/>
      <c r="AC789" s="9" t="s">
        <v>6</v>
      </c>
      <c r="AD789" s="66">
        <f>+Z751</f>
        <v>1.75</v>
      </c>
      <c r="AE789" s="66"/>
      <c r="AF789" s="9" t="s">
        <v>16</v>
      </c>
      <c r="AG789" s="66">
        <f>+AG744</f>
        <v>65</v>
      </c>
      <c r="AH789" s="66"/>
      <c r="AI789" s="9" t="s">
        <v>14</v>
      </c>
      <c r="AJ789" s="66">
        <f>+D788</f>
        <v>4.9708104395604398</v>
      </c>
      <c r="AK789" s="66"/>
      <c r="AL789" s="9" t="s">
        <v>6</v>
      </c>
      <c r="AM789" s="66">
        <f>+Z751</f>
        <v>1.75</v>
      </c>
      <c r="AN789" s="66"/>
      <c r="AO789" s="1" t="s">
        <v>200</v>
      </c>
      <c r="AP789" s="1" t="s">
        <v>173</v>
      </c>
      <c r="AQ789" s="1">
        <v>2</v>
      </c>
      <c r="AR789" s="9" t="s">
        <v>6</v>
      </c>
      <c r="AS789" s="66">
        <f>IF((AV789-AY789)&lt;0,0,AJ743)</f>
        <v>85</v>
      </c>
      <c r="AT789" s="66"/>
      <c r="AU789" s="1" t="s">
        <v>14</v>
      </c>
      <c r="AV789" s="66">
        <f>+AJ789</f>
        <v>4.9708104395604398</v>
      </c>
      <c r="AW789" s="66"/>
      <c r="AX789" s="9" t="s">
        <v>6</v>
      </c>
      <c r="AY789" s="66">
        <f>+Z751+AF751</f>
        <v>3.25</v>
      </c>
      <c r="AZ789" s="66"/>
      <c r="BA789" s="1" t="s">
        <v>201</v>
      </c>
      <c r="BB789" s="66">
        <f>F789*I789-L789*O789*(R789-U789)+X789*(AA789-AD789)-AG789*(AJ789-AM789)^2/AQ789-AS789*(AV789-AY789)</f>
        <v>376.04889634639898</v>
      </c>
      <c r="BC789" s="66"/>
      <c r="BD789" s="66"/>
      <c r="BE789" s="1" t="s">
        <v>191</v>
      </c>
      <c r="CC789" s="7"/>
    </row>
    <row r="790" spans="2:81">
      <c r="B790" s="6"/>
      <c r="C790" s="1" t="s">
        <v>247</v>
      </c>
      <c r="E790" s="66">
        <f>+AJ753/2+Z751</f>
        <v>5.25</v>
      </c>
      <c r="F790" s="66"/>
      <c r="G790" s="66"/>
      <c r="H790" s="1" t="s">
        <v>252</v>
      </c>
      <c r="I790" s="9"/>
      <c r="J790" s="9"/>
      <c r="M790" s="9"/>
      <c r="N790" s="21"/>
      <c r="P790" s="9"/>
      <c r="Q790" s="9"/>
      <c r="S790" s="9"/>
      <c r="T790" s="8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CC790" s="7"/>
    </row>
    <row r="791" spans="2:81">
      <c r="B791" s="6"/>
      <c r="C791" s="1" t="s">
        <v>261</v>
      </c>
      <c r="D791" s="9"/>
      <c r="E791" s="66">
        <f>+F789</f>
        <v>-20</v>
      </c>
      <c r="F791" s="66"/>
      <c r="G791" s="1" t="s">
        <v>5</v>
      </c>
      <c r="H791" s="66">
        <f>+E790</f>
        <v>5.25</v>
      </c>
      <c r="I791" s="66"/>
      <c r="J791" s="9" t="s">
        <v>6</v>
      </c>
      <c r="K791" s="66">
        <f>+L789</f>
        <v>35</v>
      </c>
      <c r="L791" s="66"/>
      <c r="M791" s="9" t="s">
        <v>5</v>
      </c>
      <c r="N791" s="66">
        <f>+O789</f>
        <v>1.75</v>
      </c>
      <c r="O791" s="66"/>
      <c r="P791" s="1" t="s">
        <v>14</v>
      </c>
      <c r="Q791" s="66">
        <f>+E790</f>
        <v>5.25</v>
      </c>
      <c r="R791" s="66"/>
      <c r="S791" s="9" t="s">
        <v>6</v>
      </c>
      <c r="T791" s="66">
        <f>+U789</f>
        <v>0.875</v>
      </c>
      <c r="U791" s="66"/>
      <c r="V791" s="9" t="s">
        <v>306</v>
      </c>
      <c r="W791" s="66">
        <f>+X789</f>
        <v>375.60267857142856</v>
      </c>
      <c r="X791" s="66"/>
      <c r="Y791" s="1" t="s">
        <v>14</v>
      </c>
      <c r="Z791" s="66">
        <f>+Q791</f>
        <v>5.25</v>
      </c>
      <c r="AA791" s="66"/>
      <c r="AB791" s="9" t="s">
        <v>6</v>
      </c>
      <c r="AC791" s="66">
        <f>+AD789</f>
        <v>1.75</v>
      </c>
      <c r="AD791" s="66"/>
      <c r="AE791" s="9" t="s">
        <v>16</v>
      </c>
      <c r="AF791" s="66">
        <f>+AG789</f>
        <v>65</v>
      </c>
      <c r="AG791" s="66"/>
      <c r="AH791" s="9" t="s">
        <v>14</v>
      </c>
      <c r="AI791" s="66">
        <f>+Z791</f>
        <v>5.25</v>
      </c>
      <c r="AJ791" s="66"/>
      <c r="AK791" s="9" t="s">
        <v>6</v>
      </c>
      <c r="AL791" s="66">
        <f>+AM789</f>
        <v>1.75</v>
      </c>
      <c r="AM791" s="66"/>
      <c r="AN791" s="1" t="s">
        <v>200</v>
      </c>
      <c r="AO791" s="1" t="s">
        <v>173</v>
      </c>
      <c r="AP791" s="1">
        <v>2</v>
      </c>
      <c r="AQ791" s="9" t="s">
        <v>6</v>
      </c>
      <c r="AR791" s="66">
        <f>IF((AU791-AX791)&lt;0,0,AJ743)</f>
        <v>85</v>
      </c>
      <c r="AS791" s="66"/>
      <c r="AT791" s="1" t="s">
        <v>14</v>
      </c>
      <c r="AU791" s="66">
        <f>+AI791</f>
        <v>5.25</v>
      </c>
      <c r="AV791" s="66"/>
      <c r="AW791" s="9" t="s">
        <v>6</v>
      </c>
      <c r="AX791" s="66">
        <f>+AY789</f>
        <v>3.25</v>
      </c>
      <c r="AY791" s="66"/>
      <c r="AZ791" s="1" t="s">
        <v>201</v>
      </c>
      <c r="BA791" s="66">
        <f>E791*H791-K791*N791*(Q791-T791)+W791*(Z791-AC791)-AF791*(AI791-AL791)^2/AP791-AR791*(AU791-AX791)</f>
        <v>373.515625</v>
      </c>
      <c r="BB791" s="66"/>
      <c r="BC791" s="66"/>
      <c r="BD791" s="1" t="s">
        <v>191</v>
      </c>
      <c r="CC791" s="7"/>
    </row>
    <row r="792" spans="2:81">
      <c r="B792" s="6"/>
      <c r="C792" s="1" t="s">
        <v>248</v>
      </c>
      <c r="E792" s="66">
        <f>+AJ753/4+Z751</f>
        <v>3.5</v>
      </c>
      <c r="F792" s="66"/>
      <c r="G792" s="66"/>
      <c r="H792" s="1" t="s">
        <v>252</v>
      </c>
      <c r="I792" s="9"/>
      <c r="J792" s="9"/>
      <c r="M792" s="9"/>
      <c r="N792" s="21"/>
      <c r="P792" s="9"/>
      <c r="Q792" s="9"/>
      <c r="S792" s="9"/>
      <c r="T792" s="8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CC792" s="7"/>
    </row>
    <row r="793" spans="2:81">
      <c r="B793" s="6"/>
      <c r="C793" s="1" t="s">
        <v>249</v>
      </c>
      <c r="E793" s="66">
        <f>+E791</f>
        <v>-20</v>
      </c>
      <c r="F793" s="66"/>
      <c r="G793" s="1" t="s">
        <v>5</v>
      </c>
      <c r="H793" s="66">
        <f>+E792</f>
        <v>3.5</v>
      </c>
      <c r="I793" s="66"/>
      <c r="J793" s="9" t="s">
        <v>6</v>
      </c>
      <c r="K793" s="66">
        <f>+K791</f>
        <v>35</v>
      </c>
      <c r="L793" s="66"/>
      <c r="M793" s="9" t="s">
        <v>5</v>
      </c>
      <c r="N793" s="66">
        <f>+N791</f>
        <v>1.75</v>
      </c>
      <c r="O793" s="66"/>
      <c r="P793" s="1" t="s">
        <v>14</v>
      </c>
      <c r="Q793" s="66">
        <f>+E792</f>
        <v>3.5</v>
      </c>
      <c r="R793" s="66"/>
      <c r="S793" s="9" t="s">
        <v>6</v>
      </c>
      <c r="T793" s="66">
        <f>+T791</f>
        <v>0.875</v>
      </c>
      <c r="U793" s="66"/>
      <c r="V793" s="9" t="s">
        <v>306</v>
      </c>
      <c r="W793" s="66">
        <f>+W791</f>
        <v>375.60267857142856</v>
      </c>
      <c r="X793" s="66"/>
      <c r="Y793" s="1" t="s">
        <v>14</v>
      </c>
      <c r="Z793" s="66">
        <f>+Q793</f>
        <v>3.5</v>
      </c>
      <c r="AA793" s="66"/>
      <c r="AB793" s="9" t="s">
        <v>6</v>
      </c>
      <c r="AC793" s="66">
        <f>+AC791</f>
        <v>1.75</v>
      </c>
      <c r="AD793" s="66"/>
      <c r="AE793" s="9" t="s">
        <v>16</v>
      </c>
      <c r="AF793" s="66">
        <f>+AF791</f>
        <v>65</v>
      </c>
      <c r="AG793" s="66"/>
      <c r="AH793" s="9" t="s">
        <v>14</v>
      </c>
      <c r="AI793" s="66">
        <f>+Z793</f>
        <v>3.5</v>
      </c>
      <c r="AJ793" s="66"/>
      <c r="AK793" s="9" t="s">
        <v>6</v>
      </c>
      <c r="AL793" s="66">
        <f>+AL791</f>
        <v>1.75</v>
      </c>
      <c r="AM793" s="66"/>
      <c r="AN793" s="1" t="s">
        <v>200</v>
      </c>
      <c r="AO793" s="1" t="s">
        <v>173</v>
      </c>
      <c r="AP793" s="1">
        <v>2</v>
      </c>
      <c r="AQ793" s="9" t="s">
        <v>6</v>
      </c>
      <c r="AR793" s="66">
        <f>IF((AU793-AX793)&lt;0,0,AJ743)</f>
        <v>85</v>
      </c>
      <c r="AS793" s="66"/>
      <c r="AT793" s="1" t="s">
        <v>14</v>
      </c>
      <c r="AU793" s="66">
        <f>+AI793</f>
        <v>3.5</v>
      </c>
      <c r="AV793" s="66"/>
      <c r="AW793" s="9" t="s">
        <v>6</v>
      </c>
      <c r="AX793" s="66">
        <f>+AX791</f>
        <v>3.25</v>
      </c>
      <c r="AY793" s="66"/>
      <c r="AZ793" s="1" t="s">
        <v>201</v>
      </c>
      <c r="BA793" s="66">
        <f>E793*H793-K793*N793*(Q793-T793)+W793*(Z793-AC793)-AF793*(AI793-AL793)^2/AP793-AR793*(AU793-AX793)</f>
        <v>305.7421875</v>
      </c>
      <c r="BB793" s="66"/>
      <c r="BC793" s="66"/>
      <c r="BD793" s="1" t="s">
        <v>191</v>
      </c>
      <c r="CC793" s="7"/>
    </row>
    <row r="794" spans="2:81">
      <c r="B794" s="6"/>
      <c r="C794" s="1" t="s">
        <v>250</v>
      </c>
      <c r="F794" s="66">
        <f>3*AJ753/4+Z751</f>
        <v>7</v>
      </c>
      <c r="G794" s="66"/>
      <c r="H794" s="66"/>
      <c r="I794" s="1" t="s">
        <v>252</v>
      </c>
      <c r="J794" s="9"/>
      <c r="M794" s="9"/>
      <c r="N794" s="21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CC794" s="7"/>
    </row>
    <row r="795" spans="2:81">
      <c r="B795" s="6"/>
      <c r="C795" s="1" t="s">
        <v>251</v>
      </c>
      <c r="E795" s="66">
        <f>+E793</f>
        <v>-20</v>
      </c>
      <c r="F795" s="66"/>
      <c r="G795" s="1" t="s">
        <v>5</v>
      </c>
      <c r="H795" s="66">
        <f>+F794</f>
        <v>7</v>
      </c>
      <c r="I795" s="66"/>
      <c r="J795" s="9" t="s">
        <v>6</v>
      </c>
      <c r="K795" s="66">
        <f>+K793</f>
        <v>35</v>
      </c>
      <c r="L795" s="66"/>
      <c r="M795" s="9" t="s">
        <v>5</v>
      </c>
      <c r="N795" s="66">
        <f>+N793</f>
        <v>1.75</v>
      </c>
      <c r="O795" s="66"/>
      <c r="P795" s="1" t="s">
        <v>14</v>
      </c>
      <c r="Q795" s="66">
        <f>+H795</f>
        <v>7</v>
      </c>
      <c r="R795" s="66"/>
      <c r="S795" s="9" t="s">
        <v>6</v>
      </c>
      <c r="T795" s="66">
        <f>+T793</f>
        <v>0.875</v>
      </c>
      <c r="U795" s="66"/>
      <c r="V795" s="9" t="s">
        <v>306</v>
      </c>
      <c r="W795" s="66">
        <f>+W793</f>
        <v>375.60267857142856</v>
      </c>
      <c r="X795" s="66"/>
      <c r="Y795" s="1" t="s">
        <v>14</v>
      </c>
      <c r="Z795" s="66">
        <f>+Q795</f>
        <v>7</v>
      </c>
      <c r="AA795" s="66"/>
      <c r="AB795" s="9" t="s">
        <v>6</v>
      </c>
      <c r="AC795" s="66">
        <f>+AC793</f>
        <v>1.75</v>
      </c>
      <c r="AD795" s="66"/>
      <c r="AE795" s="9" t="s">
        <v>16</v>
      </c>
      <c r="AF795" s="66">
        <f>+AF793</f>
        <v>65</v>
      </c>
      <c r="AG795" s="66"/>
      <c r="AH795" s="9" t="s">
        <v>14</v>
      </c>
      <c r="AI795" s="66">
        <f>+Z795</f>
        <v>7</v>
      </c>
      <c r="AJ795" s="66"/>
      <c r="AK795" s="9" t="s">
        <v>6</v>
      </c>
      <c r="AL795" s="66">
        <f>+AL793</f>
        <v>1.75</v>
      </c>
      <c r="AM795" s="66"/>
      <c r="AN795" s="1" t="s">
        <v>200</v>
      </c>
      <c r="AO795" s="1" t="s">
        <v>173</v>
      </c>
      <c r="AP795" s="1">
        <v>2</v>
      </c>
      <c r="AQ795" s="9" t="s">
        <v>6</v>
      </c>
      <c r="AR795" s="66">
        <f>IF((AU795-AX795)&lt;0,0,AJ743)</f>
        <v>85</v>
      </c>
      <c r="AS795" s="66"/>
      <c r="AT795" s="1" t="s">
        <v>14</v>
      </c>
      <c r="AU795" s="66">
        <f>+AI795</f>
        <v>7</v>
      </c>
      <c r="AV795" s="66"/>
      <c r="AW795" s="9" t="s">
        <v>6</v>
      </c>
      <c r="AX795" s="66">
        <f>+AX793</f>
        <v>3.25</v>
      </c>
      <c r="AY795" s="66"/>
      <c r="AZ795" s="1" t="s">
        <v>201</v>
      </c>
      <c r="BA795" s="66">
        <f>E795*H795-K795*N795*(Q795-T795)+W795*(Z795-AC795)-AF795*(AI795-AL795)^2/AP795-AR795*(AU795-AX795)</f>
        <v>242.2265625</v>
      </c>
      <c r="BB795" s="66"/>
      <c r="BC795" s="66"/>
      <c r="BD795" s="1" t="s">
        <v>191</v>
      </c>
      <c r="CC795" s="7"/>
    </row>
    <row r="796" spans="2:81">
      <c r="B796" s="6"/>
      <c r="C796" s="1" t="s">
        <v>300</v>
      </c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U796" s="9"/>
      <c r="V796" s="9"/>
      <c r="W796" s="9"/>
      <c r="X796" s="9"/>
      <c r="Y796" s="9"/>
      <c r="Z796" s="9"/>
      <c r="AA796" s="9"/>
      <c r="AB796" s="9"/>
      <c r="AD796" s="9"/>
      <c r="AE796" s="9"/>
      <c r="AF796" s="9"/>
      <c r="AG796" s="9"/>
      <c r="AH796" s="9"/>
      <c r="AI796" s="9"/>
      <c r="AJ796" s="9"/>
      <c r="AK796" s="9"/>
      <c r="AM796" s="9"/>
      <c r="AN796" s="9"/>
      <c r="AO796" s="9"/>
      <c r="AP796" s="9"/>
      <c r="AQ796" s="9"/>
      <c r="AR796" s="9"/>
      <c r="CC796" s="7"/>
    </row>
    <row r="797" spans="2:81">
      <c r="B797" s="6"/>
      <c r="C797" s="1" t="s">
        <v>301</v>
      </c>
      <c r="E797" s="66">
        <v>12.5</v>
      </c>
      <c r="F797" s="66"/>
      <c r="G797" s="9" t="s">
        <v>5</v>
      </c>
      <c r="H797" s="66">
        <f>ABS(BB789)</f>
        <v>376.04889634639898</v>
      </c>
      <c r="I797" s="66"/>
      <c r="J797" s="66"/>
      <c r="K797" s="9" t="s">
        <v>275</v>
      </c>
      <c r="L797" s="66">
        <v>2.5</v>
      </c>
      <c r="M797" s="66"/>
      <c r="N797" s="9" t="s">
        <v>5</v>
      </c>
      <c r="O797" s="66">
        <f>+H797</f>
        <v>376.04889634639898</v>
      </c>
      <c r="P797" s="66"/>
      <c r="Q797" s="66"/>
      <c r="R797" s="9" t="s">
        <v>9</v>
      </c>
      <c r="S797" s="9">
        <v>3</v>
      </c>
      <c r="T797" s="9" t="s">
        <v>5</v>
      </c>
      <c r="U797" s="66">
        <f>ABS(BA793)</f>
        <v>305.7421875</v>
      </c>
      <c r="V797" s="66"/>
      <c r="W797" s="66"/>
      <c r="X797" s="9" t="s">
        <v>9</v>
      </c>
      <c r="Y797" s="9">
        <v>4</v>
      </c>
      <c r="Z797" s="9" t="s">
        <v>5</v>
      </c>
      <c r="AA797" s="66">
        <f>ABS(BA791)</f>
        <v>373.515625</v>
      </c>
      <c r="AB797" s="66"/>
      <c r="AC797" s="66"/>
      <c r="AD797" s="9" t="s">
        <v>9</v>
      </c>
      <c r="AE797" s="9">
        <v>3</v>
      </c>
      <c r="AF797" s="9" t="s">
        <v>5</v>
      </c>
      <c r="AG797" s="66">
        <f>ABS(BA795)</f>
        <v>242.2265625</v>
      </c>
      <c r="AH797" s="66"/>
      <c r="AI797" s="66"/>
      <c r="AJ797" s="9" t="s">
        <v>201</v>
      </c>
      <c r="AK797" s="66">
        <f>E797*H797/(L797*O797+S797*U797+Y797*AA797+AE797*AG797)</f>
        <v>1.1526499077284678</v>
      </c>
      <c r="AL797" s="66"/>
      <c r="AM797" s="66"/>
      <c r="AN797" s="9"/>
      <c r="AO797" s="9"/>
      <c r="AP797" s="9"/>
      <c r="AQ797" s="9"/>
      <c r="AR797" s="9"/>
      <c r="CC797" s="7"/>
    </row>
    <row r="798" spans="2:81">
      <c r="B798" s="6"/>
      <c r="C798" s="24" t="s">
        <v>303</v>
      </c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CC798" s="7"/>
    </row>
    <row r="799" spans="2:81">
      <c r="B799" s="6"/>
      <c r="C799" s="1" t="s">
        <v>298</v>
      </c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CC799" s="7"/>
    </row>
    <row r="800" spans="2:81">
      <c r="B800" s="6"/>
      <c r="C800" s="24" t="s">
        <v>369</v>
      </c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CC800" s="7"/>
    </row>
    <row r="801" spans="2:81">
      <c r="B801" s="6"/>
      <c r="C801" s="1" t="s">
        <v>298</v>
      </c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CC801" s="7"/>
    </row>
    <row r="802" spans="2:81">
      <c r="B802" s="6"/>
      <c r="C802" s="23" t="s">
        <v>223</v>
      </c>
      <c r="CC802" s="7"/>
    </row>
    <row r="803" spans="2:81">
      <c r="B803" s="6"/>
      <c r="C803" s="24" t="s">
        <v>303</v>
      </c>
      <c r="CC803" s="7"/>
    </row>
    <row r="804" spans="2:81">
      <c r="B804" s="6"/>
      <c r="C804" s="1" t="s">
        <v>305</v>
      </c>
      <c r="E804" s="66">
        <f>-W742</f>
        <v>-20</v>
      </c>
      <c r="F804" s="66"/>
      <c r="G804" s="9" t="s">
        <v>5</v>
      </c>
      <c r="H804" s="1" t="s">
        <v>13</v>
      </c>
      <c r="I804" s="9" t="s">
        <v>6</v>
      </c>
      <c r="J804" s="66">
        <f>Z743</f>
        <v>35</v>
      </c>
      <c r="K804" s="66"/>
      <c r="L804" s="9" t="s">
        <v>5</v>
      </c>
      <c r="M804" s="1" t="s">
        <v>183</v>
      </c>
      <c r="N804" s="1" t="s">
        <v>173</v>
      </c>
      <c r="O804" s="1">
        <v>2</v>
      </c>
      <c r="CC804" s="7"/>
    </row>
    <row r="805" spans="2:81">
      <c r="B805" s="6"/>
      <c r="C805" s="1" t="s">
        <v>304</v>
      </c>
      <c r="E805" s="66">
        <f>+E804</f>
        <v>-20</v>
      </c>
      <c r="F805" s="66"/>
      <c r="G805" s="9" t="s">
        <v>5</v>
      </c>
      <c r="H805" s="1" t="s">
        <v>183</v>
      </c>
      <c r="I805" s="1" t="s">
        <v>173</v>
      </c>
      <c r="J805" s="1">
        <v>2</v>
      </c>
      <c r="K805" s="9" t="s">
        <v>6</v>
      </c>
      <c r="L805" s="66">
        <f>+J804</f>
        <v>35</v>
      </c>
      <c r="M805" s="66"/>
      <c r="N805" s="9" t="s">
        <v>5</v>
      </c>
      <c r="O805" s="1" t="s">
        <v>184</v>
      </c>
      <c r="P805" s="1" t="s">
        <v>173</v>
      </c>
      <c r="Q805" s="1">
        <v>6</v>
      </c>
      <c r="R805" s="9" t="s">
        <v>9</v>
      </c>
      <c r="S805" s="1" t="s">
        <v>24</v>
      </c>
      <c r="CC805" s="7"/>
    </row>
    <row r="806" spans="2:81">
      <c r="B806" s="6"/>
      <c r="C806" s="1" t="s">
        <v>310</v>
      </c>
      <c r="E806" s="66">
        <f>+E805</f>
        <v>-20</v>
      </c>
      <c r="F806" s="66"/>
      <c r="G806" s="9" t="s">
        <v>5</v>
      </c>
      <c r="H806" s="1" t="s">
        <v>184</v>
      </c>
      <c r="I806" s="1" t="s">
        <v>173</v>
      </c>
      <c r="J806" s="1">
        <v>6</v>
      </c>
      <c r="K806" s="9" t="s">
        <v>6</v>
      </c>
      <c r="L806" s="66">
        <f>+L805</f>
        <v>35</v>
      </c>
      <c r="M806" s="66"/>
      <c r="N806" s="9" t="s">
        <v>5</v>
      </c>
      <c r="O806" s="1" t="s">
        <v>185</v>
      </c>
      <c r="P806" s="1" t="s">
        <v>173</v>
      </c>
      <c r="Q806" s="66">
        <v>24</v>
      </c>
      <c r="R806" s="66"/>
      <c r="S806" s="9" t="s">
        <v>9</v>
      </c>
      <c r="T806" s="1" t="s">
        <v>24</v>
      </c>
      <c r="U806" s="9" t="s">
        <v>5</v>
      </c>
      <c r="V806" s="9" t="s">
        <v>13</v>
      </c>
      <c r="W806" s="9" t="s">
        <v>9</v>
      </c>
      <c r="X806" s="1" t="s">
        <v>307</v>
      </c>
      <c r="CC806" s="7"/>
    </row>
    <row r="807" spans="2:81">
      <c r="B807" s="6"/>
      <c r="C807" s="24" t="s">
        <v>308</v>
      </c>
      <c r="CC807" s="7"/>
    </row>
    <row r="808" spans="2:81">
      <c r="B808" s="6"/>
      <c r="C808" s="1" t="s">
        <v>309</v>
      </c>
      <c r="E808" s="66">
        <f>-W742</f>
        <v>-20</v>
      </c>
      <c r="F808" s="66"/>
      <c r="G808" s="9" t="s">
        <v>5</v>
      </c>
      <c r="H808" s="9" t="s">
        <v>13</v>
      </c>
      <c r="I808" s="9" t="s">
        <v>6</v>
      </c>
      <c r="J808" s="66">
        <f>+Z743</f>
        <v>35</v>
      </c>
      <c r="K808" s="66"/>
      <c r="L808" s="9" t="s">
        <v>5</v>
      </c>
      <c r="M808" s="66">
        <f>+Z751</f>
        <v>1.75</v>
      </c>
      <c r="N808" s="66"/>
      <c r="O808" s="9" t="s">
        <v>14</v>
      </c>
      <c r="P808" s="9" t="s">
        <v>13</v>
      </c>
      <c r="Q808" s="9" t="s">
        <v>6</v>
      </c>
      <c r="R808" s="66">
        <f>+Z751/2</f>
        <v>0.875</v>
      </c>
      <c r="S808" s="66"/>
      <c r="T808" s="1" t="s">
        <v>306</v>
      </c>
      <c r="U808" s="66">
        <f>+AC750</f>
        <v>375.60267857142856</v>
      </c>
      <c r="V808" s="66"/>
      <c r="W808" s="1" t="s">
        <v>14</v>
      </c>
      <c r="X808" s="1" t="s">
        <v>13</v>
      </c>
      <c r="Y808" s="9" t="s">
        <v>6</v>
      </c>
      <c r="Z808" s="66">
        <f>+Z751</f>
        <v>1.75</v>
      </c>
      <c r="AA808" s="66"/>
      <c r="AB808" s="1" t="s">
        <v>16</v>
      </c>
      <c r="AC808" s="66">
        <f>+AG744</f>
        <v>65</v>
      </c>
      <c r="AD808" s="66"/>
      <c r="AE808" s="1" t="s">
        <v>14</v>
      </c>
      <c r="AF808" s="1" t="s">
        <v>13</v>
      </c>
      <c r="AG808" s="9" t="s">
        <v>6</v>
      </c>
      <c r="AH808" s="66">
        <f>+Z751</f>
        <v>1.75</v>
      </c>
      <c r="AI808" s="66"/>
      <c r="AJ808" s="1" t="s">
        <v>200</v>
      </c>
      <c r="AK808" s="1" t="s">
        <v>173</v>
      </c>
      <c r="AL808" s="1">
        <v>2</v>
      </c>
      <c r="CC808" s="7"/>
    </row>
    <row r="809" spans="2:81">
      <c r="B809" s="6"/>
      <c r="C809" s="1" t="s">
        <v>312</v>
      </c>
      <c r="E809" s="66">
        <f>+E808</f>
        <v>-20</v>
      </c>
      <c r="F809" s="66"/>
      <c r="G809" s="9" t="s">
        <v>5</v>
      </c>
      <c r="H809" s="1" t="s">
        <v>183</v>
      </c>
      <c r="I809" s="1" t="s">
        <v>173</v>
      </c>
      <c r="J809" s="1">
        <v>2</v>
      </c>
      <c r="K809" s="9" t="s">
        <v>6</v>
      </c>
      <c r="L809" s="66">
        <f>+J808*M808</f>
        <v>61.25</v>
      </c>
      <c r="M809" s="66"/>
      <c r="N809" s="9" t="s">
        <v>14</v>
      </c>
      <c r="O809" s="9" t="s">
        <v>13</v>
      </c>
      <c r="P809" s="9" t="s">
        <v>6</v>
      </c>
      <c r="Q809" s="66">
        <f>+R808</f>
        <v>0.875</v>
      </c>
      <c r="R809" s="66"/>
      <c r="S809" s="1" t="s">
        <v>200</v>
      </c>
      <c r="T809" s="1" t="s">
        <v>173</v>
      </c>
      <c r="U809" s="1">
        <v>2</v>
      </c>
      <c r="V809" s="9" t="s">
        <v>9</v>
      </c>
      <c r="W809" s="66">
        <f>+U808</f>
        <v>375.60267857142856</v>
      </c>
      <c r="X809" s="66"/>
      <c r="Y809" s="1" t="s">
        <v>14</v>
      </c>
      <c r="Z809" s="1" t="s">
        <v>13</v>
      </c>
      <c r="AA809" s="9" t="s">
        <v>6</v>
      </c>
      <c r="AB809" s="66">
        <f>+Z808</f>
        <v>1.75</v>
      </c>
      <c r="AC809" s="66"/>
      <c r="AD809" s="1" t="s">
        <v>200</v>
      </c>
      <c r="AE809" s="1" t="s">
        <v>173</v>
      </c>
      <c r="AF809" s="1">
        <v>2</v>
      </c>
      <c r="AG809" s="9" t="s">
        <v>6</v>
      </c>
      <c r="AH809" s="66">
        <f>+AC808</f>
        <v>65</v>
      </c>
      <c r="AI809" s="66"/>
      <c r="AJ809" s="1" t="s">
        <v>14</v>
      </c>
      <c r="AK809" s="1" t="s">
        <v>13</v>
      </c>
      <c r="AL809" s="9" t="s">
        <v>6</v>
      </c>
      <c r="AM809" s="66">
        <f>+AH808</f>
        <v>1.75</v>
      </c>
      <c r="AN809" s="66"/>
      <c r="AO809" s="1" t="s">
        <v>311</v>
      </c>
      <c r="AP809" s="1" t="s">
        <v>173</v>
      </c>
      <c r="AQ809" s="1">
        <v>6</v>
      </c>
      <c r="AR809" s="9" t="s">
        <v>9</v>
      </c>
      <c r="AS809" s="1" t="s">
        <v>313</v>
      </c>
      <c r="CC809" s="7"/>
    </row>
    <row r="810" spans="2:81">
      <c r="B810" s="6"/>
      <c r="C810" s="1" t="s">
        <v>314</v>
      </c>
      <c r="E810" s="66">
        <f>+E809</f>
        <v>-20</v>
      </c>
      <c r="F810" s="66"/>
      <c r="G810" s="9" t="s">
        <v>5</v>
      </c>
      <c r="H810" s="1" t="s">
        <v>184</v>
      </c>
      <c r="I810" s="1" t="s">
        <v>173</v>
      </c>
      <c r="J810" s="1">
        <v>6</v>
      </c>
      <c r="K810" s="9" t="s">
        <v>6</v>
      </c>
      <c r="L810" s="66">
        <f>+L809</f>
        <v>61.25</v>
      </c>
      <c r="M810" s="66"/>
      <c r="N810" s="9" t="s">
        <v>14</v>
      </c>
      <c r="O810" s="9" t="s">
        <v>13</v>
      </c>
      <c r="P810" s="9" t="s">
        <v>6</v>
      </c>
      <c r="Q810" s="66">
        <f>+Q809</f>
        <v>0.875</v>
      </c>
      <c r="R810" s="66"/>
      <c r="S810" s="1" t="s">
        <v>311</v>
      </c>
      <c r="T810" s="1" t="s">
        <v>173</v>
      </c>
      <c r="U810" s="1">
        <v>6</v>
      </c>
      <c r="V810" s="9" t="s">
        <v>9</v>
      </c>
      <c r="W810" s="66">
        <f>+W809</f>
        <v>375.60267857142856</v>
      </c>
      <c r="X810" s="66"/>
      <c r="Y810" s="1" t="s">
        <v>14</v>
      </c>
      <c r="Z810" s="1" t="s">
        <v>13</v>
      </c>
      <c r="AA810" s="9" t="s">
        <v>6</v>
      </c>
      <c r="AB810" s="66">
        <f>+AB809</f>
        <v>1.75</v>
      </c>
      <c r="AC810" s="66"/>
      <c r="AD810" s="1" t="s">
        <v>311</v>
      </c>
      <c r="AE810" s="1" t="s">
        <v>173</v>
      </c>
      <c r="AF810" s="1">
        <v>6</v>
      </c>
      <c r="AG810" s="9" t="s">
        <v>6</v>
      </c>
      <c r="AH810" s="66">
        <f>+AH809</f>
        <v>65</v>
      </c>
      <c r="AI810" s="66"/>
      <c r="AJ810" s="1" t="s">
        <v>14</v>
      </c>
      <c r="AK810" s="1" t="s">
        <v>13</v>
      </c>
      <c r="AL810" s="9" t="s">
        <v>6</v>
      </c>
      <c r="AM810" s="66">
        <f>+AM809</f>
        <v>1.75</v>
      </c>
      <c r="AN810" s="66"/>
      <c r="AO810" s="1" t="s">
        <v>342</v>
      </c>
      <c r="AP810" s="1" t="s">
        <v>173</v>
      </c>
      <c r="AQ810" s="66">
        <v>24</v>
      </c>
      <c r="AR810" s="66"/>
      <c r="AS810" s="9" t="s">
        <v>9</v>
      </c>
      <c r="AT810" s="1" t="s">
        <v>313</v>
      </c>
      <c r="AU810" s="9" t="s">
        <v>5</v>
      </c>
      <c r="AV810" s="9" t="s">
        <v>13</v>
      </c>
      <c r="AW810" s="9" t="s">
        <v>9</v>
      </c>
      <c r="AX810" s="1" t="s">
        <v>315</v>
      </c>
      <c r="CC810" s="7"/>
    </row>
    <row r="811" spans="2:81">
      <c r="B811" s="6"/>
      <c r="C811" s="24" t="s">
        <v>332</v>
      </c>
      <c r="CC811" s="7"/>
    </row>
    <row r="812" spans="2:81">
      <c r="B812" s="6"/>
      <c r="C812" s="1" t="s">
        <v>333</v>
      </c>
      <c r="E812" s="66">
        <f>-W742</f>
        <v>-20</v>
      </c>
      <c r="F812" s="66"/>
      <c r="G812" s="9" t="s">
        <v>5</v>
      </c>
      <c r="H812" s="9" t="s">
        <v>13</v>
      </c>
      <c r="I812" s="9" t="s">
        <v>6</v>
      </c>
      <c r="J812" s="66">
        <f>+Z743</f>
        <v>35</v>
      </c>
      <c r="K812" s="66"/>
      <c r="L812" s="9" t="s">
        <v>5</v>
      </c>
      <c r="M812" s="66">
        <f>+Z751</f>
        <v>1.75</v>
      </c>
      <c r="N812" s="66"/>
      <c r="O812" s="9" t="s">
        <v>14</v>
      </c>
      <c r="P812" s="9" t="s">
        <v>13</v>
      </c>
      <c r="Q812" s="9" t="s">
        <v>6</v>
      </c>
      <c r="R812" s="66">
        <f>+Z751/2</f>
        <v>0.875</v>
      </c>
      <c r="S812" s="66"/>
      <c r="T812" s="1" t="s">
        <v>306</v>
      </c>
      <c r="U812" s="66">
        <f>+AC750</f>
        <v>375.60267857142856</v>
      </c>
      <c r="V812" s="66"/>
      <c r="W812" s="1" t="s">
        <v>14</v>
      </c>
      <c r="X812" s="1" t="s">
        <v>13</v>
      </c>
      <c r="Y812" s="9" t="s">
        <v>6</v>
      </c>
      <c r="Z812" s="66">
        <f>+Z751</f>
        <v>1.75</v>
      </c>
      <c r="AA812" s="66"/>
      <c r="AB812" s="1" t="s">
        <v>16</v>
      </c>
      <c r="AC812" s="66">
        <f>+AG744</f>
        <v>65</v>
      </c>
      <c r="AD812" s="66"/>
      <c r="AE812" s="1" t="s">
        <v>14</v>
      </c>
      <c r="AF812" s="1" t="s">
        <v>13</v>
      </c>
      <c r="AG812" s="9" t="s">
        <v>6</v>
      </c>
      <c r="AH812" s="66">
        <f>+Z751</f>
        <v>1.75</v>
      </c>
      <c r="AI812" s="66"/>
      <c r="AJ812" s="1" t="s">
        <v>200</v>
      </c>
      <c r="AK812" s="1" t="s">
        <v>173</v>
      </c>
      <c r="AL812" s="1">
        <v>2</v>
      </c>
      <c r="AM812" s="9" t="s">
        <v>6</v>
      </c>
      <c r="AN812" s="66">
        <f>+AJ743</f>
        <v>85</v>
      </c>
      <c r="AO812" s="66"/>
      <c r="AP812" s="1" t="s">
        <v>14</v>
      </c>
      <c r="AQ812" s="1" t="s">
        <v>13</v>
      </c>
      <c r="AR812" s="9" t="s">
        <v>6</v>
      </c>
      <c r="AS812" s="66">
        <f>+AF751+Z751</f>
        <v>3.25</v>
      </c>
      <c r="AT812" s="66"/>
      <c r="AU812" s="1" t="s">
        <v>40</v>
      </c>
      <c r="CC812" s="7"/>
    </row>
    <row r="813" spans="2:81">
      <c r="B813" s="6"/>
      <c r="C813" s="1" t="s">
        <v>334</v>
      </c>
      <c r="E813" s="66">
        <f>+E812</f>
        <v>-20</v>
      </c>
      <c r="F813" s="66"/>
      <c r="G813" s="9" t="s">
        <v>5</v>
      </c>
      <c r="H813" s="1" t="s">
        <v>183</v>
      </c>
      <c r="I813" s="1" t="s">
        <v>173</v>
      </c>
      <c r="J813" s="1">
        <v>2</v>
      </c>
      <c r="K813" s="9" t="s">
        <v>6</v>
      </c>
      <c r="L813" s="66">
        <f>+J812*M812</f>
        <v>61.25</v>
      </c>
      <c r="M813" s="66"/>
      <c r="N813" s="9" t="s">
        <v>14</v>
      </c>
      <c r="O813" s="9" t="s">
        <v>13</v>
      </c>
      <c r="P813" s="9" t="s">
        <v>6</v>
      </c>
      <c r="Q813" s="66">
        <f>+R812</f>
        <v>0.875</v>
      </c>
      <c r="R813" s="66"/>
      <c r="S813" s="1" t="s">
        <v>200</v>
      </c>
      <c r="T813" s="1" t="s">
        <v>173</v>
      </c>
      <c r="U813" s="1">
        <v>2</v>
      </c>
      <c r="V813" s="9" t="s">
        <v>9</v>
      </c>
      <c r="W813" s="66">
        <f>+U812</f>
        <v>375.60267857142856</v>
      </c>
      <c r="X813" s="66"/>
      <c r="Y813" s="1" t="s">
        <v>14</v>
      </c>
      <c r="Z813" s="1" t="s">
        <v>13</v>
      </c>
      <c r="AA813" s="9" t="s">
        <v>6</v>
      </c>
      <c r="AB813" s="66">
        <f>+Z812</f>
        <v>1.75</v>
      </c>
      <c r="AC813" s="66"/>
      <c r="AD813" s="1" t="s">
        <v>200</v>
      </c>
      <c r="AE813" s="1" t="s">
        <v>173</v>
      </c>
      <c r="AF813" s="1">
        <v>2</v>
      </c>
      <c r="AG813" s="9" t="s">
        <v>6</v>
      </c>
      <c r="AH813" s="66">
        <f>+AC812</f>
        <v>65</v>
      </c>
      <c r="AI813" s="66"/>
      <c r="AJ813" s="1" t="s">
        <v>14</v>
      </c>
      <c r="AK813" s="1" t="s">
        <v>13</v>
      </c>
      <c r="AL813" s="9" t="s">
        <v>6</v>
      </c>
      <c r="AM813" s="66">
        <f>+AH812</f>
        <v>1.75</v>
      </c>
      <c r="AN813" s="66"/>
      <c r="AO813" s="1" t="s">
        <v>311</v>
      </c>
      <c r="AP813" s="1" t="s">
        <v>173</v>
      </c>
      <c r="AQ813" s="1">
        <v>6</v>
      </c>
      <c r="AR813" s="9" t="s">
        <v>6</v>
      </c>
      <c r="AS813" s="66">
        <f>+AN812</f>
        <v>85</v>
      </c>
      <c r="AT813" s="66"/>
      <c r="AU813" s="1" t="s">
        <v>14</v>
      </c>
      <c r="AV813" s="1" t="s">
        <v>13</v>
      </c>
      <c r="AW813" s="9" t="s">
        <v>6</v>
      </c>
      <c r="AX813" s="66">
        <f>+AS812</f>
        <v>3.25</v>
      </c>
      <c r="AY813" s="66"/>
      <c r="AZ813" s="1" t="s">
        <v>200</v>
      </c>
      <c r="BA813" s="1" t="s">
        <v>173</v>
      </c>
      <c r="BB813" s="1">
        <v>2</v>
      </c>
      <c r="BC813" s="9" t="s">
        <v>9</v>
      </c>
      <c r="BD813" s="1" t="s">
        <v>335</v>
      </c>
      <c r="CC813" s="7"/>
    </row>
    <row r="814" spans="2:81">
      <c r="B814" s="6"/>
      <c r="C814" s="1" t="s">
        <v>336</v>
      </c>
      <c r="E814" s="66">
        <f>+E813</f>
        <v>-20</v>
      </c>
      <c r="F814" s="66"/>
      <c r="G814" s="9" t="s">
        <v>5</v>
      </c>
      <c r="H814" s="1" t="s">
        <v>184</v>
      </c>
      <c r="I814" s="1" t="s">
        <v>173</v>
      </c>
      <c r="J814" s="1">
        <v>6</v>
      </c>
      <c r="K814" s="9" t="s">
        <v>6</v>
      </c>
      <c r="L814" s="66">
        <f>+L813</f>
        <v>61.25</v>
      </c>
      <c r="M814" s="66"/>
      <c r="N814" s="9" t="s">
        <v>14</v>
      </c>
      <c r="O814" s="9" t="s">
        <v>13</v>
      </c>
      <c r="P814" s="9" t="s">
        <v>6</v>
      </c>
      <c r="Q814" s="66">
        <f>+Q813</f>
        <v>0.875</v>
      </c>
      <c r="R814" s="66"/>
      <c r="S814" s="1" t="s">
        <v>311</v>
      </c>
      <c r="T814" s="1" t="s">
        <v>173</v>
      </c>
      <c r="U814" s="1">
        <v>6</v>
      </c>
      <c r="V814" s="9" t="s">
        <v>9</v>
      </c>
      <c r="W814" s="66">
        <f>+W813</f>
        <v>375.60267857142856</v>
      </c>
      <c r="X814" s="66"/>
      <c r="Y814" s="1" t="s">
        <v>14</v>
      </c>
      <c r="Z814" s="1" t="s">
        <v>13</v>
      </c>
      <c r="AA814" s="9" t="s">
        <v>6</v>
      </c>
      <c r="AB814" s="66">
        <f>+AB813</f>
        <v>1.75</v>
      </c>
      <c r="AC814" s="66"/>
      <c r="AD814" s="1" t="s">
        <v>311</v>
      </c>
      <c r="AE814" s="1" t="s">
        <v>173</v>
      </c>
      <c r="AF814" s="1">
        <v>6</v>
      </c>
      <c r="AG814" s="9" t="s">
        <v>6</v>
      </c>
      <c r="AH814" s="66">
        <f>+AH813</f>
        <v>65</v>
      </c>
      <c r="AI814" s="66"/>
      <c r="AJ814" s="1" t="s">
        <v>14</v>
      </c>
      <c r="AK814" s="1" t="s">
        <v>13</v>
      </c>
      <c r="AL814" s="9" t="s">
        <v>6</v>
      </c>
      <c r="AM814" s="66">
        <f>+AM813</f>
        <v>1.75</v>
      </c>
      <c r="AN814" s="66"/>
      <c r="AO814" s="1" t="s">
        <v>342</v>
      </c>
      <c r="AP814" s="1" t="s">
        <v>173</v>
      </c>
      <c r="AQ814" s="66">
        <v>24</v>
      </c>
      <c r="AR814" s="66"/>
      <c r="AS814" s="9" t="s">
        <v>6</v>
      </c>
      <c r="AT814" s="66">
        <f>+AS813</f>
        <v>85</v>
      </c>
      <c r="AU814" s="66"/>
      <c r="AV814" s="1" t="s">
        <v>14</v>
      </c>
      <c r="AW814" s="1" t="s">
        <v>13</v>
      </c>
      <c r="AX814" s="9" t="s">
        <v>6</v>
      </c>
      <c r="AY814" s="66">
        <f>+AX813</f>
        <v>3.25</v>
      </c>
      <c r="AZ814" s="66"/>
      <c r="BA814" s="1" t="s">
        <v>311</v>
      </c>
      <c r="BB814" s="1" t="s">
        <v>173</v>
      </c>
      <c r="BC814" s="1">
        <v>6</v>
      </c>
      <c r="BD814" s="9" t="s">
        <v>9</v>
      </c>
      <c r="BE814" s="1" t="s">
        <v>335</v>
      </c>
      <c r="BF814" s="9" t="s">
        <v>5</v>
      </c>
      <c r="BG814" s="9" t="s">
        <v>13</v>
      </c>
      <c r="BH814" s="9" t="s">
        <v>9</v>
      </c>
      <c r="BI814" s="1" t="s">
        <v>337</v>
      </c>
      <c r="CC814" s="7"/>
    </row>
    <row r="815" spans="2:81">
      <c r="B815" s="6"/>
      <c r="C815" s="24" t="s">
        <v>369</v>
      </c>
      <c r="CC815" s="7"/>
    </row>
    <row r="816" spans="2:81">
      <c r="B816" s="6"/>
      <c r="C816" s="1" t="s">
        <v>370</v>
      </c>
      <c r="E816" s="66">
        <f>-W742</f>
        <v>-20</v>
      </c>
      <c r="F816" s="66"/>
      <c r="G816" s="9" t="s">
        <v>5</v>
      </c>
      <c r="H816" s="9" t="s">
        <v>13</v>
      </c>
      <c r="I816" s="9" t="s">
        <v>6</v>
      </c>
      <c r="J816" s="66">
        <f>Z743</f>
        <v>35</v>
      </c>
      <c r="K816" s="66"/>
      <c r="L816" s="9" t="s">
        <v>5</v>
      </c>
      <c r="M816" s="66">
        <f>+Z751</f>
        <v>1.75</v>
      </c>
      <c r="N816" s="66"/>
      <c r="O816" s="9" t="s">
        <v>14</v>
      </c>
      <c r="P816" s="9" t="s">
        <v>13</v>
      </c>
      <c r="Q816" s="9" t="s">
        <v>6</v>
      </c>
      <c r="R816" s="66">
        <f>+Z751/2</f>
        <v>0.875</v>
      </c>
      <c r="S816" s="66"/>
      <c r="T816" s="1" t="s">
        <v>306</v>
      </c>
      <c r="U816" s="66">
        <f>+AC750</f>
        <v>375.60267857142856</v>
      </c>
      <c r="V816" s="66"/>
      <c r="W816" s="1" t="s">
        <v>14</v>
      </c>
      <c r="X816" s="9" t="s">
        <v>13</v>
      </c>
      <c r="Y816" s="9" t="s">
        <v>6</v>
      </c>
      <c r="Z816" s="66">
        <f>+Z751</f>
        <v>1.75</v>
      </c>
      <c r="AA816" s="66"/>
      <c r="AB816" s="1" t="s">
        <v>16</v>
      </c>
      <c r="AC816" s="66">
        <f>+AG744</f>
        <v>65</v>
      </c>
      <c r="AD816" s="66"/>
      <c r="AE816" s="9" t="s">
        <v>5</v>
      </c>
      <c r="AF816" s="66">
        <f>+AJ753</f>
        <v>7</v>
      </c>
      <c r="AG816" s="66"/>
      <c r="AH816" s="1" t="s">
        <v>14</v>
      </c>
      <c r="AI816" s="9" t="s">
        <v>13</v>
      </c>
      <c r="AJ816" s="9" t="s">
        <v>6</v>
      </c>
      <c r="AK816" s="66">
        <f>+Z751+AJ753/2</f>
        <v>5.25</v>
      </c>
      <c r="AL816" s="66"/>
      <c r="AM816" s="1" t="s">
        <v>16</v>
      </c>
      <c r="AN816" s="66">
        <f>+AJ743</f>
        <v>85</v>
      </c>
      <c r="AO816" s="66"/>
      <c r="AP816" s="1" t="s">
        <v>14</v>
      </c>
      <c r="AQ816" s="9" t="s">
        <v>13</v>
      </c>
      <c r="AR816" s="9" t="s">
        <v>6</v>
      </c>
      <c r="AS816" s="66">
        <f>+Z751+AF751</f>
        <v>3.25</v>
      </c>
      <c r="AT816" s="66"/>
      <c r="AU816" s="1" t="s">
        <v>306</v>
      </c>
      <c r="AV816" s="66">
        <f>+AQ750</f>
        <v>323.14732142857144</v>
      </c>
      <c r="AW816" s="66"/>
      <c r="AX816" s="1" t="s">
        <v>14</v>
      </c>
      <c r="AY816" s="9" t="s">
        <v>13</v>
      </c>
      <c r="AZ816" s="9" t="s">
        <v>6</v>
      </c>
      <c r="BA816" s="66">
        <f>+Z751+AJ753</f>
        <v>8.75</v>
      </c>
      <c r="BB816" s="66"/>
      <c r="BC816" s="1" t="s">
        <v>16</v>
      </c>
      <c r="BD816" s="66">
        <f>AS743</f>
        <v>25</v>
      </c>
      <c r="BE816" s="66"/>
      <c r="BF816" s="1" t="s">
        <v>14</v>
      </c>
      <c r="BG816" s="9" t="s">
        <v>13</v>
      </c>
      <c r="BH816" s="9" t="s">
        <v>6</v>
      </c>
      <c r="BI816" s="66">
        <f>+Z751+AJ753</f>
        <v>8.75</v>
      </c>
      <c r="BJ816" s="66"/>
      <c r="BK816" s="1" t="s">
        <v>200</v>
      </c>
      <c r="BL816" s="1" t="s">
        <v>173</v>
      </c>
      <c r="BM816" s="1">
        <v>2</v>
      </c>
      <c r="BN816" s="9"/>
      <c r="BR816" s="9"/>
      <c r="BS816" s="9"/>
      <c r="CC816" s="7"/>
    </row>
    <row r="817" spans="2:81">
      <c r="B817" s="6"/>
      <c r="C817" s="1" t="s">
        <v>371</v>
      </c>
      <c r="E817" s="66">
        <f>+E816</f>
        <v>-20</v>
      </c>
      <c r="F817" s="66"/>
      <c r="G817" s="9" t="s">
        <v>5</v>
      </c>
      <c r="H817" s="1" t="s">
        <v>183</v>
      </c>
      <c r="I817" s="1" t="s">
        <v>173</v>
      </c>
      <c r="J817" s="1">
        <v>2</v>
      </c>
      <c r="K817" s="9" t="s">
        <v>6</v>
      </c>
      <c r="L817" s="66">
        <f>+J816*M816</f>
        <v>61.25</v>
      </c>
      <c r="M817" s="66"/>
      <c r="N817" s="9" t="s">
        <v>14</v>
      </c>
      <c r="O817" s="9" t="s">
        <v>13</v>
      </c>
      <c r="P817" s="9" t="s">
        <v>6</v>
      </c>
      <c r="Q817" s="66">
        <f>+R816</f>
        <v>0.875</v>
      </c>
      <c r="R817" s="66"/>
      <c r="S817" s="1" t="s">
        <v>200</v>
      </c>
      <c r="T817" s="1" t="s">
        <v>173</v>
      </c>
      <c r="U817" s="1">
        <v>2</v>
      </c>
      <c r="V817" s="9" t="s">
        <v>9</v>
      </c>
      <c r="W817" s="66">
        <f>+U816</f>
        <v>375.60267857142856</v>
      </c>
      <c r="X817" s="66"/>
      <c r="Y817" s="1" t="s">
        <v>14</v>
      </c>
      <c r="Z817" s="9" t="s">
        <v>13</v>
      </c>
      <c r="AA817" s="9" t="s">
        <v>6</v>
      </c>
      <c r="AB817" s="66">
        <f>+Z816</f>
        <v>1.75</v>
      </c>
      <c r="AC817" s="66"/>
      <c r="AD817" s="1" t="s">
        <v>200</v>
      </c>
      <c r="AE817" s="1" t="s">
        <v>173</v>
      </c>
      <c r="AF817" s="1">
        <v>2</v>
      </c>
      <c r="AG817" s="9" t="s">
        <v>6</v>
      </c>
      <c r="AH817" s="66">
        <f>+AC816*AF816</f>
        <v>455</v>
      </c>
      <c r="AI817" s="66"/>
      <c r="AJ817" s="1" t="s">
        <v>14</v>
      </c>
      <c r="AK817" s="9" t="s">
        <v>13</v>
      </c>
      <c r="AL817" s="9" t="s">
        <v>6</v>
      </c>
      <c r="AM817" s="66">
        <f>+AK816</f>
        <v>5.25</v>
      </c>
      <c r="AN817" s="66"/>
      <c r="AO817" s="1" t="s">
        <v>200</v>
      </c>
      <c r="AP817" s="1" t="s">
        <v>173</v>
      </c>
      <c r="AQ817" s="1">
        <v>2</v>
      </c>
      <c r="AR817" s="9" t="s">
        <v>6</v>
      </c>
      <c r="AS817" s="66">
        <f>+AN816</f>
        <v>85</v>
      </c>
      <c r="AT817" s="66"/>
      <c r="AU817" s="1" t="s">
        <v>14</v>
      </c>
      <c r="AV817" s="9" t="s">
        <v>13</v>
      </c>
      <c r="AW817" s="9" t="s">
        <v>6</v>
      </c>
      <c r="AX817" s="66">
        <f>+AS816</f>
        <v>3.25</v>
      </c>
      <c r="AY817" s="66"/>
      <c r="AZ817" s="1" t="s">
        <v>200</v>
      </c>
      <c r="BA817" s="1" t="s">
        <v>173</v>
      </c>
      <c r="BB817" s="1">
        <v>2</v>
      </c>
      <c r="BC817" s="9" t="s">
        <v>9</v>
      </c>
      <c r="BD817" s="66">
        <f>+AV816</f>
        <v>323.14732142857144</v>
      </c>
      <c r="BE817" s="66"/>
      <c r="BF817" s="1" t="s">
        <v>14</v>
      </c>
      <c r="BG817" s="9" t="s">
        <v>13</v>
      </c>
      <c r="BH817" s="9" t="s">
        <v>6</v>
      </c>
      <c r="BI817" s="66">
        <f>+BA816</f>
        <v>8.75</v>
      </c>
      <c r="BJ817" s="66"/>
      <c r="BK817" s="1" t="s">
        <v>200</v>
      </c>
      <c r="BL817" s="1" t="s">
        <v>173</v>
      </c>
      <c r="BM817" s="1">
        <v>2</v>
      </c>
      <c r="BN817" s="9" t="s">
        <v>6</v>
      </c>
      <c r="BO817" s="66">
        <f>+BD816</f>
        <v>25</v>
      </c>
      <c r="BP817" s="66"/>
      <c r="BQ817" s="1" t="s">
        <v>14</v>
      </c>
      <c r="BR817" s="9" t="s">
        <v>13</v>
      </c>
      <c r="BS817" s="9" t="s">
        <v>6</v>
      </c>
      <c r="BT817" s="66">
        <f>+BI816</f>
        <v>8.75</v>
      </c>
      <c r="BU817" s="66"/>
      <c r="BV817" s="1" t="s">
        <v>311</v>
      </c>
      <c r="BW817" s="1" t="s">
        <v>173</v>
      </c>
      <c r="BX817" s="1">
        <v>6</v>
      </c>
      <c r="BY817" s="9" t="s">
        <v>9</v>
      </c>
      <c r="BZ817" s="1" t="s">
        <v>368</v>
      </c>
      <c r="CC817" s="7"/>
    </row>
    <row r="818" spans="2:81">
      <c r="B818" s="6"/>
      <c r="C818" s="1" t="s">
        <v>372</v>
      </c>
      <c r="E818" s="66">
        <f>+E817</f>
        <v>-20</v>
      </c>
      <c r="F818" s="66"/>
      <c r="G818" s="9" t="s">
        <v>5</v>
      </c>
      <c r="H818" s="1" t="s">
        <v>184</v>
      </c>
      <c r="I818" s="1" t="s">
        <v>173</v>
      </c>
      <c r="J818" s="1">
        <v>6</v>
      </c>
      <c r="K818" s="9" t="s">
        <v>6</v>
      </c>
      <c r="L818" s="66">
        <f>+L817</f>
        <v>61.25</v>
      </c>
      <c r="M818" s="66"/>
      <c r="N818" s="9" t="s">
        <v>14</v>
      </c>
      <c r="O818" s="9" t="s">
        <v>13</v>
      </c>
      <c r="P818" s="9" t="s">
        <v>6</v>
      </c>
      <c r="Q818" s="66">
        <f>+Q817</f>
        <v>0.875</v>
      </c>
      <c r="R818" s="66"/>
      <c r="S818" s="1" t="s">
        <v>311</v>
      </c>
      <c r="T818" s="1" t="s">
        <v>173</v>
      </c>
      <c r="U818" s="1">
        <v>6</v>
      </c>
      <c r="V818" s="9" t="s">
        <v>9</v>
      </c>
      <c r="W818" s="66">
        <f>+W817</f>
        <v>375.60267857142856</v>
      </c>
      <c r="X818" s="66"/>
      <c r="Y818" s="1" t="s">
        <v>14</v>
      </c>
      <c r="Z818" s="9" t="s">
        <v>13</v>
      </c>
      <c r="AA818" s="9" t="s">
        <v>6</v>
      </c>
      <c r="AB818" s="66">
        <f>+AB817</f>
        <v>1.75</v>
      </c>
      <c r="AC818" s="66"/>
      <c r="AD818" s="1" t="s">
        <v>311</v>
      </c>
      <c r="AE818" s="1" t="s">
        <v>173</v>
      </c>
      <c r="AF818" s="1">
        <v>6</v>
      </c>
      <c r="AG818" s="9" t="s">
        <v>6</v>
      </c>
      <c r="AH818" s="66">
        <f>+AH817</f>
        <v>455</v>
      </c>
      <c r="AI818" s="66"/>
      <c r="AJ818" s="1" t="s">
        <v>14</v>
      </c>
      <c r="AK818" s="9" t="s">
        <v>13</v>
      </c>
      <c r="AL818" s="9" t="s">
        <v>6</v>
      </c>
      <c r="AM818" s="66">
        <f>+AM817</f>
        <v>5.25</v>
      </c>
      <c r="AN818" s="66"/>
      <c r="AO818" s="1" t="s">
        <v>311</v>
      </c>
      <c r="AP818" s="1" t="s">
        <v>173</v>
      </c>
      <c r="AQ818" s="1">
        <v>6</v>
      </c>
      <c r="AR818" s="9" t="s">
        <v>6</v>
      </c>
      <c r="AS818" s="66">
        <f>+AS817</f>
        <v>85</v>
      </c>
      <c r="AT818" s="66"/>
      <c r="AU818" s="1" t="s">
        <v>14</v>
      </c>
      <c r="AV818" s="9" t="s">
        <v>13</v>
      </c>
      <c r="AW818" s="9" t="s">
        <v>6</v>
      </c>
      <c r="AX818" s="66">
        <f>+AX817</f>
        <v>3.25</v>
      </c>
      <c r="AY818" s="66"/>
      <c r="AZ818" s="1" t="s">
        <v>311</v>
      </c>
      <c r="BA818" s="1" t="s">
        <v>173</v>
      </c>
      <c r="BB818" s="1">
        <v>6</v>
      </c>
      <c r="BC818" s="9" t="s">
        <v>9</v>
      </c>
      <c r="BD818" s="66">
        <f>+BD817</f>
        <v>323.14732142857144</v>
      </c>
      <c r="BE818" s="66"/>
      <c r="BF818" s="1" t="s">
        <v>14</v>
      </c>
      <c r="BG818" s="9" t="s">
        <v>13</v>
      </c>
      <c r="BH818" s="9" t="s">
        <v>6</v>
      </c>
      <c r="BI818" s="66">
        <f>+BI817</f>
        <v>8.75</v>
      </c>
      <c r="BJ818" s="66"/>
      <c r="BK818" s="1" t="s">
        <v>311</v>
      </c>
      <c r="BL818" s="1" t="s">
        <v>173</v>
      </c>
      <c r="BM818" s="1">
        <v>6</v>
      </c>
      <c r="BN818" s="9" t="s">
        <v>6</v>
      </c>
      <c r="BO818" s="66">
        <f>+BO817</f>
        <v>25</v>
      </c>
      <c r="BP818" s="66"/>
      <c r="BQ818" s="1" t="s">
        <v>14</v>
      </c>
      <c r="BR818" s="9" t="s">
        <v>13</v>
      </c>
      <c r="BS818" s="9" t="s">
        <v>6</v>
      </c>
      <c r="BT818" s="66">
        <f>+BT817</f>
        <v>8.75</v>
      </c>
      <c r="BU818" s="66"/>
      <c r="BV818" s="1" t="s">
        <v>342</v>
      </c>
      <c r="BW818" s="1" t="s">
        <v>173</v>
      </c>
      <c r="BX818" s="66">
        <v>24</v>
      </c>
      <c r="BY818" s="66"/>
      <c r="BZ818" s="9" t="s">
        <v>9</v>
      </c>
      <c r="CC818" s="7"/>
    </row>
    <row r="819" spans="2:81">
      <c r="B819" s="6"/>
      <c r="E819" s="9" t="s">
        <v>9</v>
      </c>
      <c r="F819" s="1" t="s">
        <v>368</v>
      </c>
      <c r="G819" s="9" t="s">
        <v>5</v>
      </c>
      <c r="H819" s="9" t="s">
        <v>13</v>
      </c>
      <c r="I819" s="9" t="s">
        <v>9</v>
      </c>
      <c r="J819" s="1" t="s">
        <v>373</v>
      </c>
      <c r="CC819" s="7"/>
    </row>
    <row r="820" spans="2:81">
      <c r="B820" s="6"/>
      <c r="C820" s="24" t="s">
        <v>318</v>
      </c>
      <c r="E820" s="9"/>
      <c r="F820" s="9"/>
      <c r="G820" s="9"/>
      <c r="J820" s="9"/>
      <c r="K820" s="9"/>
      <c r="L820" s="9"/>
      <c r="P820" s="9"/>
      <c r="R820" s="9"/>
      <c r="S820" s="9"/>
      <c r="T820" s="9"/>
      <c r="CC820" s="7"/>
    </row>
    <row r="821" spans="2:81">
      <c r="B821" s="6"/>
      <c r="C821" s="1" t="s">
        <v>324</v>
      </c>
      <c r="I821" s="66">
        <f>+E806</f>
        <v>-20</v>
      </c>
      <c r="J821" s="66"/>
      <c r="K821" s="9" t="s">
        <v>5</v>
      </c>
      <c r="L821" s="66">
        <f>+Z751</f>
        <v>1.75</v>
      </c>
      <c r="M821" s="66"/>
      <c r="N821" s="1" t="s">
        <v>30</v>
      </c>
      <c r="O821" s="1">
        <v>6</v>
      </c>
      <c r="P821" s="9" t="s">
        <v>6</v>
      </c>
      <c r="Q821" s="66">
        <f>+L806</f>
        <v>35</v>
      </c>
      <c r="R821" s="66"/>
      <c r="S821" s="9" t="s">
        <v>5</v>
      </c>
      <c r="T821" s="66">
        <f>+L821</f>
        <v>1.75</v>
      </c>
      <c r="U821" s="66"/>
      <c r="V821" s="1" t="s">
        <v>186</v>
      </c>
      <c r="W821" s="66">
        <v>24</v>
      </c>
      <c r="X821" s="66"/>
      <c r="Y821" s="9" t="s">
        <v>9</v>
      </c>
      <c r="Z821" s="1" t="s">
        <v>24</v>
      </c>
      <c r="AA821" s="9" t="s">
        <v>5</v>
      </c>
      <c r="AB821" s="66">
        <f>+T821</f>
        <v>1.75</v>
      </c>
      <c r="AC821" s="66"/>
      <c r="AD821" s="9" t="s">
        <v>9</v>
      </c>
      <c r="AE821" s="1" t="s">
        <v>307</v>
      </c>
      <c r="AF821" s="9" t="s">
        <v>7</v>
      </c>
      <c r="AG821" s="9">
        <v>0</v>
      </c>
      <c r="AJ821" s="1" t="s">
        <v>24</v>
      </c>
      <c r="AK821" s="9" t="s">
        <v>5</v>
      </c>
      <c r="AL821" s="66">
        <f>+AB821</f>
        <v>1.75</v>
      </c>
      <c r="AM821" s="66"/>
      <c r="AN821" s="9" t="s">
        <v>9</v>
      </c>
      <c r="AO821" s="1" t="s">
        <v>307</v>
      </c>
      <c r="AP821" s="1" t="s">
        <v>9</v>
      </c>
      <c r="AQ821" s="66">
        <f>I821*L821^3/O821-Q821*T821^4/W821</f>
        <v>-31.542154947916664</v>
      </c>
      <c r="AR821" s="66"/>
      <c r="AS821" s="66"/>
      <c r="AT821" s="9" t="s">
        <v>7</v>
      </c>
      <c r="AU821" s="9">
        <v>0</v>
      </c>
      <c r="AW821" s="1" t="s">
        <v>352</v>
      </c>
      <c r="CC821" s="7"/>
    </row>
    <row r="822" spans="2:81">
      <c r="B822" s="6"/>
      <c r="C822" s="1" t="s">
        <v>345</v>
      </c>
      <c r="I822" s="66">
        <f>+E810</f>
        <v>-20</v>
      </c>
      <c r="J822" s="66"/>
      <c r="K822" s="9" t="s">
        <v>5</v>
      </c>
      <c r="L822" s="66">
        <f>+Z751</f>
        <v>1.75</v>
      </c>
      <c r="M822" s="66"/>
      <c r="N822" s="1" t="s">
        <v>30</v>
      </c>
      <c r="O822" s="1">
        <v>6</v>
      </c>
      <c r="P822" s="9" t="s">
        <v>6</v>
      </c>
      <c r="Q822" s="66">
        <f>+L810</f>
        <v>61.25</v>
      </c>
      <c r="R822" s="66"/>
      <c r="S822" s="9" t="s">
        <v>14</v>
      </c>
      <c r="T822" s="66">
        <f>+L822</f>
        <v>1.75</v>
      </c>
      <c r="U822" s="66"/>
      <c r="V822" s="9" t="s">
        <v>6</v>
      </c>
      <c r="W822" s="66">
        <f>+Q810</f>
        <v>0.875</v>
      </c>
      <c r="X822" s="66"/>
      <c r="Y822" s="1" t="s">
        <v>311</v>
      </c>
      <c r="Z822" s="1" t="s">
        <v>173</v>
      </c>
      <c r="AA822" s="1">
        <v>6</v>
      </c>
      <c r="AB822" s="9" t="s">
        <v>9</v>
      </c>
      <c r="AC822" s="66">
        <f>+W810</f>
        <v>375.60267857142856</v>
      </c>
      <c r="AD822" s="66"/>
      <c r="AE822" s="1" t="s">
        <v>14</v>
      </c>
      <c r="AF822" s="66">
        <f>+T822</f>
        <v>1.75</v>
      </c>
      <c r="AG822" s="66"/>
      <c r="AH822" s="9" t="s">
        <v>6</v>
      </c>
      <c r="AI822" s="66">
        <f>+AB810</f>
        <v>1.75</v>
      </c>
      <c r="AJ822" s="66"/>
      <c r="AK822" s="1" t="s">
        <v>311</v>
      </c>
      <c r="AL822" s="1" t="s">
        <v>173</v>
      </c>
      <c r="AM822" s="1">
        <v>6</v>
      </c>
      <c r="AN822" s="9" t="s">
        <v>6</v>
      </c>
      <c r="AO822" s="66">
        <f>+AH810</f>
        <v>65</v>
      </c>
      <c r="AP822" s="66"/>
      <c r="AQ822" s="1" t="s">
        <v>14</v>
      </c>
      <c r="AR822" s="66">
        <f>+AF822</f>
        <v>1.75</v>
      </c>
      <c r="AS822" s="66"/>
      <c r="AT822" s="9" t="s">
        <v>6</v>
      </c>
      <c r="AU822" s="66">
        <f>+AM810</f>
        <v>1.75</v>
      </c>
      <c r="AV822" s="66"/>
      <c r="AW822" s="1" t="s">
        <v>342</v>
      </c>
      <c r="AX822" s="1" t="s">
        <v>173</v>
      </c>
      <c r="AY822" s="66">
        <v>24</v>
      </c>
      <c r="AZ822" s="66"/>
      <c r="BA822" s="9" t="s">
        <v>9</v>
      </c>
      <c r="BB822" s="1" t="s">
        <v>313</v>
      </c>
      <c r="BC822" s="9" t="s">
        <v>5</v>
      </c>
      <c r="BD822" s="66">
        <f>+AR822</f>
        <v>1.75</v>
      </c>
      <c r="BE822" s="66"/>
      <c r="BF822" s="9" t="s">
        <v>9</v>
      </c>
      <c r="BG822" s="1" t="s">
        <v>315</v>
      </c>
      <c r="BH822" s="9" t="s">
        <v>7</v>
      </c>
      <c r="BI822" s="9">
        <v>0</v>
      </c>
      <c r="BL822" s="1" t="s">
        <v>313</v>
      </c>
      <c r="BM822" s="9" t="s">
        <v>5</v>
      </c>
      <c r="BN822" s="66">
        <f>+BD822</f>
        <v>1.75</v>
      </c>
      <c r="BO822" s="66"/>
      <c r="BP822" s="9" t="s">
        <v>9</v>
      </c>
      <c r="BQ822" s="1" t="s">
        <v>315</v>
      </c>
      <c r="BR822" s="9" t="s">
        <v>9</v>
      </c>
      <c r="BS822" s="66">
        <f>I822*L822^3/O822-Q822*(T822-W822)^3/AA822+AC822*(AF822-AI822)^3/AM822-AO822*(AR822-AU822)^4/AY822</f>
        <v>-24.703369140625</v>
      </c>
      <c r="BT822" s="66"/>
      <c r="BU822" s="66"/>
      <c r="BV822" s="9" t="s">
        <v>7</v>
      </c>
      <c r="BW822" s="9">
        <v>0</v>
      </c>
      <c r="BY822" s="1" t="s">
        <v>351</v>
      </c>
      <c r="CC822" s="7"/>
    </row>
    <row r="823" spans="2:81">
      <c r="B823" s="6"/>
      <c r="C823" s="1" t="s">
        <v>346</v>
      </c>
      <c r="I823" s="66">
        <f>+E814</f>
        <v>-20</v>
      </c>
      <c r="J823" s="66"/>
      <c r="K823" s="9" t="s">
        <v>5</v>
      </c>
      <c r="L823" s="66">
        <f>+Z751+AJ753</f>
        <v>8.75</v>
      </c>
      <c r="M823" s="66"/>
      <c r="N823" s="1" t="s">
        <v>30</v>
      </c>
      <c r="O823" s="1">
        <v>6</v>
      </c>
      <c r="P823" s="9" t="s">
        <v>6</v>
      </c>
      <c r="Q823" s="66">
        <f>+L814</f>
        <v>61.25</v>
      </c>
      <c r="R823" s="66"/>
      <c r="S823" s="9" t="s">
        <v>14</v>
      </c>
      <c r="T823" s="66">
        <f>+L823</f>
        <v>8.75</v>
      </c>
      <c r="U823" s="66"/>
      <c r="V823" s="9" t="s">
        <v>6</v>
      </c>
      <c r="W823" s="66">
        <f>+Q814</f>
        <v>0.875</v>
      </c>
      <c r="X823" s="66"/>
      <c r="Y823" s="1" t="s">
        <v>311</v>
      </c>
      <c r="Z823" s="1" t="s">
        <v>173</v>
      </c>
      <c r="AA823" s="1">
        <v>6</v>
      </c>
      <c r="AB823" s="9" t="s">
        <v>9</v>
      </c>
      <c r="AC823" s="66">
        <f>+W814</f>
        <v>375.60267857142856</v>
      </c>
      <c r="AD823" s="66"/>
      <c r="AE823" s="1" t="s">
        <v>14</v>
      </c>
      <c r="AF823" s="66">
        <f>+T823</f>
        <v>8.75</v>
      </c>
      <c r="AG823" s="66"/>
      <c r="AH823" s="9" t="s">
        <v>6</v>
      </c>
      <c r="AI823" s="66">
        <f>+AB814</f>
        <v>1.75</v>
      </c>
      <c r="AJ823" s="66"/>
      <c r="AK823" s="1" t="s">
        <v>311</v>
      </c>
      <c r="AL823" s="1" t="s">
        <v>173</v>
      </c>
      <c r="AM823" s="1">
        <v>6</v>
      </c>
      <c r="AN823" s="9" t="s">
        <v>6</v>
      </c>
      <c r="AO823" s="66">
        <f>+AH814</f>
        <v>65</v>
      </c>
      <c r="AP823" s="66"/>
      <c r="AQ823" s="1" t="s">
        <v>14</v>
      </c>
      <c r="AR823" s="66">
        <f>+AF823</f>
        <v>8.75</v>
      </c>
      <c r="AS823" s="66"/>
      <c r="AT823" s="9" t="s">
        <v>6</v>
      </c>
      <c r="AU823" s="66">
        <f>+AM814</f>
        <v>1.75</v>
      </c>
      <c r="AV823" s="66"/>
      <c r="AW823" s="1" t="s">
        <v>342</v>
      </c>
      <c r="AX823" s="1" t="s">
        <v>173</v>
      </c>
      <c r="AY823" s="66">
        <v>24</v>
      </c>
      <c r="AZ823" s="66"/>
      <c r="BA823" s="9" t="s">
        <v>6</v>
      </c>
      <c r="BB823" s="66">
        <f>+AT814</f>
        <v>85</v>
      </c>
      <c r="BC823" s="66"/>
      <c r="BD823" s="1" t="s">
        <v>14</v>
      </c>
      <c r="BE823" s="66">
        <f>+AR823</f>
        <v>8.75</v>
      </c>
      <c r="BF823" s="66"/>
      <c r="BG823" s="9" t="s">
        <v>6</v>
      </c>
      <c r="BH823" s="66">
        <f>+AY814</f>
        <v>3.25</v>
      </c>
      <c r="BI823" s="66"/>
      <c r="BJ823" s="1" t="s">
        <v>311</v>
      </c>
      <c r="BK823" s="1" t="s">
        <v>173</v>
      </c>
      <c r="BL823" s="1">
        <v>6</v>
      </c>
      <c r="BM823" s="9" t="s">
        <v>9</v>
      </c>
      <c r="BN823" s="1" t="s">
        <v>335</v>
      </c>
      <c r="BO823" s="9" t="s">
        <v>5</v>
      </c>
      <c r="BP823" s="66">
        <f>+BE823</f>
        <v>8.75</v>
      </c>
      <c r="BQ823" s="66"/>
      <c r="BR823" s="9" t="s">
        <v>9</v>
      </c>
      <c r="BS823" s="1" t="s">
        <v>337</v>
      </c>
      <c r="BT823" s="9" t="s">
        <v>7</v>
      </c>
      <c r="BU823" s="9">
        <v>0</v>
      </c>
      <c r="CC823" s="7"/>
    </row>
    <row r="824" spans="2:81">
      <c r="B824" s="6"/>
      <c r="I824" s="1" t="s">
        <v>335</v>
      </c>
      <c r="J824" s="9" t="s">
        <v>5</v>
      </c>
      <c r="K824" s="66">
        <f>+BP823</f>
        <v>8.75</v>
      </c>
      <c r="L824" s="66"/>
      <c r="M824" s="9" t="s">
        <v>9</v>
      </c>
      <c r="N824" s="1" t="s">
        <v>337</v>
      </c>
      <c r="O824" s="1" t="s">
        <v>9</v>
      </c>
      <c r="P824" s="66">
        <f>I823*L823^3/O823-Q823*(T823-W823)^3/AA823+AC823*(AF823-AI823)^3/AM823-AO823*(AR823-AU823)^4/AY823-BB823*(BE823-BH823)^3/BL823</f>
        <v>5393.7178548177089</v>
      </c>
      <c r="Q824" s="66"/>
      <c r="R824" s="66"/>
      <c r="S824" s="9" t="s">
        <v>7</v>
      </c>
      <c r="T824" s="9">
        <v>0</v>
      </c>
      <c r="V824" s="1" t="s">
        <v>353</v>
      </c>
      <c r="AA824" s="9"/>
      <c r="AE824" s="9"/>
      <c r="AJ824" s="9"/>
      <c r="CC824" s="7"/>
    </row>
    <row r="825" spans="2:81">
      <c r="B825" s="6"/>
      <c r="C825" s="1" t="s">
        <v>376</v>
      </c>
      <c r="I825" s="66">
        <f>+E818</f>
        <v>-20</v>
      </c>
      <c r="J825" s="66"/>
      <c r="K825" s="9" t="s">
        <v>5</v>
      </c>
      <c r="L825" s="66">
        <f>+Z751+AJ753</f>
        <v>8.75</v>
      </c>
      <c r="M825" s="66"/>
      <c r="N825" s="1" t="s">
        <v>30</v>
      </c>
      <c r="O825" s="1">
        <v>6</v>
      </c>
      <c r="P825" s="9" t="s">
        <v>6</v>
      </c>
      <c r="Q825" s="66">
        <f>+L818</f>
        <v>61.25</v>
      </c>
      <c r="R825" s="66"/>
      <c r="S825" s="9" t="s">
        <v>14</v>
      </c>
      <c r="T825" s="66">
        <f>+L825</f>
        <v>8.75</v>
      </c>
      <c r="U825" s="66"/>
      <c r="V825" s="9" t="s">
        <v>6</v>
      </c>
      <c r="W825" s="66">
        <f>+Q818</f>
        <v>0.875</v>
      </c>
      <c r="X825" s="66"/>
      <c r="Y825" s="1" t="s">
        <v>311</v>
      </c>
      <c r="Z825" s="1" t="s">
        <v>173</v>
      </c>
      <c r="AA825" s="1">
        <v>6</v>
      </c>
      <c r="AB825" s="9" t="s">
        <v>9</v>
      </c>
      <c r="AC825" s="66">
        <f>+W818</f>
        <v>375.60267857142856</v>
      </c>
      <c r="AD825" s="66"/>
      <c r="AE825" s="1" t="s">
        <v>14</v>
      </c>
      <c r="AF825" s="66">
        <f>+T825</f>
        <v>8.75</v>
      </c>
      <c r="AG825" s="66"/>
      <c r="AH825" s="9" t="s">
        <v>6</v>
      </c>
      <c r="AI825" s="66">
        <f>+AB818</f>
        <v>1.75</v>
      </c>
      <c r="AJ825" s="66"/>
      <c r="AK825" s="1" t="s">
        <v>311</v>
      </c>
      <c r="AL825" s="1" t="s">
        <v>173</v>
      </c>
      <c r="AM825" s="1">
        <v>6</v>
      </c>
      <c r="AN825" s="9" t="s">
        <v>6</v>
      </c>
      <c r="AO825" s="66">
        <f>+AH818</f>
        <v>455</v>
      </c>
      <c r="AP825" s="66"/>
      <c r="AQ825" s="1" t="s">
        <v>14</v>
      </c>
      <c r="AR825" s="66">
        <f>+AF825</f>
        <v>8.75</v>
      </c>
      <c r="AS825" s="66"/>
      <c r="AT825" s="9" t="s">
        <v>6</v>
      </c>
      <c r="AU825" s="66">
        <f>+AM818</f>
        <v>5.25</v>
      </c>
      <c r="AV825" s="66"/>
      <c r="AW825" s="1" t="s">
        <v>311</v>
      </c>
      <c r="AX825" s="1" t="s">
        <v>173</v>
      </c>
      <c r="AY825" s="1">
        <v>6</v>
      </c>
      <c r="AZ825" s="9" t="s">
        <v>6</v>
      </c>
      <c r="BA825" s="66">
        <f>+AS818</f>
        <v>85</v>
      </c>
      <c r="BB825" s="66"/>
      <c r="BC825" s="1" t="s">
        <v>14</v>
      </c>
      <c r="BD825" s="66">
        <f>+AR825</f>
        <v>8.75</v>
      </c>
      <c r="BE825" s="66"/>
      <c r="BF825" s="9" t="s">
        <v>6</v>
      </c>
      <c r="BG825" s="66">
        <f>+AX818</f>
        <v>3.25</v>
      </c>
      <c r="BH825" s="66"/>
      <c r="BI825" s="1" t="s">
        <v>311</v>
      </c>
      <c r="BJ825" s="1" t="s">
        <v>173</v>
      </c>
      <c r="BK825" s="1">
        <v>6</v>
      </c>
      <c r="BL825" s="9" t="s">
        <v>9</v>
      </c>
      <c r="BM825" s="66">
        <f>+BD818</f>
        <v>323.14732142857144</v>
      </c>
      <c r="BN825" s="66"/>
      <c r="BO825" s="1" t="s">
        <v>14</v>
      </c>
      <c r="BP825" s="66">
        <f>+BD825</f>
        <v>8.75</v>
      </c>
      <c r="BQ825" s="66"/>
      <c r="BR825" s="9" t="s">
        <v>6</v>
      </c>
      <c r="BS825" s="66">
        <f>+BI818</f>
        <v>8.75</v>
      </c>
      <c r="BT825" s="66"/>
      <c r="BU825" s="1" t="s">
        <v>311</v>
      </c>
      <c r="BV825" s="1" t="s">
        <v>173</v>
      </c>
      <c r="BW825" s="1">
        <v>6</v>
      </c>
      <c r="BX825" s="9" t="s">
        <v>6</v>
      </c>
      <c r="CC825" s="7"/>
    </row>
    <row r="826" spans="2:81">
      <c r="B826" s="6"/>
      <c r="G826" s="9" t="s">
        <v>6</v>
      </c>
      <c r="H826" s="66">
        <f>+BO818</f>
        <v>25</v>
      </c>
      <c r="I826" s="66"/>
      <c r="J826" s="1" t="s">
        <v>14</v>
      </c>
      <c r="K826" s="66">
        <f>+BP825</f>
        <v>8.75</v>
      </c>
      <c r="L826" s="66"/>
      <c r="M826" s="9" t="s">
        <v>6</v>
      </c>
      <c r="N826" s="66">
        <f>+BT818</f>
        <v>8.75</v>
      </c>
      <c r="O826" s="66"/>
      <c r="P826" s="1" t="s">
        <v>342</v>
      </c>
      <c r="Q826" s="1" t="s">
        <v>173</v>
      </c>
      <c r="R826" s="66">
        <v>24</v>
      </c>
      <c r="S826" s="66"/>
      <c r="T826" s="9" t="s">
        <v>9</v>
      </c>
      <c r="U826" s="1" t="s">
        <v>368</v>
      </c>
      <c r="V826" s="9" t="s">
        <v>5</v>
      </c>
      <c r="W826" s="66">
        <f>+K826</f>
        <v>8.75</v>
      </c>
      <c r="X826" s="66"/>
      <c r="Y826" s="9" t="s">
        <v>9</v>
      </c>
      <c r="Z826" s="1" t="s">
        <v>373</v>
      </c>
      <c r="AA826" s="9" t="s">
        <v>7</v>
      </c>
      <c r="AB826" s="9">
        <v>0</v>
      </c>
      <c r="AE826" s="1" t="s">
        <v>368</v>
      </c>
      <c r="AF826" s="9" t="s">
        <v>5</v>
      </c>
      <c r="AG826" s="66">
        <f>+W826</f>
        <v>8.75</v>
      </c>
      <c r="AH826" s="66"/>
      <c r="AI826" s="9" t="s">
        <v>9</v>
      </c>
      <c r="AJ826" s="1" t="s">
        <v>373</v>
      </c>
      <c r="AK826" s="9" t="s">
        <v>9</v>
      </c>
      <c r="AL826" s="66">
        <f>I825*L825^3/O825-Q825*(T825-W825)^3/AA825+AC825*(AF825-AI825)^3/AM825-AO825*(AR825-AU825)^3/AY825-BA825*(BD825-BG825)^3/BK825+BM825*(BP825-BS825)^3/BW825-H826*(K826-N826)^4/R826</f>
        <v>8645.0720214843768</v>
      </c>
      <c r="AM826" s="66"/>
      <c r="AN826" s="66"/>
      <c r="AO826" s="9" t="s">
        <v>7</v>
      </c>
      <c r="AP826" s="9">
        <v>0</v>
      </c>
      <c r="AR826" s="1" t="s">
        <v>361</v>
      </c>
      <c r="CC826" s="7"/>
    </row>
    <row r="827" spans="2:81">
      <c r="B827" s="6"/>
      <c r="C827" s="1" t="s">
        <v>377</v>
      </c>
      <c r="G827" s="66">
        <f>+E805</f>
        <v>-20</v>
      </c>
      <c r="H827" s="66"/>
      <c r="I827" s="9" t="s">
        <v>5</v>
      </c>
      <c r="J827" s="66">
        <f>+Z751</f>
        <v>1.75</v>
      </c>
      <c r="K827" s="66"/>
      <c r="L827" s="1" t="s">
        <v>190</v>
      </c>
      <c r="M827" s="1">
        <v>2</v>
      </c>
      <c r="N827" s="9" t="s">
        <v>6</v>
      </c>
      <c r="O827" s="66">
        <f>+L805</f>
        <v>35</v>
      </c>
      <c r="P827" s="66"/>
      <c r="Q827" s="9" t="s">
        <v>5</v>
      </c>
      <c r="R827" s="66">
        <f>+J827</f>
        <v>1.75</v>
      </c>
      <c r="S827" s="66"/>
      <c r="T827" s="1" t="s">
        <v>30</v>
      </c>
      <c r="U827" s="9">
        <v>6</v>
      </c>
      <c r="V827" s="9" t="s">
        <v>9</v>
      </c>
      <c r="W827" s="1" t="s">
        <v>24</v>
      </c>
      <c r="Z827" s="66">
        <f>G827*J827^2/M827-O827*R827^3/U827</f>
        <v>-61.888020833333329</v>
      </c>
      <c r="AA827" s="66"/>
      <c r="AB827" s="66"/>
      <c r="AC827" s="9" t="s">
        <v>9</v>
      </c>
      <c r="AD827" s="9" t="s">
        <v>24</v>
      </c>
      <c r="AH827" s="9"/>
      <c r="CC827" s="7"/>
    </row>
    <row r="828" spans="2:81">
      <c r="B828" s="6"/>
      <c r="C828" s="1" t="s">
        <v>378</v>
      </c>
      <c r="G828" s="66">
        <f>+E809</f>
        <v>-20</v>
      </c>
      <c r="H828" s="66"/>
      <c r="I828" s="9" t="s">
        <v>5</v>
      </c>
      <c r="J828" s="66">
        <f>+Z751</f>
        <v>1.75</v>
      </c>
      <c r="K828" s="66"/>
      <c r="L828" s="1" t="s">
        <v>190</v>
      </c>
      <c r="M828" s="1">
        <v>2</v>
      </c>
      <c r="N828" s="9" t="s">
        <v>6</v>
      </c>
      <c r="O828" s="66">
        <f>+L809</f>
        <v>61.25</v>
      </c>
      <c r="P828" s="66"/>
      <c r="Q828" s="1" t="s">
        <v>14</v>
      </c>
      <c r="R828" s="66">
        <f>+J828</f>
        <v>1.75</v>
      </c>
      <c r="S828" s="66"/>
      <c r="T828" s="9" t="s">
        <v>6</v>
      </c>
      <c r="U828" s="66">
        <f>+Q809</f>
        <v>0.875</v>
      </c>
      <c r="V828" s="66"/>
      <c r="W828" s="1" t="s">
        <v>200</v>
      </c>
      <c r="X828" s="1" t="s">
        <v>173</v>
      </c>
      <c r="Y828" s="1">
        <v>2</v>
      </c>
      <c r="Z828" s="9" t="s">
        <v>9</v>
      </c>
      <c r="AA828" s="66">
        <f>+W809</f>
        <v>375.60267857142856</v>
      </c>
      <c r="AB828" s="66"/>
      <c r="AC828" s="1" t="s">
        <v>14</v>
      </c>
      <c r="AD828" s="66">
        <f>+R828</f>
        <v>1.75</v>
      </c>
      <c r="AE828" s="66"/>
      <c r="AF828" s="9" t="s">
        <v>6</v>
      </c>
      <c r="AG828" s="66">
        <f>+AB809</f>
        <v>1.75</v>
      </c>
      <c r="AH828" s="66"/>
      <c r="AI828" s="1" t="s">
        <v>200</v>
      </c>
      <c r="AJ828" s="1" t="s">
        <v>173</v>
      </c>
      <c r="AK828" s="1">
        <v>2</v>
      </c>
      <c r="AL828" s="9" t="s">
        <v>6</v>
      </c>
      <c r="AM828" s="66">
        <f>+AH809</f>
        <v>65</v>
      </c>
      <c r="AN828" s="66"/>
      <c r="AO828" s="1" t="s">
        <v>14</v>
      </c>
      <c r="AP828" s="66">
        <f>+AD828</f>
        <v>1.75</v>
      </c>
      <c r="AQ828" s="66"/>
      <c r="AR828" s="9" t="s">
        <v>6</v>
      </c>
      <c r="AS828" s="66">
        <f>+AM809</f>
        <v>1.75</v>
      </c>
      <c r="AT828" s="66"/>
      <c r="AU828" s="1" t="s">
        <v>311</v>
      </c>
      <c r="AV828" s="1" t="s">
        <v>173</v>
      </c>
      <c r="AW828" s="1">
        <v>6</v>
      </c>
      <c r="AX828" s="9" t="s">
        <v>9</v>
      </c>
      <c r="AY828" s="1" t="s">
        <v>313</v>
      </c>
      <c r="BB828" s="66">
        <f>G828*J828^2/M828-O828*(R828-U828)^2/Y828+AA828*(AD828-AG828)^2/AK828-AM828*(AP828-AS828)^3/AW828</f>
        <v>-54.072265625</v>
      </c>
      <c r="BC828" s="66"/>
      <c r="BD828" s="66"/>
      <c r="BE828" s="9" t="s">
        <v>9</v>
      </c>
      <c r="BF828" s="9" t="s">
        <v>313</v>
      </c>
      <c r="BG828" s="9"/>
      <c r="BJ828" s="9"/>
      <c r="BK828" s="9"/>
      <c r="BN828" s="9"/>
      <c r="BQ828" s="9"/>
      <c r="BU828" s="9"/>
      <c r="CC828" s="7"/>
    </row>
    <row r="829" spans="2:81">
      <c r="B829" s="6"/>
      <c r="C829" s="1" t="s">
        <v>379</v>
      </c>
      <c r="J829" s="9"/>
      <c r="K829" s="66">
        <f>+Z827</f>
        <v>-61.888020833333329</v>
      </c>
      <c r="L829" s="66"/>
      <c r="M829" s="66"/>
      <c r="N829" s="9" t="s">
        <v>9</v>
      </c>
      <c r="O829" s="9" t="s">
        <v>24</v>
      </c>
      <c r="P829" s="9" t="s">
        <v>7</v>
      </c>
      <c r="Q829" s="66">
        <f>+BB828</f>
        <v>-54.072265625</v>
      </c>
      <c r="R829" s="66"/>
      <c r="S829" s="66"/>
      <c r="T829" s="9" t="s">
        <v>9</v>
      </c>
      <c r="U829" s="9" t="s">
        <v>313</v>
      </c>
      <c r="X829" s="9" t="s">
        <v>24</v>
      </c>
      <c r="Y829" s="9" t="s">
        <v>6</v>
      </c>
      <c r="Z829" s="9" t="s">
        <v>313</v>
      </c>
      <c r="AA829" s="9" t="s">
        <v>9</v>
      </c>
      <c r="AB829" s="66">
        <f>+K829-Q829</f>
        <v>-7.8157552083333286</v>
      </c>
      <c r="AC829" s="66"/>
      <c r="AD829" s="66"/>
      <c r="AE829" s="9" t="s">
        <v>7</v>
      </c>
      <c r="AF829" s="9">
        <v>0</v>
      </c>
      <c r="AH829" s="1" t="s">
        <v>363</v>
      </c>
      <c r="AK829" s="9"/>
      <c r="AP829" s="9"/>
      <c r="AV829" s="9"/>
      <c r="BB829" s="9"/>
      <c r="BC829" s="9"/>
      <c r="BG829" s="9"/>
      <c r="BJ829" s="9"/>
      <c r="BK829" s="9"/>
      <c r="BN829" s="9"/>
      <c r="BQ829" s="9"/>
      <c r="BV829" s="9"/>
      <c r="BX829" s="9"/>
      <c r="BY829" s="9"/>
      <c r="BZ829" s="9"/>
      <c r="CC829" s="7"/>
    </row>
    <row r="830" spans="2:81">
      <c r="B830" s="6"/>
      <c r="C830" s="1" t="s">
        <v>380</v>
      </c>
      <c r="G830" s="66">
        <f>+E813</f>
        <v>-20</v>
      </c>
      <c r="H830" s="66"/>
      <c r="I830" s="9" t="s">
        <v>5</v>
      </c>
      <c r="J830" s="66">
        <f>+Z751+AJ753</f>
        <v>8.75</v>
      </c>
      <c r="K830" s="66"/>
      <c r="L830" s="1" t="s">
        <v>190</v>
      </c>
      <c r="M830" s="1">
        <v>2</v>
      </c>
      <c r="N830" s="9" t="s">
        <v>6</v>
      </c>
      <c r="O830" s="66">
        <f>+L813</f>
        <v>61.25</v>
      </c>
      <c r="P830" s="66"/>
      <c r="Q830" s="9" t="s">
        <v>14</v>
      </c>
      <c r="R830" s="66">
        <f>+J830</f>
        <v>8.75</v>
      </c>
      <c r="S830" s="66"/>
      <c r="T830" s="9" t="s">
        <v>6</v>
      </c>
      <c r="U830" s="66">
        <f>+Q813</f>
        <v>0.875</v>
      </c>
      <c r="V830" s="66"/>
      <c r="W830" s="1" t="s">
        <v>200</v>
      </c>
      <c r="X830" s="1" t="s">
        <v>173</v>
      </c>
      <c r="Y830" s="1">
        <v>2</v>
      </c>
      <c r="Z830" s="9" t="s">
        <v>9</v>
      </c>
      <c r="AA830" s="66">
        <f>+W813</f>
        <v>375.60267857142856</v>
      </c>
      <c r="AB830" s="66"/>
      <c r="AC830" s="1" t="s">
        <v>14</v>
      </c>
      <c r="AD830" s="66">
        <f>+R830</f>
        <v>8.75</v>
      </c>
      <c r="AE830" s="66"/>
      <c r="AF830" s="9" t="s">
        <v>6</v>
      </c>
      <c r="AG830" s="66">
        <f>+AB813</f>
        <v>1.75</v>
      </c>
      <c r="AH830" s="66"/>
      <c r="AI830" s="1" t="s">
        <v>200</v>
      </c>
      <c r="AJ830" s="1" t="s">
        <v>173</v>
      </c>
      <c r="AK830" s="1">
        <v>2</v>
      </c>
      <c r="AL830" s="9" t="s">
        <v>6</v>
      </c>
      <c r="AM830" s="66">
        <f>+AH813</f>
        <v>65</v>
      </c>
      <c r="AN830" s="66"/>
      <c r="AO830" s="1" t="s">
        <v>14</v>
      </c>
      <c r="AP830" s="66">
        <f>+AD830</f>
        <v>8.75</v>
      </c>
      <c r="AQ830" s="66"/>
      <c r="AR830" s="9" t="s">
        <v>6</v>
      </c>
      <c r="AS830" s="66">
        <f>+AM813</f>
        <v>1.75</v>
      </c>
      <c r="AT830" s="66"/>
      <c r="AU830" s="1" t="s">
        <v>311</v>
      </c>
      <c r="AV830" s="1" t="s">
        <v>173</v>
      </c>
      <c r="AW830" s="1">
        <v>6</v>
      </c>
      <c r="AX830" s="9" t="s">
        <v>6</v>
      </c>
      <c r="AY830" s="66">
        <f>+AS813</f>
        <v>85</v>
      </c>
      <c r="AZ830" s="66"/>
      <c r="BA830" s="1" t="s">
        <v>14</v>
      </c>
      <c r="BB830" s="66">
        <f>+AP830</f>
        <v>8.75</v>
      </c>
      <c r="BC830" s="66"/>
      <c r="BD830" s="9" t="s">
        <v>6</v>
      </c>
      <c r="BE830" s="66">
        <f>+AX813</f>
        <v>3.25</v>
      </c>
      <c r="BF830" s="66"/>
      <c r="BG830" s="1" t="s">
        <v>200</v>
      </c>
      <c r="BH830" s="1" t="s">
        <v>173</v>
      </c>
      <c r="BI830" s="1">
        <v>2</v>
      </c>
      <c r="BJ830" s="9" t="s">
        <v>9</v>
      </c>
      <c r="BK830" s="1" t="s">
        <v>335</v>
      </c>
      <c r="BN830" s="66">
        <f>G830*J830^2/M830-O830*(R830-U830)^2/Y830+AA830*(AD830-AG830)^2/AK830-AM830*(AP830-AS830)^3/AW830-AY830*(BB830-BE830)^2/BI830</f>
        <v>1535.9537760416665</v>
      </c>
      <c r="BO830" s="66"/>
      <c r="BP830" s="66"/>
      <c r="BQ830" s="9" t="s">
        <v>9</v>
      </c>
      <c r="BR830" s="9" t="s">
        <v>335</v>
      </c>
      <c r="CC830" s="7"/>
    </row>
    <row r="831" spans="2:81">
      <c r="B831" s="6"/>
      <c r="C831" s="1" t="s">
        <v>383</v>
      </c>
      <c r="G831" s="66">
        <f>+E817</f>
        <v>-20</v>
      </c>
      <c r="H831" s="66"/>
      <c r="I831" s="9" t="s">
        <v>5</v>
      </c>
      <c r="J831" s="66">
        <f>+Z751+AJ753</f>
        <v>8.75</v>
      </c>
      <c r="K831" s="66"/>
      <c r="L831" s="1" t="s">
        <v>190</v>
      </c>
      <c r="M831" s="1">
        <v>2</v>
      </c>
      <c r="N831" s="9" t="s">
        <v>6</v>
      </c>
      <c r="O831" s="66">
        <f>+L817</f>
        <v>61.25</v>
      </c>
      <c r="P831" s="66"/>
      <c r="Q831" s="9" t="s">
        <v>14</v>
      </c>
      <c r="R831" s="66">
        <f>+J831</f>
        <v>8.75</v>
      </c>
      <c r="S831" s="66"/>
      <c r="T831" s="9" t="s">
        <v>6</v>
      </c>
      <c r="U831" s="66">
        <f>+Q817</f>
        <v>0.875</v>
      </c>
      <c r="V831" s="66"/>
      <c r="W831" s="1" t="s">
        <v>200</v>
      </c>
      <c r="X831" s="1" t="s">
        <v>173</v>
      </c>
      <c r="Y831" s="1">
        <v>2</v>
      </c>
      <c r="Z831" s="9" t="s">
        <v>9</v>
      </c>
      <c r="AA831" s="66">
        <f>+W817</f>
        <v>375.60267857142856</v>
      </c>
      <c r="AB831" s="66"/>
      <c r="AC831" s="1" t="s">
        <v>14</v>
      </c>
      <c r="AD831" s="66">
        <f>+R831</f>
        <v>8.75</v>
      </c>
      <c r="AE831" s="66"/>
      <c r="AF831" s="9" t="s">
        <v>6</v>
      </c>
      <c r="AG831" s="66">
        <f>+AB817</f>
        <v>1.75</v>
      </c>
      <c r="AH831" s="66"/>
      <c r="AI831" s="1" t="s">
        <v>200</v>
      </c>
      <c r="AJ831" s="1" t="s">
        <v>173</v>
      </c>
      <c r="AK831" s="1">
        <v>2</v>
      </c>
      <c r="AL831" s="9" t="s">
        <v>6</v>
      </c>
      <c r="AM831" s="66">
        <f>+AH817</f>
        <v>455</v>
      </c>
      <c r="AN831" s="66"/>
      <c r="AO831" s="9" t="s">
        <v>14</v>
      </c>
      <c r="AP831" s="66">
        <f>+AD831</f>
        <v>8.75</v>
      </c>
      <c r="AQ831" s="66"/>
      <c r="AR831" s="9" t="s">
        <v>6</v>
      </c>
      <c r="AS831" s="66">
        <f>+AM817</f>
        <v>5.25</v>
      </c>
      <c r="AT831" s="66"/>
      <c r="AU831" s="1" t="s">
        <v>200</v>
      </c>
      <c r="AV831" s="1" t="s">
        <v>173</v>
      </c>
      <c r="AW831" s="1">
        <v>2</v>
      </c>
      <c r="AX831" s="9" t="s">
        <v>6</v>
      </c>
      <c r="AY831" s="66">
        <f>+AS817</f>
        <v>85</v>
      </c>
      <c r="AZ831" s="66"/>
      <c r="BA831" s="9" t="s">
        <v>14</v>
      </c>
      <c r="BB831" s="66">
        <f>+AP831</f>
        <v>8.75</v>
      </c>
      <c r="BC831" s="66"/>
      <c r="BD831" s="9" t="s">
        <v>6</v>
      </c>
      <c r="BE831" s="66">
        <f>+AX817</f>
        <v>3.25</v>
      </c>
      <c r="BF831" s="66"/>
      <c r="BG831" s="1" t="s">
        <v>200</v>
      </c>
      <c r="BH831" s="1" t="s">
        <v>173</v>
      </c>
      <c r="BI831" s="1">
        <v>2</v>
      </c>
      <c r="BJ831" s="9" t="s">
        <v>9</v>
      </c>
      <c r="BK831" s="66">
        <f>+BD817</f>
        <v>323.14732142857144</v>
      </c>
      <c r="BL831" s="66"/>
      <c r="BM831" s="9" t="s">
        <v>14</v>
      </c>
      <c r="BN831" s="66">
        <f>+BB831</f>
        <v>8.75</v>
      </c>
      <c r="BO831" s="66"/>
      <c r="BP831" s="9" t="s">
        <v>6</v>
      </c>
      <c r="BQ831" s="66">
        <f>+BI817</f>
        <v>8.75</v>
      </c>
      <c r="BR831" s="66"/>
      <c r="BS831" s="1" t="s">
        <v>200</v>
      </c>
      <c r="BT831" s="1" t="s">
        <v>173</v>
      </c>
      <c r="BU831" s="1">
        <v>2</v>
      </c>
      <c r="BV831" s="9" t="s">
        <v>6</v>
      </c>
      <c r="CC831" s="7"/>
    </row>
    <row r="832" spans="2:81">
      <c r="B832" s="6"/>
      <c r="C832" s="24"/>
      <c r="G832" s="9" t="s">
        <v>6</v>
      </c>
      <c r="H832" s="66">
        <f>+BO817</f>
        <v>25</v>
      </c>
      <c r="I832" s="66"/>
      <c r="J832" s="1" t="s">
        <v>14</v>
      </c>
      <c r="K832" s="66">
        <f>+BN831</f>
        <v>8.75</v>
      </c>
      <c r="L832" s="66"/>
      <c r="M832" s="9" t="s">
        <v>6</v>
      </c>
      <c r="N832" s="66">
        <f>+BT817</f>
        <v>8.75</v>
      </c>
      <c r="O832" s="66"/>
      <c r="P832" s="1" t="s">
        <v>311</v>
      </c>
      <c r="Q832" s="1" t="s">
        <v>173</v>
      </c>
      <c r="R832" s="1">
        <v>6</v>
      </c>
      <c r="S832" s="9" t="s">
        <v>9</v>
      </c>
      <c r="T832" s="1" t="s">
        <v>368</v>
      </c>
      <c r="W832" s="80">
        <f>G831*J831^2/M831-O831*(R831-U831)^2/Y831+AA831*(AD831-AG831)^2/AK831-AM831*(AP831-AS831)^2/AW831-AY831*(BB831-BE831)^2/BI831+BK831*(BN831-BQ831)^2/BU831-H832*(K832-N832)^3/R832</f>
        <v>2464.912109375</v>
      </c>
      <c r="X832" s="80"/>
      <c r="Y832" s="80"/>
      <c r="Z832" s="9" t="s">
        <v>9</v>
      </c>
      <c r="AA832" s="9" t="s">
        <v>368</v>
      </c>
      <c r="CC832" s="7"/>
    </row>
    <row r="833" spans="2:81">
      <c r="B833" s="6"/>
      <c r="C833" s="1" t="s">
        <v>384</v>
      </c>
      <c r="I833" s="9"/>
      <c r="K833" s="66">
        <f>+BN830</f>
        <v>1535.9537760416665</v>
      </c>
      <c r="L833" s="66"/>
      <c r="M833" s="66"/>
      <c r="N833" s="9" t="s">
        <v>9</v>
      </c>
      <c r="O833" s="9" t="s">
        <v>335</v>
      </c>
      <c r="P833" s="9" t="s">
        <v>7</v>
      </c>
      <c r="Q833" s="66">
        <f>+W832</f>
        <v>2464.912109375</v>
      </c>
      <c r="R833" s="66"/>
      <c r="S833" s="66"/>
      <c r="T833" s="9" t="s">
        <v>9</v>
      </c>
      <c r="U833" s="9" t="s">
        <v>368</v>
      </c>
      <c r="X833" s="9" t="s">
        <v>335</v>
      </c>
      <c r="Y833" s="9" t="s">
        <v>6</v>
      </c>
      <c r="Z833" s="9" t="s">
        <v>368</v>
      </c>
      <c r="AA833" s="9" t="s">
        <v>9</v>
      </c>
      <c r="AB833" s="66">
        <f>+K833-Q833</f>
        <v>-928.95833333333348</v>
      </c>
      <c r="AC833" s="66"/>
      <c r="AD833" s="66"/>
      <c r="AE833" s="9" t="s">
        <v>7</v>
      </c>
      <c r="AF833" s="9">
        <v>0</v>
      </c>
      <c r="AH833" s="1" t="s">
        <v>385</v>
      </c>
      <c r="CC833" s="7"/>
    </row>
    <row r="834" spans="2:81">
      <c r="B834" s="6"/>
      <c r="C834" s="1" t="s">
        <v>378</v>
      </c>
      <c r="G834" s="66">
        <f>+E809</f>
        <v>-20</v>
      </c>
      <c r="H834" s="66"/>
      <c r="I834" s="9" t="s">
        <v>5</v>
      </c>
      <c r="J834" s="66">
        <f>+Z751+AF751</f>
        <v>3.25</v>
      </c>
      <c r="K834" s="66"/>
      <c r="L834" s="1" t="s">
        <v>190</v>
      </c>
      <c r="M834" s="1">
        <v>2</v>
      </c>
      <c r="N834" s="9" t="s">
        <v>6</v>
      </c>
      <c r="O834" s="66">
        <f>+L809</f>
        <v>61.25</v>
      </c>
      <c r="P834" s="66"/>
      <c r="Q834" s="1" t="s">
        <v>14</v>
      </c>
      <c r="R834" s="66">
        <f>+J834</f>
        <v>3.25</v>
      </c>
      <c r="S834" s="66"/>
      <c r="T834" s="9" t="s">
        <v>6</v>
      </c>
      <c r="U834" s="66">
        <f>+Q809</f>
        <v>0.875</v>
      </c>
      <c r="V834" s="66"/>
      <c r="W834" s="1" t="s">
        <v>200</v>
      </c>
      <c r="X834" s="1" t="s">
        <v>173</v>
      </c>
      <c r="Y834" s="1">
        <v>2</v>
      </c>
      <c r="Z834" s="9" t="s">
        <v>9</v>
      </c>
      <c r="AA834" s="66">
        <f>+W809</f>
        <v>375.60267857142856</v>
      </c>
      <c r="AB834" s="66"/>
      <c r="AC834" s="1" t="s">
        <v>14</v>
      </c>
      <c r="AD834" s="66">
        <f>+R834</f>
        <v>3.25</v>
      </c>
      <c r="AE834" s="66"/>
      <c r="AF834" s="9" t="s">
        <v>6</v>
      </c>
      <c r="AG834" s="66">
        <f>+AB809</f>
        <v>1.75</v>
      </c>
      <c r="AH834" s="66"/>
      <c r="AI834" s="1" t="s">
        <v>200</v>
      </c>
      <c r="AJ834" s="1" t="s">
        <v>173</v>
      </c>
      <c r="AK834" s="1">
        <v>2</v>
      </c>
      <c r="AL834" s="9" t="s">
        <v>6</v>
      </c>
      <c r="AM834" s="66">
        <f>+AH809</f>
        <v>65</v>
      </c>
      <c r="AN834" s="66"/>
      <c r="AO834" s="1" t="s">
        <v>14</v>
      </c>
      <c r="AP834" s="66">
        <f>+AD834</f>
        <v>3.25</v>
      </c>
      <c r="AQ834" s="66"/>
      <c r="AR834" s="9" t="s">
        <v>6</v>
      </c>
      <c r="AS834" s="66">
        <f>+AM809</f>
        <v>1.75</v>
      </c>
      <c r="AT834" s="66"/>
      <c r="AU834" s="1" t="s">
        <v>311</v>
      </c>
      <c r="AV834" s="1" t="s">
        <v>173</v>
      </c>
      <c r="AW834" s="1">
        <v>6</v>
      </c>
      <c r="AX834" s="9" t="s">
        <v>9</v>
      </c>
      <c r="AY834" s="1" t="s">
        <v>313</v>
      </c>
      <c r="BB834" s="66">
        <f>G834*J834^2/M834-O834*(R834-U834)^2/Y834+AA834*(AD834-AG834)^2/AK834-AM834*(AP834-AS834)^3/AW834</f>
        <v>107.62137276785711</v>
      </c>
      <c r="BC834" s="66"/>
      <c r="BD834" s="66"/>
      <c r="BE834" s="9" t="s">
        <v>9</v>
      </c>
      <c r="BF834" s="9" t="s">
        <v>313</v>
      </c>
      <c r="BG834" s="9"/>
      <c r="CC834" s="7"/>
    </row>
    <row r="835" spans="2:81">
      <c r="B835" s="6"/>
      <c r="C835" s="1" t="s">
        <v>380</v>
      </c>
      <c r="G835" s="66">
        <f>+E813</f>
        <v>-20</v>
      </c>
      <c r="H835" s="66"/>
      <c r="I835" s="9" t="s">
        <v>5</v>
      </c>
      <c r="J835" s="66">
        <f>+Z751+AF751</f>
        <v>3.25</v>
      </c>
      <c r="K835" s="66"/>
      <c r="L835" s="1" t="s">
        <v>190</v>
      </c>
      <c r="M835" s="1">
        <v>2</v>
      </c>
      <c r="N835" s="9" t="s">
        <v>6</v>
      </c>
      <c r="O835" s="66">
        <f>+L813</f>
        <v>61.25</v>
      </c>
      <c r="P835" s="66"/>
      <c r="Q835" s="9" t="s">
        <v>14</v>
      </c>
      <c r="R835" s="66">
        <f>+J835</f>
        <v>3.25</v>
      </c>
      <c r="S835" s="66"/>
      <c r="T835" s="9" t="s">
        <v>6</v>
      </c>
      <c r="U835" s="66">
        <f>+Q813</f>
        <v>0.875</v>
      </c>
      <c r="V835" s="66"/>
      <c r="W835" s="1" t="s">
        <v>200</v>
      </c>
      <c r="X835" s="1" t="s">
        <v>173</v>
      </c>
      <c r="Y835" s="1">
        <v>2</v>
      </c>
      <c r="Z835" s="9" t="s">
        <v>9</v>
      </c>
      <c r="AA835" s="66">
        <f>+W813</f>
        <v>375.60267857142856</v>
      </c>
      <c r="AB835" s="66"/>
      <c r="AC835" s="1" t="s">
        <v>14</v>
      </c>
      <c r="AD835" s="66">
        <f>+R835</f>
        <v>3.25</v>
      </c>
      <c r="AE835" s="66"/>
      <c r="AF835" s="9" t="s">
        <v>6</v>
      </c>
      <c r="AG835" s="66">
        <f>+AB813</f>
        <v>1.75</v>
      </c>
      <c r="AH835" s="66"/>
      <c r="AI835" s="1" t="s">
        <v>200</v>
      </c>
      <c r="AJ835" s="1" t="s">
        <v>173</v>
      </c>
      <c r="AK835" s="1">
        <v>2</v>
      </c>
      <c r="AL835" s="9" t="s">
        <v>6</v>
      </c>
      <c r="AM835" s="66">
        <f>+AH813</f>
        <v>65</v>
      </c>
      <c r="AN835" s="66"/>
      <c r="AO835" s="1" t="s">
        <v>14</v>
      </c>
      <c r="AP835" s="66">
        <f>+AD835</f>
        <v>3.25</v>
      </c>
      <c r="AQ835" s="66"/>
      <c r="AR835" s="9" t="s">
        <v>6</v>
      </c>
      <c r="AS835" s="66">
        <f>+AM813</f>
        <v>1.75</v>
      </c>
      <c r="AT835" s="66"/>
      <c r="AU835" s="1" t="s">
        <v>311</v>
      </c>
      <c r="AV835" s="1" t="s">
        <v>173</v>
      </c>
      <c r="AW835" s="1">
        <v>6</v>
      </c>
      <c r="AX835" s="9" t="s">
        <v>6</v>
      </c>
      <c r="AY835" s="66">
        <f>+AS813</f>
        <v>85</v>
      </c>
      <c r="AZ835" s="66"/>
      <c r="BA835" s="1" t="s">
        <v>14</v>
      </c>
      <c r="BB835" s="66">
        <f>+AP835</f>
        <v>3.25</v>
      </c>
      <c r="BC835" s="66"/>
      <c r="BD835" s="9" t="s">
        <v>6</v>
      </c>
      <c r="BE835" s="66">
        <f>+AX813</f>
        <v>3.25</v>
      </c>
      <c r="BF835" s="66"/>
      <c r="BG835" s="1" t="s">
        <v>200</v>
      </c>
      <c r="BH835" s="1" t="s">
        <v>173</v>
      </c>
      <c r="BI835" s="1">
        <v>2</v>
      </c>
      <c r="BJ835" s="9" t="s">
        <v>9</v>
      </c>
      <c r="BK835" s="1" t="s">
        <v>335</v>
      </c>
      <c r="BN835" s="66">
        <f>G835*J835^2/M835-O835*(R835-U835)^2/Y835+AA835*(AD835-AG835)^2/AK835-AM835*(AP835-AS835)^3/AW835-AY835*(BB835-BE835)^2/BI835</f>
        <v>107.62137276785711</v>
      </c>
      <c r="BO835" s="66"/>
      <c r="BP835" s="66"/>
      <c r="BQ835" s="9" t="s">
        <v>9</v>
      </c>
      <c r="BR835" s="9" t="s">
        <v>335</v>
      </c>
      <c r="CC835" s="7"/>
    </row>
    <row r="836" spans="2:81">
      <c r="B836" s="6"/>
      <c r="C836" s="1" t="s">
        <v>386</v>
      </c>
      <c r="J836" s="9"/>
      <c r="K836" s="66">
        <f>+BB834</f>
        <v>107.62137276785711</v>
      </c>
      <c r="L836" s="66"/>
      <c r="M836" s="66"/>
      <c r="N836" s="9" t="s">
        <v>9</v>
      </c>
      <c r="O836" s="9" t="s">
        <v>313</v>
      </c>
      <c r="P836" s="9" t="s">
        <v>7</v>
      </c>
      <c r="Q836" s="66">
        <f>+BN835</f>
        <v>107.62137276785711</v>
      </c>
      <c r="R836" s="66"/>
      <c r="S836" s="66"/>
      <c r="T836" s="9" t="s">
        <v>9</v>
      </c>
      <c r="U836" s="9" t="s">
        <v>335</v>
      </c>
      <c r="X836" s="9" t="s">
        <v>313</v>
      </c>
      <c r="Y836" s="9" t="s">
        <v>6</v>
      </c>
      <c r="Z836" s="9" t="s">
        <v>335</v>
      </c>
      <c r="AA836" s="9" t="s">
        <v>9</v>
      </c>
      <c r="AB836" s="9">
        <f>+K836-Q836</f>
        <v>0</v>
      </c>
      <c r="AC836" s="9" t="s">
        <v>7</v>
      </c>
      <c r="AD836" s="9">
        <v>0</v>
      </c>
      <c r="AF836" s="1" t="s">
        <v>388</v>
      </c>
      <c r="CC836" s="7"/>
    </row>
    <row r="837" spans="2:81">
      <c r="B837" s="6"/>
      <c r="C837" s="1" t="s">
        <v>389</v>
      </c>
      <c r="G837" s="66">
        <f>+E810</f>
        <v>-20</v>
      </c>
      <c r="H837" s="66"/>
      <c r="I837" s="9" t="s">
        <v>5</v>
      </c>
      <c r="J837" s="66">
        <f>+Z751+AF751</f>
        <v>3.25</v>
      </c>
      <c r="K837" s="66"/>
      <c r="L837" s="1" t="s">
        <v>30</v>
      </c>
      <c r="M837" s="1">
        <v>6</v>
      </c>
      <c r="N837" s="9" t="s">
        <v>6</v>
      </c>
      <c r="O837" s="66">
        <f>+L810</f>
        <v>61.25</v>
      </c>
      <c r="P837" s="66"/>
      <c r="Q837" s="9" t="s">
        <v>14</v>
      </c>
      <c r="R837" s="66">
        <f>+J837</f>
        <v>3.25</v>
      </c>
      <c r="S837" s="66"/>
      <c r="T837" s="9" t="s">
        <v>6</v>
      </c>
      <c r="U837" s="66">
        <f>+Q810</f>
        <v>0.875</v>
      </c>
      <c r="V837" s="66"/>
      <c r="W837" s="1" t="s">
        <v>311</v>
      </c>
      <c r="X837" s="1" t="s">
        <v>173</v>
      </c>
      <c r="Y837" s="1">
        <v>6</v>
      </c>
      <c r="Z837" s="9" t="s">
        <v>9</v>
      </c>
      <c r="AA837" s="66">
        <f>+W810</f>
        <v>375.60267857142856</v>
      </c>
      <c r="AB837" s="66"/>
      <c r="AC837" s="1" t="s">
        <v>14</v>
      </c>
      <c r="AD837" s="66">
        <f>+R837</f>
        <v>3.25</v>
      </c>
      <c r="AE837" s="66"/>
      <c r="AF837" s="9" t="s">
        <v>6</v>
      </c>
      <c r="AG837" s="66">
        <f>+AB810</f>
        <v>1.75</v>
      </c>
      <c r="AH837" s="66"/>
      <c r="AI837" s="1" t="s">
        <v>311</v>
      </c>
      <c r="AJ837" s="1" t="s">
        <v>173</v>
      </c>
      <c r="AK837" s="1">
        <v>6</v>
      </c>
      <c r="AL837" s="9" t="s">
        <v>6</v>
      </c>
      <c r="AM837" s="66">
        <f>+AH810</f>
        <v>65</v>
      </c>
      <c r="AN837" s="66"/>
      <c r="AO837" s="1" t="s">
        <v>14</v>
      </c>
      <c r="AP837" s="66">
        <f>+AD837</f>
        <v>3.25</v>
      </c>
      <c r="AQ837" s="66"/>
      <c r="AR837" s="9" t="s">
        <v>6</v>
      </c>
      <c r="AS837" s="66">
        <f>+AM810</f>
        <v>1.75</v>
      </c>
      <c r="AT837" s="66"/>
      <c r="AU837" s="1" t="s">
        <v>342</v>
      </c>
      <c r="AV837" s="1" t="s">
        <v>173</v>
      </c>
      <c r="AW837" s="66">
        <v>24</v>
      </c>
      <c r="AX837" s="66"/>
      <c r="AY837" s="9" t="s">
        <v>9</v>
      </c>
      <c r="AZ837" s="1" t="s">
        <v>313</v>
      </c>
      <c r="BA837" s="9" t="s">
        <v>5</v>
      </c>
      <c r="BB837" s="66">
        <f>+AP837</f>
        <v>3.25</v>
      </c>
      <c r="BC837" s="66"/>
      <c r="BD837" s="9" t="s">
        <v>9</v>
      </c>
      <c r="BE837" s="1" t="s">
        <v>315</v>
      </c>
      <c r="BH837" s="1" t="s">
        <v>313</v>
      </c>
      <c r="BI837" s="9" t="s">
        <v>5</v>
      </c>
      <c r="BJ837" s="66">
        <f>+BB837</f>
        <v>3.25</v>
      </c>
      <c r="BK837" s="66"/>
      <c r="BL837" s="9" t="s">
        <v>9</v>
      </c>
      <c r="BM837" s="1" t="s">
        <v>315</v>
      </c>
      <c r="BN837" s="9" t="s">
        <v>9</v>
      </c>
      <c r="BO837" s="66">
        <f>G837*J837^3/M837-O837*(R837-U837)^3/Y837+AA837*(AD837-AG837)^3/AK837-AM837*(AP837-AS837)^4/AW837</f>
        <v>-53.617292131696445</v>
      </c>
      <c r="BP837" s="66"/>
      <c r="BQ837" s="66"/>
      <c r="CC837" s="7"/>
    </row>
    <row r="838" spans="2:81">
      <c r="B838" s="6"/>
      <c r="C838" s="1" t="s">
        <v>390</v>
      </c>
      <c r="G838" s="66">
        <f>+E814</f>
        <v>-20</v>
      </c>
      <c r="H838" s="66"/>
      <c r="I838" s="9" t="s">
        <v>5</v>
      </c>
      <c r="J838" s="66">
        <f>+Z751+AF751</f>
        <v>3.25</v>
      </c>
      <c r="K838" s="66"/>
      <c r="L838" s="1" t="s">
        <v>30</v>
      </c>
      <c r="M838" s="1">
        <v>6</v>
      </c>
      <c r="N838" s="9" t="s">
        <v>6</v>
      </c>
      <c r="O838" s="66">
        <f>+L814</f>
        <v>61.25</v>
      </c>
      <c r="P838" s="66"/>
      <c r="Q838" s="9" t="s">
        <v>14</v>
      </c>
      <c r="R838" s="66">
        <f>+J838</f>
        <v>3.25</v>
      </c>
      <c r="S838" s="66"/>
      <c r="T838" s="9" t="s">
        <v>6</v>
      </c>
      <c r="U838" s="66">
        <f>+Q814</f>
        <v>0.875</v>
      </c>
      <c r="V838" s="66"/>
      <c r="W838" s="1" t="s">
        <v>311</v>
      </c>
      <c r="X838" s="1" t="s">
        <v>173</v>
      </c>
      <c r="Y838" s="1">
        <v>6</v>
      </c>
      <c r="Z838" s="9" t="s">
        <v>9</v>
      </c>
      <c r="AA838" s="66">
        <f>+W814</f>
        <v>375.60267857142856</v>
      </c>
      <c r="AB838" s="66"/>
      <c r="AC838" s="1" t="s">
        <v>14</v>
      </c>
      <c r="AD838" s="66">
        <f>+R838</f>
        <v>3.25</v>
      </c>
      <c r="AE838" s="66"/>
      <c r="AF838" s="9" t="s">
        <v>6</v>
      </c>
      <c r="AG838" s="66">
        <f>+AB814</f>
        <v>1.75</v>
      </c>
      <c r="AH838" s="66"/>
      <c r="AI838" s="1" t="s">
        <v>311</v>
      </c>
      <c r="AJ838" s="1" t="s">
        <v>173</v>
      </c>
      <c r="AK838" s="1">
        <v>6</v>
      </c>
      <c r="AL838" s="9" t="s">
        <v>6</v>
      </c>
      <c r="AM838" s="66">
        <f>+AH814</f>
        <v>65</v>
      </c>
      <c r="AN838" s="66"/>
      <c r="AO838" s="1" t="s">
        <v>14</v>
      </c>
      <c r="AP838" s="66">
        <f>+AD838</f>
        <v>3.25</v>
      </c>
      <c r="AQ838" s="66"/>
      <c r="AR838" s="9" t="s">
        <v>6</v>
      </c>
      <c r="AS838" s="66">
        <f>+AM814</f>
        <v>1.75</v>
      </c>
      <c r="AT838" s="66"/>
      <c r="AU838" s="1" t="s">
        <v>342</v>
      </c>
      <c r="AV838" s="1" t="s">
        <v>173</v>
      </c>
      <c r="AW838" s="66">
        <v>24</v>
      </c>
      <c r="AX838" s="66"/>
      <c r="AY838" s="9" t="s">
        <v>6</v>
      </c>
      <c r="AZ838" s="66">
        <f>+AT814</f>
        <v>85</v>
      </c>
      <c r="BA838" s="66"/>
      <c r="BB838" s="1" t="s">
        <v>14</v>
      </c>
      <c r="BC838" s="66">
        <f>+AP838</f>
        <v>3.25</v>
      </c>
      <c r="BD838" s="66"/>
      <c r="BE838" s="9" t="s">
        <v>6</v>
      </c>
      <c r="BF838" s="66">
        <f>+AY814</f>
        <v>3.25</v>
      </c>
      <c r="BG838" s="66"/>
      <c r="BH838" s="1" t="s">
        <v>311</v>
      </c>
      <c r="BI838" s="1" t="s">
        <v>173</v>
      </c>
      <c r="BJ838" s="1">
        <v>6</v>
      </c>
      <c r="BK838" s="9" t="s">
        <v>9</v>
      </c>
      <c r="BL838" s="1" t="s">
        <v>335</v>
      </c>
      <c r="BM838" s="9" t="s">
        <v>5</v>
      </c>
      <c r="BN838" s="66">
        <f>+BC838</f>
        <v>3.25</v>
      </c>
      <c r="BO838" s="66"/>
      <c r="BP838" s="9" t="s">
        <v>9</v>
      </c>
      <c r="BQ838" s="1" t="s">
        <v>337</v>
      </c>
      <c r="BT838" s="1" t="s">
        <v>335</v>
      </c>
      <c r="BU838" s="9" t="s">
        <v>5</v>
      </c>
      <c r="BV838" s="66">
        <f>+BN838</f>
        <v>3.25</v>
      </c>
      <c r="BW838" s="66"/>
      <c r="BX838" s="9" t="s">
        <v>9</v>
      </c>
      <c r="BY838" s="1" t="s">
        <v>337</v>
      </c>
      <c r="BZ838" s="9" t="s">
        <v>9</v>
      </c>
      <c r="CA838" s="66">
        <f>G838*J838^3/M838-O838*(R838-U838)^3/Y838+AA838*(AD838-AG838)^3/AK838-AM838*(AP838-AS838)^4/AW838-AZ838*(BC838-BF838)^3/BJ838</f>
        <v>-53.617292131696445</v>
      </c>
      <c r="CB838" s="66"/>
      <c r="CC838" s="92"/>
    </row>
    <row r="839" spans="2:81">
      <c r="B839" s="6"/>
      <c r="C839" s="1" t="s">
        <v>387</v>
      </c>
      <c r="J839" s="1" t="s">
        <v>313</v>
      </c>
      <c r="K839" s="9" t="s">
        <v>5</v>
      </c>
      <c r="L839" s="66">
        <f>+BJ837</f>
        <v>3.25</v>
      </c>
      <c r="M839" s="66"/>
      <c r="N839" s="9" t="s">
        <v>9</v>
      </c>
      <c r="O839" s="1" t="s">
        <v>315</v>
      </c>
      <c r="P839" s="9" t="s">
        <v>9</v>
      </c>
      <c r="Q839" s="66">
        <f>+BO837</f>
        <v>-53.617292131696445</v>
      </c>
      <c r="R839" s="66"/>
      <c r="S839" s="66"/>
      <c r="T839" s="9" t="s">
        <v>7</v>
      </c>
      <c r="U839" s="1" t="s">
        <v>335</v>
      </c>
      <c r="V839" s="9" t="s">
        <v>5</v>
      </c>
      <c r="W839" s="66">
        <f>+BV838</f>
        <v>3.25</v>
      </c>
      <c r="X839" s="66"/>
      <c r="Y839" s="9" t="s">
        <v>9</v>
      </c>
      <c r="Z839" s="1" t="s">
        <v>337</v>
      </c>
      <c r="AA839" s="9" t="s">
        <v>9</v>
      </c>
      <c r="AB839" s="66">
        <f>+CA838</f>
        <v>-53.617292131696445</v>
      </c>
      <c r="AC839" s="66"/>
      <c r="AD839" s="66"/>
      <c r="AG839" s="1" t="s">
        <v>313</v>
      </c>
      <c r="AH839" s="9" t="s">
        <v>5</v>
      </c>
      <c r="AI839" s="66">
        <f>+L839</f>
        <v>3.25</v>
      </c>
      <c r="AJ839" s="66"/>
      <c r="AK839" s="9" t="s">
        <v>9</v>
      </c>
      <c r="AL839" s="1" t="s">
        <v>315</v>
      </c>
      <c r="AM839" s="9" t="s">
        <v>6</v>
      </c>
      <c r="AN839" s="1" t="s">
        <v>335</v>
      </c>
      <c r="AO839" s="9" t="s">
        <v>5</v>
      </c>
      <c r="AP839" s="66">
        <f>+W839</f>
        <v>3.25</v>
      </c>
      <c r="AQ839" s="66"/>
      <c r="AR839" s="9" t="s">
        <v>6</v>
      </c>
      <c r="AS839" s="1" t="s">
        <v>337</v>
      </c>
      <c r="AT839" s="9" t="s">
        <v>9</v>
      </c>
      <c r="AU839" s="9">
        <f>+Q839-AB839</f>
        <v>0</v>
      </c>
      <c r="AV839" s="9" t="s">
        <v>7</v>
      </c>
      <c r="AW839" s="9">
        <v>0</v>
      </c>
      <c r="AY839" s="1" t="s">
        <v>391</v>
      </c>
      <c r="CC839" s="7"/>
    </row>
    <row r="840" spans="2:81">
      <c r="B840" s="6"/>
      <c r="C840" s="24" t="s">
        <v>395</v>
      </c>
      <c r="G840" s="9"/>
      <c r="J840" s="9"/>
      <c r="M840" s="9"/>
      <c r="N840" s="9"/>
      <c r="O840" s="9"/>
      <c r="Q840" s="9"/>
      <c r="U840" s="9"/>
      <c r="V840" s="9"/>
      <c r="W840" s="9"/>
      <c r="AM840" s="9"/>
      <c r="CC840" s="7"/>
    </row>
    <row r="841" spans="2:81">
      <c r="B841" s="6"/>
      <c r="C841" s="1" t="s">
        <v>32</v>
      </c>
      <c r="E841" s="66">
        <f>+AA841</f>
        <v>-766.24441964285734</v>
      </c>
      <c r="F841" s="66"/>
      <c r="G841" s="66"/>
      <c r="I841" s="40">
        <f>+AL821</f>
        <v>1.75</v>
      </c>
      <c r="J841" s="43">
        <v>1</v>
      </c>
      <c r="K841" s="40">
        <v>0</v>
      </c>
      <c r="L841" s="40">
        <v>0</v>
      </c>
      <c r="M841" s="43">
        <v>0</v>
      </c>
      <c r="N841" s="43">
        <v>0</v>
      </c>
      <c r="O841" s="43">
        <v>0</v>
      </c>
      <c r="P841" s="40">
        <v>0</v>
      </c>
      <c r="Q841" s="43">
        <f>-AQ821</f>
        <v>31.542154947916664</v>
      </c>
      <c r="R841" s="40"/>
      <c r="S841" s="40" cm="1">
        <f t="array" ref="S841:Z848">MINVERSE(I841:P848)</f>
        <v>0</v>
      </c>
      <c r="T841" s="40">
        <v>-0.14285714285714282</v>
      </c>
      <c r="U841" s="43">
        <v>0.14285714285714288</v>
      </c>
      <c r="V841" s="43">
        <v>0</v>
      </c>
      <c r="W841" s="43">
        <v>1</v>
      </c>
      <c r="X841" s="40">
        <v>0</v>
      </c>
      <c r="Y841" s="40">
        <v>0.7857142857142857</v>
      </c>
      <c r="Z841" s="40">
        <v>0.14285714285714282</v>
      </c>
      <c r="AA841" s="40" cm="1">
        <f t="array" ref="AA841:AA848">MMULT(S841:Z848,Q841:Q848)</f>
        <v>-766.24441964285734</v>
      </c>
      <c r="AM841" s="9"/>
      <c r="CC841" s="7"/>
    </row>
    <row r="842" spans="2:81">
      <c r="B842" s="6"/>
      <c r="C842" s="1" t="s">
        <v>392</v>
      </c>
      <c r="E842" s="66">
        <f t="shared" ref="E842:E848" si="7">+AA842</f>
        <v>1372.4698893229172</v>
      </c>
      <c r="F842" s="66"/>
      <c r="G842" s="66"/>
      <c r="I842" s="40">
        <v>0</v>
      </c>
      <c r="J842" s="43">
        <v>0</v>
      </c>
      <c r="K842" s="40">
        <f>+BN822</f>
        <v>1.75</v>
      </c>
      <c r="L842" s="40">
        <v>1</v>
      </c>
      <c r="M842" s="43">
        <v>0</v>
      </c>
      <c r="N842" s="43">
        <v>0</v>
      </c>
      <c r="O842" s="43">
        <v>0</v>
      </c>
      <c r="P842" s="40">
        <v>0</v>
      </c>
      <c r="Q842" s="43">
        <f>-BS822</f>
        <v>24.703369140625</v>
      </c>
      <c r="R842" s="40"/>
      <c r="S842" s="40">
        <v>1</v>
      </c>
      <c r="T842" s="40">
        <v>0.24999999999999994</v>
      </c>
      <c r="U842" s="43">
        <v>-0.25000000000000006</v>
      </c>
      <c r="V842" s="43">
        <v>0</v>
      </c>
      <c r="W842" s="43">
        <v>-1.75</v>
      </c>
      <c r="X842" s="40">
        <v>0</v>
      </c>
      <c r="Y842" s="40">
        <v>-1.375</v>
      </c>
      <c r="Z842" s="40">
        <v>-0.24999999999999994</v>
      </c>
      <c r="AA842" s="40">
        <v>1372.4698893229172</v>
      </c>
      <c r="AM842" s="9"/>
      <c r="CC842" s="7"/>
    </row>
    <row r="843" spans="2:81">
      <c r="B843" s="6"/>
      <c r="C843" s="1" t="s">
        <v>354</v>
      </c>
      <c r="E843" s="66">
        <f t="shared" si="7"/>
        <v>-774.06017485119071</v>
      </c>
      <c r="F843" s="66"/>
      <c r="G843" s="66"/>
      <c r="I843" s="40">
        <v>0</v>
      </c>
      <c r="J843" s="43">
        <v>0</v>
      </c>
      <c r="K843" s="40">
        <v>0</v>
      </c>
      <c r="L843" s="40">
        <v>0</v>
      </c>
      <c r="M843" s="43">
        <f>+K824</f>
        <v>8.75</v>
      </c>
      <c r="N843" s="43">
        <v>1</v>
      </c>
      <c r="O843" s="43">
        <v>0</v>
      </c>
      <c r="P843" s="40">
        <v>0</v>
      </c>
      <c r="Q843" s="43">
        <f>-P824</f>
        <v>-5393.7178548177089</v>
      </c>
      <c r="R843" s="40"/>
      <c r="S843" s="40">
        <v>0</v>
      </c>
      <c r="T843" s="40">
        <v>-0.14285714285714282</v>
      </c>
      <c r="U843" s="43">
        <v>0.14285714285714288</v>
      </c>
      <c r="V843" s="43">
        <v>0</v>
      </c>
      <c r="W843" s="43">
        <v>0</v>
      </c>
      <c r="X843" s="40">
        <v>0</v>
      </c>
      <c r="Y843" s="40">
        <v>0.7857142857142857</v>
      </c>
      <c r="Z843" s="40">
        <v>0.14285714285714282</v>
      </c>
      <c r="AA843" s="40">
        <v>-774.06017485119071</v>
      </c>
      <c r="AM843" s="9"/>
      <c r="CC843" s="7"/>
    </row>
    <row r="844" spans="2:81">
      <c r="B844" s="6"/>
      <c r="C844" s="1" t="s">
        <v>355</v>
      </c>
      <c r="E844" s="66">
        <f t="shared" si="7"/>
        <v>1379.3086751302087</v>
      </c>
      <c r="F844" s="66"/>
      <c r="G844" s="66"/>
      <c r="I844" s="40">
        <v>0</v>
      </c>
      <c r="J844" s="43">
        <v>0</v>
      </c>
      <c r="K844" s="40">
        <v>0</v>
      </c>
      <c r="L844" s="40">
        <v>0</v>
      </c>
      <c r="M844" s="43">
        <v>0</v>
      </c>
      <c r="N844" s="43">
        <v>0</v>
      </c>
      <c r="O844" s="43">
        <f>+AG826</f>
        <v>8.75</v>
      </c>
      <c r="P844" s="40">
        <v>1</v>
      </c>
      <c r="Q844" s="43">
        <f>-AL826</f>
        <v>-8645.0720214843768</v>
      </c>
      <c r="R844" s="40"/>
      <c r="S844" s="40">
        <v>0</v>
      </c>
      <c r="T844" s="40">
        <v>1.25</v>
      </c>
      <c r="U844" s="43">
        <v>-0.25000000000000006</v>
      </c>
      <c r="V844" s="43">
        <v>0</v>
      </c>
      <c r="W844" s="43">
        <v>0</v>
      </c>
      <c r="X844" s="40">
        <v>0</v>
      </c>
      <c r="Y844" s="40">
        <v>-1.3749999999999998</v>
      </c>
      <c r="Z844" s="40">
        <v>-0.25000000000000006</v>
      </c>
      <c r="AA844" s="40">
        <v>1379.3086751302087</v>
      </c>
      <c r="AM844" s="9"/>
      <c r="CC844" s="7"/>
    </row>
    <row r="845" spans="2:81">
      <c r="B845" s="6"/>
      <c r="C845" s="1" t="s">
        <v>356</v>
      </c>
      <c r="E845" s="66">
        <f t="shared" si="7"/>
        <v>-774.06017485119048</v>
      </c>
      <c r="F845" s="66"/>
      <c r="G845" s="66"/>
      <c r="I845" s="40">
        <v>1</v>
      </c>
      <c r="J845" s="43">
        <v>0</v>
      </c>
      <c r="K845" s="40">
        <v>-1</v>
      </c>
      <c r="L845" s="40">
        <v>0</v>
      </c>
      <c r="M845" s="43">
        <v>0</v>
      </c>
      <c r="N845" s="43">
        <v>0</v>
      </c>
      <c r="O845" s="43">
        <v>0</v>
      </c>
      <c r="P845" s="40">
        <v>0</v>
      </c>
      <c r="Q845" s="43">
        <f>-AB829</f>
        <v>7.8157552083333286</v>
      </c>
      <c r="R845" s="40"/>
      <c r="S845" s="40">
        <v>0</v>
      </c>
      <c r="T845" s="40">
        <v>-0.14285714285714285</v>
      </c>
      <c r="U845" s="43">
        <v>0.14285714285714285</v>
      </c>
      <c r="V845" s="43">
        <v>0</v>
      </c>
      <c r="W845" s="43">
        <v>0</v>
      </c>
      <c r="X845" s="40">
        <v>0</v>
      </c>
      <c r="Y845" s="40">
        <v>-0.21428571428571427</v>
      </c>
      <c r="Z845" s="40">
        <v>0.14285714285714285</v>
      </c>
      <c r="AA845" s="40">
        <v>-774.06017485119048</v>
      </c>
      <c r="AM845" s="9"/>
      <c r="CC845" s="7"/>
    </row>
    <row r="846" spans="2:81">
      <c r="B846" s="6"/>
      <c r="C846" s="1" t="s">
        <v>357</v>
      </c>
      <c r="E846" s="66">
        <f t="shared" si="7"/>
        <v>1379.3086751302083</v>
      </c>
      <c r="F846" s="66"/>
      <c r="G846" s="66"/>
      <c r="I846" s="40">
        <v>0</v>
      </c>
      <c r="J846" s="43">
        <v>0</v>
      </c>
      <c r="K846" s="40">
        <v>0</v>
      </c>
      <c r="L846" s="40">
        <v>0</v>
      </c>
      <c r="M846" s="43">
        <v>1</v>
      </c>
      <c r="N846" s="43">
        <v>0</v>
      </c>
      <c r="O846" s="43">
        <v>-1</v>
      </c>
      <c r="P846" s="40">
        <v>0</v>
      </c>
      <c r="Q846" s="43">
        <f>-AB833</f>
        <v>928.95833333333348</v>
      </c>
      <c r="R846" s="40"/>
      <c r="S846" s="40">
        <v>0</v>
      </c>
      <c r="T846" s="40">
        <v>1.25</v>
      </c>
      <c r="U846" s="43">
        <v>-0.24999999999999994</v>
      </c>
      <c r="V846" s="43">
        <v>0</v>
      </c>
      <c r="W846" s="43">
        <v>0</v>
      </c>
      <c r="X846" s="40">
        <v>0</v>
      </c>
      <c r="Y846" s="40">
        <v>1.875</v>
      </c>
      <c r="Z846" s="40">
        <v>-1.25</v>
      </c>
      <c r="AA846" s="40">
        <v>1379.3086751302083</v>
      </c>
      <c r="AM846" s="9"/>
      <c r="CC846" s="7"/>
    </row>
    <row r="847" spans="2:81">
      <c r="B847" s="6"/>
      <c r="C847" s="1" t="s">
        <v>394</v>
      </c>
      <c r="E847" s="66">
        <f t="shared" si="7"/>
        <v>-1703.0185081845239</v>
      </c>
      <c r="F847" s="66"/>
      <c r="G847" s="66"/>
      <c r="I847" s="40">
        <v>0</v>
      </c>
      <c r="J847" s="43">
        <v>0</v>
      </c>
      <c r="K847" s="40">
        <v>1</v>
      </c>
      <c r="L847" s="40">
        <v>0</v>
      </c>
      <c r="M847" s="43">
        <v>-1</v>
      </c>
      <c r="N847" s="43">
        <v>0</v>
      </c>
      <c r="O847" s="43">
        <v>0</v>
      </c>
      <c r="P847" s="40">
        <v>0</v>
      </c>
      <c r="Q847" s="43">
        <f>-AB836</f>
        <v>0</v>
      </c>
      <c r="R847" s="40"/>
      <c r="S847" s="40">
        <v>0</v>
      </c>
      <c r="T847" s="40">
        <v>-0.14285714285714285</v>
      </c>
      <c r="U847" s="43">
        <v>0.14285714285714285</v>
      </c>
      <c r="V847" s="43">
        <v>0</v>
      </c>
      <c r="W847" s="43">
        <v>0</v>
      </c>
      <c r="X847" s="40">
        <v>-1</v>
      </c>
      <c r="Y847" s="40">
        <v>-0.21428571428571427</v>
      </c>
      <c r="Z847" s="40">
        <v>0.14285714285714285</v>
      </c>
      <c r="AA847" s="40">
        <v>-1703.0185081845239</v>
      </c>
      <c r="AM847" s="9"/>
      <c r="CC847" s="7"/>
    </row>
    <row r="848" spans="2:81">
      <c r="B848" s="6"/>
      <c r="C848" s="1" t="s">
        <v>393</v>
      </c>
      <c r="E848" s="66">
        <f t="shared" si="7"/>
        <v>6256.3399251302089</v>
      </c>
      <c r="F848" s="66"/>
      <c r="G848" s="66"/>
      <c r="I848" s="40">
        <v>0</v>
      </c>
      <c r="J848" s="43">
        <v>0</v>
      </c>
      <c r="K848" s="40">
        <f>+AI839</f>
        <v>3.25</v>
      </c>
      <c r="L848" s="40">
        <v>1</v>
      </c>
      <c r="M848" s="43">
        <f>-AP839</f>
        <v>-3.25</v>
      </c>
      <c r="N848" s="43">
        <v>-1</v>
      </c>
      <c r="O848" s="43">
        <v>0</v>
      </c>
      <c r="P848" s="40">
        <v>0</v>
      </c>
      <c r="Q848" s="43">
        <f>-AU839</f>
        <v>0</v>
      </c>
      <c r="R848" s="40"/>
      <c r="S848" s="40">
        <v>0</v>
      </c>
      <c r="T848" s="40">
        <v>1.25</v>
      </c>
      <c r="U848" s="43">
        <v>-1.25</v>
      </c>
      <c r="V848" s="43">
        <v>1</v>
      </c>
      <c r="W848" s="43">
        <v>0</v>
      </c>
      <c r="X848" s="40">
        <v>8.75</v>
      </c>
      <c r="Y848" s="40">
        <v>1.875</v>
      </c>
      <c r="Z848" s="40">
        <v>-1.25</v>
      </c>
      <c r="AA848" s="40">
        <v>6256.3399251302089</v>
      </c>
      <c r="AM848" s="9"/>
      <c r="CC848" s="7"/>
    </row>
    <row r="849" spans="2:81">
      <c r="B849" s="6"/>
      <c r="C849" s="24" t="s">
        <v>340</v>
      </c>
      <c r="L849" s="9"/>
      <c r="M849" s="9"/>
      <c r="N849" s="9"/>
      <c r="CC849" s="7"/>
    </row>
    <row r="850" spans="2:81">
      <c r="B850" s="6"/>
      <c r="C850" s="1" t="s">
        <v>195</v>
      </c>
      <c r="H850" s="66">
        <f>+E806</f>
        <v>-20</v>
      </c>
      <c r="I850" s="66"/>
      <c r="J850" s="9" t="s">
        <v>5</v>
      </c>
      <c r="K850" s="1" t="s">
        <v>184</v>
      </c>
      <c r="L850" s="1" t="s">
        <v>173</v>
      </c>
      <c r="M850" s="1">
        <v>6</v>
      </c>
      <c r="N850" s="9" t="s">
        <v>6</v>
      </c>
      <c r="O850" s="66">
        <f>+L806</f>
        <v>35</v>
      </c>
      <c r="P850" s="66"/>
      <c r="Q850" s="9" t="s">
        <v>5</v>
      </c>
      <c r="R850" s="1" t="s">
        <v>185</v>
      </c>
      <c r="S850" s="1" t="s">
        <v>173</v>
      </c>
      <c r="T850" s="66">
        <v>24</v>
      </c>
      <c r="U850" s="66"/>
      <c r="V850" s="9" t="s">
        <v>9</v>
      </c>
      <c r="W850" s="1" t="s">
        <v>24</v>
      </c>
      <c r="X850" s="9" t="s">
        <v>5</v>
      </c>
      <c r="Y850" s="9" t="s">
        <v>13</v>
      </c>
      <c r="Z850" s="9" t="s">
        <v>9</v>
      </c>
      <c r="AA850" s="1" t="s">
        <v>307</v>
      </c>
      <c r="CC850" s="7"/>
    </row>
    <row r="851" spans="2:81">
      <c r="B851" s="6"/>
      <c r="C851" s="1" t="s">
        <v>35</v>
      </c>
      <c r="E851" s="66">
        <f>+H850</f>
        <v>-20</v>
      </c>
      <c r="F851" s="66"/>
      <c r="G851" s="9" t="s">
        <v>5</v>
      </c>
      <c r="H851" s="1" t="s">
        <v>184</v>
      </c>
      <c r="I851" s="1" t="s">
        <v>173</v>
      </c>
      <c r="J851" s="1">
        <v>6</v>
      </c>
      <c r="K851" s="9" t="s">
        <v>6</v>
      </c>
      <c r="L851" s="66">
        <f>+O850</f>
        <v>35</v>
      </c>
      <c r="M851" s="66"/>
      <c r="N851" s="9" t="s">
        <v>5</v>
      </c>
      <c r="O851" s="1" t="s">
        <v>185</v>
      </c>
      <c r="P851" s="1" t="s">
        <v>173</v>
      </c>
      <c r="Q851" s="66">
        <v>24</v>
      </c>
      <c r="R851" s="66"/>
      <c r="S851" s="9" t="s">
        <v>9</v>
      </c>
      <c r="T851" s="66">
        <f>+E841</f>
        <v>-766.24441964285734</v>
      </c>
      <c r="U851" s="66"/>
      <c r="V851" s="66"/>
      <c r="W851" s="9" t="s">
        <v>5</v>
      </c>
      <c r="X851" s="9" t="s">
        <v>13</v>
      </c>
      <c r="Y851" s="9" t="s">
        <v>9</v>
      </c>
      <c r="Z851" s="66">
        <f>+E842</f>
        <v>1372.4698893229172</v>
      </c>
      <c r="AA851" s="66"/>
      <c r="AB851" s="66"/>
      <c r="AC851" s="1" t="s">
        <v>322</v>
      </c>
      <c r="AE851" s="9"/>
      <c r="AK851" s="9"/>
      <c r="AO851" s="9"/>
      <c r="AP851" s="9"/>
      <c r="AQ851" s="9"/>
      <c r="BR851" s="9"/>
      <c r="BT851" s="9"/>
      <c r="CC851" s="7"/>
    </row>
    <row r="852" spans="2:81">
      <c r="B852" s="6"/>
      <c r="C852" s="1" t="s">
        <v>27</v>
      </c>
      <c r="D852" s="67">
        <v>0</v>
      </c>
      <c r="E852" s="67"/>
      <c r="F852" s="67"/>
      <c r="G852" s="1" t="s">
        <v>42</v>
      </c>
      <c r="P852" s="8" t="str">
        <f>IF(D852&lt;=Z751,"","azalt.")</f>
        <v/>
      </c>
      <c r="CC852" s="7"/>
    </row>
    <row r="853" spans="2:81">
      <c r="B853" s="6"/>
      <c r="C853" s="1" t="s">
        <v>35</v>
      </c>
      <c r="E853" s="66">
        <f>+E851</f>
        <v>-20</v>
      </c>
      <c r="F853" s="66"/>
      <c r="G853" s="9" t="s">
        <v>5</v>
      </c>
      <c r="H853" s="66">
        <f>+D852</f>
        <v>0</v>
      </c>
      <c r="I853" s="66"/>
      <c r="J853" s="9" t="s">
        <v>30</v>
      </c>
      <c r="K853" s="1">
        <v>6</v>
      </c>
      <c r="L853" s="9" t="s">
        <v>6</v>
      </c>
      <c r="M853" s="66">
        <f>+L851</f>
        <v>35</v>
      </c>
      <c r="N853" s="66"/>
      <c r="O853" s="9" t="s">
        <v>5</v>
      </c>
      <c r="P853" s="66">
        <f>+H853</f>
        <v>0</v>
      </c>
      <c r="Q853" s="66"/>
      <c r="R853" s="1" t="s">
        <v>186</v>
      </c>
      <c r="S853" s="66">
        <v>24</v>
      </c>
      <c r="T853" s="66"/>
      <c r="U853" s="9" t="s">
        <v>9</v>
      </c>
      <c r="V853" s="66">
        <f>+T851</f>
        <v>-766.24441964285734</v>
      </c>
      <c r="W853" s="66"/>
      <c r="X853" s="66"/>
      <c r="Y853" s="9" t="s">
        <v>5</v>
      </c>
      <c r="Z853" s="66">
        <f>+P853</f>
        <v>0</v>
      </c>
      <c r="AA853" s="66"/>
      <c r="AB853" s="9" t="s">
        <v>9</v>
      </c>
      <c r="AC853" s="66">
        <f>+Z851</f>
        <v>1372.4698893229172</v>
      </c>
      <c r="AD853" s="66"/>
      <c r="AE853" s="66"/>
      <c r="AF853" s="1" t="s">
        <v>193</v>
      </c>
      <c r="AI853" s="66">
        <f>+F757</f>
        <v>200000</v>
      </c>
      <c r="AJ853" s="66"/>
      <c r="AK853" s="66"/>
      <c r="AL853" s="9" t="s">
        <v>5</v>
      </c>
      <c r="AM853" s="66">
        <f>+F756</f>
        <v>92080</v>
      </c>
      <c r="AN853" s="66"/>
      <c r="AO853" s="66"/>
      <c r="AP853" s="1" t="s">
        <v>40</v>
      </c>
      <c r="AS853" s="9"/>
      <c r="AV853" s="9"/>
      <c r="CC853" s="7"/>
    </row>
    <row r="854" spans="2:81">
      <c r="B854" s="6"/>
      <c r="C854" s="1" t="s">
        <v>33</v>
      </c>
      <c r="E854" s="66">
        <f>(E853*H853^3/K853-M853*P853^4/S853+V853*Z853+AC853)*100000000/(AI853*AM853)</f>
        <v>7.4525949680870829</v>
      </c>
      <c r="F854" s="66"/>
      <c r="G854" s="66"/>
      <c r="H854" s="1" t="s">
        <v>41</v>
      </c>
      <c r="CC854" s="7"/>
    </row>
    <row r="855" spans="2:81">
      <c r="B855" s="6"/>
      <c r="C855" s="1" t="s">
        <v>202</v>
      </c>
      <c r="H855" s="66">
        <f>+Z751*1000</f>
        <v>1750</v>
      </c>
      <c r="I855" s="66"/>
      <c r="J855" s="66"/>
      <c r="K855" s="1" t="s">
        <v>173</v>
      </c>
      <c r="L855" s="66">
        <v>200</v>
      </c>
      <c r="M855" s="66"/>
      <c r="N855" s="9" t="s">
        <v>7</v>
      </c>
      <c r="O855" s="66">
        <f>+H855/L855</f>
        <v>8.75</v>
      </c>
      <c r="P855" s="66"/>
      <c r="Q855" s="66"/>
      <c r="R855" s="1" t="s">
        <v>41</v>
      </c>
      <c r="U855" s="1" t="s">
        <v>192</v>
      </c>
      <c r="CC855" s="7"/>
    </row>
    <row r="856" spans="2:81">
      <c r="B856" s="6"/>
      <c r="C856" s="1" t="s">
        <v>34</v>
      </c>
      <c r="D856" s="66">
        <f>+E854</f>
        <v>7.4525949680870829</v>
      </c>
      <c r="E856" s="66"/>
      <c r="F856" s="66"/>
      <c r="G856" s="1" t="s">
        <v>41</v>
      </c>
      <c r="I856" s="1" t="str">
        <f>IF(ABS(D856)&lt;ABS(M856),"&lt;","&gt;")</f>
        <v>&lt;</v>
      </c>
      <c r="J856" s="1" t="s">
        <v>174</v>
      </c>
      <c r="M856" s="66">
        <f>+O855</f>
        <v>8.75</v>
      </c>
      <c r="N856" s="66"/>
      <c r="O856" s="66"/>
      <c r="P856" s="1" t="s">
        <v>41</v>
      </c>
      <c r="R856" s="8" t="str">
        <f>IF(ABS(D856)&lt;ABS(M856),"uygun.","uygun değil.")</f>
        <v>uygun.</v>
      </c>
      <c r="CC856" s="7"/>
    </row>
    <row r="857" spans="2:81">
      <c r="B857" s="6"/>
      <c r="C857" s="24" t="s">
        <v>339</v>
      </c>
      <c r="CC857" s="7"/>
    </row>
    <row r="858" spans="2:81">
      <c r="B858" s="6"/>
      <c r="C858" s="1" t="s">
        <v>195</v>
      </c>
      <c r="H858" s="66">
        <f>+E810</f>
        <v>-20</v>
      </c>
      <c r="I858" s="66"/>
      <c r="J858" s="9" t="s">
        <v>5</v>
      </c>
      <c r="K858" s="1" t="s">
        <v>184</v>
      </c>
      <c r="L858" s="1" t="s">
        <v>173</v>
      </c>
      <c r="M858" s="1">
        <v>6</v>
      </c>
      <c r="N858" s="9" t="s">
        <v>6</v>
      </c>
      <c r="O858" s="66">
        <f>+L810</f>
        <v>61.25</v>
      </c>
      <c r="P858" s="66"/>
      <c r="Q858" s="9" t="s">
        <v>14</v>
      </c>
      <c r="R858" s="9" t="s">
        <v>13</v>
      </c>
      <c r="S858" s="9" t="s">
        <v>6</v>
      </c>
      <c r="T858" s="66">
        <f>+Q810</f>
        <v>0.875</v>
      </c>
      <c r="U858" s="66"/>
      <c r="V858" s="1" t="s">
        <v>311</v>
      </c>
      <c r="W858" s="1" t="s">
        <v>173</v>
      </c>
      <c r="X858" s="1">
        <v>6</v>
      </c>
      <c r="Y858" s="9" t="s">
        <v>9</v>
      </c>
      <c r="Z858" s="66">
        <f>+W810</f>
        <v>375.60267857142856</v>
      </c>
      <c r="AA858" s="66"/>
      <c r="AB858" s="1" t="s">
        <v>14</v>
      </c>
      <c r="AC858" s="1" t="s">
        <v>13</v>
      </c>
      <c r="AD858" s="9" t="s">
        <v>6</v>
      </c>
      <c r="AE858" s="66">
        <f>+AB810</f>
        <v>1.75</v>
      </c>
      <c r="AF858" s="66"/>
      <c r="AG858" s="1" t="s">
        <v>311</v>
      </c>
      <c r="AH858" s="1" t="s">
        <v>173</v>
      </c>
      <c r="AI858" s="1">
        <v>6</v>
      </c>
      <c r="AJ858" s="9" t="s">
        <v>6</v>
      </c>
      <c r="AK858" s="66">
        <f>+AH810</f>
        <v>65</v>
      </c>
      <c r="AL858" s="66"/>
      <c r="AM858" s="1" t="s">
        <v>14</v>
      </c>
      <c r="AN858" s="1" t="s">
        <v>13</v>
      </c>
      <c r="AO858" s="9" t="s">
        <v>6</v>
      </c>
      <c r="AP858" s="66">
        <f>+AM810</f>
        <v>1.75</v>
      </c>
      <c r="AQ858" s="66"/>
      <c r="AR858" s="1" t="s">
        <v>342</v>
      </c>
      <c r="AS858" s="1" t="s">
        <v>173</v>
      </c>
      <c r="AT858" s="66">
        <v>24</v>
      </c>
      <c r="AU858" s="66"/>
      <c r="AV858" s="9" t="s">
        <v>9</v>
      </c>
      <c r="AW858" s="1" t="s">
        <v>313</v>
      </c>
      <c r="AX858" s="9" t="s">
        <v>5</v>
      </c>
      <c r="AY858" s="9" t="s">
        <v>13</v>
      </c>
      <c r="AZ858" s="9" t="s">
        <v>9</v>
      </c>
      <c r="BA858" s="1" t="s">
        <v>315</v>
      </c>
      <c r="BE858" s="9"/>
      <c r="BF858" s="9"/>
      <c r="BJ858" s="9"/>
      <c r="BM858" s="9"/>
      <c r="BN858" s="9"/>
      <c r="BQ858" s="9"/>
      <c r="BT858" s="9"/>
      <c r="BY858" s="9"/>
      <c r="CC858" s="41"/>
    </row>
    <row r="859" spans="2:81">
      <c r="B859" s="6"/>
      <c r="C859" s="1" t="s">
        <v>35</v>
      </c>
      <c r="E859" s="66">
        <f>+H858</f>
        <v>-20</v>
      </c>
      <c r="F859" s="66"/>
      <c r="G859" s="9" t="s">
        <v>5</v>
      </c>
      <c r="H859" s="1" t="s">
        <v>184</v>
      </c>
      <c r="I859" s="1" t="s">
        <v>173</v>
      </c>
      <c r="J859" s="1">
        <v>6</v>
      </c>
      <c r="K859" s="9" t="s">
        <v>6</v>
      </c>
      <c r="L859" s="66">
        <f>+O858</f>
        <v>61.25</v>
      </c>
      <c r="M859" s="66"/>
      <c r="N859" s="9" t="s">
        <v>14</v>
      </c>
      <c r="O859" s="9" t="s">
        <v>13</v>
      </c>
      <c r="P859" s="9" t="s">
        <v>6</v>
      </c>
      <c r="Q859" s="66">
        <f>+T858</f>
        <v>0.875</v>
      </c>
      <c r="R859" s="66"/>
      <c r="S859" s="1" t="s">
        <v>311</v>
      </c>
      <c r="T859" s="1" t="s">
        <v>173</v>
      </c>
      <c r="U859" s="1">
        <v>6</v>
      </c>
      <c r="V859" s="9" t="s">
        <v>9</v>
      </c>
      <c r="W859" s="66">
        <f>+Z858</f>
        <v>375.60267857142856</v>
      </c>
      <c r="X859" s="66"/>
      <c r="Y859" s="1" t="s">
        <v>14</v>
      </c>
      <c r="Z859" s="1" t="s">
        <v>13</v>
      </c>
      <c r="AA859" s="9" t="s">
        <v>6</v>
      </c>
      <c r="AB859" s="66">
        <f>+AE858</f>
        <v>1.75</v>
      </c>
      <c r="AC859" s="66"/>
      <c r="AD859" s="1" t="s">
        <v>311</v>
      </c>
      <c r="AE859" s="1" t="s">
        <v>173</v>
      </c>
      <c r="AF859" s="1">
        <v>6</v>
      </c>
      <c r="AG859" s="9" t="s">
        <v>6</v>
      </c>
      <c r="AH859" s="66">
        <f>+AK858</f>
        <v>65</v>
      </c>
      <c r="AI859" s="66"/>
      <c r="AJ859" s="1" t="s">
        <v>14</v>
      </c>
      <c r="AK859" s="1" t="s">
        <v>13</v>
      </c>
      <c r="AL859" s="9" t="s">
        <v>6</v>
      </c>
      <c r="AM859" s="66">
        <f>+AP858</f>
        <v>1.75</v>
      </c>
      <c r="AN859" s="66"/>
      <c r="AO859" s="1" t="s">
        <v>342</v>
      </c>
      <c r="AP859" s="1" t="s">
        <v>173</v>
      </c>
      <c r="AQ859" s="66">
        <v>24</v>
      </c>
      <c r="AR859" s="66"/>
      <c r="AS859" s="9" t="s">
        <v>9</v>
      </c>
      <c r="AT859" s="66">
        <f>+E843</f>
        <v>-774.06017485119071</v>
      </c>
      <c r="AU859" s="66"/>
      <c r="AV859" s="66"/>
      <c r="AW859" s="9" t="s">
        <v>5</v>
      </c>
      <c r="AX859" s="9" t="s">
        <v>13</v>
      </c>
      <c r="AY859" s="9" t="s">
        <v>9</v>
      </c>
      <c r="AZ859" s="66">
        <f>+E844</f>
        <v>1379.3086751302087</v>
      </c>
      <c r="BA859" s="66"/>
      <c r="BB859" s="66"/>
      <c r="BC859" s="1" t="s">
        <v>322</v>
      </c>
      <c r="BG859" s="9"/>
      <c r="BJ859" s="9"/>
      <c r="BK859" s="9"/>
      <c r="BN859" s="9"/>
      <c r="BQ859" s="9"/>
      <c r="BV859" s="9"/>
      <c r="BZ859" s="9"/>
      <c r="CA859" s="9"/>
      <c r="CB859" s="9"/>
      <c r="CC859" s="7"/>
    </row>
    <row r="860" spans="2:81">
      <c r="B860" s="6"/>
      <c r="C860" s="1" t="s">
        <v>27</v>
      </c>
      <c r="D860" s="67">
        <v>2</v>
      </c>
      <c r="E860" s="67"/>
      <c r="F860" s="67"/>
      <c r="G860" s="1" t="s">
        <v>42</v>
      </c>
      <c r="P860" s="8" t="str">
        <f>IF(D860&lt;=Z751,"artır.",IF(D860&gt;(AF751+Z751),"azalt.",""))</f>
        <v/>
      </c>
      <c r="AB860" s="9"/>
      <c r="AD860" s="9"/>
      <c r="AE860" s="9"/>
      <c r="AF860" s="9"/>
      <c r="AG860" s="9"/>
      <c r="AK860" s="9"/>
      <c r="AL860" s="9"/>
      <c r="AM860" s="9"/>
      <c r="AN860" s="9"/>
      <c r="AO860" s="9"/>
      <c r="AR860" s="9"/>
      <c r="AS860" s="9"/>
      <c r="AT860" s="9"/>
      <c r="AU860" s="9"/>
      <c r="AX860" s="9"/>
      <c r="AY860" s="9"/>
      <c r="CC860" s="7"/>
    </row>
    <row r="861" spans="2:81">
      <c r="B861" s="6"/>
      <c r="C861" s="1" t="s">
        <v>35</v>
      </c>
      <c r="E861" s="66">
        <f>+E859</f>
        <v>-20</v>
      </c>
      <c r="F861" s="66"/>
      <c r="G861" s="9" t="s">
        <v>5</v>
      </c>
      <c r="H861" s="66">
        <f>+D860</f>
        <v>2</v>
      </c>
      <c r="I861" s="66"/>
      <c r="J861" s="9" t="s">
        <v>30</v>
      </c>
      <c r="K861" s="1">
        <v>6</v>
      </c>
      <c r="L861" s="9" t="s">
        <v>6</v>
      </c>
      <c r="M861" s="66">
        <f>+O858</f>
        <v>61.25</v>
      </c>
      <c r="N861" s="66"/>
      <c r="O861" s="9" t="s">
        <v>14</v>
      </c>
      <c r="P861" s="66">
        <f>+H861</f>
        <v>2</v>
      </c>
      <c r="Q861" s="66"/>
      <c r="R861" s="9" t="s">
        <v>6</v>
      </c>
      <c r="S861" s="66">
        <f>+T858</f>
        <v>0.875</v>
      </c>
      <c r="T861" s="66"/>
      <c r="U861" s="1" t="s">
        <v>311</v>
      </c>
      <c r="V861" s="1" t="s">
        <v>173</v>
      </c>
      <c r="W861" s="1">
        <v>6</v>
      </c>
      <c r="X861" s="9" t="s">
        <v>9</v>
      </c>
      <c r="Y861" s="66">
        <f>+Z858</f>
        <v>375.60267857142856</v>
      </c>
      <c r="Z861" s="66"/>
      <c r="AA861" s="1" t="s">
        <v>14</v>
      </c>
      <c r="AB861" s="66">
        <f>+P861</f>
        <v>2</v>
      </c>
      <c r="AC861" s="66"/>
      <c r="AD861" s="9" t="s">
        <v>6</v>
      </c>
      <c r="AE861" s="66">
        <f>+AE858</f>
        <v>1.75</v>
      </c>
      <c r="AF861" s="66"/>
      <c r="AG861" s="1" t="s">
        <v>311</v>
      </c>
      <c r="AH861" s="1" t="s">
        <v>173</v>
      </c>
      <c r="AI861" s="1">
        <v>6</v>
      </c>
      <c r="AJ861" s="9" t="s">
        <v>6</v>
      </c>
      <c r="AK861" s="66">
        <f>+AK858</f>
        <v>65</v>
      </c>
      <c r="AL861" s="66"/>
      <c r="AM861" s="1" t="s">
        <v>14</v>
      </c>
      <c r="AN861" s="66">
        <f>+AB861</f>
        <v>2</v>
      </c>
      <c r="AO861" s="66"/>
      <c r="AP861" s="9" t="s">
        <v>6</v>
      </c>
      <c r="AQ861" s="66">
        <f>+AP858</f>
        <v>1.75</v>
      </c>
      <c r="AR861" s="66"/>
      <c r="AS861" s="1" t="s">
        <v>342</v>
      </c>
      <c r="AT861" s="1" t="s">
        <v>173</v>
      </c>
      <c r="AU861" s="66">
        <v>24</v>
      </c>
      <c r="AV861" s="66"/>
      <c r="AW861" s="9" t="s">
        <v>9</v>
      </c>
      <c r="AX861" s="66">
        <f>+E843</f>
        <v>-774.06017485119071</v>
      </c>
      <c r="AY861" s="66"/>
      <c r="AZ861" s="66"/>
      <c r="BA861" s="1" t="s">
        <v>5</v>
      </c>
      <c r="BB861" s="66">
        <f>+AN861</f>
        <v>2</v>
      </c>
      <c r="BC861" s="66"/>
      <c r="BD861" s="1" t="s">
        <v>9</v>
      </c>
      <c r="BE861" s="66">
        <f>+E844</f>
        <v>1379.3086751302087</v>
      </c>
      <c r="BF861" s="66"/>
      <c r="BG861" s="66"/>
      <c r="BH861" s="1" t="s">
        <v>193</v>
      </c>
      <c r="BK861" s="66">
        <f>+AI853</f>
        <v>200000</v>
      </c>
      <c r="BL861" s="66"/>
      <c r="BM861" s="66"/>
      <c r="BN861" s="9" t="s">
        <v>5</v>
      </c>
      <c r="BO861" s="66">
        <f>+AM853</f>
        <v>92080</v>
      </c>
      <c r="BP861" s="66"/>
      <c r="BQ861" s="66"/>
      <c r="BR861" s="1" t="s">
        <v>40</v>
      </c>
      <c r="BT861" s="9"/>
      <c r="BW861" s="9"/>
      <c r="CC861" s="41"/>
    </row>
    <row r="862" spans="2:81">
      <c r="B862" s="6"/>
      <c r="C862" s="1" t="s">
        <v>33</v>
      </c>
      <c r="E862" s="66">
        <f>(E861*H861^3/K861-M861*(P861-S861)^3/W861+Y861*(AB861-AE861)^3/AI861-AK861*(AN861-AQ861)^4/AU861+AX861*BB861+BE861)*100000000/(BK861*BO861)</f>
        <v>-1.1351308688089237</v>
      </c>
      <c r="F862" s="66"/>
      <c r="G862" s="66"/>
      <c r="H862" s="1" t="s">
        <v>41</v>
      </c>
      <c r="CC862" s="7"/>
    </row>
    <row r="863" spans="2:81">
      <c r="B863" s="6"/>
      <c r="C863" s="1" t="s">
        <v>172</v>
      </c>
      <c r="H863" s="66">
        <f>+AJ753*1000</f>
        <v>7000</v>
      </c>
      <c r="I863" s="66"/>
      <c r="J863" s="66"/>
      <c r="K863" s="1" t="s">
        <v>173</v>
      </c>
      <c r="L863" s="66">
        <v>300</v>
      </c>
      <c r="M863" s="66"/>
      <c r="N863" s="9" t="s">
        <v>7</v>
      </c>
      <c r="O863" s="66">
        <f>+H863/L863</f>
        <v>23.333333333333332</v>
      </c>
      <c r="P863" s="66"/>
      <c r="Q863" s="66"/>
      <c r="R863" s="1" t="s">
        <v>41</v>
      </c>
      <c r="U863" s="1" t="s">
        <v>192</v>
      </c>
      <c r="CC863" s="7"/>
    </row>
    <row r="864" spans="2:81">
      <c r="B864" s="6"/>
      <c r="C864" s="1" t="s">
        <v>34</v>
      </c>
      <c r="D864" s="66">
        <f>+E862</f>
        <v>-1.1351308688089237</v>
      </c>
      <c r="E864" s="66"/>
      <c r="F864" s="66"/>
      <c r="G864" s="1" t="s">
        <v>41</v>
      </c>
      <c r="I864" s="1" t="str">
        <f>IF(ABS(D864)&lt;ABS(M864),"&lt;","&gt;")</f>
        <v>&lt;</v>
      </c>
      <c r="J864" s="1" t="s">
        <v>174</v>
      </c>
      <c r="M864" s="66">
        <f>+O863</f>
        <v>23.333333333333332</v>
      </c>
      <c r="N864" s="66"/>
      <c r="O864" s="66"/>
      <c r="P864" s="1" t="s">
        <v>41</v>
      </c>
      <c r="R864" s="8" t="str">
        <f>IF(ABS(D864)&lt;ABS(M864),"uygun.","uygun değil.")</f>
        <v>uygun.</v>
      </c>
      <c r="CC864" s="7"/>
    </row>
    <row r="865" spans="2:81">
      <c r="B865" s="6"/>
      <c r="C865" s="24" t="s">
        <v>338</v>
      </c>
      <c r="CC865" s="7"/>
    </row>
    <row r="866" spans="2:81">
      <c r="B866" s="6"/>
      <c r="C866" s="1" t="s">
        <v>195</v>
      </c>
      <c r="H866" s="66">
        <f>+E814</f>
        <v>-20</v>
      </c>
      <c r="I866" s="66"/>
      <c r="J866" s="9" t="s">
        <v>5</v>
      </c>
      <c r="K866" s="1" t="s">
        <v>184</v>
      </c>
      <c r="L866" s="1" t="s">
        <v>173</v>
      </c>
      <c r="M866" s="1">
        <v>6</v>
      </c>
      <c r="N866" s="9" t="s">
        <v>6</v>
      </c>
      <c r="O866" s="66">
        <f>+L814</f>
        <v>61.25</v>
      </c>
      <c r="P866" s="66"/>
      <c r="Q866" s="9" t="s">
        <v>14</v>
      </c>
      <c r="R866" s="9" t="s">
        <v>13</v>
      </c>
      <c r="S866" s="9" t="s">
        <v>6</v>
      </c>
      <c r="T866" s="66">
        <f>+Q814</f>
        <v>0.875</v>
      </c>
      <c r="U866" s="66"/>
      <c r="V866" s="1" t="s">
        <v>311</v>
      </c>
      <c r="W866" s="1" t="s">
        <v>173</v>
      </c>
      <c r="X866" s="1">
        <v>6</v>
      </c>
      <c r="Y866" s="9" t="s">
        <v>9</v>
      </c>
      <c r="Z866" s="66">
        <f>+W814</f>
        <v>375.60267857142856</v>
      </c>
      <c r="AA866" s="66"/>
      <c r="AB866" s="1" t="s">
        <v>14</v>
      </c>
      <c r="AC866" s="1" t="s">
        <v>13</v>
      </c>
      <c r="AD866" s="9" t="s">
        <v>6</v>
      </c>
      <c r="AE866" s="66">
        <f>+AB814</f>
        <v>1.75</v>
      </c>
      <c r="AF866" s="66"/>
      <c r="AG866" s="1" t="s">
        <v>311</v>
      </c>
      <c r="AH866" s="1" t="s">
        <v>173</v>
      </c>
      <c r="AI866" s="1">
        <v>6</v>
      </c>
      <c r="AJ866" s="9" t="s">
        <v>6</v>
      </c>
      <c r="AK866" s="66">
        <f>+AH814</f>
        <v>65</v>
      </c>
      <c r="AL866" s="66"/>
      <c r="AM866" s="1" t="s">
        <v>14</v>
      </c>
      <c r="AN866" s="1" t="s">
        <v>13</v>
      </c>
      <c r="AO866" s="9" t="s">
        <v>6</v>
      </c>
      <c r="AP866" s="66">
        <f>+AM814</f>
        <v>1.75</v>
      </c>
      <c r="AQ866" s="66"/>
      <c r="AR866" s="1" t="s">
        <v>342</v>
      </c>
      <c r="AS866" s="1" t="s">
        <v>173</v>
      </c>
      <c r="AT866" s="66">
        <v>24</v>
      </c>
      <c r="AU866" s="66"/>
      <c r="AV866" s="9" t="s">
        <v>6</v>
      </c>
      <c r="AW866" s="66">
        <f>+AT814</f>
        <v>85</v>
      </c>
      <c r="AX866" s="66"/>
      <c r="AY866" s="1" t="s">
        <v>14</v>
      </c>
      <c r="AZ866" s="1" t="s">
        <v>13</v>
      </c>
      <c r="BA866" s="9" t="s">
        <v>6</v>
      </c>
      <c r="BB866" s="66">
        <f>+AY814</f>
        <v>3.25</v>
      </c>
      <c r="BC866" s="66"/>
      <c r="BD866" s="1" t="s">
        <v>311</v>
      </c>
      <c r="BE866" s="1" t="s">
        <v>173</v>
      </c>
      <c r="BF866" s="1">
        <v>6</v>
      </c>
      <c r="BG866" s="9" t="s">
        <v>9</v>
      </c>
      <c r="BH866" s="1" t="s">
        <v>335</v>
      </c>
      <c r="BI866" s="9" t="s">
        <v>5</v>
      </c>
      <c r="BJ866" s="9" t="s">
        <v>13</v>
      </c>
      <c r="BK866" s="9" t="s">
        <v>9</v>
      </c>
      <c r="BL866" s="1" t="s">
        <v>337</v>
      </c>
      <c r="CC866" s="7"/>
    </row>
    <row r="867" spans="2:81">
      <c r="B867" s="6"/>
      <c r="C867" s="1" t="s">
        <v>35</v>
      </c>
      <c r="E867" s="66">
        <f>+H866</f>
        <v>-20</v>
      </c>
      <c r="F867" s="66"/>
      <c r="G867" s="9" t="s">
        <v>5</v>
      </c>
      <c r="H867" s="1" t="s">
        <v>184</v>
      </c>
      <c r="I867" s="1" t="s">
        <v>173</v>
      </c>
      <c r="J867" s="1">
        <v>6</v>
      </c>
      <c r="K867" s="9" t="s">
        <v>6</v>
      </c>
      <c r="L867" s="66">
        <f>+O866</f>
        <v>61.25</v>
      </c>
      <c r="M867" s="66"/>
      <c r="N867" s="9" t="s">
        <v>14</v>
      </c>
      <c r="O867" s="9" t="s">
        <v>13</v>
      </c>
      <c r="P867" s="9" t="s">
        <v>6</v>
      </c>
      <c r="Q867" s="66">
        <f>+T866</f>
        <v>0.875</v>
      </c>
      <c r="R867" s="66"/>
      <c r="S867" s="1" t="s">
        <v>311</v>
      </c>
      <c r="T867" s="1" t="s">
        <v>173</v>
      </c>
      <c r="U867" s="1">
        <v>6</v>
      </c>
      <c r="V867" s="9" t="s">
        <v>9</v>
      </c>
      <c r="W867" s="66">
        <f>+Z866</f>
        <v>375.60267857142856</v>
      </c>
      <c r="X867" s="66"/>
      <c r="Y867" s="1" t="s">
        <v>14</v>
      </c>
      <c r="Z867" s="1" t="s">
        <v>13</v>
      </c>
      <c r="AA867" s="9" t="s">
        <v>6</v>
      </c>
      <c r="AB867" s="66">
        <f>+AE866</f>
        <v>1.75</v>
      </c>
      <c r="AC867" s="66"/>
      <c r="AD867" s="1" t="s">
        <v>311</v>
      </c>
      <c r="AE867" s="1" t="s">
        <v>173</v>
      </c>
      <c r="AF867" s="1">
        <v>6</v>
      </c>
      <c r="AG867" s="9" t="s">
        <v>6</v>
      </c>
      <c r="AH867" s="66">
        <f>+AK866</f>
        <v>65</v>
      </c>
      <c r="AI867" s="66"/>
      <c r="AJ867" s="1" t="s">
        <v>14</v>
      </c>
      <c r="AK867" s="1" t="s">
        <v>13</v>
      </c>
      <c r="AL867" s="9" t="s">
        <v>6</v>
      </c>
      <c r="AM867" s="66">
        <f>+AP866</f>
        <v>1.75</v>
      </c>
      <c r="AN867" s="66"/>
      <c r="AO867" s="1" t="s">
        <v>342</v>
      </c>
      <c r="AP867" s="1" t="s">
        <v>173</v>
      </c>
      <c r="AQ867" s="66">
        <v>24</v>
      </c>
      <c r="AR867" s="66"/>
      <c r="AS867" s="9" t="s">
        <v>6</v>
      </c>
      <c r="AT867" s="66">
        <f>+AW866</f>
        <v>85</v>
      </c>
      <c r="AU867" s="66"/>
      <c r="AV867" s="1" t="s">
        <v>14</v>
      </c>
      <c r="AW867" s="1" t="s">
        <v>13</v>
      </c>
      <c r="AX867" s="9" t="s">
        <v>6</v>
      </c>
      <c r="AY867" s="66">
        <f>+BB866</f>
        <v>3.25</v>
      </c>
      <c r="AZ867" s="66"/>
      <c r="BA867" s="1" t="s">
        <v>311</v>
      </c>
      <c r="BB867" s="1" t="s">
        <v>173</v>
      </c>
      <c r="BC867" s="1">
        <v>6</v>
      </c>
      <c r="BD867" s="9" t="s">
        <v>9</v>
      </c>
      <c r="BE867" s="66">
        <f>+E845</f>
        <v>-774.06017485119048</v>
      </c>
      <c r="BF867" s="66"/>
      <c r="BG867" s="66"/>
      <c r="BH867" s="9" t="s">
        <v>5</v>
      </c>
      <c r="BI867" s="9" t="s">
        <v>13</v>
      </c>
      <c r="BJ867" s="9" t="s">
        <v>9</v>
      </c>
      <c r="BK867" s="66">
        <f>+E846</f>
        <v>1379.3086751302083</v>
      </c>
      <c r="BL867" s="66"/>
      <c r="BM867" s="66"/>
      <c r="BN867" s="1" t="s">
        <v>322</v>
      </c>
      <c r="CC867" s="7"/>
    </row>
    <row r="868" spans="2:81">
      <c r="B868" s="6"/>
      <c r="C868" s="1" t="s">
        <v>27</v>
      </c>
      <c r="D868" s="67">
        <v>4.5</v>
      </c>
      <c r="E868" s="67"/>
      <c r="F868" s="67"/>
      <c r="G868" s="1" t="s">
        <v>42</v>
      </c>
      <c r="P868" s="8" t="str">
        <f>IF(D868&lt;=(Z751+AF751),"artır.",IF(D868&gt;(AF751+Z751+AM751),"azalt.",""))</f>
        <v/>
      </c>
      <c r="AB868" s="9"/>
      <c r="CC868" s="7"/>
    </row>
    <row r="869" spans="2:81">
      <c r="B869" s="6"/>
      <c r="C869" s="1" t="s">
        <v>35</v>
      </c>
      <c r="E869" s="66">
        <f>+E867</f>
        <v>-20</v>
      </c>
      <c r="F869" s="66"/>
      <c r="G869" s="9" t="s">
        <v>5</v>
      </c>
      <c r="H869" s="66">
        <f>+D868</f>
        <v>4.5</v>
      </c>
      <c r="I869" s="66"/>
      <c r="J869" s="9" t="s">
        <v>30</v>
      </c>
      <c r="K869" s="1">
        <v>6</v>
      </c>
      <c r="L869" s="9" t="s">
        <v>6</v>
      </c>
      <c r="M869" s="66">
        <f>+O866</f>
        <v>61.25</v>
      </c>
      <c r="N869" s="66"/>
      <c r="O869" s="9" t="s">
        <v>14</v>
      </c>
      <c r="P869" s="66">
        <f>+H869</f>
        <v>4.5</v>
      </c>
      <c r="Q869" s="66"/>
      <c r="R869" s="9" t="s">
        <v>6</v>
      </c>
      <c r="S869" s="66">
        <f>+T866</f>
        <v>0.875</v>
      </c>
      <c r="T869" s="66"/>
      <c r="U869" s="1" t="s">
        <v>311</v>
      </c>
      <c r="V869" s="1" t="s">
        <v>173</v>
      </c>
      <c r="W869" s="1">
        <v>6</v>
      </c>
      <c r="X869" s="9" t="s">
        <v>9</v>
      </c>
      <c r="Y869" s="66">
        <f>+Z866</f>
        <v>375.60267857142856</v>
      </c>
      <c r="Z869" s="66"/>
      <c r="AA869" s="1" t="s">
        <v>14</v>
      </c>
      <c r="AB869" s="66">
        <f>+P869</f>
        <v>4.5</v>
      </c>
      <c r="AC869" s="66"/>
      <c r="AD869" s="9" t="s">
        <v>6</v>
      </c>
      <c r="AE869" s="66">
        <f>+AE866</f>
        <v>1.75</v>
      </c>
      <c r="AF869" s="66"/>
      <c r="AG869" s="1" t="s">
        <v>311</v>
      </c>
      <c r="AH869" s="1" t="s">
        <v>173</v>
      </c>
      <c r="AI869" s="1">
        <v>6</v>
      </c>
      <c r="AJ869" s="9" t="s">
        <v>6</v>
      </c>
      <c r="AK869" s="66">
        <f>+AK866</f>
        <v>65</v>
      </c>
      <c r="AL869" s="66"/>
      <c r="AM869" s="1" t="s">
        <v>14</v>
      </c>
      <c r="AN869" s="66">
        <f>+AB869</f>
        <v>4.5</v>
      </c>
      <c r="AO869" s="66"/>
      <c r="AP869" s="9" t="s">
        <v>6</v>
      </c>
      <c r="AQ869" s="66">
        <f>+AP866</f>
        <v>1.75</v>
      </c>
      <c r="AR869" s="66"/>
      <c r="AS869" s="1" t="s">
        <v>342</v>
      </c>
      <c r="AT869" s="1" t="s">
        <v>173</v>
      </c>
      <c r="AU869" s="1">
        <v>24</v>
      </c>
      <c r="AV869" s="9" t="s">
        <v>6</v>
      </c>
      <c r="AW869" s="66">
        <f>+AW866</f>
        <v>85</v>
      </c>
      <c r="AX869" s="66"/>
      <c r="AY869" s="9" t="s">
        <v>14</v>
      </c>
      <c r="AZ869" s="66">
        <f>+AN869</f>
        <v>4.5</v>
      </c>
      <c r="BA869" s="66"/>
      <c r="BB869" s="9" t="s">
        <v>6</v>
      </c>
      <c r="BC869" s="66">
        <f>+BB866</f>
        <v>3.25</v>
      </c>
      <c r="BD869" s="66"/>
      <c r="BE869" s="1" t="s">
        <v>311</v>
      </c>
      <c r="BF869" s="1" t="s">
        <v>173</v>
      </c>
      <c r="BG869" s="1">
        <v>6</v>
      </c>
      <c r="BH869" s="9" t="s">
        <v>9</v>
      </c>
      <c r="BI869" s="66">
        <f>+BE867</f>
        <v>-774.06017485119048</v>
      </c>
      <c r="BJ869" s="66"/>
      <c r="BK869" s="66"/>
      <c r="BL869" s="9" t="s">
        <v>5</v>
      </c>
      <c r="BM869" s="66">
        <f>+AZ869</f>
        <v>4.5</v>
      </c>
      <c r="BN869" s="66"/>
      <c r="BO869" s="9" t="s">
        <v>9</v>
      </c>
      <c r="BP869" s="66">
        <f>+E846</f>
        <v>1379.3086751302083</v>
      </c>
      <c r="BQ869" s="66"/>
      <c r="BR869" s="66"/>
      <c r="BS869" s="1" t="s">
        <v>193</v>
      </c>
      <c r="BV869" s="66">
        <f>+BK861</f>
        <v>200000</v>
      </c>
      <c r="BW869" s="66"/>
      <c r="BX869" s="66"/>
      <c r="BY869" s="9" t="s">
        <v>5</v>
      </c>
      <c r="BZ869" s="66">
        <f>+BO861</f>
        <v>92080</v>
      </c>
      <c r="CA869" s="66"/>
      <c r="CB869" s="66"/>
      <c r="CC869" s="7" t="s">
        <v>40</v>
      </c>
    </row>
    <row r="870" spans="2:81">
      <c r="B870" s="6"/>
      <c r="C870" s="1" t="s">
        <v>33</v>
      </c>
      <c r="E870" s="66">
        <f>(E869*H869^3/K869-M869*(P869-S869)^3/W869+Y869*(AB869-AE869)^3/AI869-AK869*(AN869-AQ869)^4/AU869-AW869*(AZ869-BC869)^3/BG869+BI869*BM869+BP869)*100000000/(BV869*BZ869)</f>
        <v>-9.6364719857546568</v>
      </c>
      <c r="F870" s="66"/>
      <c r="G870" s="66"/>
      <c r="H870" s="1" t="s">
        <v>41</v>
      </c>
      <c r="CC870" s="7"/>
    </row>
    <row r="871" spans="2:81">
      <c r="B871" s="6"/>
      <c r="C871" s="1" t="s">
        <v>172</v>
      </c>
      <c r="H871" s="66">
        <f>+AJ753*1000</f>
        <v>7000</v>
      </c>
      <c r="I871" s="66"/>
      <c r="J871" s="66"/>
      <c r="K871" s="1" t="s">
        <v>173</v>
      </c>
      <c r="L871" s="66">
        <v>300</v>
      </c>
      <c r="M871" s="66"/>
      <c r="N871" s="9" t="s">
        <v>7</v>
      </c>
      <c r="O871" s="66">
        <f>+H871/L871</f>
        <v>23.333333333333332</v>
      </c>
      <c r="P871" s="66"/>
      <c r="Q871" s="66"/>
      <c r="R871" s="1" t="s">
        <v>41</v>
      </c>
      <c r="U871" s="1" t="s">
        <v>192</v>
      </c>
      <c r="CC871" s="7"/>
    </row>
    <row r="872" spans="2:81">
      <c r="B872" s="6"/>
      <c r="C872" s="1" t="s">
        <v>34</v>
      </c>
      <c r="D872" s="66">
        <f>+E870</f>
        <v>-9.6364719857546568</v>
      </c>
      <c r="E872" s="66"/>
      <c r="F872" s="66"/>
      <c r="G872" s="1" t="s">
        <v>41</v>
      </c>
      <c r="I872" s="1" t="str">
        <f>IF(ABS(D872)&lt;ABS(M872),"&lt;","&gt;")</f>
        <v>&lt;</v>
      </c>
      <c r="J872" s="1" t="s">
        <v>174</v>
      </c>
      <c r="M872" s="66">
        <f>+O871</f>
        <v>23.333333333333332</v>
      </c>
      <c r="N872" s="66"/>
      <c r="O872" s="66"/>
      <c r="P872" s="1" t="s">
        <v>41</v>
      </c>
      <c r="R872" s="8" t="str">
        <f>IF(ABS(D872)&lt;ABS(M872),"uygun.","uygun değil.")</f>
        <v>uygun.</v>
      </c>
      <c r="CC872" s="7"/>
    </row>
    <row r="873" spans="2:81">
      <c r="B873" s="6"/>
      <c r="C873" s="24" t="s">
        <v>396</v>
      </c>
      <c r="D873" s="9"/>
      <c r="E873" s="9"/>
      <c r="F873" s="9"/>
      <c r="M873" s="9"/>
      <c r="N873" s="9"/>
      <c r="O873" s="9"/>
      <c r="R873" s="8"/>
      <c r="CC873" s="7"/>
    </row>
    <row r="874" spans="2:81">
      <c r="B874" s="6"/>
      <c r="C874" s="1" t="s">
        <v>195</v>
      </c>
      <c r="D874" s="9"/>
      <c r="E874" s="9"/>
      <c r="F874" s="9"/>
      <c r="H874" s="66">
        <f>+E818</f>
        <v>-20</v>
      </c>
      <c r="I874" s="66"/>
      <c r="J874" s="9" t="s">
        <v>5</v>
      </c>
      <c r="K874" s="1" t="s">
        <v>184</v>
      </c>
      <c r="L874" s="1" t="s">
        <v>173</v>
      </c>
      <c r="M874" s="1">
        <v>6</v>
      </c>
      <c r="N874" s="9" t="s">
        <v>6</v>
      </c>
      <c r="O874" s="66">
        <f>+L818</f>
        <v>61.25</v>
      </c>
      <c r="P874" s="66"/>
      <c r="Q874" s="9" t="s">
        <v>14</v>
      </c>
      <c r="R874" s="9" t="s">
        <v>13</v>
      </c>
      <c r="S874" s="9" t="s">
        <v>6</v>
      </c>
      <c r="T874" s="66">
        <f>+Q818</f>
        <v>0.875</v>
      </c>
      <c r="U874" s="66"/>
      <c r="V874" s="1" t="s">
        <v>311</v>
      </c>
      <c r="W874" s="1" t="s">
        <v>173</v>
      </c>
      <c r="X874" s="1">
        <v>6</v>
      </c>
      <c r="Y874" s="9" t="s">
        <v>9</v>
      </c>
      <c r="Z874" s="66">
        <f>+W818</f>
        <v>375.60267857142856</v>
      </c>
      <c r="AA874" s="66"/>
      <c r="AB874" s="1" t="s">
        <v>14</v>
      </c>
      <c r="AC874" s="1" t="s">
        <v>13</v>
      </c>
      <c r="AD874" s="9" t="s">
        <v>6</v>
      </c>
      <c r="AE874" s="66">
        <f>+AB818</f>
        <v>1.75</v>
      </c>
      <c r="AF874" s="66"/>
      <c r="AG874" s="1" t="s">
        <v>311</v>
      </c>
      <c r="AH874" s="1" t="s">
        <v>173</v>
      </c>
      <c r="AI874" s="1">
        <v>6</v>
      </c>
      <c r="AJ874" s="9" t="s">
        <v>6</v>
      </c>
      <c r="AK874" s="66">
        <f>+AH818</f>
        <v>455</v>
      </c>
      <c r="AL874" s="66"/>
      <c r="AM874" s="1" t="s">
        <v>14</v>
      </c>
      <c r="AN874" s="1" t="s">
        <v>13</v>
      </c>
      <c r="AO874" s="9" t="s">
        <v>6</v>
      </c>
      <c r="AP874" s="66">
        <f>+AM818</f>
        <v>5.25</v>
      </c>
      <c r="AQ874" s="66"/>
      <c r="AR874" s="1" t="s">
        <v>311</v>
      </c>
      <c r="AS874" s="1" t="s">
        <v>173</v>
      </c>
      <c r="AT874" s="1">
        <v>6</v>
      </c>
      <c r="AU874" s="9" t="s">
        <v>6</v>
      </c>
      <c r="AV874" s="66">
        <f>+AS818</f>
        <v>85</v>
      </c>
      <c r="AW874" s="66"/>
      <c r="AX874" s="1" t="s">
        <v>14</v>
      </c>
      <c r="AY874" s="1" t="s">
        <v>13</v>
      </c>
      <c r="AZ874" s="9" t="s">
        <v>6</v>
      </c>
      <c r="BA874" s="66">
        <f>+AX818</f>
        <v>3.25</v>
      </c>
      <c r="BB874" s="66"/>
      <c r="BC874" s="1" t="s">
        <v>311</v>
      </c>
      <c r="BD874" s="1" t="s">
        <v>173</v>
      </c>
      <c r="BE874" s="1">
        <v>6</v>
      </c>
      <c r="BF874" s="9" t="s">
        <v>9</v>
      </c>
      <c r="BG874" s="66">
        <f>+BD818</f>
        <v>323.14732142857144</v>
      </c>
      <c r="BH874" s="66"/>
      <c r="BI874" s="1" t="s">
        <v>14</v>
      </c>
      <c r="BJ874" s="1" t="s">
        <v>13</v>
      </c>
      <c r="BK874" s="1" t="s">
        <v>6</v>
      </c>
      <c r="BL874" s="66">
        <f>+BI818</f>
        <v>8.75</v>
      </c>
      <c r="BM874" s="66"/>
      <c r="BN874" s="1" t="s">
        <v>311</v>
      </c>
      <c r="BO874" s="1" t="s">
        <v>173</v>
      </c>
      <c r="BP874" s="1">
        <v>6</v>
      </c>
      <c r="BQ874" s="9" t="s">
        <v>6</v>
      </c>
      <c r="BR874" s="66">
        <f>+BO818</f>
        <v>25</v>
      </c>
      <c r="BS874" s="66"/>
      <c r="BT874" s="1" t="s">
        <v>14</v>
      </c>
      <c r="BU874" s="1" t="s">
        <v>13</v>
      </c>
      <c r="BV874" s="1" t="s">
        <v>6</v>
      </c>
      <c r="BW874" s="66">
        <f>+BT818</f>
        <v>8.75</v>
      </c>
      <c r="BX874" s="66"/>
      <c r="BY874" s="1" t="s">
        <v>342</v>
      </c>
      <c r="BZ874" s="1" t="s">
        <v>173</v>
      </c>
      <c r="CA874" s="66">
        <v>24</v>
      </c>
      <c r="CB874" s="66"/>
      <c r="CC874" s="41" t="s">
        <v>9</v>
      </c>
    </row>
    <row r="875" spans="2:81">
      <c r="B875" s="6"/>
      <c r="D875" s="9"/>
      <c r="G875" s="9" t="s">
        <v>9</v>
      </c>
      <c r="H875" s="1" t="s">
        <v>368</v>
      </c>
      <c r="I875" s="9" t="s">
        <v>5</v>
      </c>
      <c r="J875" s="9" t="s">
        <v>13</v>
      </c>
      <c r="K875" s="9" t="s">
        <v>9</v>
      </c>
      <c r="L875" s="1" t="s">
        <v>373</v>
      </c>
      <c r="CC875" s="7"/>
    </row>
    <row r="876" spans="2:81">
      <c r="B876" s="6"/>
      <c r="C876" s="1" t="s">
        <v>35</v>
      </c>
      <c r="D876" s="9"/>
      <c r="E876" s="66">
        <f>+H874</f>
        <v>-20</v>
      </c>
      <c r="F876" s="66"/>
      <c r="G876" s="9" t="s">
        <v>5</v>
      </c>
      <c r="H876" s="1" t="s">
        <v>184</v>
      </c>
      <c r="I876" s="1" t="s">
        <v>173</v>
      </c>
      <c r="J876" s="1">
        <v>6</v>
      </c>
      <c r="K876" s="9" t="s">
        <v>6</v>
      </c>
      <c r="L876" s="66">
        <f>+O874</f>
        <v>61.25</v>
      </c>
      <c r="M876" s="66"/>
      <c r="N876" s="9" t="s">
        <v>14</v>
      </c>
      <c r="O876" s="9" t="s">
        <v>13</v>
      </c>
      <c r="P876" s="9" t="s">
        <v>6</v>
      </c>
      <c r="Q876" s="66">
        <f>+T874</f>
        <v>0.875</v>
      </c>
      <c r="R876" s="66"/>
      <c r="S876" s="1" t="s">
        <v>311</v>
      </c>
      <c r="T876" s="1" t="s">
        <v>173</v>
      </c>
      <c r="U876" s="1">
        <v>6</v>
      </c>
      <c r="V876" s="9" t="s">
        <v>9</v>
      </c>
      <c r="W876" s="66">
        <f>+Z874</f>
        <v>375.60267857142856</v>
      </c>
      <c r="X876" s="66"/>
      <c r="Y876" s="1" t="s">
        <v>14</v>
      </c>
      <c r="Z876" s="1" t="s">
        <v>13</v>
      </c>
      <c r="AA876" s="9" t="s">
        <v>6</v>
      </c>
      <c r="AB876" s="66">
        <f>+AE874</f>
        <v>1.75</v>
      </c>
      <c r="AC876" s="66"/>
      <c r="AD876" s="1" t="s">
        <v>311</v>
      </c>
      <c r="AE876" s="1" t="s">
        <v>173</v>
      </c>
      <c r="AF876" s="1">
        <v>6</v>
      </c>
      <c r="AG876" s="9" t="s">
        <v>6</v>
      </c>
      <c r="AH876" s="66">
        <f>+AK874</f>
        <v>455</v>
      </c>
      <c r="AI876" s="66"/>
      <c r="AJ876" s="1" t="s">
        <v>14</v>
      </c>
      <c r="AK876" s="1" t="s">
        <v>13</v>
      </c>
      <c r="AL876" s="9" t="s">
        <v>6</v>
      </c>
      <c r="AM876" s="66">
        <f>+AP874</f>
        <v>5.25</v>
      </c>
      <c r="AN876" s="66"/>
      <c r="AO876" s="1" t="s">
        <v>311</v>
      </c>
      <c r="AP876" s="1" t="s">
        <v>173</v>
      </c>
      <c r="AQ876" s="1">
        <v>6</v>
      </c>
      <c r="AR876" s="9" t="s">
        <v>6</v>
      </c>
      <c r="AS876" s="66">
        <f>+AV874</f>
        <v>85</v>
      </c>
      <c r="AT876" s="66"/>
      <c r="AU876" s="1" t="s">
        <v>14</v>
      </c>
      <c r="AV876" s="1" t="s">
        <v>13</v>
      </c>
      <c r="AW876" s="9" t="s">
        <v>6</v>
      </c>
      <c r="AX876" s="66">
        <f>+BA874</f>
        <v>3.25</v>
      </c>
      <c r="AY876" s="66"/>
      <c r="AZ876" s="1" t="s">
        <v>311</v>
      </c>
      <c r="BA876" s="1" t="s">
        <v>173</v>
      </c>
      <c r="BB876" s="1">
        <v>6</v>
      </c>
      <c r="BC876" s="9" t="s">
        <v>9</v>
      </c>
      <c r="BD876" s="66">
        <f>+BG874</f>
        <v>323.14732142857144</v>
      </c>
      <c r="BE876" s="66"/>
      <c r="BF876" s="1" t="s">
        <v>14</v>
      </c>
      <c r="BG876" s="1" t="s">
        <v>13</v>
      </c>
      <c r="BH876" s="1" t="s">
        <v>6</v>
      </c>
      <c r="BI876" s="66">
        <f>+BL874</f>
        <v>8.75</v>
      </c>
      <c r="BJ876" s="66"/>
      <c r="BK876" s="1" t="s">
        <v>311</v>
      </c>
      <c r="BL876" s="1" t="s">
        <v>173</v>
      </c>
      <c r="BM876" s="1">
        <v>6</v>
      </c>
      <c r="BN876" s="9" t="s">
        <v>6</v>
      </c>
      <c r="BO876" s="66">
        <f>+BR874</f>
        <v>25</v>
      </c>
      <c r="BP876" s="66"/>
      <c r="BQ876" s="1" t="s">
        <v>14</v>
      </c>
      <c r="BR876" s="1" t="s">
        <v>13</v>
      </c>
      <c r="BS876" s="1" t="s">
        <v>6</v>
      </c>
      <c r="BT876" s="66">
        <f>+BW874</f>
        <v>8.75</v>
      </c>
      <c r="BU876" s="66"/>
      <c r="BV876" s="1" t="s">
        <v>342</v>
      </c>
      <c r="BW876" s="1" t="s">
        <v>173</v>
      </c>
      <c r="BX876" s="66">
        <v>24</v>
      </c>
      <c r="BY876" s="66"/>
      <c r="BZ876" s="9" t="s">
        <v>9</v>
      </c>
      <c r="CC876" s="7"/>
    </row>
    <row r="877" spans="2:81">
      <c r="B877" s="6"/>
      <c r="D877" s="9"/>
      <c r="E877" s="9" t="s">
        <v>9</v>
      </c>
      <c r="F877" s="66">
        <f>+E847</f>
        <v>-1703.0185081845239</v>
      </c>
      <c r="G877" s="66"/>
      <c r="H877" s="66"/>
      <c r="I877" s="9" t="s">
        <v>5</v>
      </c>
      <c r="J877" s="9" t="s">
        <v>13</v>
      </c>
      <c r="K877" s="9" t="s">
        <v>9</v>
      </c>
      <c r="L877" s="66">
        <f>+E848</f>
        <v>6256.3399251302089</v>
      </c>
      <c r="M877" s="66"/>
      <c r="N877" s="66"/>
      <c r="O877" s="1" t="s">
        <v>322</v>
      </c>
      <c r="CC877" s="7"/>
    </row>
    <row r="878" spans="2:81">
      <c r="B878" s="6"/>
      <c r="C878" s="1" t="s">
        <v>27</v>
      </c>
      <c r="D878" s="67">
        <v>10.25</v>
      </c>
      <c r="E878" s="67"/>
      <c r="F878" s="67"/>
      <c r="G878" s="1" t="s">
        <v>42</v>
      </c>
      <c r="P878" s="8" t="str">
        <f>IF(D878&lt;=(Z751+AF751+AM751),"artır.",IF(D878&gt;(AF751+Z751+AM751+AT751),"azalt.",""))</f>
        <v/>
      </c>
      <c r="CC878" s="7"/>
    </row>
    <row r="879" spans="2:81">
      <c r="B879" s="6"/>
      <c r="C879" s="1" t="s">
        <v>35</v>
      </c>
      <c r="E879" s="66">
        <f>+E876</f>
        <v>-20</v>
      </c>
      <c r="F879" s="66"/>
      <c r="G879" s="9" t="s">
        <v>5</v>
      </c>
      <c r="H879" s="66">
        <f>+D878</f>
        <v>10.25</v>
      </c>
      <c r="I879" s="66"/>
      <c r="J879" s="9" t="s">
        <v>30</v>
      </c>
      <c r="K879" s="1">
        <v>6</v>
      </c>
      <c r="L879" s="9" t="s">
        <v>6</v>
      </c>
      <c r="M879" s="66">
        <f>+L876</f>
        <v>61.25</v>
      </c>
      <c r="N879" s="66"/>
      <c r="O879" s="9" t="s">
        <v>14</v>
      </c>
      <c r="P879" s="66">
        <f>+H879</f>
        <v>10.25</v>
      </c>
      <c r="Q879" s="66"/>
      <c r="R879" s="9" t="s">
        <v>6</v>
      </c>
      <c r="S879" s="66">
        <f>+Q876</f>
        <v>0.875</v>
      </c>
      <c r="T879" s="66"/>
      <c r="U879" s="1" t="s">
        <v>311</v>
      </c>
      <c r="V879" s="1" t="s">
        <v>173</v>
      </c>
      <c r="W879" s="1">
        <v>6</v>
      </c>
      <c r="X879" s="9" t="s">
        <v>9</v>
      </c>
      <c r="Y879" s="66">
        <f>+W876</f>
        <v>375.60267857142856</v>
      </c>
      <c r="Z879" s="66"/>
      <c r="AA879" s="1" t="s">
        <v>14</v>
      </c>
      <c r="AB879" s="66">
        <f>+P879</f>
        <v>10.25</v>
      </c>
      <c r="AC879" s="66"/>
      <c r="AD879" s="9" t="s">
        <v>6</v>
      </c>
      <c r="AE879" s="66">
        <f>+AB876</f>
        <v>1.75</v>
      </c>
      <c r="AF879" s="66"/>
      <c r="AG879" s="1" t="s">
        <v>311</v>
      </c>
      <c r="AH879" s="1" t="s">
        <v>173</v>
      </c>
      <c r="AI879" s="1">
        <v>6</v>
      </c>
      <c r="AJ879" s="9" t="s">
        <v>6</v>
      </c>
      <c r="AK879" s="66">
        <f>+AH876</f>
        <v>455</v>
      </c>
      <c r="AL879" s="66"/>
      <c r="AM879" s="1" t="s">
        <v>14</v>
      </c>
      <c r="AN879" s="66">
        <f>+AB879</f>
        <v>10.25</v>
      </c>
      <c r="AO879" s="66"/>
      <c r="AP879" s="9" t="s">
        <v>6</v>
      </c>
      <c r="AQ879" s="66">
        <f>+AM876</f>
        <v>5.25</v>
      </c>
      <c r="AR879" s="66"/>
      <c r="AS879" s="1" t="s">
        <v>311</v>
      </c>
      <c r="AT879" s="1" t="s">
        <v>173</v>
      </c>
      <c r="AU879" s="1">
        <v>6</v>
      </c>
      <c r="AV879" s="9" t="s">
        <v>6</v>
      </c>
      <c r="AW879" s="66">
        <f>+AS876</f>
        <v>85</v>
      </c>
      <c r="AX879" s="66"/>
      <c r="AY879" s="1" t="s">
        <v>14</v>
      </c>
      <c r="AZ879" s="66">
        <f>+AB879</f>
        <v>10.25</v>
      </c>
      <c r="BA879" s="66"/>
      <c r="BB879" s="9" t="s">
        <v>6</v>
      </c>
      <c r="BC879" s="66">
        <f>+AX876</f>
        <v>3.25</v>
      </c>
      <c r="BD879" s="66"/>
      <c r="BE879" s="1" t="s">
        <v>311</v>
      </c>
      <c r="BF879" s="1" t="s">
        <v>173</v>
      </c>
      <c r="BG879" s="1">
        <v>6</v>
      </c>
      <c r="BH879" s="9" t="s">
        <v>6</v>
      </c>
      <c r="BI879" s="66">
        <f>+BD876</f>
        <v>323.14732142857144</v>
      </c>
      <c r="BJ879" s="66"/>
      <c r="BK879" s="1" t="s">
        <v>14</v>
      </c>
      <c r="BL879" s="66">
        <f>+AN879</f>
        <v>10.25</v>
      </c>
      <c r="BM879" s="66"/>
      <c r="BN879" s="9" t="s">
        <v>6</v>
      </c>
      <c r="BO879" s="66">
        <f>+BI876</f>
        <v>8.75</v>
      </c>
      <c r="BP879" s="66"/>
      <c r="BQ879" s="1" t="s">
        <v>311</v>
      </c>
      <c r="BR879" s="1" t="s">
        <v>173</v>
      </c>
      <c r="BS879" s="1">
        <v>6</v>
      </c>
      <c r="CC879" s="7"/>
    </row>
    <row r="880" spans="2:81">
      <c r="B880" s="6"/>
      <c r="D880" s="9"/>
      <c r="E880" s="9" t="s">
        <v>6</v>
      </c>
      <c r="F880" s="66">
        <f>+BO876</f>
        <v>25</v>
      </c>
      <c r="G880" s="66"/>
      <c r="H880" s="1" t="s">
        <v>14</v>
      </c>
      <c r="I880" s="66">
        <f>+BL879</f>
        <v>10.25</v>
      </c>
      <c r="J880" s="66"/>
      <c r="K880" s="9" t="s">
        <v>6</v>
      </c>
      <c r="L880" s="66">
        <f>+BT876</f>
        <v>8.75</v>
      </c>
      <c r="M880" s="66"/>
      <c r="N880" s="1" t="s">
        <v>342</v>
      </c>
      <c r="O880" s="1" t="s">
        <v>173</v>
      </c>
      <c r="P880" s="66">
        <v>24</v>
      </c>
      <c r="Q880" s="66"/>
      <c r="R880" s="9" t="s">
        <v>9</v>
      </c>
      <c r="S880" s="66">
        <f>+F877</f>
        <v>-1703.0185081845239</v>
      </c>
      <c r="T880" s="66"/>
      <c r="U880" s="66"/>
      <c r="V880" s="9" t="s">
        <v>5</v>
      </c>
      <c r="W880" s="66">
        <f>+I880</f>
        <v>10.25</v>
      </c>
      <c r="X880" s="66"/>
      <c r="Y880" s="9" t="s">
        <v>9</v>
      </c>
      <c r="Z880" s="66">
        <f>+L877</f>
        <v>6256.3399251302089</v>
      </c>
      <c r="AA880" s="66"/>
      <c r="AB880" s="66"/>
      <c r="AC880" s="1" t="s">
        <v>193</v>
      </c>
      <c r="AF880" s="66">
        <f>+BV869</f>
        <v>200000</v>
      </c>
      <c r="AG880" s="66"/>
      <c r="AH880" s="66"/>
      <c r="AI880" s="9" t="s">
        <v>5</v>
      </c>
      <c r="AJ880" s="66">
        <f>+BZ869</f>
        <v>92080</v>
      </c>
      <c r="AK880" s="66"/>
      <c r="AL880" s="66"/>
      <c r="AM880" s="1" t="s">
        <v>40</v>
      </c>
      <c r="CC880" s="7"/>
    </row>
    <row r="881" spans="2:81">
      <c r="B881" s="6"/>
      <c r="C881" s="1" t="s">
        <v>33</v>
      </c>
      <c r="E881" s="66">
        <f>(E879*H879^3/K879-M879*(P879-S879)^3/W879+Y879*(AB879-AE879)^3/AI879-AK879*(AN879-AQ879)^3/AU879-AW879*(AZ879-BC879)^3/BG879-BI879*(BL879-BO879)^3/BS879-F880*(I880-L880)^4/P880+S880*W880+Z880)*100000000/(AF880*AJ880)</f>
        <v>3.9013865805743704</v>
      </c>
      <c r="F881" s="66"/>
      <c r="G881" s="66"/>
      <c r="H881" s="1" t="s">
        <v>41</v>
      </c>
      <c r="AX881" s="9"/>
      <c r="CC881" s="7"/>
    </row>
    <row r="882" spans="2:81">
      <c r="B882" s="6"/>
      <c r="C882" s="1" t="s">
        <v>202</v>
      </c>
      <c r="H882" s="66">
        <f>+AT751*1000</f>
        <v>1500</v>
      </c>
      <c r="I882" s="66"/>
      <c r="J882" s="66"/>
      <c r="K882" s="1" t="s">
        <v>173</v>
      </c>
      <c r="L882" s="66">
        <v>200</v>
      </c>
      <c r="M882" s="66"/>
      <c r="N882" s="9" t="s">
        <v>7</v>
      </c>
      <c r="O882" s="66">
        <f>+H882/L882</f>
        <v>7.5</v>
      </c>
      <c r="P882" s="66"/>
      <c r="Q882" s="66"/>
      <c r="R882" s="1" t="s">
        <v>41</v>
      </c>
      <c r="U882" s="1" t="s">
        <v>192</v>
      </c>
      <c r="CC882" s="7"/>
    </row>
    <row r="883" spans="2:81">
      <c r="B883" s="6"/>
      <c r="C883" s="1" t="s">
        <v>34</v>
      </c>
      <c r="D883" s="66">
        <f>+E881</f>
        <v>3.9013865805743704</v>
      </c>
      <c r="E883" s="66"/>
      <c r="F883" s="66"/>
      <c r="G883" s="1" t="s">
        <v>41</v>
      </c>
      <c r="I883" s="1" t="str">
        <f>IF(ABS(D883)&lt;ABS(M883),"&lt;","&gt;")</f>
        <v>&lt;</v>
      </c>
      <c r="J883" s="1" t="s">
        <v>174</v>
      </c>
      <c r="M883" s="66">
        <f>+O882</f>
        <v>7.5</v>
      </c>
      <c r="N883" s="66"/>
      <c r="O883" s="66"/>
      <c r="P883" s="1" t="s">
        <v>41</v>
      </c>
      <c r="R883" s="8" t="str">
        <f>IF(ABS(D883)&lt;ABS(M883),"uygun.","uygun değil.")</f>
        <v>uygun.</v>
      </c>
      <c r="CC883" s="7"/>
    </row>
    <row r="884" spans="2:81" ht="12" thickBot="1">
      <c r="B884" s="12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4"/>
    </row>
    <row r="885" spans="2:81" ht="12" thickBot="1"/>
    <row r="886" spans="2:81" ht="48" customHeight="1">
      <c r="B886" s="73" t="s">
        <v>421</v>
      </c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  <c r="AL886" s="74"/>
      <c r="AM886" s="74"/>
      <c r="AN886" s="74"/>
      <c r="AO886" s="74"/>
      <c r="AP886" s="74"/>
      <c r="AQ886" s="74"/>
      <c r="AR886" s="74"/>
      <c r="AS886" s="74"/>
      <c r="AT886" s="74"/>
      <c r="AU886" s="74"/>
      <c r="AV886" s="74"/>
      <c r="AW886" s="74"/>
      <c r="AX886" s="74"/>
      <c r="AY886" s="74"/>
      <c r="AZ886" s="74"/>
      <c r="BA886" s="74"/>
      <c r="BB886" s="74"/>
      <c r="BC886" s="74"/>
      <c r="BD886" s="74"/>
      <c r="BE886" s="74"/>
      <c r="BF886" s="74"/>
      <c r="BG886" s="74"/>
      <c r="BH886" s="74"/>
      <c r="BI886" s="74"/>
      <c r="BJ886" s="74"/>
      <c r="BK886" s="74"/>
      <c r="BL886" s="74"/>
      <c r="BM886" s="74"/>
      <c r="BN886" s="74"/>
      <c r="BO886" s="74"/>
      <c r="BP886" s="74"/>
      <c r="BQ886" s="74"/>
      <c r="BR886" s="74"/>
      <c r="BS886" s="74"/>
      <c r="BT886" s="74"/>
      <c r="BU886" s="74"/>
      <c r="BV886" s="74"/>
      <c r="BW886" s="74"/>
      <c r="BX886" s="74"/>
      <c r="BY886" s="74"/>
      <c r="BZ886" s="74"/>
      <c r="CA886" s="74"/>
      <c r="CB886" s="74"/>
      <c r="CC886" s="75"/>
    </row>
    <row r="887" spans="2:81">
      <c r="B887" s="6"/>
      <c r="S887" s="8" t="s">
        <v>176</v>
      </c>
      <c r="CC887" s="7"/>
    </row>
    <row r="888" spans="2:81">
      <c r="B888" s="6"/>
      <c r="AP888" s="1" t="s">
        <v>290</v>
      </c>
      <c r="CC888" s="7"/>
    </row>
    <row r="889" spans="2:81">
      <c r="B889" s="6"/>
      <c r="O889" s="67" t="s">
        <v>171</v>
      </c>
      <c r="P889" s="67"/>
      <c r="Q889" s="67"/>
      <c r="R889" s="67"/>
      <c r="S889" s="67"/>
      <c r="T889" s="67"/>
      <c r="AJ889" s="67">
        <v>150</v>
      </c>
      <c r="AK889" s="67"/>
      <c r="AL889" s="1" t="s">
        <v>0</v>
      </c>
      <c r="CC889" s="7"/>
    </row>
    <row r="890" spans="2:81">
      <c r="B890" s="6"/>
      <c r="CC890" s="7"/>
    </row>
    <row r="891" spans="2:81">
      <c r="B891" s="6"/>
      <c r="AR891" s="67">
        <v>55</v>
      </c>
      <c r="AS891" s="67"/>
      <c r="AT891" s="1" t="s">
        <v>187</v>
      </c>
      <c r="BI891" s="23" t="s">
        <v>341</v>
      </c>
      <c r="CC891" s="7"/>
    </row>
    <row r="892" spans="2:81">
      <c r="B892" s="6"/>
      <c r="BI892" s="1" t="s">
        <v>301</v>
      </c>
      <c r="BK892" s="66">
        <f>+AK920</f>
        <v>2.388570349959549</v>
      </c>
      <c r="BL892" s="66"/>
      <c r="BM892" s="66"/>
      <c r="CC892" s="7"/>
    </row>
    <row r="893" spans="2:81">
      <c r="B893" s="6"/>
      <c r="C893" s="71">
        <f>INDEX($CI$24:$CI$138,MATCH(O889,$CG$24:$CG$138,0),0)</f>
        <v>600</v>
      </c>
      <c r="U893" s="1" t="s">
        <v>405</v>
      </c>
      <c r="W893" s="66">
        <f>E933</f>
        <v>-286.84204101562494</v>
      </c>
      <c r="X893" s="66"/>
      <c r="Y893" s="1" t="s">
        <v>191</v>
      </c>
      <c r="BB893" s="1" t="s">
        <v>406</v>
      </c>
      <c r="BD893" s="66">
        <f>+E940</f>
        <v>-356.51733398437494</v>
      </c>
      <c r="BE893" s="66"/>
      <c r="BF893" s="1" t="s">
        <v>191</v>
      </c>
      <c r="BI893" s="1" t="s">
        <v>297</v>
      </c>
      <c r="BK893" s="66">
        <f>ABS(AL912)</f>
        <v>356.517333984375</v>
      </c>
      <c r="BL893" s="66"/>
      <c r="BM893" s="66"/>
      <c r="BN893" s="1" t="s">
        <v>191</v>
      </c>
      <c r="BP893" s="1" t="s">
        <v>329</v>
      </c>
      <c r="CC893" s="7"/>
    </row>
    <row r="894" spans="2:81">
      <c r="B894" s="6"/>
      <c r="C894" s="71"/>
      <c r="BI894" s="1" t="s">
        <v>330</v>
      </c>
      <c r="BL894" s="66">
        <f>MAX(ABS(BL895),ABS(BM895),ABS(BN895))</f>
        <v>252.22503662109375</v>
      </c>
      <c r="BM894" s="66"/>
      <c r="BN894" s="66"/>
      <c r="BO894" s="1" t="s">
        <v>0</v>
      </c>
      <c r="BQ894" s="1" t="s">
        <v>331</v>
      </c>
      <c r="CC894" s="7"/>
    </row>
    <row r="895" spans="2:81">
      <c r="B895" s="6"/>
      <c r="C895" s="71"/>
      <c r="J895" s="66">
        <f>INDEX($CK$24:$CK$138,MATCH(O889,$CG$24:$CG$138,0),0)</f>
        <v>12</v>
      </c>
      <c r="K895" s="66"/>
      <c r="BI895" s="2"/>
      <c r="BJ895" s="2"/>
      <c r="BK895" s="2"/>
      <c r="BL895" s="40">
        <f>AB898</f>
        <v>145.27496337890625</v>
      </c>
      <c r="BM895" s="40">
        <f>+BL895-AJ889</f>
        <v>-4.72503662109375</v>
      </c>
      <c r="BN895" s="40">
        <f>+BM895-AR891*AR899</f>
        <v>-252.22503662109375</v>
      </c>
      <c r="BO895" s="2"/>
      <c r="BP895" s="2"/>
      <c r="BQ895" s="72"/>
      <c r="BR895" s="72"/>
      <c r="BS895" s="72"/>
      <c r="BT895" s="2"/>
      <c r="BU895" s="2"/>
      <c r="CC895" s="7"/>
    </row>
    <row r="896" spans="2:81">
      <c r="B896" s="6"/>
      <c r="AF896" s="1" t="s">
        <v>13</v>
      </c>
      <c r="CC896" s="7"/>
    </row>
    <row r="897" spans="2:81">
      <c r="B897" s="6"/>
      <c r="CC897" s="7"/>
    </row>
    <row r="898" spans="2:81">
      <c r="B898" s="6"/>
      <c r="K898" s="66">
        <f>INDEX($CL$24:$CL$138,MATCH(O889,$CG$24:$CG$138,0),0)</f>
        <v>19</v>
      </c>
      <c r="L898" s="66"/>
      <c r="AA898" s="1" t="s">
        <v>2</v>
      </c>
      <c r="AB898" s="66">
        <f>+E934</f>
        <v>145.27496337890625</v>
      </c>
      <c r="AC898" s="66"/>
      <c r="AD898" s="1" t="s">
        <v>0</v>
      </c>
      <c r="AX898" s="1" t="s">
        <v>3</v>
      </c>
      <c r="AY898" s="66">
        <f>+E937</f>
        <v>252.22503662109375</v>
      </c>
      <c r="AZ898" s="66"/>
      <c r="BA898" s="1" t="s">
        <v>0</v>
      </c>
      <c r="CC898" s="7"/>
    </row>
    <row r="899" spans="2:81">
      <c r="B899" s="6"/>
      <c r="AF899" s="67">
        <v>3.5</v>
      </c>
      <c r="AG899" s="67"/>
      <c r="AH899" s="9" t="s">
        <v>1</v>
      </c>
      <c r="AR899" s="66">
        <f>+AN901-AF899</f>
        <v>4.5</v>
      </c>
      <c r="AS899" s="66"/>
      <c r="AT899" s="1" t="s">
        <v>1</v>
      </c>
      <c r="CC899" s="7"/>
    </row>
    <row r="900" spans="2:81">
      <c r="B900" s="6"/>
      <c r="BF900" s="23" t="s">
        <v>266</v>
      </c>
      <c r="CC900" s="7"/>
    </row>
    <row r="901" spans="2:81">
      <c r="B901" s="6"/>
      <c r="I901" s="66">
        <f>INDEX($CJ$24:$CJ$138,MATCH(O889,$CG$24:$CG$138,0),0)</f>
        <v>220</v>
      </c>
      <c r="J901" s="66"/>
      <c r="AM901" s="1" t="s">
        <v>197</v>
      </c>
      <c r="AN901" s="67">
        <v>8</v>
      </c>
      <c r="AO901" s="67"/>
      <c r="AP901" s="9" t="s">
        <v>1</v>
      </c>
      <c r="BF901" s="11" t="s">
        <v>265</v>
      </c>
      <c r="CC901" s="7"/>
    </row>
    <row r="902" spans="2:81">
      <c r="B902" s="6"/>
      <c r="BF902" s="11" t="s">
        <v>263</v>
      </c>
      <c r="CC902" s="7"/>
    </row>
    <row r="903" spans="2:81">
      <c r="B903" s="6"/>
      <c r="D903" s="10" t="s">
        <v>36</v>
      </c>
      <c r="F903" s="66">
        <f>INDEX($CM$24:$CM$138,MATCH(O889,$CG$24:$CG$138,0),0)</f>
        <v>92080</v>
      </c>
      <c r="G903" s="66"/>
      <c r="H903" s="66"/>
      <c r="I903" s="66"/>
      <c r="J903" s="1" t="s">
        <v>37</v>
      </c>
      <c r="M903" s="1" t="s">
        <v>175</v>
      </c>
      <c r="AA903" s="1" t="s">
        <v>415</v>
      </c>
      <c r="AL903" s="23" t="s">
        <v>317</v>
      </c>
      <c r="AX903" s="1" t="s">
        <v>402</v>
      </c>
      <c r="BF903" s="11" t="s">
        <v>264</v>
      </c>
      <c r="CC903" s="7"/>
    </row>
    <row r="904" spans="2:81">
      <c r="B904" s="6"/>
      <c r="D904" s="1" t="s">
        <v>38</v>
      </c>
      <c r="F904" s="67">
        <v>200000</v>
      </c>
      <c r="G904" s="67"/>
      <c r="H904" s="67"/>
      <c r="I904" s="67"/>
      <c r="J904" s="1" t="s">
        <v>39</v>
      </c>
      <c r="M904" s="1" t="s">
        <v>302</v>
      </c>
      <c r="AE904" s="9"/>
      <c r="AH904" s="9"/>
      <c r="CC904" s="7"/>
    </row>
    <row r="905" spans="2:81">
      <c r="B905" s="6"/>
      <c r="CC905" s="7"/>
    </row>
    <row r="906" spans="2:81">
      <c r="B906" s="6"/>
      <c r="C906" s="23" t="s">
        <v>222</v>
      </c>
      <c r="D906" s="9"/>
      <c r="E906" s="9"/>
      <c r="F906" s="9"/>
      <c r="G906" s="9"/>
      <c r="AA906" s="1" t="s">
        <v>410</v>
      </c>
      <c r="AX906" s="1" t="s">
        <v>401</v>
      </c>
      <c r="CC906" s="7"/>
    </row>
    <row r="907" spans="2:81">
      <c r="B907" s="6"/>
      <c r="C907" s="1" t="s">
        <v>27</v>
      </c>
      <c r="D907" s="67">
        <v>5</v>
      </c>
      <c r="E907" s="67"/>
      <c r="F907" s="67"/>
      <c r="G907" s="1" t="s">
        <v>213</v>
      </c>
      <c r="H907" s="9"/>
      <c r="I907" s="9"/>
      <c r="J907" s="9"/>
      <c r="M907" s="9"/>
      <c r="N907" s="21"/>
      <c r="P907" s="9"/>
      <c r="Q907" s="9"/>
      <c r="U907" s="8" t="str">
        <f>IF(D907&lt;=AN901,"","azalt.")</f>
        <v/>
      </c>
      <c r="CC907" s="7"/>
    </row>
    <row r="908" spans="2:81">
      <c r="B908" s="6"/>
      <c r="C908" s="1" t="s">
        <v>12</v>
      </c>
      <c r="D908" s="9"/>
      <c r="E908" s="66">
        <f>+W893</f>
        <v>-286.84204101562494</v>
      </c>
      <c r="F908" s="66"/>
      <c r="G908" s="66"/>
      <c r="H908" s="9" t="s">
        <v>9</v>
      </c>
      <c r="I908" s="66">
        <f>+AB898</f>
        <v>145.27496337890625</v>
      </c>
      <c r="J908" s="66"/>
      <c r="K908" s="66"/>
      <c r="L908" s="9" t="s">
        <v>5</v>
      </c>
      <c r="M908" s="66">
        <f>+D907</f>
        <v>5</v>
      </c>
      <c r="N908" s="66"/>
      <c r="O908" s="9" t="s">
        <v>6</v>
      </c>
      <c r="P908" s="66">
        <f>IF((S908-V908)&lt;0,0,AJ889)</f>
        <v>150</v>
      </c>
      <c r="Q908" s="66"/>
      <c r="R908" s="1" t="s">
        <v>14</v>
      </c>
      <c r="S908" s="66">
        <f>+D907</f>
        <v>5</v>
      </c>
      <c r="T908" s="66"/>
      <c r="U908" s="9" t="s">
        <v>6</v>
      </c>
      <c r="V908" s="66">
        <f>+AF899</f>
        <v>3.5</v>
      </c>
      <c r="W908" s="66"/>
      <c r="X908" s="1" t="s">
        <v>16</v>
      </c>
      <c r="Y908" s="66">
        <f>IF((AB908-AE908)&lt;0,0,AR891)</f>
        <v>55</v>
      </c>
      <c r="Z908" s="66"/>
      <c r="AA908" s="1" t="s">
        <v>14</v>
      </c>
      <c r="AB908" s="66">
        <f>+S908</f>
        <v>5</v>
      </c>
      <c r="AC908" s="66"/>
      <c r="AD908" s="9" t="s">
        <v>6</v>
      </c>
      <c r="AE908" s="66">
        <f>+AF899</f>
        <v>3.5</v>
      </c>
      <c r="AF908" s="66"/>
      <c r="AG908" s="1" t="s">
        <v>200</v>
      </c>
      <c r="AH908" s="1" t="s">
        <v>173</v>
      </c>
      <c r="AI908" s="1">
        <v>2</v>
      </c>
      <c r="AJ908" s="9" t="s">
        <v>7</v>
      </c>
      <c r="AK908" s="66">
        <f>+E908+I908*M908-P908*(S908-V908)-Y908*(AB908-AE908)^2/AI908</f>
        <v>152.65777587890631</v>
      </c>
      <c r="AL908" s="66"/>
      <c r="AM908" s="66"/>
      <c r="AN908" s="1" t="s">
        <v>191</v>
      </c>
      <c r="AO908" s="9"/>
      <c r="AP908" s="9"/>
      <c r="AQ908" s="9"/>
      <c r="AR908" s="9"/>
      <c r="AS908" s="9"/>
      <c r="AT908" s="9"/>
      <c r="AU908" s="9"/>
      <c r="AV908" s="9"/>
      <c r="CC908" s="7"/>
    </row>
    <row r="909" spans="2:81">
      <c r="B909" s="6"/>
      <c r="C909" s="1" t="s">
        <v>220</v>
      </c>
      <c r="D909" s="9"/>
      <c r="E909" s="66">
        <f>+I908</f>
        <v>145.27496337890625</v>
      </c>
      <c r="F909" s="66"/>
      <c r="G909" s="9" t="s">
        <v>6</v>
      </c>
      <c r="H909" s="66">
        <f>+P908</f>
        <v>150</v>
      </c>
      <c r="I909" s="66"/>
      <c r="J909" s="9" t="s">
        <v>6</v>
      </c>
      <c r="K909" s="66">
        <f>+Y908</f>
        <v>55</v>
      </c>
      <c r="L909" s="66"/>
      <c r="M909" s="9" t="s">
        <v>14</v>
      </c>
      <c r="N909" s="66">
        <f>+D907</f>
        <v>5</v>
      </c>
      <c r="O909" s="66"/>
      <c r="P909" s="9" t="s">
        <v>6</v>
      </c>
      <c r="Q909" s="66">
        <f>+AF899</f>
        <v>3.5</v>
      </c>
      <c r="R909" s="66"/>
      <c r="S909" s="9" t="s">
        <v>201</v>
      </c>
      <c r="T909" s="66">
        <f>+E909-H909-K909*(N909-Q909)</f>
        <v>-87.22503662109375</v>
      </c>
      <c r="U909" s="66"/>
      <c r="V909" s="66"/>
      <c r="W909" s="1" t="s">
        <v>191</v>
      </c>
      <c r="AE909" s="9"/>
      <c r="AH909" s="9"/>
      <c r="CC909" s="7"/>
    </row>
    <row r="910" spans="2:81">
      <c r="B910" s="6"/>
      <c r="C910" s="23" t="s">
        <v>253</v>
      </c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CC910" s="7"/>
    </row>
    <row r="911" spans="2:81">
      <c r="B911" s="6"/>
      <c r="C911" s="1" t="s">
        <v>27</v>
      </c>
      <c r="D911" s="66">
        <f>+BA911</f>
        <v>8</v>
      </c>
      <c r="E911" s="66"/>
      <c r="F911" s="66"/>
      <c r="G911" s="1" t="s">
        <v>257</v>
      </c>
      <c r="H911" s="9"/>
      <c r="I911" s="9"/>
      <c r="J911" s="9"/>
      <c r="M911" s="9"/>
      <c r="P911" s="4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76">
        <v>0</v>
      </c>
      <c r="AV911" s="76"/>
      <c r="AW911" s="76">
        <f>ABS(+W893)</f>
        <v>286.84204101562494</v>
      </c>
      <c r="AX911" s="76"/>
      <c r="AY911" s="76">
        <f>MAX(AW911,AW912,AW913,AW914)</f>
        <v>356.51733398437494</v>
      </c>
      <c r="AZ911" s="76"/>
      <c r="BA911" s="76" cm="1">
        <f t="array" ref="BA911">INDEX(AU911:AU914,MATCH(AY911,AW911:AW914,0),0)</f>
        <v>8</v>
      </c>
      <c r="BB911" s="76"/>
      <c r="CC911" s="7"/>
    </row>
    <row r="912" spans="2:81">
      <c r="B912" s="6"/>
      <c r="C912" s="1" t="s">
        <v>260</v>
      </c>
      <c r="D912" s="9"/>
      <c r="E912" s="9"/>
      <c r="F912" s="66">
        <f>+W893</f>
        <v>-286.84204101562494</v>
      </c>
      <c r="G912" s="66"/>
      <c r="H912" s="66"/>
      <c r="I912" s="9" t="s">
        <v>9</v>
      </c>
      <c r="J912" s="66">
        <f>+AB898</f>
        <v>145.27496337890625</v>
      </c>
      <c r="K912" s="66"/>
      <c r="L912" s="66"/>
      <c r="M912" s="9" t="s">
        <v>5</v>
      </c>
      <c r="N912" s="66">
        <f>+D911</f>
        <v>8</v>
      </c>
      <c r="O912" s="66"/>
      <c r="P912" s="9" t="s">
        <v>6</v>
      </c>
      <c r="Q912" s="66">
        <f>IF((T912-W912)&lt;0,0,AJ889)</f>
        <v>150</v>
      </c>
      <c r="R912" s="66"/>
      <c r="S912" s="1" t="s">
        <v>14</v>
      </c>
      <c r="T912" s="66">
        <f>+D911</f>
        <v>8</v>
      </c>
      <c r="U912" s="66"/>
      <c r="V912" s="9" t="s">
        <v>6</v>
      </c>
      <c r="W912" s="66">
        <f>+AF899</f>
        <v>3.5</v>
      </c>
      <c r="X912" s="66"/>
      <c r="Y912" s="1" t="s">
        <v>16</v>
      </c>
      <c r="Z912" s="66">
        <f>IF((AC912-AF912)&lt;0,0,AR891)</f>
        <v>55</v>
      </c>
      <c r="AA912" s="66"/>
      <c r="AB912" s="1" t="s">
        <v>14</v>
      </c>
      <c r="AC912" s="66">
        <f>+T912</f>
        <v>8</v>
      </c>
      <c r="AD912" s="66"/>
      <c r="AE912" s="9" t="s">
        <v>6</v>
      </c>
      <c r="AF912" s="66">
        <f>+AF899</f>
        <v>3.5</v>
      </c>
      <c r="AG912" s="66"/>
      <c r="AH912" s="1" t="s">
        <v>200</v>
      </c>
      <c r="AI912" s="1" t="s">
        <v>173</v>
      </c>
      <c r="AJ912" s="1">
        <v>2</v>
      </c>
      <c r="AK912" s="9" t="s">
        <v>7</v>
      </c>
      <c r="AL912" s="66">
        <f>+F912+J912*N912-Q912*(T912-W912)-Z912*(AC912-AF912)^2/AJ912</f>
        <v>-356.517333984375</v>
      </c>
      <c r="AM912" s="66"/>
      <c r="AN912" s="66"/>
      <c r="AO912" s="1" t="s">
        <v>191</v>
      </c>
      <c r="AR912" s="9"/>
      <c r="AU912" s="76">
        <f>+AF899</f>
        <v>3.5</v>
      </c>
      <c r="AV912" s="76"/>
      <c r="AW912" s="76">
        <f>ABS(W893+AB898*AF899)</f>
        <v>221.62033081054693</v>
      </c>
      <c r="AX912" s="76"/>
      <c r="AY912" s="40"/>
      <c r="AZ912" s="40"/>
      <c r="BA912" s="40"/>
      <c r="BB912" s="40"/>
      <c r="CC912" s="7"/>
    </row>
    <row r="913" spans="2:81">
      <c r="B913" s="6"/>
      <c r="C913" s="1" t="s">
        <v>247</v>
      </c>
      <c r="E913" s="66">
        <f>+AN901/2</f>
        <v>4</v>
      </c>
      <c r="F913" s="66"/>
      <c r="G913" s="66"/>
      <c r="H913" s="1" t="s">
        <v>252</v>
      </c>
      <c r="I913" s="9"/>
      <c r="J913" s="9"/>
      <c r="M913" s="9"/>
      <c r="N913" s="21"/>
      <c r="P913" s="9"/>
      <c r="Q913" s="9"/>
      <c r="S913" s="9"/>
      <c r="T913" s="8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U913" s="76">
        <f>(AB898-AJ889+AR891*AF899)/AR891</f>
        <v>3.4140902432528408</v>
      </c>
      <c r="AV913" s="76"/>
      <c r="AW913" s="76">
        <f>ABS(W893+AB898*AU913-IF((AU913-P922)&lt;0,0,K922)*(AU913-P922)-IF((AU913-X922)&lt;0,0,S922)*(AU913-X922)^2/AB922)</f>
        <v>209.13979404521262</v>
      </c>
      <c r="AX913" s="76"/>
      <c r="AY913" s="40"/>
      <c r="AZ913" s="40"/>
      <c r="BA913" s="40"/>
      <c r="BB913" s="40"/>
      <c r="CC913" s="7"/>
    </row>
    <row r="914" spans="2:81">
      <c r="B914" s="6"/>
      <c r="C914" s="1" t="s">
        <v>261</v>
      </c>
      <c r="D914" s="9"/>
      <c r="F914" s="66">
        <f>+F912</f>
        <v>-286.84204101562494</v>
      </c>
      <c r="G914" s="66"/>
      <c r="H914" s="66"/>
      <c r="I914" s="9" t="s">
        <v>9</v>
      </c>
      <c r="J914" s="66">
        <f>+J912</f>
        <v>145.27496337890625</v>
      </c>
      <c r="K914" s="66"/>
      <c r="L914" s="66"/>
      <c r="M914" s="9" t="s">
        <v>5</v>
      </c>
      <c r="N914" s="66">
        <f>+E913</f>
        <v>4</v>
      </c>
      <c r="O914" s="66"/>
      <c r="P914" s="9" t="s">
        <v>6</v>
      </c>
      <c r="Q914" s="66">
        <f>IF((T914-W914)&lt;0,0,AJ889)</f>
        <v>150</v>
      </c>
      <c r="R914" s="66"/>
      <c r="S914" s="1" t="s">
        <v>14</v>
      </c>
      <c r="T914" s="66">
        <f>+E913</f>
        <v>4</v>
      </c>
      <c r="U914" s="66"/>
      <c r="V914" s="9" t="s">
        <v>6</v>
      </c>
      <c r="W914" s="66">
        <f>+W912</f>
        <v>3.5</v>
      </c>
      <c r="X914" s="66"/>
      <c r="Y914" s="1" t="s">
        <v>16</v>
      </c>
      <c r="Z914" s="66">
        <f>IF((AC914-AF914)&lt;0,0,AR891)</f>
        <v>55</v>
      </c>
      <c r="AA914" s="66"/>
      <c r="AB914" s="1" t="s">
        <v>14</v>
      </c>
      <c r="AC914" s="66">
        <f>+T914</f>
        <v>4</v>
      </c>
      <c r="AD914" s="66"/>
      <c r="AE914" s="9" t="s">
        <v>6</v>
      </c>
      <c r="AF914" s="66">
        <f>+AF912</f>
        <v>3.5</v>
      </c>
      <c r="AG914" s="66"/>
      <c r="AH914" s="1" t="s">
        <v>200</v>
      </c>
      <c r="AI914" s="1" t="s">
        <v>173</v>
      </c>
      <c r="AJ914" s="1">
        <v>2</v>
      </c>
      <c r="AK914" s="9" t="s">
        <v>7</v>
      </c>
      <c r="AL914" s="66">
        <f>+F914+J914*N914-Q914*(T914-W914)-Z914*(AC914-AF914)^2/AJ914</f>
        <v>212.38281250000006</v>
      </c>
      <c r="AM914" s="66"/>
      <c r="AN914" s="66"/>
      <c r="AO914" s="1" t="s">
        <v>191</v>
      </c>
      <c r="AQ914" s="9"/>
      <c r="AU914" s="76">
        <f>+AN901</f>
        <v>8</v>
      </c>
      <c r="AV914" s="76"/>
      <c r="AW914" s="76">
        <f>ABS(BD893)</f>
        <v>356.51733398437494</v>
      </c>
      <c r="AX914" s="76"/>
      <c r="AY914" s="40"/>
      <c r="AZ914" s="40"/>
      <c r="BA914" s="40"/>
      <c r="BB914" s="40"/>
      <c r="CC914" s="7"/>
    </row>
    <row r="915" spans="2:81">
      <c r="B915" s="6"/>
      <c r="C915" s="1" t="s">
        <v>248</v>
      </c>
      <c r="E915" s="66">
        <f>+AN901/4</f>
        <v>2</v>
      </c>
      <c r="F915" s="66"/>
      <c r="G915" s="66"/>
      <c r="H915" s="1" t="s">
        <v>252</v>
      </c>
      <c r="I915" s="9"/>
      <c r="J915" s="9"/>
      <c r="M915" s="9"/>
      <c r="N915" s="21"/>
      <c r="P915" s="9"/>
      <c r="Q915" s="9"/>
      <c r="S915" s="9"/>
      <c r="T915" s="8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CC915" s="7"/>
    </row>
    <row r="916" spans="2:81">
      <c r="B916" s="6"/>
      <c r="C916" s="1" t="s">
        <v>249</v>
      </c>
      <c r="F916" s="66">
        <f>+F914</f>
        <v>-286.84204101562494</v>
      </c>
      <c r="G916" s="66"/>
      <c r="H916" s="66"/>
      <c r="I916" s="9" t="s">
        <v>9</v>
      </c>
      <c r="J916" s="66">
        <f>+J914</f>
        <v>145.27496337890625</v>
      </c>
      <c r="K916" s="66"/>
      <c r="L916" s="66"/>
      <c r="M916" s="9" t="s">
        <v>5</v>
      </c>
      <c r="N916" s="66">
        <f>+E915</f>
        <v>2</v>
      </c>
      <c r="O916" s="66"/>
      <c r="P916" s="9" t="s">
        <v>6</v>
      </c>
      <c r="Q916" s="66">
        <f>IF((T916-W916)&lt;0,0,AJ889)</f>
        <v>0</v>
      </c>
      <c r="R916" s="66"/>
      <c r="S916" s="1" t="s">
        <v>14</v>
      </c>
      <c r="T916" s="66">
        <f>+E915</f>
        <v>2</v>
      </c>
      <c r="U916" s="66"/>
      <c r="V916" s="9" t="s">
        <v>6</v>
      </c>
      <c r="W916" s="66">
        <f>+W914</f>
        <v>3.5</v>
      </c>
      <c r="X916" s="66"/>
      <c r="Y916" s="1" t="s">
        <v>16</v>
      </c>
      <c r="Z916" s="66">
        <f>IF((AC916-AF916)&lt;0,0,AR891)</f>
        <v>0</v>
      </c>
      <c r="AA916" s="66"/>
      <c r="AB916" s="1" t="s">
        <v>14</v>
      </c>
      <c r="AC916" s="66">
        <f>+T916</f>
        <v>2</v>
      </c>
      <c r="AD916" s="66"/>
      <c r="AE916" s="9" t="s">
        <v>6</v>
      </c>
      <c r="AF916" s="66">
        <f>+AF914</f>
        <v>3.5</v>
      </c>
      <c r="AG916" s="66"/>
      <c r="AH916" s="1" t="s">
        <v>200</v>
      </c>
      <c r="AI916" s="1" t="s">
        <v>173</v>
      </c>
      <c r="AJ916" s="1">
        <v>2</v>
      </c>
      <c r="AK916" s="9" t="s">
        <v>7</v>
      </c>
      <c r="AL916" s="66">
        <f>+F916+J916*N916-Q916*(T916-W916)-Z916*(AC916-AF916)^2/AJ916</f>
        <v>3.7078857421875568</v>
      </c>
      <c r="AM916" s="66"/>
      <c r="AN916" s="66"/>
      <c r="AO916" s="1" t="s">
        <v>191</v>
      </c>
      <c r="AQ916" s="9"/>
      <c r="AW916" s="9"/>
      <c r="CC916" s="7"/>
    </row>
    <row r="917" spans="2:81">
      <c r="B917" s="6"/>
      <c r="C917" s="1" t="s">
        <v>250</v>
      </c>
      <c r="F917" s="66">
        <f>+AN901*3/4</f>
        <v>6</v>
      </c>
      <c r="G917" s="66"/>
      <c r="H917" s="66"/>
      <c r="I917" s="1" t="s">
        <v>252</v>
      </c>
      <c r="J917" s="9"/>
      <c r="M917" s="9"/>
      <c r="N917" s="21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CC917" s="7"/>
    </row>
    <row r="918" spans="2:81">
      <c r="B918" s="6"/>
      <c r="C918" s="1" t="s">
        <v>251</v>
      </c>
      <c r="F918" s="66">
        <f>+F916</f>
        <v>-286.84204101562494</v>
      </c>
      <c r="G918" s="66"/>
      <c r="H918" s="66"/>
      <c r="I918" s="9" t="s">
        <v>9</v>
      </c>
      <c r="J918" s="66">
        <f>+J916</f>
        <v>145.27496337890625</v>
      </c>
      <c r="K918" s="66"/>
      <c r="L918" s="66"/>
      <c r="M918" s="9" t="s">
        <v>5</v>
      </c>
      <c r="N918" s="66">
        <f>+F917</f>
        <v>6</v>
      </c>
      <c r="O918" s="66"/>
      <c r="P918" s="9" t="s">
        <v>6</v>
      </c>
      <c r="Q918" s="66">
        <f>IF((T918-W918)&lt;0,0,AJ889)</f>
        <v>150</v>
      </c>
      <c r="R918" s="66"/>
      <c r="S918" s="1" t="s">
        <v>14</v>
      </c>
      <c r="T918" s="66">
        <f>+F917</f>
        <v>6</v>
      </c>
      <c r="U918" s="66"/>
      <c r="V918" s="9" t="s">
        <v>6</v>
      </c>
      <c r="W918" s="66">
        <f>+W916</f>
        <v>3.5</v>
      </c>
      <c r="X918" s="66"/>
      <c r="Y918" s="1" t="s">
        <v>16</v>
      </c>
      <c r="Z918" s="66">
        <f>IF((AC918-AF918)&lt;0,0,AR891)</f>
        <v>55</v>
      </c>
      <c r="AA918" s="66"/>
      <c r="AB918" s="1" t="s">
        <v>14</v>
      </c>
      <c r="AC918" s="66">
        <f>+T918</f>
        <v>6</v>
      </c>
      <c r="AD918" s="66"/>
      <c r="AE918" s="9" t="s">
        <v>6</v>
      </c>
      <c r="AF918" s="66">
        <f>+AF916</f>
        <v>3.5</v>
      </c>
      <c r="AG918" s="66"/>
      <c r="AH918" s="1" t="s">
        <v>200</v>
      </c>
      <c r="AI918" s="1" t="s">
        <v>173</v>
      </c>
      <c r="AJ918" s="1">
        <v>2</v>
      </c>
      <c r="AK918" s="9" t="s">
        <v>7</v>
      </c>
      <c r="AL918" s="66">
        <f>+F918+J918*N918-Q918*(T918-W918)-Z918*(AC918-AF918)^2/AJ918</f>
        <v>37.9327392578125</v>
      </c>
      <c r="AM918" s="66"/>
      <c r="AN918" s="66"/>
      <c r="AO918" s="1" t="s">
        <v>191</v>
      </c>
      <c r="AQ918" s="9"/>
      <c r="AW918" s="9"/>
      <c r="CC918" s="7"/>
    </row>
    <row r="919" spans="2:81">
      <c r="B919" s="6"/>
      <c r="C919" s="1" t="s">
        <v>300</v>
      </c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U919" s="9"/>
      <c r="V919" s="9"/>
      <c r="W919" s="9"/>
      <c r="X919" s="9"/>
      <c r="Y919" s="9"/>
      <c r="Z919" s="9"/>
      <c r="AA919" s="9"/>
      <c r="AB919" s="9"/>
      <c r="AD919" s="9"/>
      <c r="AE919" s="9"/>
      <c r="AF919" s="9"/>
      <c r="AG919" s="9"/>
      <c r="AH919" s="9"/>
      <c r="AI919" s="9"/>
      <c r="AJ919" s="9"/>
      <c r="AK919" s="9"/>
      <c r="AM919" s="9"/>
      <c r="AN919" s="9"/>
      <c r="AO919" s="9"/>
      <c r="AP919" s="9"/>
      <c r="AQ919" s="9"/>
      <c r="AR919" s="9"/>
      <c r="CC919" s="7"/>
    </row>
    <row r="920" spans="2:81">
      <c r="B920" s="6"/>
      <c r="C920" s="1" t="s">
        <v>301</v>
      </c>
      <c r="E920" s="66">
        <v>12.5</v>
      </c>
      <c r="F920" s="66"/>
      <c r="G920" s="9" t="s">
        <v>5</v>
      </c>
      <c r="H920" s="66">
        <f>ABS(AL912)</f>
        <v>356.517333984375</v>
      </c>
      <c r="I920" s="66"/>
      <c r="J920" s="66"/>
      <c r="K920" s="9" t="s">
        <v>275</v>
      </c>
      <c r="L920" s="66">
        <v>2.5</v>
      </c>
      <c r="M920" s="66"/>
      <c r="N920" s="9" t="s">
        <v>5</v>
      </c>
      <c r="O920" s="66">
        <f>+H920</f>
        <v>356.517333984375</v>
      </c>
      <c r="P920" s="66"/>
      <c r="Q920" s="66"/>
      <c r="R920" s="9" t="s">
        <v>9</v>
      </c>
      <c r="S920" s="9">
        <v>3</v>
      </c>
      <c r="T920" s="9" t="s">
        <v>5</v>
      </c>
      <c r="U920" s="66">
        <f>ABS(AL916)</f>
        <v>3.7078857421875568</v>
      </c>
      <c r="V920" s="66"/>
      <c r="W920" s="66"/>
      <c r="X920" s="9" t="s">
        <v>9</v>
      </c>
      <c r="Y920" s="9">
        <v>4</v>
      </c>
      <c r="Z920" s="9" t="s">
        <v>5</v>
      </c>
      <c r="AA920" s="66">
        <f>ABS(AL914)</f>
        <v>212.38281250000006</v>
      </c>
      <c r="AB920" s="66"/>
      <c r="AC920" s="66"/>
      <c r="AD920" s="9" t="s">
        <v>9</v>
      </c>
      <c r="AE920" s="9">
        <v>3</v>
      </c>
      <c r="AF920" s="9" t="s">
        <v>5</v>
      </c>
      <c r="AG920" s="66">
        <f>ABS(AL918)</f>
        <v>37.9327392578125</v>
      </c>
      <c r="AH920" s="66"/>
      <c r="AI920" s="66"/>
      <c r="AJ920" s="9" t="s">
        <v>201</v>
      </c>
      <c r="AK920" s="66">
        <f>E920*H920/(L920*O920+S920*U920+Y920*AA920+AE920*AG920)</f>
        <v>2.388570349959549</v>
      </c>
      <c r="AL920" s="66"/>
      <c r="AM920" s="66"/>
      <c r="AN920" s="9"/>
      <c r="AO920" s="9"/>
      <c r="AP920" s="9"/>
      <c r="AQ920" s="9"/>
      <c r="AR920" s="9"/>
      <c r="CC920" s="7"/>
    </row>
    <row r="921" spans="2:81">
      <c r="B921" s="6"/>
      <c r="C921" s="23" t="s">
        <v>223</v>
      </c>
      <c r="CC921" s="7"/>
    </row>
    <row r="922" spans="2:81">
      <c r="B922" s="6"/>
      <c r="C922" s="1" t="s">
        <v>404</v>
      </c>
      <c r="E922" s="1" t="s">
        <v>407</v>
      </c>
      <c r="F922" s="9"/>
      <c r="G922" s="1" t="s">
        <v>4</v>
      </c>
      <c r="H922" s="9" t="s">
        <v>5</v>
      </c>
      <c r="I922" s="9" t="s">
        <v>13</v>
      </c>
      <c r="J922" s="9" t="s">
        <v>6</v>
      </c>
      <c r="K922" s="66">
        <f>+AJ889</f>
        <v>150</v>
      </c>
      <c r="L922" s="66"/>
      <c r="M922" s="1" t="s">
        <v>14</v>
      </c>
      <c r="N922" s="9" t="s">
        <v>13</v>
      </c>
      <c r="O922" s="9" t="s">
        <v>6</v>
      </c>
      <c r="P922" s="66">
        <f>+AF899</f>
        <v>3.5</v>
      </c>
      <c r="Q922" s="66"/>
      <c r="R922" s="1" t="s">
        <v>16</v>
      </c>
      <c r="S922" s="66">
        <f>+AR891</f>
        <v>55</v>
      </c>
      <c r="T922" s="66"/>
      <c r="U922" s="1" t="s">
        <v>14</v>
      </c>
      <c r="V922" s="9" t="s">
        <v>13</v>
      </c>
      <c r="W922" s="9" t="s">
        <v>6</v>
      </c>
      <c r="X922" s="66">
        <f>+AF899</f>
        <v>3.5</v>
      </c>
      <c r="Y922" s="66"/>
      <c r="Z922" s="1" t="s">
        <v>200</v>
      </c>
      <c r="AA922" s="1" t="s">
        <v>173</v>
      </c>
      <c r="AB922" s="1">
        <v>2</v>
      </c>
      <c r="CC922" s="7"/>
    </row>
    <row r="923" spans="2:81">
      <c r="B923" s="6"/>
      <c r="C923" s="1" t="s">
        <v>408</v>
      </c>
      <c r="E923" s="1" t="s">
        <v>412</v>
      </c>
      <c r="F923" s="9"/>
      <c r="G923" s="9" t="s">
        <v>13</v>
      </c>
      <c r="H923" s="9" t="s">
        <v>9</v>
      </c>
      <c r="I923" s="9" t="s">
        <v>4</v>
      </c>
      <c r="J923" s="9" t="s">
        <v>5</v>
      </c>
      <c r="K923" s="1" t="s">
        <v>183</v>
      </c>
      <c r="L923" s="1" t="s">
        <v>173</v>
      </c>
      <c r="M923" s="1">
        <v>2</v>
      </c>
      <c r="N923" s="9" t="s">
        <v>6</v>
      </c>
      <c r="O923" s="66">
        <f>+K922</f>
        <v>150</v>
      </c>
      <c r="P923" s="66"/>
      <c r="Q923" s="1" t="s">
        <v>14</v>
      </c>
      <c r="R923" s="9" t="s">
        <v>13</v>
      </c>
      <c r="S923" s="9" t="s">
        <v>6</v>
      </c>
      <c r="T923" s="66">
        <f>+P922</f>
        <v>3.5</v>
      </c>
      <c r="U923" s="66"/>
      <c r="V923" s="1" t="s">
        <v>200</v>
      </c>
      <c r="W923" s="1" t="s">
        <v>173</v>
      </c>
      <c r="X923" s="1">
        <v>2</v>
      </c>
      <c r="Y923" s="9" t="s">
        <v>6</v>
      </c>
      <c r="Z923" s="66">
        <f>+S922</f>
        <v>55</v>
      </c>
      <c r="AA923" s="66"/>
      <c r="AB923" s="1" t="s">
        <v>14</v>
      </c>
      <c r="AC923" s="9" t="s">
        <v>13</v>
      </c>
      <c r="AD923" s="9" t="s">
        <v>6</v>
      </c>
      <c r="AE923" s="66">
        <f>+X922</f>
        <v>3.5</v>
      </c>
      <c r="AF923" s="66"/>
      <c r="AG923" s="1" t="s">
        <v>311</v>
      </c>
      <c r="AH923" s="1" t="s">
        <v>173</v>
      </c>
      <c r="AI923" s="1">
        <v>6</v>
      </c>
      <c r="AJ923" s="9" t="s">
        <v>9</v>
      </c>
      <c r="AK923" s="1" t="s">
        <v>24</v>
      </c>
      <c r="CC923" s="7"/>
    </row>
    <row r="924" spans="2:81">
      <c r="B924" s="6"/>
      <c r="C924" s="1" t="s">
        <v>409</v>
      </c>
      <c r="E924" s="1" t="s">
        <v>412</v>
      </c>
      <c r="F924" s="9"/>
      <c r="G924" s="9" t="s">
        <v>183</v>
      </c>
      <c r="H924" s="1" t="s">
        <v>173</v>
      </c>
      <c r="I924" s="1">
        <v>2</v>
      </c>
      <c r="J924" s="9" t="s">
        <v>9</v>
      </c>
      <c r="K924" s="9" t="s">
        <v>4</v>
      </c>
      <c r="L924" s="9" t="s">
        <v>5</v>
      </c>
      <c r="M924" s="1" t="s">
        <v>184</v>
      </c>
      <c r="N924" s="1" t="s">
        <v>173</v>
      </c>
      <c r="O924" s="1">
        <v>6</v>
      </c>
      <c r="P924" s="9" t="s">
        <v>6</v>
      </c>
      <c r="Q924" s="66">
        <f>+O923</f>
        <v>150</v>
      </c>
      <c r="R924" s="66"/>
      <c r="S924" s="1" t="s">
        <v>14</v>
      </c>
      <c r="T924" s="9" t="s">
        <v>13</v>
      </c>
      <c r="U924" s="9" t="s">
        <v>6</v>
      </c>
      <c r="V924" s="66">
        <f>+T923</f>
        <v>3.5</v>
      </c>
      <c r="W924" s="66"/>
      <c r="X924" s="1" t="s">
        <v>311</v>
      </c>
      <c r="Y924" s="1" t="s">
        <v>173</v>
      </c>
      <c r="Z924" s="1">
        <v>6</v>
      </c>
      <c r="AA924" s="9" t="s">
        <v>6</v>
      </c>
      <c r="AB924" s="66">
        <f>+Z923</f>
        <v>55</v>
      </c>
      <c r="AC924" s="66"/>
      <c r="AD924" s="1" t="s">
        <v>14</v>
      </c>
      <c r="AE924" s="9" t="s">
        <v>13</v>
      </c>
      <c r="AF924" s="9" t="s">
        <v>6</v>
      </c>
      <c r="AG924" s="66">
        <f>+AE923</f>
        <v>3.5</v>
      </c>
      <c r="AH924" s="66"/>
      <c r="AI924" s="1" t="s">
        <v>342</v>
      </c>
      <c r="AJ924" s="1" t="s">
        <v>173</v>
      </c>
      <c r="AK924" s="66">
        <v>24</v>
      </c>
      <c r="AL924" s="66"/>
      <c r="AM924" s="9" t="s">
        <v>9</v>
      </c>
      <c r="AN924" s="1" t="s">
        <v>24</v>
      </c>
      <c r="AO924" s="9" t="s">
        <v>5</v>
      </c>
      <c r="AP924" s="9" t="s">
        <v>13</v>
      </c>
      <c r="AQ924" s="9" t="s">
        <v>9</v>
      </c>
      <c r="AR924" s="1" t="s">
        <v>307</v>
      </c>
      <c r="CC924" s="7"/>
    </row>
    <row r="925" spans="2:81">
      <c r="B925" s="6"/>
      <c r="C925" s="24" t="s">
        <v>318</v>
      </c>
      <c r="E925" s="9"/>
      <c r="F925" s="9"/>
      <c r="G925" s="9"/>
      <c r="CC925" s="7"/>
    </row>
    <row r="926" spans="2:81">
      <c r="B926" s="6"/>
      <c r="C926" s="1" t="s">
        <v>410</v>
      </c>
      <c r="I926" s="1" t="s">
        <v>411</v>
      </c>
      <c r="CC926" s="7"/>
    </row>
    <row r="927" spans="2:81">
      <c r="B927" s="6"/>
      <c r="C927" s="1" t="s">
        <v>415</v>
      </c>
      <c r="I927" s="1" t="s">
        <v>416</v>
      </c>
      <c r="CC927" s="7"/>
    </row>
    <row r="928" spans="2:81">
      <c r="B928" s="6"/>
      <c r="C928" s="1" t="s">
        <v>401</v>
      </c>
      <c r="I928" s="1" t="s">
        <v>412</v>
      </c>
      <c r="J928" s="9"/>
      <c r="K928" s="66">
        <f>+AN901</f>
        <v>8</v>
      </c>
      <c r="L928" s="66"/>
      <c r="M928" s="1" t="s">
        <v>254</v>
      </c>
      <c r="N928" s="1">
        <v>2</v>
      </c>
      <c r="O928" s="9" t="s">
        <v>9</v>
      </c>
      <c r="P928" s="9" t="s">
        <v>4</v>
      </c>
      <c r="Q928" s="9" t="s">
        <v>5</v>
      </c>
      <c r="R928" s="66">
        <f>+K928</f>
        <v>8</v>
      </c>
      <c r="S928" s="66"/>
      <c r="T928" s="1" t="s">
        <v>321</v>
      </c>
      <c r="U928" s="1">
        <v>6</v>
      </c>
      <c r="V928" s="9" t="s">
        <v>6</v>
      </c>
      <c r="W928" s="66">
        <f>IF((Z928-AC928)&lt;0,0,Q924)</f>
        <v>150</v>
      </c>
      <c r="X928" s="66"/>
      <c r="Y928" s="1" t="s">
        <v>14</v>
      </c>
      <c r="Z928" s="66">
        <f>+R928</f>
        <v>8</v>
      </c>
      <c r="AA928" s="66"/>
      <c r="AB928" s="9" t="s">
        <v>6</v>
      </c>
      <c r="AC928" s="66">
        <f>+V924</f>
        <v>3.5</v>
      </c>
      <c r="AD928" s="66"/>
      <c r="AE928" s="1" t="s">
        <v>311</v>
      </c>
      <c r="AF928" s="1" t="s">
        <v>173</v>
      </c>
      <c r="AG928" s="1">
        <v>6</v>
      </c>
      <c r="AH928" s="9" t="s">
        <v>6</v>
      </c>
      <c r="AI928" s="66">
        <f>IF((AL928-AO928)&lt;0,0,AB924)</f>
        <v>55</v>
      </c>
      <c r="AJ928" s="66"/>
      <c r="AK928" s="1" t="s">
        <v>14</v>
      </c>
      <c r="AL928" s="66">
        <f>+Z928</f>
        <v>8</v>
      </c>
      <c r="AM928" s="66"/>
      <c r="AN928" s="9" t="s">
        <v>6</v>
      </c>
      <c r="AO928" s="66">
        <f>+AG924</f>
        <v>3.5</v>
      </c>
      <c r="AP928" s="66"/>
      <c r="AQ928" s="1" t="s">
        <v>342</v>
      </c>
      <c r="AR928" s="1" t="s">
        <v>173</v>
      </c>
      <c r="AS928" s="66">
        <v>24</v>
      </c>
      <c r="AT928" s="66"/>
      <c r="AU928" s="9" t="s">
        <v>7</v>
      </c>
      <c r="AV928" s="9">
        <v>0</v>
      </c>
      <c r="AW928" s="9"/>
      <c r="CC928" s="7"/>
    </row>
    <row r="929" spans="2:81">
      <c r="B929" s="6"/>
      <c r="I929" s="1" t="s">
        <v>412</v>
      </c>
      <c r="J929" s="9"/>
      <c r="K929" s="66">
        <f>K928^2/N928</f>
        <v>32</v>
      </c>
      <c r="L929" s="66"/>
      <c r="M929" s="9" t="s">
        <v>9</v>
      </c>
      <c r="N929" s="9" t="s">
        <v>4</v>
      </c>
      <c r="O929" s="9" t="s">
        <v>5</v>
      </c>
      <c r="P929" s="66">
        <f>+R928^3/U928</f>
        <v>85.333333333333329</v>
      </c>
      <c r="Q929" s="66"/>
      <c r="R929" s="9" t="s">
        <v>9</v>
      </c>
      <c r="S929" s="66">
        <f>-W928*(Z928-AC928)^3/AG928-AI928*(AL928-AO928)^4/AS928</f>
        <v>-3217.8515625</v>
      </c>
      <c r="T929" s="66"/>
      <c r="U929" s="66"/>
      <c r="V929" s="9" t="s">
        <v>7</v>
      </c>
      <c r="W929" s="9">
        <v>0</v>
      </c>
      <c r="Y929" s="1" t="s">
        <v>413</v>
      </c>
      <c r="CC929" s="7"/>
    </row>
    <row r="930" spans="2:81">
      <c r="B930" s="6"/>
      <c r="C930" s="1" t="s">
        <v>402</v>
      </c>
      <c r="I930" s="1" t="s">
        <v>412</v>
      </c>
      <c r="J930" s="9"/>
      <c r="K930" s="66">
        <f>+AN901</f>
        <v>8</v>
      </c>
      <c r="L930" s="66"/>
      <c r="M930" s="9" t="s">
        <v>9</v>
      </c>
      <c r="N930" s="9" t="s">
        <v>4</v>
      </c>
      <c r="O930" s="9" t="s">
        <v>5</v>
      </c>
      <c r="P930" s="66">
        <f>+AN901</f>
        <v>8</v>
      </c>
      <c r="Q930" s="66"/>
      <c r="R930" s="1" t="s">
        <v>254</v>
      </c>
      <c r="S930" s="1">
        <v>2</v>
      </c>
      <c r="T930" s="9" t="s">
        <v>6</v>
      </c>
      <c r="U930" s="66">
        <f>IF((X930-AA930)&lt;0,0,O923)</f>
        <v>150</v>
      </c>
      <c r="V930" s="66"/>
      <c r="W930" s="1" t="s">
        <v>14</v>
      </c>
      <c r="X930" s="66">
        <f>+P930</f>
        <v>8</v>
      </c>
      <c r="Y930" s="66"/>
      <c r="Z930" s="9" t="s">
        <v>6</v>
      </c>
      <c r="AA930" s="66">
        <f>+T923</f>
        <v>3.5</v>
      </c>
      <c r="AB930" s="66"/>
      <c r="AC930" s="1" t="s">
        <v>200</v>
      </c>
      <c r="AD930" s="1" t="s">
        <v>173</v>
      </c>
      <c r="AE930" s="1">
        <v>2</v>
      </c>
      <c r="AF930" s="9" t="s">
        <v>6</v>
      </c>
      <c r="AG930" s="66">
        <f>IF((AJ930-AM930)&lt;0,0,Z923)</f>
        <v>55</v>
      </c>
      <c r="AH930" s="66"/>
      <c r="AI930" s="1" t="s">
        <v>14</v>
      </c>
      <c r="AJ930" s="66">
        <f>+X930</f>
        <v>8</v>
      </c>
      <c r="AK930" s="66"/>
      <c r="AL930" s="9" t="s">
        <v>6</v>
      </c>
      <c r="AM930" s="66">
        <f>+AE923</f>
        <v>3.5</v>
      </c>
      <c r="AN930" s="66"/>
      <c r="AO930" s="1" t="s">
        <v>311</v>
      </c>
      <c r="AP930" s="1" t="s">
        <v>173</v>
      </c>
      <c r="AQ930" s="1">
        <v>6</v>
      </c>
      <c r="AR930" s="9" t="s">
        <v>7</v>
      </c>
      <c r="AS930" s="9">
        <v>0</v>
      </c>
      <c r="CC930" s="7"/>
    </row>
    <row r="931" spans="2:81">
      <c r="B931" s="6"/>
      <c r="I931" s="1" t="s">
        <v>412</v>
      </c>
      <c r="J931" s="9"/>
      <c r="K931" s="66">
        <f>+K930</f>
        <v>8</v>
      </c>
      <c r="L931" s="66"/>
      <c r="M931" s="9" t="s">
        <v>9</v>
      </c>
      <c r="N931" s="9" t="s">
        <v>4</v>
      </c>
      <c r="O931" s="9" t="s">
        <v>5</v>
      </c>
      <c r="P931" s="66">
        <f>+P930^2/S930</f>
        <v>32</v>
      </c>
      <c r="Q931" s="66"/>
      <c r="R931" s="1" t="s">
        <v>9</v>
      </c>
      <c r="S931" s="66">
        <f>-U930*(X930-AA930)^2/AE930-AG930*(AJ930-AM930)^3/AQ930</f>
        <v>-2354.0625</v>
      </c>
      <c r="T931" s="66"/>
      <c r="U931" s="66"/>
      <c r="V931" s="9" t="s">
        <v>7</v>
      </c>
      <c r="W931" s="9">
        <v>0</v>
      </c>
      <c r="Y931" s="1" t="s">
        <v>414</v>
      </c>
      <c r="CC931" s="7"/>
    </row>
    <row r="932" spans="2:81">
      <c r="B932" s="6"/>
      <c r="C932" s="24" t="s">
        <v>417</v>
      </c>
      <c r="CC932" s="7"/>
    </row>
    <row r="933" spans="2:81">
      <c r="B933" s="6"/>
      <c r="C933" s="1" t="s">
        <v>405</v>
      </c>
      <c r="E933" s="66">
        <f>+N933</f>
        <v>-286.84204101562494</v>
      </c>
      <c r="F933" s="66"/>
      <c r="G933" s="66"/>
      <c r="I933" s="40">
        <f>+K929</f>
        <v>32</v>
      </c>
      <c r="J933" s="40">
        <f>+P929</f>
        <v>85.333333333333329</v>
      </c>
      <c r="K933" s="40">
        <f>-S929</f>
        <v>3217.8515625</v>
      </c>
      <c r="L933" s="40" cm="1">
        <f t="array" ref="L933:M934">MINVERSE(I933:J934)</f>
        <v>9.3749999999999986E-2</v>
      </c>
      <c r="M933" s="40">
        <v>-0.24999999999999994</v>
      </c>
      <c r="N933" s="40" cm="1">
        <f t="array" ref="N933:N934">MMULT(L933:M934,K933:K934)</f>
        <v>-286.84204101562494</v>
      </c>
      <c r="CC933" s="7"/>
    </row>
    <row r="934" spans="2:81">
      <c r="B934" s="6"/>
      <c r="C934" s="1" t="s">
        <v>8</v>
      </c>
      <c r="E934" s="66">
        <f>+N934</f>
        <v>145.27496337890625</v>
      </c>
      <c r="F934" s="66"/>
      <c r="G934" s="66"/>
      <c r="I934" s="40">
        <f>+K931</f>
        <v>8</v>
      </c>
      <c r="J934" s="40">
        <f>+P931</f>
        <v>32</v>
      </c>
      <c r="K934" s="40">
        <f>-S931</f>
        <v>2354.0625</v>
      </c>
      <c r="L934" s="40">
        <v>-2.3437499999999997E-2</v>
      </c>
      <c r="M934" s="40">
        <v>9.3749999999999986E-2</v>
      </c>
      <c r="N934" s="40">
        <v>145.27496337890625</v>
      </c>
      <c r="CC934" s="7"/>
    </row>
    <row r="935" spans="2:81">
      <c r="B935" s="6"/>
      <c r="C935" s="1" t="s">
        <v>418</v>
      </c>
      <c r="CC935" s="7"/>
    </row>
    <row r="936" spans="2:81">
      <c r="B936" s="6"/>
      <c r="C936" s="1" t="s">
        <v>10</v>
      </c>
      <c r="D936" s="9" t="s">
        <v>9</v>
      </c>
      <c r="E936" s="1" t="s">
        <v>4</v>
      </c>
      <c r="F936" s="9" t="s">
        <v>6</v>
      </c>
      <c r="G936" s="66">
        <f>+AJ889</f>
        <v>150</v>
      </c>
      <c r="H936" s="66"/>
      <c r="I936" s="9" t="s">
        <v>6</v>
      </c>
      <c r="J936" s="66">
        <f>+AR891</f>
        <v>55</v>
      </c>
      <c r="K936" s="66"/>
      <c r="L936" s="9" t="s">
        <v>5</v>
      </c>
      <c r="M936" s="66">
        <f>+AR899</f>
        <v>4.5</v>
      </c>
      <c r="N936" s="66"/>
      <c r="O936" s="9" t="s">
        <v>7</v>
      </c>
      <c r="P936" s="9">
        <v>0</v>
      </c>
      <c r="CC936" s="7"/>
    </row>
    <row r="937" spans="2:81">
      <c r="B937" s="6"/>
      <c r="C937" s="1" t="s">
        <v>10</v>
      </c>
      <c r="D937" s="1" t="s">
        <v>7</v>
      </c>
      <c r="E937" s="66">
        <f>+G936+J936*M936-E934</f>
        <v>252.22503662109375</v>
      </c>
      <c r="F937" s="66"/>
      <c r="G937" s="66"/>
      <c r="H937" s="1" t="s">
        <v>0</v>
      </c>
      <c r="CC937" s="7"/>
    </row>
    <row r="938" spans="2:81">
      <c r="B938" s="6"/>
      <c r="C938" s="1" t="s">
        <v>419</v>
      </c>
      <c r="CC938" s="7"/>
    </row>
    <row r="939" spans="2:81">
      <c r="B939" s="6"/>
      <c r="C939" s="1" t="s">
        <v>407</v>
      </c>
      <c r="E939" s="66">
        <f>+AB898</f>
        <v>145.27496337890625</v>
      </c>
      <c r="F939" s="66"/>
      <c r="G939" s="9" t="s">
        <v>5</v>
      </c>
      <c r="H939" s="66">
        <f>+AN901</f>
        <v>8</v>
      </c>
      <c r="I939" s="66"/>
      <c r="J939" s="9" t="s">
        <v>6</v>
      </c>
      <c r="K939" s="66">
        <f>+AJ889</f>
        <v>150</v>
      </c>
      <c r="L939" s="66"/>
      <c r="M939" s="9" t="s">
        <v>5</v>
      </c>
      <c r="N939" s="66">
        <f>+AR899</f>
        <v>4.5</v>
      </c>
      <c r="O939" s="66"/>
      <c r="P939" s="9" t="s">
        <v>6</v>
      </c>
      <c r="Q939" s="66">
        <f>+AR891</f>
        <v>55</v>
      </c>
      <c r="R939" s="66"/>
      <c r="S939" s="9" t="s">
        <v>5</v>
      </c>
      <c r="T939" s="66">
        <f>+AR899</f>
        <v>4.5</v>
      </c>
      <c r="U939" s="66"/>
      <c r="V939" s="9" t="s">
        <v>5</v>
      </c>
      <c r="W939" s="66">
        <f>+T939/2</f>
        <v>2.25</v>
      </c>
      <c r="X939" s="66"/>
      <c r="Y939" s="9" t="s">
        <v>6</v>
      </c>
      <c r="Z939" s="1" t="s">
        <v>420</v>
      </c>
      <c r="CC939" s="7"/>
    </row>
    <row r="940" spans="2:81">
      <c r="B940" s="6"/>
      <c r="C940" s="1" t="s">
        <v>406</v>
      </c>
      <c r="E940" s="66">
        <f>+E939*H939-K939*N939-Q939*T939*W939+E933</f>
        <v>-356.51733398437494</v>
      </c>
      <c r="F940" s="66"/>
      <c r="G940" s="66"/>
      <c r="H940" s="1" t="s">
        <v>0</v>
      </c>
      <c r="CC940" s="7"/>
    </row>
    <row r="941" spans="2:81">
      <c r="B941" s="6"/>
      <c r="C941" s="1" t="s">
        <v>195</v>
      </c>
      <c r="H941" s="1" t="s">
        <v>412</v>
      </c>
      <c r="I941" s="9"/>
      <c r="J941" s="9" t="s">
        <v>183</v>
      </c>
      <c r="K941" s="1" t="s">
        <v>173</v>
      </c>
      <c r="L941" s="1">
        <v>2</v>
      </c>
      <c r="M941" s="9" t="s">
        <v>9</v>
      </c>
      <c r="N941" s="9" t="s">
        <v>4</v>
      </c>
      <c r="O941" s="9" t="s">
        <v>5</v>
      </c>
      <c r="P941" s="1" t="s">
        <v>184</v>
      </c>
      <c r="Q941" s="1" t="s">
        <v>173</v>
      </c>
      <c r="R941" s="1">
        <v>6</v>
      </c>
      <c r="S941" s="9" t="s">
        <v>6</v>
      </c>
      <c r="T941" s="66">
        <f>+Q924</f>
        <v>150</v>
      </c>
      <c r="U941" s="66"/>
      <c r="V941" s="1" t="s">
        <v>14</v>
      </c>
      <c r="W941" s="9" t="s">
        <v>13</v>
      </c>
      <c r="X941" s="9" t="s">
        <v>6</v>
      </c>
      <c r="Y941" s="66">
        <f>+V924</f>
        <v>3.5</v>
      </c>
      <c r="Z941" s="66"/>
      <c r="AA941" s="1" t="s">
        <v>311</v>
      </c>
      <c r="AB941" s="1" t="s">
        <v>173</v>
      </c>
      <c r="AC941" s="1">
        <v>6</v>
      </c>
      <c r="AD941" s="9" t="s">
        <v>6</v>
      </c>
      <c r="AE941" s="66">
        <f>+AB924</f>
        <v>55</v>
      </c>
      <c r="AF941" s="66"/>
      <c r="AG941" s="1" t="s">
        <v>14</v>
      </c>
      <c r="AH941" s="9" t="s">
        <v>13</v>
      </c>
      <c r="AI941" s="9" t="s">
        <v>6</v>
      </c>
      <c r="AJ941" s="66">
        <f>+AG924</f>
        <v>3.5</v>
      </c>
      <c r="AK941" s="66"/>
      <c r="AL941" s="1" t="s">
        <v>342</v>
      </c>
      <c r="AM941" s="1" t="s">
        <v>173</v>
      </c>
      <c r="AN941" s="66">
        <v>24</v>
      </c>
      <c r="AO941" s="66"/>
      <c r="CC941" s="7"/>
    </row>
    <row r="942" spans="2:81">
      <c r="B942" s="6"/>
      <c r="C942" s="1" t="s">
        <v>27</v>
      </c>
      <c r="D942" s="67">
        <v>4</v>
      </c>
      <c r="E942" s="67"/>
      <c r="F942" s="67"/>
      <c r="G942" s="1" t="s">
        <v>42</v>
      </c>
      <c r="P942" s="8" t="str">
        <f>IF(D942&lt;=AN901,"","azalt.")</f>
        <v/>
      </c>
      <c r="CC942" s="7"/>
    </row>
    <row r="943" spans="2:81">
      <c r="B943" s="6"/>
      <c r="C943" s="1" t="s">
        <v>35</v>
      </c>
      <c r="E943" s="66">
        <f>+E933</f>
        <v>-286.84204101562494</v>
      </c>
      <c r="F943" s="66"/>
      <c r="G943" s="66"/>
      <c r="H943" s="9" t="s">
        <v>5</v>
      </c>
      <c r="I943" s="66">
        <f>+D942</f>
        <v>4</v>
      </c>
      <c r="J943" s="66"/>
      <c r="K943" s="1" t="s">
        <v>254</v>
      </c>
      <c r="L943" s="1">
        <v>2</v>
      </c>
      <c r="M943" s="9" t="s">
        <v>9</v>
      </c>
      <c r="N943" s="66">
        <f>+E934</f>
        <v>145.27496337890625</v>
      </c>
      <c r="O943" s="66"/>
      <c r="P943" s="66"/>
      <c r="Q943" s="9" t="s">
        <v>5</v>
      </c>
      <c r="R943" s="66">
        <f>+D942</f>
        <v>4</v>
      </c>
      <c r="S943" s="66"/>
      <c r="T943" s="1" t="s">
        <v>321</v>
      </c>
      <c r="U943" s="1">
        <v>6</v>
      </c>
      <c r="V943" s="9" t="s">
        <v>6</v>
      </c>
      <c r="W943" s="66">
        <f>IF((Z943-AC943)&lt;0,0,Q924)</f>
        <v>150</v>
      </c>
      <c r="X943" s="66"/>
      <c r="Y943" s="1" t="s">
        <v>14</v>
      </c>
      <c r="Z943" s="66">
        <f>+R943</f>
        <v>4</v>
      </c>
      <c r="AA943" s="66"/>
      <c r="AB943" s="9" t="s">
        <v>6</v>
      </c>
      <c r="AC943" s="66">
        <f>+V924</f>
        <v>3.5</v>
      </c>
      <c r="AD943" s="66"/>
      <c r="AE943" s="1" t="s">
        <v>311</v>
      </c>
      <c r="AF943" s="1" t="s">
        <v>173</v>
      </c>
      <c r="AG943" s="1">
        <v>6</v>
      </c>
      <c r="AH943" s="9" t="s">
        <v>6</v>
      </c>
      <c r="AI943" s="66">
        <f>IF((AL943-AO943)&lt;0,0,AB924)</f>
        <v>55</v>
      </c>
      <c r="AJ943" s="66"/>
      <c r="AK943" s="1" t="s">
        <v>14</v>
      </c>
      <c r="AL943" s="66">
        <f>+Z943</f>
        <v>4</v>
      </c>
      <c r="AM943" s="66"/>
      <c r="AN943" s="9" t="s">
        <v>6</v>
      </c>
      <c r="AO943" s="66">
        <f>+AG924</f>
        <v>3.5</v>
      </c>
      <c r="AP943" s="66"/>
      <c r="AQ943" s="1" t="s">
        <v>342</v>
      </c>
      <c r="AR943" s="1" t="s">
        <v>173</v>
      </c>
      <c r="AS943" s="66">
        <v>24</v>
      </c>
      <c r="AT943" s="66"/>
      <c r="AU943" s="1" t="s">
        <v>193</v>
      </c>
      <c r="AX943" s="66">
        <f>+F904</f>
        <v>200000</v>
      </c>
      <c r="AY943" s="66"/>
      <c r="AZ943" s="66"/>
      <c r="BA943" s="9" t="s">
        <v>5</v>
      </c>
      <c r="BB943" s="66">
        <f>+F903</f>
        <v>92080</v>
      </c>
      <c r="BC943" s="66"/>
      <c r="BD943" s="66"/>
      <c r="BE943" s="1" t="s">
        <v>40</v>
      </c>
      <c r="CC943" s="7"/>
    </row>
    <row r="944" spans="2:81">
      <c r="B944" s="6"/>
      <c r="C944" s="1" t="s">
        <v>33</v>
      </c>
      <c r="E944" s="66">
        <f>(E943*I943^2/L943+N943*R943^3/U943-W943*(Z943-AC943)^3/AG943-AI943*(AL943-AO943)^4/AS943)*100000000/(AX943*BB943)</f>
        <v>-4.0638843826925832</v>
      </c>
      <c r="F944" s="66"/>
      <c r="G944" s="66"/>
      <c r="H944" s="1" t="s">
        <v>41</v>
      </c>
      <c r="CC944" s="7"/>
    </row>
    <row r="945" spans="2:81">
      <c r="B945" s="6"/>
      <c r="C945" s="1" t="s">
        <v>172</v>
      </c>
      <c r="H945" s="66">
        <f>AN901*1000</f>
        <v>8000</v>
      </c>
      <c r="I945" s="66"/>
      <c r="J945" s="66"/>
      <c r="K945" s="1" t="s">
        <v>173</v>
      </c>
      <c r="L945" s="66">
        <v>300</v>
      </c>
      <c r="M945" s="66"/>
      <c r="N945" s="9" t="s">
        <v>7</v>
      </c>
      <c r="O945" s="66">
        <f>+H945/L945</f>
        <v>26.666666666666668</v>
      </c>
      <c r="P945" s="66"/>
      <c r="Q945" s="66"/>
      <c r="R945" s="1" t="s">
        <v>41</v>
      </c>
      <c r="U945" s="1" t="s">
        <v>192</v>
      </c>
      <c r="CC945" s="7"/>
    </row>
    <row r="946" spans="2:81">
      <c r="B946" s="6"/>
      <c r="C946" s="1" t="s">
        <v>34</v>
      </c>
      <c r="D946" s="66">
        <f>+E944</f>
        <v>-4.0638843826925832</v>
      </c>
      <c r="E946" s="66"/>
      <c r="F946" s="66"/>
      <c r="G946" s="1" t="s">
        <v>41</v>
      </c>
      <c r="I946" s="1" t="str">
        <f>IF(ABS(D946)&lt;ABS(M946),"&lt;","&gt;")</f>
        <v>&lt;</v>
      </c>
      <c r="J946" s="1" t="s">
        <v>174</v>
      </c>
      <c r="M946" s="66">
        <f>+O945</f>
        <v>26.666666666666668</v>
      </c>
      <c r="N946" s="66"/>
      <c r="O946" s="66"/>
      <c r="P946" s="1" t="s">
        <v>41</v>
      </c>
      <c r="R946" s="8" t="str">
        <f>IF(ABS(D946)&lt;ABS(M946),"uygun.","uygun değil.")</f>
        <v>uygun.</v>
      </c>
      <c r="CC946" s="7"/>
    </row>
    <row r="947" spans="2:81" ht="12" thickBot="1">
      <c r="B947" s="12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4"/>
    </row>
    <row r="948" spans="2:81" ht="12" thickBot="1"/>
    <row r="949" spans="2:81" ht="48" customHeight="1">
      <c r="B949" s="73" t="s">
        <v>425</v>
      </c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  <c r="AL949" s="74"/>
      <c r="AM949" s="74"/>
      <c r="AN949" s="74"/>
      <c r="AO949" s="74"/>
      <c r="AP949" s="74"/>
      <c r="AQ949" s="74"/>
      <c r="AR949" s="74"/>
      <c r="AS949" s="74"/>
      <c r="AT949" s="74"/>
      <c r="AU949" s="74"/>
      <c r="AV949" s="74"/>
      <c r="AW949" s="74"/>
      <c r="AX949" s="74"/>
      <c r="AY949" s="74"/>
      <c r="AZ949" s="74"/>
      <c r="BA949" s="74"/>
      <c r="BB949" s="74"/>
      <c r="BC949" s="74"/>
      <c r="BD949" s="74"/>
      <c r="BE949" s="74"/>
      <c r="BF949" s="74"/>
      <c r="BG949" s="74"/>
      <c r="BH949" s="74"/>
      <c r="BI949" s="74"/>
      <c r="BJ949" s="74"/>
      <c r="BK949" s="74"/>
      <c r="BL949" s="74"/>
      <c r="BM949" s="74"/>
      <c r="BN949" s="74"/>
      <c r="BO949" s="74"/>
      <c r="BP949" s="74"/>
      <c r="BQ949" s="74"/>
      <c r="BR949" s="74"/>
      <c r="BS949" s="74"/>
      <c r="BT949" s="74"/>
      <c r="BU949" s="74"/>
      <c r="BV949" s="74"/>
      <c r="BW949" s="74"/>
      <c r="BX949" s="74"/>
      <c r="BY949" s="74"/>
      <c r="BZ949" s="74"/>
      <c r="CA949" s="74"/>
      <c r="CB949" s="74"/>
      <c r="CC949" s="75"/>
    </row>
    <row r="950" spans="2:81">
      <c r="B950" s="6"/>
      <c r="S950" s="8" t="s">
        <v>176</v>
      </c>
      <c r="CC950" s="7"/>
    </row>
    <row r="951" spans="2:81">
      <c r="B951" s="6"/>
      <c r="AP951" s="1" t="s">
        <v>290</v>
      </c>
      <c r="CC951" s="7"/>
    </row>
    <row r="952" spans="2:81">
      <c r="B952" s="6"/>
      <c r="O952" s="67" t="s">
        <v>171</v>
      </c>
      <c r="P952" s="67"/>
      <c r="Q952" s="67"/>
      <c r="R952" s="67"/>
      <c r="S952" s="67"/>
      <c r="T952" s="67"/>
      <c r="AJ952" s="67">
        <v>150</v>
      </c>
      <c r="AK952" s="67"/>
      <c r="AL952" s="1" t="s">
        <v>0</v>
      </c>
      <c r="CC952" s="7"/>
    </row>
    <row r="953" spans="2:81">
      <c r="B953" s="6"/>
      <c r="CC953" s="7"/>
    </row>
    <row r="954" spans="2:81">
      <c r="B954" s="6"/>
      <c r="AR954" s="67">
        <v>55</v>
      </c>
      <c r="AS954" s="67"/>
      <c r="AT954" s="1" t="s">
        <v>187</v>
      </c>
      <c r="BI954" s="23" t="s">
        <v>341</v>
      </c>
      <c r="CC954" s="7"/>
    </row>
    <row r="955" spans="2:81">
      <c r="B955" s="6"/>
      <c r="BI955" s="1" t="s">
        <v>301</v>
      </c>
      <c r="BK955" s="66">
        <f>+AK988</f>
        <v>1.216582766266489</v>
      </c>
      <c r="BL955" s="66"/>
      <c r="BM955" s="66"/>
      <c r="CC955" s="7"/>
    </row>
    <row r="956" spans="2:81">
      <c r="B956" s="6"/>
      <c r="C956" s="71">
        <f>INDEX($CI$24:$CI$138,MATCH(O952,$CG$24:$CG$138,0),0)</f>
        <v>600</v>
      </c>
      <c r="BI956" s="1" t="s">
        <v>297</v>
      </c>
      <c r="BK956" s="66">
        <f>ABS(AH980)</f>
        <v>539.08963290127849</v>
      </c>
      <c r="BL956" s="66"/>
      <c r="BM956" s="66"/>
      <c r="BN956" s="1" t="s">
        <v>191</v>
      </c>
      <c r="BP956" s="1" t="s">
        <v>329</v>
      </c>
      <c r="CC956" s="7"/>
    </row>
    <row r="957" spans="2:81">
      <c r="B957" s="6"/>
      <c r="C957" s="71"/>
      <c r="BI957" s="1" t="s">
        <v>330</v>
      </c>
      <c r="BL957" s="66">
        <f>MAX(ABS(BK958),ABS(BL958),ABS(BM958))</f>
        <v>243.515625</v>
      </c>
      <c r="BM957" s="66"/>
      <c r="BN957" s="66"/>
      <c r="BO957" s="1" t="s">
        <v>0</v>
      </c>
      <c r="BQ957" s="1" t="s">
        <v>331</v>
      </c>
      <c r="CC957" s="7"/>
    </row>
    <row r="958" spans="2:81">
      <c r="B958" s="6"/>
      <c r="C958" s="71"/>
      <c r="J958" s="66">
        <f>INDEX($CK$24:$CK$138,MATCH(O952,$CG$24:$CG$138,0),0)</f>
        <v>12</v>
      </c>
      <c r="K958" s="66"/>
      <c r="BG958" s="2"/>
      <c r="BH958" s="2"/>
      <c r="BI958" s="2"/>
      <c r="BJ958" s="2"/>
      <c r="BK958" s="40">
        <f>AB961</f>
        <v>153.984375</v>
      </c>
      <c r="BL958" s="40">
        <f>+BK958-AJ952</f>
        <v>3.984375</v>
      </c>
      <c r="BM958" s="40">
        <f>+BL958-AR954*AR962</f>
        <v>-243.515625</v>
      </c>
      <c r="BN958" s="2"/>
      <c r="BO958" s="2"/>
      <c r="BP958" s="2"/>
      <c r="BQ958" s="2"/>
      <c r="BR958" s="2"/>
      <c r="BS958" s="2"/>
      <c r="BT958" s="2"/>
      <c r="BU958" s="2"/>
      <c r="CC958" s="7"/>
    </row>
    <row r="959" spans="2:81">
      <c r="B959" s="6"/>
      <c r="AF959" s="1" t="s">
        <v>13</v>
      </c>
      <c r="CC959" s="7"/>
    </row>
    <row r="960" spans="2:81">
      <c r="B960" s="6"/>
      <c r="CC960" s="7"/>
    </row>
    <row r="961" spans="2:81">
      <c r="B961" s="6"/>
      <c r="K961" s="66">
        <f>INDEX($CL$24:$CL$138,MATCH(O952,$CG$24:$CG$138,0),0)</f>
        <v>19</v>
      </c>
      <c r="L961" s="66"/>
      <c r="AA961" s="1" t="s">
        <v>2</v>
      </c>
      <c r="AB961" s="66">
        <f>+E971</f>
        <v>153.984375</v>
      </c>
      <c r="AC961" s="66"/>
      <c r="AD961" s="1" t="s">
        <v>0</v>
      </c>
      <c r="AX961" s="1" t="s">
        <v>3</v>
      </c>
      <c r="AY961" s="66">
        <f>+E973</f>
        <v>243.515625</v>
      </c>
      <c r="AZ961" s="66"/>
      <c r="BA961" s="1" t="s">
        <v>0</v>
      </c>
      <c r="BE961" s="23" t="s">
        <v>266</v>
      </c>
      <c r="CC961" s="7"/>
    </row>
    <row r="962" spans="2:81">
      <c r="B962" s="6"/>
      <c r="AF962" s="67">
        <v>3.5</v>
      </c>
      <c r="AG962" s="67"/>
      <c r="AH962" s="9" t="s">
        <v>1</v>
      </c>
      <c r="AR962" s="66">
        <f>+AN964-AF962</f>
        <v>4.5</v>
      </c>
      <c r="AS962" s="66"/>
      <c r="AT962" s="1" t="s">
        <v>1</v>
      </c>
      <c r="BE962" s="11" t="s">
        <v>265</v>
      </c>
      <c r="CC962" s="7"/>
    </row>
    <row r="963" spans="2:81">
      <c r="B963" s="6"/>
      <c r="BE963" s="11" t="s">
        <v>263</v>
      </c>
      <c r="CC963" s="7"/>
    </row>
    <row r="964" spans="2:81">
      <c r="B964" s="6"/>
      <c r="I964" s="66">
        <f>INDEX($CJ$24:$CJ$138,MATCH(O952,$CG$24:$CG$138,0),0)</f>
        <v>220</v>
      </c>
      <c r="J964" s="66"/>
      <c r="AM964" s="1" t="s">
        <v>197</v>
      </c>
      <c r="AN964" s="67">
        <v>8</v>
      </c>
      <c r="AO964" s="67"/>
      <c r="AP964" s="9" t="s">
        <v>1</v>
      </c>
      <c r="BE964" s="11" t="s">
        <v>264</v>
      </c>
      <c r="CC964" s="7"/>
    </row>
    <row r="965" spans="2:81">
      <c r="B965" s="6"/>
      <c r="CC965" s="7"/>
    </row>
    <row r="966" spans="2:81">
      <c r="B966" s="6"/>
      <c r="D966" s="10" t="s">
        <v>36</v>
      </c>
      <c r="F966" s="66">
        <f>INDEX($CM$24:$CM$138,MATCH(O952,$CG$24:$CG$138,0),0)</f>
        <v>92080</v>
      </c>
      <c r="G966" s="66"/>
      <c r="H966" s="66"/>
      <c r="I966" s="66"/>
      <c r="J966" s="1" t="s">
        <v>37</v>
      </c>
      <c r="M966" s="1" t="s">
        <v>175</v>
      </c>
      <c r="CC966" s="7"/>
    </row>
    <row r="967" spans="2:81">
      <c r="B967" s="6"/>
      <c r="D967" s="1" t="s">
        <v>38</v>
      </c>
      <c r="F967" s="67">
        <v>200000</v>
      </c>
      <c r="G967" s="67"/>
      <c r="H967" s="67"/>
      <c r="I967" s="67"/>
      <c r="J967" s="1" t="s">
        <v>39</v>
      </c>
      <c r="M967" s="1" t="s">
        <v>302</v>
      </c>
      <c r="AE967" s="9"/>
      <c r="AH967" s="9"/>
      <c r="CC967" s="7"/>
    </row>
    <row r="968" spans="2:81">
      <c r="B968" s="6"/>
      <c r="CC968" s="7"/>
    </row>
    <row r="969" spans="2:81">
      <c r="B969" s="6"/>
      <c r="C969" s="23" t="s">
        <v>422</v>
      </c>
      <c r="AA969" s="1" t="s">
        <v>423</v>
      </c>
      <c r="AX969" s="1" t="s">
        <v>424</v>
      </c>
      <c r="CC969" s="7"/>
    </row>
    <row r="970" spans="2:81">
      <c r="B970" s="6"/>
      <c r="C970" s="1" t="s">
        <v>4</v>
      </c>
      <c r="D970" s="9" t="s">
        <v>5</v>
      </c>
      <c r="E970" s="66">
        <f>+AN964</f>
        <v>8</v>
      </c>
      <c r="F970" s="66"/>
      <c r="G970" s="9" t="s">
        <v>6</v>
      </c>
      <c r="H970" s="66">
        <f>+AJ952</f>
        <v>150</v>
      </c>
      <c r="I970" s="66"/>
      <c r="J970" s="9" t="s">
        <v>5</v>
      </c>
      <c r="K970" s="66">
        <f>+AR962</f>
        <v>4.5</v>
      </c>
      <c r="L970" s="66"/>
      <c r="M970" s="9" t="s">
        <v>6</v>
      </c>
      <c r="N970" s="66">
        <f>+AR954</f>
        <v>55</v>
      </c>
      <c r="O970" s="66"/>
      <c r="P970" s="9" t="s">
        <v>5</v>
      </c>
      <c r="Q970" s="66">
        <f>+AR962</f>
        <v>4.5</v>
      </c>
      <c r="R970" s="66"/>
      <c r="S970" s="9" t="s">
        <v>5</v>
      </c>
      <c r="T970" s="66">
        <f>+Q970/2</f>
        <v>2.25</v>
      </c>
      <c r="U970" s="66"/>
      <c r="V970" s="9" t="s">
        <v>7</v>
      </c>
      <c r="W970" s="9">
        <v>0</v>
      </c>
      <c r="CC970" s="7"/>
    </row>
    <row r="971" spans="2:81">
      <c r="B971" s="6"/>
      <c r="C971" s="1" t="s">
        <v>8</v>
      </c>
      <c r="E971" s="66">
        <f>(H970*K970+N970*Q970*T970)/E970</f>
        <v>153.984375</v>
      </c>
      <c r="F971" s="66"/>
      <c r="G971" s="66"/>
      <c r="H971" s="1" t="s">
        <v>0</v>
      </c>
      <c r="CC971" s="7"/>
    </row>
    <row r="972" spans="2:81">
      <c r="B972" s="6"/>
      <c r="C972" s="1" t="s">
        <v>4</v>
      </c>
      <c r="D972" s="9" t="s">
        <v>5</v>
      </c>
      <c r="E972" s="1" t="s">
        <v>10</v>
      </c>
      <c r="F972" s="9" t="s">
        <v>6</v>
      </c>
      <c r="G972" s="66">
        <f>+AJ952</f>
        <v>150</v>
      </c>
      <c r="H972" s="66"/>
      <c r="I972" s="9" t="s">
        <v>6</v>
      </c>
      <c r="J972" s="66">
        <f>+AR954</f>
        <v>55</v>
      </c>
      <c r="K972" s="66"/>
      <c r="L972" s="9" t="s">
        <v>5</v>
      </c>
      <c r="M972" s="66">
        <f>+AR962</f>
        <v>4.5</v>
      </c>
      <c r="N972" s="66"/>
      <c r="O972" s="9" t="s">
        <v>7</v>
      </c>
      <c r="P972" s="9">
        <v>0</v>
      </c>
      <c r="CC972" s="7"/>
    </row>
    <row r="973" spans="2:81">
      <c r="B973" s="6"/>
      <c r="C973" s="1" t="s">
        <v>11</v>
      </c>
      <c r="E973" s="66">
        <f>+G972+J972*M972-E971</f>
        <v>243.515625</v>
      </c>
      <c r="F973" s="66"/>
      <c r="G973" s="66"/>
      <c r="H973" s="1" t="s">
        <v>0</v>
      </c>
      <c r="CC973" s="7"/>
    </row>
    <row r="974" spans="2:81">
      <c r="B974" s="6"/>
      <c r="C974" s="23" t="s">
        <v>222</v>
      </c>
      <c r="D974" s="9"/>
      <c r="E974" s="9"/>
      <c r="F974" s="9"/>
      <c r="G974" s="9"/>
      <c r="CC974" s="7"/>
    </row>
    <row r="975" spans="2:81">
      <c r="B975" s="6"/>
      <c r="C975" s="1" t="s">
        <v>27</v>
      </c>
      <c r="D975" s="67">
        <v>3</v>
      </c>
      <c r="E975" s="67"/>
      <c r="F975" s="67"/>
      <c r="G975" s="1" t="s">
        <v>213</v>
      </c>
      <c r="H975" s="9"/>
      <c r="I975" s="9"/>
      <c r="J975" s="9"/>
      <c r="M975" s="9"/>
      <c r="N975" s="21"/>
      <c r="P975" s="9"/>
      <c r="Q975" s="9"/>
      <c r="U975" s="8" t="str">
        <f>IF(D975&lt;=AN964,"","azalt.")</f>
        <v/>
      </c>
      <c r="CC975" s="7"/>
    </row>
    <row r="976" spans="2:81">
      <c r="B976" s="6"/>
      <c r="C976" s="1" t="s">
        <v>12</v>
      </c>
      <c r="D976" s="9"/>
      <c r="E976" s="66">
        <f>+AB961</f>
        <v>153.984375</v>
      </c>
      <c r="F976" s="66"/>
      <c r="G976" s="66"/>
      <c r="H976" s="9" t="s">
        <v>5</v>
      </c>
      <c r="I976" s="66">
        <f>+D975</f>
        <v>3</v>
      </c>
      <c r="J976" s="66"/>
      <c r="K976" s="9" t="s">
        <v>6</v>
      </c>
      <c r="L976" s="66">
        <f>IF((O976-R976)&lt;0,0,AJ952)</f>
        <v>0</v>
      </c>
      <c r="M976" s="66"/>
      <c r="N976" s="1" t="s">
        <v>14</v>
      </c>
      <c r="O976" s="66">
        <f>+D975</f>
        <v>3</v>
      </c>
      <c r="P976" s="66"/>
      <c r="Q976" s="9" t="s">
        <v>6</v>
      </c>
      <c r="R976" s="66">
        <f>+AF962</f>
        <v>3.5</v>
      </c>
      <c r="S976" s="66"/>
      <c r="T976" s="1" t="s">
        <v>16</v>
      </c>
      <c r="U976" s="66">
        <f>IF((X976-AA976)&lt;0,0,AR954)</f>
        <v>0</v>
      </c>
      <c r="V976" s="66"/>
      <c r="W976" s="1" t="s">
        <v>14</v>
      </c>
      <c r="X976" s="66">
        <f>+O976</f>
        <v>3</v>
      </c>
      <c r="Y976" s="66"/>
      <c r="Z976" s="9" t="s">
        <v>6</v>
      </c>
      <c r="AA976" s="66">
        <f>+AF962</f>
        <v>3.5</v>
      </c>
      <c r="AB976" s="66"/>
      <c r="AC976" s="1" t="s">
        <v>200</v>
      </c>
      <c r="AD976" s="1" t="s">
        <v>173</v>
      </c>
      <c r="AE976" s="1">
        <v>2</v>
      </c>
      <c r="AF976" s="9" t="s">
        <v>7</v>
      </c>
      <c r="AG976" s="66">
        <f>E976*I976-L976*(O976-R976)-U976*(X976-AA976)^2/AE976</f>
        <v>461.953125</v>
      </c>
      <c r="AH976" s="66"/>
      <c r="AI976" s="66"/>
      <c r="AJ976" s="1" t="s">
        <v>191</v>
      </c>
      <c r="AO976" s="9"/>
      <c r="AP976" s="9"/>
      <c r="AQ976" s="9"/>
      <c r="AR976" s="9"/>
      <c r="AS976" s="9"/>
      <c r="AT976" s="9"/>
      <c r="AU976" s="9"/>
      <c r="AV976" s="9"/>
      <c r="CC976" s="7"/>
    </row>
    <row r="977" spans="2:81">
      <c r="B977" s="6"/>
      <c r="C977" s="1" t="s">
        <v>220</v>
      </c>
      <c r="D977" s="9"/>
      <c r="E977" s="66">
        <f>+E976</f>
        <v>153.984375</v>
      </c>
      <c r="F977" s="66"/>
      <c r="G977" s="66"/>
      <c r="H977" s="9" t="s">
        <v>6</v>
      </c>
      <c r="I977" s="66">
        <f>+L976</f>
        <v>0</v>
      </c>
      <c r="J977" s="66"/>
      <c r="K977" s="9" t="s">
        <v>6</v>
      </c>
      <c r="L977" s="66">
        <f>+U976</f>
        <v>0</v>
      </c>
      <c r="M977" s="66"/>
      <c r="N977" s="9" t="s">
        <v>14</v>
      </c>
      <c r="O977" s="66">
        <f>+D975</f>
        <v>3</v>
      </c>
      <c r="P977" s="66"/>
      <c r="Q977" s="9" t="s">
        <v>6</v>
      </c>
      <c r="R977" s="66">
        <f>+AF962</f>
        <v>3.5</v>
      </c>
      <c r="S977" s="66"/>
      <c r="T977" s="9" t="s">
        <v>201</v>
      </c>
      <c r="U977" s="66">
        <f>+E977-I977-L977*(O977-R977)</f>
        <v>153.984375</v>
      </c>
      <c r="V977" s="66"/>
      <c r="W977" s="66"/>
      <c r="X977" s="1" t="s">
        <v>191</v>
      </c>
      <c r="CC977" s="7"/>
    </row>
    <row r="978" spans="2:81">
      <c r="B978" s="6"/>
      <c r="C978" s="23" t="s">
        <v>253</v>
      </c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CC978" s="7"/>
    </row>
    <row r="979" spans="2:81">
      <c r="B979" s="6"/>
      <c r="C979" s="1" t="s">
        <v>27</v>
      </c>
      <c r="D979" s="66">
        <f>+BB979</f>
        <v>3.5724431818181817</v>
      </c>
      <c r="E979" s="66"/>
      <c r="F979" s="66"/>
      <c r="G979" s="1" t="s">
        <v>257</v>
      </c>
      <c r="H979" s="9"/>
      <c r="I979" s="9"/>
      <c r="J979" s="9"/>
      <c r="M979" s="9"/>
      <c r="P979" s="42"/>
      <c r="Q979" s="2"/>
      <c r="R979" s="2"/>
      <c r="S979" s="2"/>
      <c r="T979" s="2"/>
      <c r="U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76">
        <f>+AF962</f>
        <v>3.5</v>
      </c>
      <c r="AW979" s="76"/>
      <c r="AX979" s="76">
        <f>+AB961*AF962</f>
        <v>538.9453125</v>
      </c>
      <c r="AY979" s="76"/>
      <c r="AZ979" s="76">
        <f>MAX(AX979:AX980)</f>
        <v>539.08963290127849</v>
      </c>
      <c r="BA979" s="76"/>
      <c r="BB979" s="76" cm="1">
        <f t="array" ref="BB979">INDEX(AV979:AV980,MATCH(AZ979,AX979:AX980,0),0)</f>
        <v>3.5724431818181817</v>
      </c>
      <c r="BC979" s="76"/>
      <c r="BE979" s="2"/>
      <c r="CC979" s="7"/>
    </row>
    <row r="980" spans="2:81">
      <c r="B980" s="6"/>
      <c r="C980" s="1" t="s">
        <v>260</v>
      </c>
      <c r="D980" s="9"/>
      <c r="E980" s="9"/>
      <c r="F980" s="66">
        <f>+AB961</f>
        <v>153.984375</v>
      </c>
      <c r="G980" s="66"/>
      <c r="H980" s="66"/>
      <c r="I980" s="9" t="s">
        <v>5</v>
      </c>
      <c r="J980" s="66">
        <f>+D979</f>
        <v>3.5724431818181817</v>
      </c>
      <c r="K980" s="66"/>
      <c r="L980" s="9" t="s">
        <v>6</v>
      </c>
      <c r="M980" s="66">
        <f>IF((P980-S980)&lt;0,0,AJ952)</f>
        <v>150</v>
      </c>
      <c r="N980" s="66"/>
      <c r="O980" s="1" t="s">
        <v>14</v>
      </c>
      <c r="P980" s="66">
        <f>+D979</f>
        <v>3.5724431818181817</v>
      </c>
      <c r="Q980" s="66"/>
      <c r="R980" s="9" t="s">
        <v>6</v>
      </c>
      <c r="S980" s="66">
        <f>+AF962</f>
        <v>3.5</v>
      </c>
      <c r="T980" s="66"/>
      <c r="U980" s="1" t="s">
        <v>16</v>
      </c>
      <c r="V980" s="66">
        <f>IF((Y980-AB980)&lt;0,0,AR954)</f>
        <v>55</v>
      </c>
      <c r="W980" s="66"/>
      <c r="X980" s="1" t="s">
        <v>14</v>
      </c>
      <c r="Y980" s="66">
        <f>+P980</f>
        <v>3.5724431818181817</v>
      </c>
      <c r="Z980" s="66"/>
      <c r="AA980" s="9" t="s">
        <v>6</v>
      </c>
      <c r="AB980" s="66">
        <f>+AF962</f>
        <v>3.5</v>
      </c>
      <c r="AC980" s="66"/>
      <c r="AD980" s="1" t="s">
        <v>200</v>
      </c>
      <c r="AE980" s="1" t="s">
        <v>173</v>
      </c>
      <c r="AF980" s="1">
        <v>2</v>
      </c>
      <c r="AG980" s="9" t="s">
        <v>7</v>
      </c>
      <c r="AH980" s="66">
        <f>F980*J980-M980*(P980-S980)-V980*(Y980-AB980)^2/AF980</f>
        <v>539.08963290127849</v>
      </c>
      <c r="AI980" s="66"/>
      <c r="AJ980" s="66"/>
      <c r="AK980" s="1" t="s">
        <v>191</v>
      </c>
      <c r="AR980" s="9"/>
      <c r="AV980" s="76">
        <f>(AB961-AJ952+AR954*AF962)/AR954</f>
        <v>3.5724431818181817</v>
      </c>
      <c r="AW980" s="76"/>
      <c r="AX980" s="76">
        <f>E990*AV980-IF((AV980-P990)&lt;0,0,K990)*(AV980-P990)-IF((AV980-X990)&lt;0,0,S990)*(AV980-X990)^2/AB990</f>
        <v>539.08963290127849</v>
      </c>
      <c r="AY980" s="76"/>
      <c r="AZ980" s="40"/>
      <c r="BA980" s="40"/>
      <c r="BB980" s="40"/>
      <c r="BC980" s="40"/>
      <c r="CC980" s="7"/>
    </row>
    <row r="981" spans="2:81">
      <c r="B981" s="6"/>
      <c r="C981" s="1" t="s">
        <v>247</v>
      </c>
      <c r="E981" s="66">
        <f>+AN964/2</f>
        <v>4</v>
      </c>
      <c r="F981" s="66"/>
      <c r="G981" s="66"/>
      <c r="H981" s="1" t="s">
        <v>252</v>
      </c>
      <c r="I981" s="9"/>
      <c r="J981" s="9"/>
      <c r="M981" s="9"/>
      <c r="N981" s="21"/>
      <c r="P981" s="9"/>
      <c r="Q981" s="9"/>
      <c r="S981" s="9"/>
      <c r="T981" s="8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CC981" s="7"/>
    </row>
    <row r="982" spans="2:81">
      <c r="B982" s="6"/>
      <c r="C982" s="1" t="s">
        <v>261</v>
      </c>
      <c r="D982" s="9"/>
      <c r="E982" s="66">
        <f>+F980</f>
        <v>153.984375</v>
      </c>
      <c r="F982" s="66"/>
      <c r="G982" s="66"/>
      <c r="H982" s="9" t="s">
        <v>5</v>
      </c>
      <c r="I982" s="66">
        <f>+E981</f>
        <v>4</v>
      </c>
      <c r="J982" s="66"/>
      <c r="K982" s="9" t="s">
        <v>6</v>
      </c>
      <c r="L982" s="66">
        <f>IF((O982-R982)&lt;0,0,AJ952)</f>
        <v>150</v>
      </c>
      <c r="M982" s="66"/>
      <c r="N982" s="1" t="s">
        <v>14</v>
      </c>
      <c r="O982" s="66">
        <f>+E981</f>
        <v>4</v>
      </c>
      <c r="P982" s="66"/>
      <c r="Q982" s="9" t="s">
        <v>6</v>
      </c>
      <c r="R982" s="66">
        <f>+S980</f>
        <v>3.5</v>
      </c>
      <c r="S982" s="66"/>
      <c r="T982" s="1" t="s">
        <v>16</v>
      </c>
      <c r="U982" s="66">
        <f>IF((X982-AA982)&lt;0,0,AR954)</f>
        <v>55</v>
      </c>
      <c r="V982" s="66"/>
      <c r="W982" s="1" t="s">
        <v>14</v>
      </c>
      <c r="X982" s="66">
        <f>+O982</f>
        <v>4</v>
      </c>
      <c r="Y982" s="66"/>
      <c r="Z982" s="9" t="s">
        <v>6</v>
      </c>
      <c r="AA982" s="66">
        <f>+AB980</f>
        <v>3.5</v>
      </c>
      <c r="AB982" s="66"/>
      <c r="AC982" s="1" t="s">
        <v>200</v>
      </c>
      <c r="AD982" s="1" t="s">
        <v>173</v>
      </c>
      <c r="AE982" s="1">
        <v>2</v>
      </c>
      <c r="AF982" s="9" t="s">
        <v>7</v>
      </c>
      <c r="AG982" s="66">
        <f>E982*I982-L982*(O982-R982)-U982*(X982-AA982)^2/AE982</f>
        <v>534.0625</v>
      </c>
      <c r="AH982" s="66"/>
      <c r="AI982" s="66"/>
      <c r="AJ982" s="1" t="s">
        <v>191</v>
      </c>
      <c r="AQ982" s="9"/>
      <c r="CC982" s="7"/>
    </row>
    <row r="983" spans="2:81">
      <c r="B983" s="6"/>
      <c r="C983" s="1" t="s">
        <v>248</v>
      </c>
      <c r="E983" s="66">
        <f>+AN964/4</f>
        <v>2</v>
      </c>
      <c r="F983" s="66"/>
      <c r="G983" s="66"/>
      <c r="H983" s="1" t="s">
        <v>252</v>
      </c>
      <c r="I983" s="9"/>
      <c r="J983" s="9"/>
      <c r="M983" s="9"/>
      <c r="N983" s="21"/>
      <c r="P983" s="9"/>
      <c r="Q983" s="9"/>
      <c r="S983" s="9"/>
      <c r="T983" s="8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CC983" s="7"/>
    </row>
    <row r="984" spans="2:81">
      <c r="B984" s="6"/>
      <c r="C984" s="1" t="s">
        <v>249</v>
      </c>
      <c r="E984" s="66">
        <f>+E982</f>
        <v>153.984375</v>
      </c>
      <c r="F984" s="66"/>
      <c r="G984" s="66"/>
      <c r="H984" s="9" t="s">
        <v>5</v>
      </c>
      <c r="I984" s="66">
        <f>+E983</f>
        <v>2</v>
      </c>
      <c r="J984" s="66"/>
      <c r="K984" s="9" t="s">
        <v>6</v>
      </c>
      <c r="L984" s="66">
        <f>IF((O984-R984)&lt;0,0,AJ952)</f>
        <v>0</v>
      </c>
      <c r="M984" s="66"/>
      <c r="N984" s="1" t="s">
        <v>14</v>
      </c>
      <c r="O984" s="66">
        <f>+E983</f>
        <v>2</v>
      </c>
      <c r="P984" s="66"/>
      <c r="Q984" s="9" t="s">
        <v>6</v>
      </c>
      <c r="R984" s="66">
        <f>+R982</f>
        <v>3.5</v>
      </c>
      <c r="S984" s="66"/>
      <c r="T984" s="1" t="s">
        <v>16</v>
      </c>
      <c r="U984" s="66">
        <f>IF((X984-AA984)&lt;0,0,AR954)</f>
        <v>0</v>
      </c>
      <c r="V984" s="66"/>
      <c r="W984" s="1" t="s">
        <v>14</v>
      </c>
      <c r="X984" s="66">
        <f>+O984</f>
        <v>2</v>
      </c>
      <c r="Y984" s="66"/>
      <c r="Z984" s="9" t="s">
        <v>6</v>
      </c>
      <c r="AA984" s="66">
        <f>+AA982</f>
        <v>3.5</v>
      </c>
      <c r="AB984" s="66"/>
      <c r="AC984" s="1" t="s">
        <v>200</v>
      </c>
      <c r="AD984" s="1" t="s">
        <v>173</v>
      </c>
      <c r="AE984" s="1">
        <v>2</v>
      </c>
      <c r="AF984" s="9" t="s">
        <v>7</v>
      </c>
      <c r="AG984" s="66">
        <f>E984*I984-L984*(O984-R984)-U984*(X984-AA984)^2/AE984</f>
        <v>307.96875</v>
      </c>
      <c r="AH984" s="66"/>
      <c r="AI984" s="66"/>
      <c r="AJ984" s="1" t="s">
        <v>191</v>
      </c>
      <c r="AQ984" s="9"/>
      <c r="CC984" s="7"/>
    </row>
    <row r="985" spans="2:81">
      <c r="B985" s="6"/>
      <c r="C985" s="1" t="s">
        <v>250</v>
      </c>
      <c r="F985" s="66">
        <f>+AN964*3/4</f>
        <v>6</v>
      </c>
      <c r="G985" s="66"/>
      <c r="H985" s="66"/>
      <c r="I985" s="1" t="s">
        <v>252</v>
      </c>
      <c r="J985" s="9"/>
      <c r="M985" s="9"/>
      <c r="N985" s="21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CC985" s="7"/>
    </row>
    <row r="986" spans="2:81">
      <c r="B986" s="6"/>
      <c r="C986" s="1" t="s">
        <v>251</v>
      </c>
      <c r="E986" s="66">
        <f>+E984</f>
        <v>153.984375</v>
      </c>
      <c r="F986" s="66"/>
      <c r="G986" s="66"/>
      <c r="H986" s="9" t="s">
        <v>5</v>
      </c>
      <c r="I986" s="66">
        <f>+F985</f>
        <v>6</v>
      </c>
      <c r="J986" s="66"/>
      <c r="K986" s="9" t="s">
        <v>6</v>
      </c>
      <c r="L986" s="66">
        <f>IF((O986-R986)&lt;0,0,AJ952)</f>
        <v>150</v>
      </c>
      <c r="M986" s="66"/>
      <c r="N986" s="1" t="s">
        <v>14</v>
      </c>
      <c r="O986" s="66">
        <f>+F985</f>
        <v>6</v>
      </c>
      <c r="P986" s="66"/>
      <c r="Q986" s="9" t="s">
        <v>6</v>
      </c>
      <c r="R986" s="66">
        <f>+R984</f>
        <v>3.5</v>
      </c>
      <c r="S986" s="66"/>
      <c r="T986" s="1" t="s">
        <v>16</v>
      </c>
      <c r="U986" s="66">
        <f>IF((X986-AA986)&lt;0,0,AR954)</f>
        <v>55</v>
      </c>
      <c r="V986" s="66"/>
      <c r="W986" s="1" t="s">
        <v>14</v>
      </c>
      <c r="X986" s="66">
        <f>+O986</f>
        <v>6</v>
      </c>
      <c r="Y986" s="66"/>
      <c r="Z986" s="9" t="s">
        <v>6</v>
      </c>
      <c r="AA986" s="66">
        <f>+AA984</f>
        <v>3.5</v>
      </c>
      <c r="AB986" s="66"/>
      <c r="AC986" s="1" t="s">
        <v>200</v>
      </c>
      <c r="AD986" s="1" t="s">
        <v>173</v>
      </c>
      <c r="AE986" s="1">
        <v>2</v>
      </c>
      <c r="AF986" s="9" t="s">
        <v>7</v>
      </c>
      <c r="AG986" s="66">
        <f>E986*I986-L986*(O986-R986)-U986*(X986-AA986)^2/AE986</f>
        <v>377.03125</v>
      </c>
      <c r="AH986" s="66"/>
      <c r="AI986" s="66"/>
      <c r="AJ986" s="1" t="s">
        <v>191</v>
      </c>
      <c r="AL986" s="9"/>
      <c r="AW986" s="9"/>
      <c r="CC986" s="7"/>
    </row>
    <row r="987" spans="2:81">
      <c r="B987" s="6"/>
      <c r="C987" s="1" t="s">
        <v>300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U987" s="9"/>
      <c r="V987" s="9"/>
      <c r="W987" s="9"/>
      <c r="X987" s="9"/>
      <c r="Y987" s="9"/>
      <c r="Z987" s="9"/>
      <c r="AA987" s="9"/>
      <c r="AB987" s="9"/>
      <c r="AD987" s="9"/>
      <c r="AE987" s="9"/>
      <c r="AF987" s="9"/>
      <c r="AG987" s="9"/>
      <c r="AH987" s="9"/>
      <c r="AI987" s="9"/>
      <c r="AJ987" s="9"/>
      <c r="AK987" s="9"/>
      <c r="AM987" s="9"/>
      <c r="AN987" s="9"/>
      <c r="AO987" s="9"/>
      <c r="AP987" s="9"/>
      <c r="AQ987" s="9"/>
      <c r="AR987" s="9"/>
      <c r="CC987" s="7"/>
    </row>
    <row r="988" spans="2:81">
      <c r="B988" s="6"/>
      <c r="C988" s="1" t="s">
        <v>301</v>
      </c>
      <c r="E988" s="66">
        <v>12.5</v>
      </c>
      <c r="F988" s="66"/>
      <c r="G988" s="9" t="s">
        <v>5</v>
      </c>
      <c r="H988" s="66">
        <f>ABS(AH980)</f>
        <v>539.08963290127849</v>
      </c>
      <c r="I988" s="66"/>
      <c r="J988" s="66"/>
      <c r="K988" s="9" t="s">
        <v>275</v>
      </c>
      <c r="L988" s="66">
        <v>2.5</v>
      </c>
      <c r="M988" s="66"/>
      <c r="N988" s="9" t="s">
        <v>5</v>
      </c>
      <c r="O988" s="66">
        <f>+H988</f>
        <v>539.08963290127849</v>
      </c>
      <c r="P988" s="66"/>
      <c r="Q988" s="66"/>
      <c r="R988" s="9" t="s">
        <v>9</v>
      </c>
      <c r="S988" s="9">
        <v>3</v>
      </c>
      <c r="T988" s="9" t="s">
        <v>5</v>
      </c>
      <c r="U988" s="66">
        <f>ABS(AG984)</f>
        <v>307.96875</v>
      </c>
      <c r="V988" s="66"/>
      <c r="W988" s="66"/>
      <c r="X988" s="9" t="s">
        <v>9</v>
      </c>
      <c r="Y988" s="9">
        <v>4</v>
      </c>
      <c r="Z988" s="9" t="s">
        <v>5</v>
      </c>
      <c r="AA988" s="66">
        <f>ABS(AG982)</f>
        <v>534.0625</v>
      </c>
      <c r="AB988" s="66"/>
      <c r="AC988" s="66"/>
      <c r="AD988" s="9" t="s">
        <v>9</v>
      </c>
      <c r="AE988" s="9">
        <v>3</v>
      </c>
      <c r="AF988" s="9" t="s">
        <v>5</v>
      </c>
      <c r="AG988" s="66">
        <f>ABS(AG986)</f>
        <v>377.03125</v>
      </c>
      <c r="AH988" s="66"/>
      <c r="AI988" s="66"/>
      <c r="AJ988" s="9" t="s">
        <v>201</v>
      </c>
      <c r="AK988" s="66">
        <f>E988*H988/(L988*O988+S988*U988+Y988*AA988+AE988*AG988)</f>
        <v>1.216582766266489</v>
      </c>
      <c r="AL988" s="66"/>
      <c r="AM988" s="66"/>
      <c r="AN988" s="9"/>
      <c r="AO988" s="9"/>
      <c r="AP988" s="9"/>
      <c r="AQ988" s="9"/>
      <c r="AR988" s="9"/>
      <c r="CC988" s="7"/>
    </row>
    <row r="989" spans="2:81">
      <c r="B989" s="6"/>
      <c r="C989" s="23" t="s">
        <v>223</v>
      </c>
      <c r="CC989" s="7"/>
    </row>
    <row r="990" spans="2:81">
      <c r="B990" s="6"/>
      <c r="C990" s="1" t="s">
        <v>404</v>
      </c>
      <c r="E990" s="66">
        <f>+AB961</f>
        <v>153.984375</v>
      </c>
      <c r="F990" s="66"/>
      <c r="G990" s="66"/>
      <c r="H990" s="9" t="s">
        <v>5</v>
      </c>
      <c r="I990" s="9" t="s">
        <v>13</v>
      </c>
      <c r="J990" s="9" t="s">
        <v>6</v>
      </c>
      <c r="K990" s="66">
        <f>+AJ952</f>
        <v>150</v>
      </c>
      <c r="L990" s="66"/>
      <c r="M990" s="1" t="s">
        <v>14</v>
      </c>
      <c r="N990" s="9" t="s">
        <v>13</v>
      </c>
      <c r="O990" s="9" t="s">
        <v>6</v>
      </c>
      <c r="P990" s="66">
        <f>+AF962</f>
        <v>3.5</v>
      </c>
      <c r="Q990" s="66"/>
      <c r="R990" s="1" t="s">
        <v>16</v>
      </c>
      <c r="S990" s="66">
        <f>+AR954</f>
        <v>55</v>
      </c>
      <c r="T990" s="66"/>
      <c r="U990" s="1" t="s">
        <v>14</v>
      </c>
      <c r="V990" s="9" t="s">
        <v>13</v>
      </c>
      <c r="W990" s="9" t="s">
        <v>6</v>
      </c>
      <c r="X990" s="66">
        <f>+AF962</f>
        <v>3.5</v>
      </c>
      <c r="Y990" s="66"/>
      <c r="Z990" s="1" t="s">
        <v>200</v>
      </c>
      <c r="AA990" s="1" t="s">
        <v>173</v>
      </c>
      <c r="AB990" s="1">
        <v>2</v>
      </c>
      <c r="CC990" s="7"/>
    </row>
    <row r="991" spans="2:81">
      <c r="B991" s="6"/>
      <c r="C991" s="1" t="s">
        <v>408</v>
      </c>
      <c r="E991" s="66">
        <f>+E990</f>
        <v>153.984375</v>
      </c>
      <c r="F991" s="66"/>
      <c r="G991" s="66"/>
      <c r="H991" s="9" t="s">
        <v>5</v>
      </c>
      <c r="I991" s="1" t="s">
        <v>183</v>
      </c>
      <c r="J991" s="1" t="s">
        <v>173</v>
      </c>
      <c r="K991" s="1">
        <v>2</v>
      </c>
      <c r="L991" s="9" t="s">
        <v>6</v>
      </c>
      <c r="M991" s="66">
        <f>+K990</f>
        <v>150</v>
      </c>
      <c r="N991" s="66"/>
      <c r="O991" s="1" t="s">
        <v>14</v>
      </c>
      <c r="P991" s="9" t="s">
        <v>13</v>
      </c>
      <c r="Q991" s="9" t="s">
        <v>6</v>
      </c>
      <c r="R991" s="66">
        <f>+P990</f>
        <v>3.5</v>
      </c>
      <c r="S991" s="66"/>
      <c r="T991" s="1" t="s">
        <v>200</v>
      </c>
      <c r="U991" s="1" t="s">
        <v>173</v>
      </c>
      <c r="V991" s="1">
        <v>2</v>
      </c>
      <c r="W991" s="9" t="s">
        <v>6</v>
      </c>
      <c r="X991" s="66">
        <f>+S990</f>
        <v>55</v>
      </c>
      <c r="Y991" s="66"/>
      <c r="Z991" s="1" t="s">
        <v>14</v>
      </c>
      <c r="AA991" s="9" t="s">
        <v>13</v>
      </c>
      <c r="AB991" s="9" t="s">
        <v>6</v>
      </c>
      <c r="AC991" s="66">
        <f>+X990</f>
        <v>3.5</v>
      </c>
      <c r="AD991" s="66"/>
      <c r="AE991" s="1" t="s">
        <v>311</v>
      </c>
      <c r="AF991" s="1" t="s">
        <v>173</v>
      </c>
      <c r="AG991" s="1">
        <v>6</v>
      </c>
      <c r="AH991" s="9" t="s">
        <v>9</v>
      </c>
      <c r="AI991" s="1" t="s">
        <v>24</v>
      </c>
      <c r="CC991" s="7"/>
    </row>
    <row r="992" spans="2:81">
      <c r="B992" s="6"/>
      <c r="C992" s="1" t="s">
        <v>409</v>
      </c>
      <c r="E992" s="66">
        <f>+E991</f>
        <v>153.984375</v>
      </c>
      <c r="F992" s="66"/>
      <c r="G992" s="66"/>
      <c r="H992" s="9" t="s">
        <v>5</v>
      </c>
      <c r="I992" s="1" t="s">
        <v>184</v>
      </c>
      <c r="J992" s="1" t="s">
        <v>173</v>
      </c>
      <c r="K992" s="1">
        <v>6</v>
      </c>
      <c r="L992" s="9" t="s">
        <v>6</v>
      </c>
      <c r="M992" s="66">
        <f>+M991</f>
        <v>150</v>
      </c>
      <c r="N992" s="66"/>
      <c r="O992" s="1" t="s">
        <v>14</v>
      </c>
      <c r="P992" s="9" t="s">
        <v>13</v>
      </c>
      <c r="Q992" s="9" t="s">
        <v>6</v>
      </c>
      <c r="R992" s="66">
        <f>+R991</f>
        <v>3.5</v>
      </c>
      <c r="S992" s="66"/>
      <c r="T992" s="1" t="s">
        <v>311</v>
      </c>
      <c r="U992" s="1" t="s">
        <v>173</v>
      </c>
      <c r="V992" s="1">
        <v>6</v>
      </c>
      <c r="W992" s="9" t="s">
        <v>6</v>
      </c>
      <c r="X992" s="66">
        <f>+X991</f>
        <v>55</v>
      </c>
      <c r="Y992" s="66"/>
      <c r="Z992" s="1" t="s">
        <v>14</v>
      </c>
      <c r="AA992" s="9" t="s">
        <v>13</v>
      </c>
      <c r="AB992" s="9" t="s">
        <v>6</v>
      </c>
      <c r="AC992" s="66">
        <f>+AC991</f>
        <v>3.5</v>
      </c>
      <c r="AD992" s="66"/>
      <c r="AE992" s="1" t="s">
        <v>342</v>
      </c>
      <c r="AF992" s="1" t="s">
        <v>173</v>
      </c>
      <c r="AG992" s="66">
        <v>24</v>
      </c>
      <c r="AH992" s="66"/>
      <c r="AI992" s="9" t="s">
        <v>9</v>
      </c>
      <c r="AJ992" s="1" t="s">
        <v>24</v>
      </c>
      <c r="AK992" s="9" t="s">
        <v>5</v>
      </c>
      <c r="AL992" s="9" t="s">
        <v>13</v>
      </c>
      <c r="AM992" s="9" t="s">
        <v>9</v>
      </c>
      <c r="AN992" s="1" t="s">
        <v>307</v>
      </c>
      <c r="CC992" s="7"/>
    </row>
    <row r="993" spans="2:81">
      <c r="B993" s="6"/>
      <c r="C993" s="24" t="s">
        <v>318</v>
      </c>
      <c r="E993" s="9"/>
      <c r="F993" s="9"/>
      <c r="G993" s="9"/>
      <c r="H993" s="9"/>
      <c r="L993" s="9"/>
      <c r="M993" s="9"/>
      <c r="N993" s="9"/>
      <c r="P993" s="9"/>
      <c r="Q993" s="9"/>
      <c r="R993" s="9"/>
      <c r="S993" s="9"/>
      <c r="W993" s="9"/>
      <c r="X993" s="9"/>
      <c r="Y993" s="9"/>
      <c r="AA993" s="9"/>
      <c r="AB993" s="9"/>
      <c r="AC993" s="9"/>
      <c r="AD993" s="9"/>
      <c r="AG993" s="9"/>
      <c r="AH993" s="9"/>
      <c r="AI993" s="9"/>
      <c r="AK993" s="9"/>
      <c r="AL993" s="9"/>
      <c r="AM993" s="9"/>
      <c r="CC993" s="7"/>
    </row>
    <row r="994" spans="2:81">
      <c r="B994" s="6"/>
      <c r="C994" s="1" t="s">
        <v>410</v>
      </c>
      <c r="I994" s="1" t="s">
        <v>411</v>
      </c>
      <c r="CC994" s="7"/>
    </row>
    <row r="995" spans="2:81">
      <c r="B995" s="6"/>
      <c r="C995" s="1" t="s">
        <v>401</v>
      </c>
      <c r="I995" s="66">
        <f>+E992</f>
        <v>153.984375</v>
      </c>
      <c r="J995" s="66"/>
      <c r="K995" s="66"/>
      <c r="L995" s="9" t="s">
        <v>5</v>
      </c>
      <c r="M995" s="66">
        <f>+AN964</f>
        <v>8</v>
      </c>
      <c r="N995" s="66"/>
      <c r="O995" s="1" t="s">
        <v>321</v>
      </c>
      <c r="P995" s="1">
        <v>6</v>
      </c>
      <c r="Q995" s="9" t="s">
        <v>6</v>
      </c>
      <c r="R995" s="66">
        <f>+M992</f>
        <v>150</v>
      </c>
      <c r="S995" s="66"/>
      <c r="T995" s="1" t="s">
        <v>14</v>
      </c>
      <c r="U995" s="66">
        <f>+AN964</f>
        <v>8</v>
      </c>
      <c r="V995" s="66"/>
      <c r="W995" s="9" t="s">
        <v>6</v>
      </c>
      <c r="X995" s="66">
        <f>+R992</f>
        <v>3.5</v>
      </c>
      <c r="Y995" s="66"/>
      <c r="Z995" s="1" t="s">
        <v>311</v>
      </c>
      <c r="AA995" s="1" t="s">
        <v>173</v>
      </c>
      <c r="AB995" s="1">
        <v>6</v>
      </c>
      <c r="AC995" s="9" t="s">
        <v>6</v>
      </c>
      <c r="AD995" s="66">
        <f>+X992</f>
        <v>55</v>
      </c>
      <c r="AE995" s="66"/>
      <c r="AF995" s="1" t="s">
        <v>14</v>
      </c>
      <c r="AG995" s="66">
        <f>+U995</f>
        <v>8</v>
      </c>
      <c r="AH995" s="66"/>
      <c r="AI995" s="9" t="s">
        <v>6</v>
      </c>
      <c r="AJ995" s="66">
        <f>+AC992</f>
        <v>3.5</v>
      </c>
      <c r="AK995" s="66"/>
      <c r="AL995" s="1" t="s">
        <v>342</v>
      </c>
      <c r="AM995" s="1" t="s">
        <v>173</v>
      </c>
      <c r="AN995" s="66">
        <v>24</v>
      </c>
      <c r="AO995" s="66"/>
      <c r="AP995" s="9" t="s">
        <v>9</v>
      </c>
      <c r="AQ995" s="1" t="s">
        <v>24</v>
      </c>
      <c r="AR995" s="9" t="s">
        <v>5</v>
      </c>
      <c r="AS995" s="66">
        <f>+AN964</f>
        <v>8</v>
      </c>
      <c r="AT995" s="66"/>
      <c r="AU995" s="9" t="s">
        <v>7</v>
      </c>
      <c r="AV995" s="1">
        <v>0</v>
      </c>
      <c r="AY995" s="1" t="s">
        <v>32</v>
      </c>
      <c r="BA995" s="66">
        <f>-(I995*M995^3/P995-R995*(U995-X995)^3/AB995-AD995*(AG995-AJ995)^4/AN995)/AS995</f>
        <v>-1240.2685546875</v>
      </c>
      <c r="BB995" s="66"/>
      <c r="BC995" s="66"/>
      <c r="CC995" s="7"/>
    </row>
    <row r="996" spans="2:81">
      <c r="B996" s="6"/>
      <c r="C996" s="1" t="s">
        <v>195</v>
      </c>
      <c r="H996" s="66">
        <f>+E992</f>
        <v>153.984375</v>
      </c>
      <c r="I996" s="66"/>
      <c r="J996" s="66"/>
      <c r="K996" s="9" t="s">
        <v>5</v>
      </c>
      <c r="L996" s="1" t="s">
        <v>184</v>
      </c>
      <c r="M996" s="1" t="s">
        <v>173</v>
      </c>
      <c r="N996" s="1">
        <v>6</v>
      </c>
      <c r="O996" s="9" t="s">
        <v>6</v>
      </c>
      <c r="P996" s="66">
        <f>+M992</f>
        <v>150</v>
      </c>
      <c r="Q996" s="66"/>
      <c r="R996" s="1" t="s">
        <v>14</v>
      </c>
      <c r="S996" s="9" t="s">
        <v>13</v>
      </c>
      <c r="T996" s="9" t="s">
        <v>6</v>
      </c>
      <c r="U996" s="66">
        <f>+R992</f>
        <v>3.5</v>
      </c>
      <c r="V996" s="66"/>
      <c r="W996" s="1" t="s">
        <v>311</v>
      </c>
      <c r="X996" s="1" t="s">
        <v>173</v>
      </c>
      <c r="Y996" s="1">
        <v>6</v>
      </c>
      <c r="Z996" s="9" t="s">
        <v>6</v>
      </c>
      <c r="AA996" s="66">
        <f>+X992</f>
        <v>55</v>
      </c>
      <c r="AB996" s="66"/>
      <c r="AC996" s="1" t="s">
        <v>14</v>
      </c>
      <c r="AD996" s="9" t="s">
        <v>13</v>
      </c>
      <c r="AE996" s="9" t="s">
        <v>6</v>
      </c>
      <c r="AF996" s="66">
        <f>+AC992</f>
        <v>3.5</v>
      </c>
      <c r="AG996" s="66"/>
      <c r="AH996" s="1" t="s">
        <v>342</v>
      </c>
      <c r="AI996" s="1" t="s">
        <v>173</v>
      </c>
      <c r="AJ996" s="66">
        <v>24</v>
      </c>
      <c r="AK996" s="66"/>
      <c r="AL996" s="9" t="s">
        <v>9</v>
      </c>
      <c r="AM996" s="1" t="s">
        <v>24</v>
      </c>
      <c r="AN996" s="9" t="s">
        <v>5</v>
      </c>
      <c r="AO996" s="9" t="s">
        <v>13</v>
      </c>
      <c r="AP996" s="9" t="s">
        <v>9</v>
      </c>
      <c r="AQ996" s="1" t="s">
        <v>307</v>
      </c>
      <c r="CC996" s="7"/>
    </row>
    <row r="997" spans="2:81">
      <c r="B997" s="6"/>
      <c r="C997" s="1" t="s">
        <v>35</v>
      </c>
      <c r="E997" s="66">
        <f>+H996</f>
        <v>153.984375</v>
      </c>
      <c r="F997" s="66"/>
      <c r="G997" s="66"/>
      <c r="H997" s="9" t="s">
        <v>5</v>
      </c>
      <c r="I997" s="1" t="s">
        <v>184</v>
      </c>
      <c r="J997" s="1" t="s">
        <v>173</v>
      </c>
      <c r="K997" s="1">
        <v>6</v>
      </c>
      <c r="L997" s="9" t="s">
        <v>6</v>
      </c>
      <c r="M997" s="66">
        <f>+P996</f>
        <v>150</v>
      </c>
      <c r="N997" s="66"/>
      <c r="O997" s="1" t="s">
        <v>14</v>
      </c>
      <c r="P997" s="9" t="s">
        <v>13</v>
      </c>
      <c r="Q997" s="9" t="s">
        <v>6</v>
      </c>
      <c r="R997" s="66">
        <f>+U996</f>
        <v>3.5</v>
      </c>
      <c r="S997" s="66"/>
      <c r="T997" s="1" t="s">
        <v>311</v>
      </c>
      <c r="U997" s="1" t="s">
        <v>173</v>
      </c>
      <c r="V997" s="1">
        <v>6</v>
      </c>
      <c r="W997" s="9" t="s">
        <v>6</v>
      </c>
      <c r="X997" s="66">
        <f>+AA996</f>
        <v>55</v>
      </c>
      <c r="Y997" s="66"/>
      <c r="Z997" s="1" t="s">
        <v>14</v>
      </c>
      <c r="AA997" s="9" t="s">
        <v>13</v>
      </c>
      <c r="AB997" s="9" t="s">
        <v>6</v>
      </c>
      <c r="AC997" s="66">
        <f>+AF996</f>
        <v>3.5</v>
      </c>
      <c r="AD997" s="66"/>
      <c r="AE997" s="1" t="s">
        <v>342</v>
      </c>
      <c r="AF997" s="1" t="s">
        <v>173</v>
      </c>
      <c r="AG997" s="66">
        <v>24</v>
      </c>
      <c r="AH997" s="66"/>
      <c r="AI997" s="9" t="s">
        <v>9</v>
      </c>
      <c r="AJ997" s="66">
        <f>+BA995</f>
        <v>-1240.2685546875</v>
      </c>
      <c r="AK997" s="66"/>
      <c r="AL997" s="66"/>
      <c r="AM997" s="9" t="s">
        <v>5</v>
      </c>
      <c r="AN997" s="9" t="s">
        <v>13</v>
      </c>
      <c r="AO997" s="1" t="s">
        <v>322</v>
      </c>
      <c r="CC997" s="7"/>
    </row>
    <row r="998" spans="2:81">
      <c r="B998" s="6"/>
      <c r="C998" s="1" t="s">
        <v>27</v>
      </c>
      <c r="D998" s="67">
        <v>4</v>
      </c>
      <c r="E998" s="67"/>
      <c r="F998" s="67"/>
      <c r="G998" s="1" t="s">
        <v>42</v>
      </c>
      <c r="P998" s="8" t="str">
        <f>IF(D998&lt;=AN964,"","azalt.")</f>
        <v/>
      </c>
      <c r="CC998" s="7"/>
    </row>
    <row r="999" spans="2:81">
      <c r="B999" s="6"/>
      <c r="C999" s="1" t="s">
        <v>35</v>
      </c>
      <c r="E999" s="66">
        <f>+E997</f>
        <v>153.984375</v>
      </c>
      <c r="F999" s="66"/>
      <c r="G999" s="66"/>
      <c r="H999" s="9" t="s">
        <v>5</v>
      </c>
      <c r="I999" s="66">
        <f>+D998</f>
        <v>4</v>
      </c>
      <c r="J999" s="66"/>
      <c r="K999" s="1" t="s">
        <v>321</v>
      </c>
      <c r="L999" s="1">
        <v>6</v>
      </c>
      <c r="M999" s="9" t="s">
        <v>6</v>
      </c>
      <c r="N999" s="66">
        <f>IF((Q999-T999)&lt;0,0,AJ952)</f>
        <v>150</v>
      </c>
      <c r="O999" s="66"/>
      <c r="P999" s="1" t="s">
        <v>14</v>
      </c>
      <c r="Q999" s="66">
        <f>+I999</f>
        <v>4</v>
      </c>
      <c r="R999" s="66"/>
      <c r="S999" s="9" t="s">
        <v>6</v>
      </c>
      <c r="T999" s="66">
        <f>+R997</f>
        <v>3.5</v>
      </c>
      <c r="U999" s="66"/>
      <c r="V999" s="1" t="s">
        <v>311</v>
      </c>
      <c r="W999" s="1" t="s">
        <v>173</v>
      </c>
      <c r="X999" s="1">
        <v>6</v>
      </c>
      <c r="Y999" s="9" t="s">
        <v>6</v>
      </c>
      <c r="Z999" s="66">
        <f>IF((AC999-AF999)&lt;0,0,AR954)</f>
        <v>55</v>
      </c>
      <c r="AA999" s="66"/>
      <c r="AB999" s="1" t="s">
        <v>14</v>
      </c>
      <c r="AC999" s="66">
        <f>+Q999</f>
        <v>4</v>
      </c>
      <c r="AD999" s="66"/>
      <c r="AE999" s="9" t="s">
        <v>6</v>
      </c>
      <c r="AF999" s="66">
        <f>+AC997</f>
        <v>3.5</v>
      </c>
      <c r="AG999" s="66"/>
      <c r="AH999" s="1" t="s">
        <v>342</v>
      </c>
      <c r="AI999" s="1" t="s">
        <v>173</v>
      </c>
      <c r="AJ999" s="66">
        <v>24</v>
      </c>
      <c r="AK999" s="66"/>
      <c r="AL999" s="9" t="s">
        <v>9</v>
      </c>
      <c r="AM999" s="66">
        <f>+AJ997</f>
        <v>-1240.2685546875</v>
      </c>
      <c r="AN999" s="66"/>
      <c r="AO999" s="66"/>
      <c r="AP999" s="9" t="s">
        <v>5</v>
      </c>
      <c r="AQ999" s="66">
        <f>+AC999</f>
        <v>4</v>
      </c>
      <c r="AR999" s="66"/>
      <c r="AS999" s="1" t="s">
        <v>193</v>
      </c>
      <c r="AV999" s="66">
        <f>+F967</f>
        <v>200000</v>
      </c>
      <c r="AW999" s="66"/>
      <c r="AX999" s="66"/>
      <c r="AY999" s="9" t="s">
        <v>5</v>
      </c>
      <c r="AZ999" s="66">
        <f>+F966</f>
        <v>92080</v>
      </c>
      <c r="BA999" s="66"/>
      <c r="BB999" s="66"/>
      <c r="BC999" s="1" t="s">
        <v>40</v>
      </c>
      <c r="CC999" s="7"/>
    </row>
    <row r="1000" spans="2:81">
      <c r="B1000" s="6"/>
      <c r="C1000" s="1" t="s">
        <v>33</v>
      </c>
      <c r="E1000" s="66">
        <f>(E999*I999^3/L999-N999*(Q999-T999)^3/X999-Z999*(AC999-AF999)^4/AJ999+AM999*AQ999)*100000000/(AV999*AZ999)</f>
        <v>-18.037806515620478</v>
      </c>
      <c r="F1000" s="66"/>
      <c r="G1000" s="66"/>
      <c r="H1000" s="1" t="s">
        <v>41</v>
      </c>
      <c r="CC1000" s="7"/>
    </row>
    <row r="1001" spans="2:81">
      <c r="B1001" s="6"/>
      <c r="C1001" s="1" t="s">
        <v>172</v>
      </c>
      <c r="H1001" s="66">
        <f>AN964*1000</f>
        <v>8000</v>
      </c>
      <c r="I1001" s="66"/>
      <c r="J1001" s="66"/>
      <c r="K1001" s="1" t="s">
        <v>173</v>
      </c>
      <c r="L1001" s="66">
        <v>300</v>
      </c>
      <c r="M1001" s="66"/>
      <c r="N1001" s="9" t="s">
        <v>7</v>
      </c>
      <c r="O1001" s="66">
        <f>+H1001/L1001</f>
        <v>26.666666666666668</v>
      </c>
      <c r="P1001" s="66"/>
      <c r="Q1001" s="66"/>
      <c r="R1001" s="1" t="s">
        <v>41</v>
      </c>
      <c r="U1001" s="1" t="s">
        <v>192</v>
      </c>
      <c r="CC1001" s="7"/>
    </row>
    <row r="1002" spans="2:81">
      <c r="B1002" s="6"/>
      <c r="C1002" s="1" t="s">
        <v>34</v>
      </c>
      <c r="D1002" s="66">
        <f>+E1000</f>
        <v>-18.037806515620478</v>
      </c>
      <c r="E1002" s="66"/>
      <c r="F1002" s="66"/>
      <c r="G1002" s="1" t="s">
        <v>41</v>
      </c>
      <c r="I1002" s="1" t="str">
        <f>IF(ABS(D1002)&lt;ABS(M1002),"&lt;","&gt;")</f>
        <v>&lt;</v>
      </c>
      <c r="J1002" s="1" t="s">
        <v>174</v>
      </c>
      <c r="M1002" s="66">
        <f>+O1001</f>
        <v>26.666666666666668</v>
      </c>
      <c r="N1002" s="66"/>
      <c r="O1002" s="66"/>
      <c r="P1002" s="1" t="s">
        <v>41</v>
      </c>
      <c r="R1002" s="8" t="str">
        <f>IF(ABS(D1002)&lt;ABS(M1002),"uygun.","uygun değil.")</f>
        <v>uygun.</v>
      </c>
      <c r="CC1002" s="7"/>
    </row>
    <row r="1003" spans="2:81" ht="12" thickBot="1">
      <c r="B1003" s="12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  <c r="AZ1003" s="13"/>
      <c r="BA1003" s="13"/>
      <c r="BB1003" s="13"/>
      <c r="BC1003" s="13"/>
      <c r="BD1003" s="13"/>
      <c r="BE1003" s="13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/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4"/>
    </row>
    <row r="1004" spans="2:81" ht="12" thickBot="1"/>
    <row r="1005" spans="2:81" ht="48" customHeight="1">
      <c r="B1005" s="73" t="s">
        <v>426</v>
      </c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74"/>
      <c r="AJ1005" s="74"/>
      <c r="AK1005" s="74"/>
      <c r="AL1005" s="74"/>
      <c r="AM1005" s="74"/>
      <c r="AN1005" s="74"/>
      <c r="AO1005" s="74"/>
      <c r="AP1005" s="74"/>
      <c r="AQ1005" s="74"/>
      <c r="AR1005" s="74"/>
      <c r="AS1005" s="74"/>
      <c r="AT1005" s="74"/>
      <c r="AU1005" s="74"/>
      <c r="AV1005" s="74"/>
      <c r="AW1005" s="74"/>
      <c r="AX1005" s="74"/>
      <c r="AY1005" s="74"/>
      <c r="AZ1005" s="74"/>
      <c r="BA1005" s="74"/>
      <c r="BB1005" s="74"/>
      <c r="BC1005" s="74"/>
      <c r="BD1005" s="74"/>
      <c r="BE1005" s="74"/>
      <c r="BF1005" s="74"/>
      <c r="BG1005" s="74"/>
      <c r="BH1005" s="74"/>
      <c r="BI1005" s="74"/>
      <c r="BJ1005" s="74"/>
      <c r="BK1005" s="74"/>
      <c r="BL1005" s="74"/>
      <c r="BM1005" s="74"/>
      <c r="BN1005" s="74"/>
      <c r="BO1005" s="74"/>
      <c r="BP1005" s="74"/>
      <c r="BQ1005" s="74"/>
      <c r="BR1005" s="74"/>
      <c r="BS1005" s="74"/>
      <c r="BT1005" s="74"/>
      <c r="BU1005" s="74"/>
      <c r="BV1005" s="74"/>
      <c r="BW1005" s="74"/>
      <c r="BX1005" s="74"/>
      <c r="BY1005" s="74"/>
      <c r="BZ1005" s="74"/>
      <c r="CA1005" s="74"/>
      <c r="CB1005" s="74"/>
      <c r="CC1005" s="75"/>
    </row>
    <row r="1006" spans="2:81">
      <c r="B1006" s="6"/>
      <c r="S1006" s="8" t="s">
        <v>176</v>
      </c>
      <c r="CC1006" s="7"/>
    </row>
    <row r="1007" spans="2:81">
      <c r="B1007" s="6"/>
      <c r="AP1007" s="1" t="s">
        <v>290</v>
      </c>
      <c r="CC1007" s="7"/>
    </row>
    <row r="1008" spans="2:81">
      <c r="B1008" s="6"/>
      <c r="O1008" s="67" t="s">
        <v>171</v>
      </c>
      <c r="P1008" s="67"/>
      <c r="Q1008" s="67"/>
      <c r="R1008" s="67"/>
      <c r="S1008" s="67"/>
      <c r="T1008" s="67"/>
      <c r="AJ1008" s="67">
        <v>150</v>
      </c>
      <c r="AK1008" s="67"/>
      <c r="AL1008" s="1" t="s">
        <v>0</v>
      </c>
      <c r="CC1008" s="7"/>
    </row>
    <row r="1009" spans="2:81">
      <c r="B1009" s="6"/>
      <c r="CC1009" s="7"/>
    </row>
    <row r="1010" spans="2:81">
      <c r="B1010" s="6"/>
      <c r="AR1010" s="67">
        <v>55</v>
      </c>
      <c r="AS1010" s="67"/>
      <c r="AT1010" s="1" t="s">
        <v>187</v>
      </c>
      <c r="BI1010" s="23" t="s">
        <v>341</v>
      </c>
      <c r="CC1010" s="7"/>
    </row>
    <row r="1011" spans="2:81">
      <c r="B1011" s="6"/>
      <c r="BI1011" s="1" t="s">
        <v>301</v>
      </c>
      <c r="BK1011" s="66">
        <f>+AK1040</f>
        <v>1.7759316159320446</v>
      </c>
      <c r="BL1011" s="66"/>
      <c r="BM1011" s="66"/>
      <c r="CC1011" s="7"/>
    </row>
    <row r="1012" spans="2:81">
      <c r="B1012" s="6"/>
      <c r="C1012" s="71">
        <f>INDEX($CI$24:$CI$138,MATCH(O1008,$CG$24:$CG$138,0),0)</f>
        <v>600</v>
      </c>
      <c r="U1012" s="1" t="s">
        <v>405</v>
      </c>
      <c r="W1012" s="66">
        <f>+E1053</f>
        <v>-465.10070800781239</v>
      </c>
      <c r="X1012" s="66"/>
      <c r="Y1012" s="1" t="s">
        <v>191</v>
      </c>
      <c r="BI1012" s="1" t="s">
        <v>297</v>
      </c>
      <c r="BK1012" s="66">
        <f>ABS(AL1032)</f>
        <v>465.10070800781239</v>
      </c>
      <c r="BL1012" s="66"/>
      <c r="BM1012" s="66"/>
      <c r="BN1012" s="1" t="s">
        <v>191</v>
      </c>
      <c r="BP1012" s="1" t="s">
        <v>329</v>
      </c>
      <c r="CC1012" s="7"/>
    </row>
    <row r="1013" spans="2:81">
      <c r="B1013" s="6"/>
      <c r="C1013" s="71"/>
      <c r="BI1013" s="1" t="s">
        <v>330</v>
      </c>
      <c r="BL1013" s="66">
        <f>MAX(ABS(BL1014),ABS(BM1014),ABS(BN1014))</f>
        <v>212.12196350097653</v>
      </c>
      <c r="BM1013" s="66"/>
      <c r="BN1013" s="66"/>
      <c r="BO1013" s="1" t="s">
        <v>0</v>
      </c>
      <c r="BQ1013" s="1" t="s">
        <v>331</v>
      </c>
      <c r="CC1013" s="7"/>
    </row>
    <row r="1014" spans="2:81">
      <c r="B1014" s="6"/>
      <c r="C1014" s="71"/>
      <c r="J1014" s="66">
        <f>INDEX($CK$24:$CK$138,MATCH(O1008,$CG$24:$CG$138,0),0)</f>
        <v>12</v>
      </c>
      <c r="K1014" s="66"/>
      <c r="BH1014" s="2"/>
      <c r="BI1014" s="2"/>
      <c r="BJ1014" s="2"/>
      <c r="BK1014" s="2"/>
      <c r="BL1014" s="40">
        <f>AB1017</f>
        <v>212.12196350097653</v>
      </c>
      <c r="BM1014" s="40">
        <f>+BL1014-AJ1008</f>
        <v>62.121963500976534</v>
      </c>
      <c r="BN1014" s="40">
        <f>+BM1014-AR1010*AR1018</f>
        <v>-185.37803649902347</v>
      </c>
      <c r="BO1014" s="2"/>
      <c r="BP1014" s="2"/>
      <c r="BQ1014" s="72"/>
      <c r="BR1014" s="72"/>
      <c r="BS1014" s="72"/>
      <c r="BT1014" s="2"/>
      <c r="BU1014" s="2"/>
      <c r="CC1014" s="7"/>
    </row>
    <row r="1015" spans="2:81">
      <c r="B1015" s="6"/>
      <c r="AF1015" s="1" t="s">
        <v>13</v>
      </c>
      <c r="CC1015" s="7"/>
    </row>
    <row r="1016" spans="2:81">
      <c r="B1016" s="6"/>
      <c r="CC1016" s="7"/>
    </row>
    <row r="1017" spans="2:81">
      <c r="B1017" s="6"/>
      <c r="K1017" s="66">
        <f>INDEX($CL$24:$CL$138,MATCH(O1008,$CG$24:$CG$138,0),0)</f>
        <v>19</v>
      </c>
      <c r="L1017" s="66"/>
      <c r="AA1017" s="1" t="s">
        <v>2</v>
      </c>
      <c r="AB1017" s="66">
        <f>+E1054</f>
        <v>212.12196350097653</v>
      </c>
      <c r="AC1017" s="66"/>
      <c r="AD1017" s="1" t="s">
        <v>0</v>
      </c>
      <c r="AX1017" s="1" t="s">
        <v>3</v>
      </c>
      <c r="AY1017" s="66">
        <f>+E1057</f>
        <v>185.37803649902347</v>
      </c>
      <c r="AZ1017" s="66"/>
      <c r="BA1017" s="1" t="s">
        <v>0</v>
      </c>
      <c r="CC1017" s="7"/>
    </row>
    <row r="1018" spans="2:81">
      <c r="B1018" s="6"/>
      <c r="AF1018" s="67">
        <v>3.5</v>
      </c>
      <c r="AG1018" s="67"/>
      <c r="AH1018" s="9" t="s">
        <v>1</v>
      </c>
      <c r="AR1018" s="66">
        <f>+AN1020-AF1018</f>
        <v>4.5</v>
      </c>
      <c r="AS1018" s="66"/>
      <c r="AT1018" s="1" t="s">
        <v>1</v>
      </c>
      <c r="CC1018" s="7"/>
    </row>
    <row r="1019" spans="2:81">
      <c r="B1019" s="6"/>
      <c r="CC1019" s="7"/>
    </row>
    <row r="1020" spans="2:81">
      <c r="B1020" s="6"/>
      <c r="I1020" s="66">
        <f>INDEX($CJ$24:$CJ$138,MATCH(O1008,$CG$24:$CG$138,0),0)</f>
        <v>220</v>
      </c>
      <c r="J1020" s="66"/>
      <c r="AM1020" s="1" t="s">
        <v>197</v>
      </c>
      <c r="AN1020" s="67">
        <v>8</v>
      </c>
      <c r="AO1020" s="67"/>
      <c r="AP1020" s="9" t="s">
        <v>1</v>
      </c>
      <c r="CC1020" s="7"/>
    </row>
    <row r="1021" spans="2:81">
      <c r="B1021" s="6"/>
      <c r="CC1021" s="7"/>
    </row>
    <row r="1022" spans="2:81">
      <c r="B1022" s="6"/>
      <c r="D1022" s="10" t="s">
        <v>36</v>
      </c>
      <c r="F1022" s="66">
        <f>INDEX($CM$24:$CM$138,MATCH(O1008,$CG$24:$CG$138,0),0)</f>
        <v>92080</v>
      </c>
      <c r="G1022" s="66"/>
      <c r="H1022" s="66"/>
      <c r="I1022" s="66"/>
      <c r="J1022" s="1" t="s">
        <v>37</v>
      </c>
      <c r="M1022" s="1" t="s">
        <v>175</v>
      </c>
      <c r="AA1022" s="1" t="s">
        <v>415</v>
      </c>
      <c r="AL1022" s="23" t="s">
        <v>317</v>
      </c>
      <c r="CC1022" s="7"/>
    </row>
    <row r="1023" spans="2:81">
      <c r="B1023" s="6"/>
      <c r="D1023" s="1" t="s">
        <v>38</v>
      </c>
      <c r="F1023" s="67">
        <v>200000</v>
      </c>
      <c r="G1023" s="67"/>
      <c r="H1023" s="67"/>
      <c r="I1023" s="67"/>
      <c r="J1023" s="1" t="s">
        <v>39</v>
      </c>
      <c r="M1023" s="1" t="s">
        <v>302</v>
      </c>
      <c r="AE1023" s="9"/>
      <c r="AH1023" s="9"/>
      <c r="CC1023" s="7"/>
    </row>
    <row r="1024" spans="2:81">
      <c r="B1024" s="6"/>
      <c r="CC1024" s="7"/>
    </row>
    <row r="1025" spans="2:81">
      <c r="B1025" s="6"/>
      <c r="C1025" s="23"/>
      <c r="D1025" s="9"/>
      <c r="E1025" s="9"/>
      <c r="F1025" s="9"/>
      <c r="G1025" s="9"/>
      <c r="AA1025" s="1" t="s">
        <v>410</v>
      </c>
      <c r="AX1025" s="1" t="s">
        <v>401</v>
      </c>
      <c r="CC1025" s="7"/>
    </row>
    <row r="1026" spans="2:81">
      <c r="B1026" s="6"/>
      <c r="C1026" s="23" t="s">
        <v>222</v>
      </c>
      <c r="CC1026" s="7"/>
    </row>
    <row r="1027" spans="2:81">
      <c r="B1027" s="6"/>
      <c r="C1027" s="1" t="s">
        <v>27</v>
      </c>
      <c r="D1027" s="67">
        <v>5</v>
      </c>
      <c r="E1027" s="67"/>
      <c r="F1027" s="67"/>
      <c r="G1027" s="1" t="s">
        <v>213</v>
      </c>
      <c r="H1027" s="9"/>
      <c r="I1027" s="9"/>
      <c r="J1027" s="9"/>
      <c r="M1027" s="9"/>
      <c r="N1027" s="21"/>
      <c r="P1027" s="9"/>
      <c r="Q1027" s="9"/>
      <c r="U1027" s="8" t="str">
        <f>IF(D1027&lt;=AN1020,"","azalt.")</f>
        <v/>
      </c>
      <c r="CC1027" s="7"/>
    </row>
    <row r="1028" spans="2:81">
      <c r="B1028" s="6"/>
      <c r="C1028" s="1" t="s">
        <v>12</v>
      </c>
      <c r="D1028" s="9"/>
      <c r="E1028" s="66">
        <f>+W1012</f>
        <v>-465.10070800781239</v>
      </c>
      <c r="F1028" s="66"/>
      <c r="G1028" s="66"/>
      <c r="H1028" s="9" t="s">
        <v>9</v>
      </c>
      <c r="I1028" s="66">
        <f>+AB1017</f>
        <v>212.12196350097653</v>
      </c>
      <c r="J1028" s="66"/>
      <c r="K1028" s="66"/>
      <c r="L1028" s="9" t="s">
        <v>5</v>
      </c>
      <c r="M1028" s="66">
        <f>+D1027</f>
        <v>5</v>
      </c>
      <c r="N1028" s="66"/>
      <c r="O1028" s="9" t="s">
        <v>6</v>
      </c>
      <c r="P1028" s="66">
        <f>IF((S1028-V1028)&lt;0,0,AJ1008)</f>
        <v>150</v>
      </c>
      <c r="Q1028" s="66"/>
      <c r="R1028" s="1" t="s">
        <v>14</v>
      </c>
      <c r="S1028" s="66">
        <f>+D1027</f>
        <v>5</v>
      </c>
      <c r="T1028" s="66"/>
      <c r="U1028" s="9" t="s">
        <v>6</v>
      </c>
      <c r="V1028" s="66">
        <f>+AF1018</f>
        <v>3.5</v>
      </c>
      <c r="W1028" s="66"/>
      <c r="X1028" s="1" t="s">
        <v>16</v>
      </c>
      <c r="Y1028" s="66">
        <f>IF((AB1028-AE1028)&lt;0,0,AR1010)</f>
        <v>55</v>
      </c>
      <c r="Z1028" s="66"/>
      <c r="AA1028" s="1" t="s">
        <v>14</v>
      </c>
      <c r="AB1028" s="66">
        <f>+S1028</f>
        <v>5</v>
      </c>
      <c r="AC1028" s="66"/>
      <c r="AD1028" s="9" t="s">
        <v>6</v>
      </c>
      <c r="AE1028" s="66">
        <f>+AF1018</f>
        <v>3.5</v>
      </c>
      <c r="AF1028" s="66"/>
      <c r="AG1028" s="1" t="s">
        <v>200</v>
      </c>
      <c r="AH1028" s="1" t="s">
        <v>173</v>
      </c>
      <c r="AI1028" s="1">
        <v>2</v>
      </c>
      <c r="AJ1028" s="9" t="s">
        <v>7</v>
      </c>
      <c r="AK1028" s="66">
        <f>+E1028+I1028*M1028-P1028*(S1028-V1028)-Y1028*(AB1028-AE1028)^2/AI1028</f>
        <v>308.6341094970702</v>
      </c>
      <c r="AL1028" s="66"/>
      <c r="AM1028" s="66"/>
      <c r="AN1028" s="1" t="s">
        <v>191</v>
      </c>
      <c r="AO1028" s="9"/>
      <c r="AP1028" s="9"/>
      <c r="AQ1028" s="9"/>
      <c r="AR1028" s="9"/>
      <c r="AS1028" s="9"/>
      <c r="AT1028" s="9"/>
      <c r="AU1028" s="9"/>
      <c r="AV1028" s="9"/>
      <c r="CC1028" s="7"/>
    </row>
    <row r="1029" spans="2:81">
      <c r="B1029" s="6"/>
      <c r="C1029" s="1" t="s">
        <v>220</v>
      </c>
      <c r="D1029" s="9"/>
      <c r="E1029" s="66">
        <f>+I1028</f>
        <v>212.12196350097653</v>
      </c>
      <c r="F1029" s="66"/>
      <c r="G1029" s="66"/>
      <c r="H1029" s="9" t="s">
        <v>6</v>
      </c>
      <c r="I1029" s="66">
        <f>+P1028</f>
        <v>150</v>
      </c>
      <c r="J1029" s="66"/>
      <c r="K1029" s="9" t="s">
        <v>6</v>
      </c>
      <c r="L1029" s="66">
        <f>+Y1028</f>
        <v>55</v>
      </c>
      <c r="M1029" s="66"/>
      <c r="N1029" s="9" t="s">
        <v>14</v>
      </c>
      <c r="O1029" s="66">
        <f>+D1027</f>
        <v>5</v>
      </c>
      <c r="P1029" s="66"/>
      <c r="Q1029" s="9" t="s">
        <v>6</v>
      </c>
      <c r="R1029" s="66">
        <f>+AF1018</f>
        <v>3.5</v>
      </c>
      <c r="S1029" s="66"/>
      <c r="T1029" s="9" t="s">
        <v>201</v>
      </c>
      <c r="U1029" s="66">
        <f>+E1029-I1029-L1029*(O1029-R1029)</f>
        <v>-20.378036499023466</v>
      </c>
      <c r="V1029" s="66"/>
      <c r="W1029" s="66"/>
      <c r="X1029" s="1" t="s">
        <v>191</v>
      </c>
      <c r="AE1029" s="9"/>
      <c r="AH1029" s="9"/>
      <c r="CC1029" s="7"/>
    </row>
    <row r="1030" spans="2:81">
      <c r="B1030" s="6"/>
      <c r="C1030" s="23" t="s">
        <v>253</v>
      </c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CC1030" s="7"/>
    </row>
    <row r="1031" spans="2:81">
      <c r="B1031" s="6"/>
      <c r="C1031" s="1" t="s">
        <v>27</v>
      </c>
      <c r="D1031" s="66">
        <f>+BA1031</f>
        <v>0</v>
      </c>
      <c r="E1031" s="66"/>
      <c r="F1031" s="66"/>
      <c r="G1031" s="1" t="s">
        <v>257</v>
      </c>
      <c r="H1031" s="9"/>
      <c r="I1031" s="9"/>
      <c r="J1031" s="9"/>
      <c r="M1031" s="9"/>
      <c r="P1031" s="42"/>
      <c r="Q1031" s="2"/>
      <c r="R1031" s="2"/>
      <c r="AU1031" s="76">
        <v>0</v>
      </c>
      <c r="AV1031" s="76"/>
      <c r="AW1031" s="76">
        <f>ABS(+W1012)</f>
        <v>465.10070800781239</v>
      </c>
      <c r="AX1031" s="76"/>
      <c r="AY1031" s="76">
        <f>MAX(AW1031,AW1032,AW1033)</f>
        <v>465.10070800781239</v>
      </c>
      <c r="AZ1031" s="76"/>
      <c r="BA1031" s="76" cm="1">
        <f t="array" ref="BA1031">INDEX(AU1031:AU1033,MATCH(AY1031,AW1031:AW1033,0),0)</f>
        <v>0</v>
      </c>
      <c r="BB1031" s="76"/>
      <c r="CC1031" s="7"/>
    </row>
    <row r="1032" spans="2:81">
      <c r="B1032" s="6"/>
      <c r="C1032" s="1" t="s">
        <v>260</v>
      </c>
      <c r="D1032" s="9"/>
      <c r="E1032" s="9"/>
      <c r="F1032" s="66">
        <f>+W1012</f>
        <v>-465.10070800781239</v>
      </c>
      <c r="G1032" s="66"/>
      <c r="H1032" s="66"/>
      <c r="I1032" s="9" t="s">
        <v>9</v>
      </c>
      <c r="J1032" s="66">
        <f>+AB1017</f>
        <v>212.12196350097653</v>
      </c>
      <c r="K1032" s="66"/>
      <c r="L1032" s="66"/>
      <c r="M1032" s="9" t="s">
        <v>5</v>
      </c>
      <c r="N1032" s="66">
        <f>+D1031</f>
        <v>0</v>
      </c>
      <c r="O1032" s="66"/>
      <c r="P1032" s="9" t="s">
        <v>6</v>
      </c>
      <c r="Q1032" s="66">
        <f>IF((T1032-W1032)&lt;0,0,AJ1008)</f>
        <v>0</v>
      </c>
      <c r="R1032" s="66"/>
      <c r="S1032" s="1" t="s">
        <v>14</v>
      </c>
      <c r="T1032" s="66">
        <f>+D1031</f>
        <v>0</v>
      </c>
      <c r="U1032" s="66"/>
      <c r="V1032" s="9" t="s">
        <v>6</v>
      </c>
      <c r="W1032" s="66">
        <f>+AF1018</f>
        <v>3.5</v>
      </c>
      <c r="X1032" s="66"/>
      <c r="Y1032" s="1" t="s">
        <v>16</v>
      </c>
      <c r="Z1032" s="66">
        <f>IF((AC1032-AF1032)&lt;0,0,AR1010)</f>
        <v>0</v>
      </c>
      <c r="AA1032" s="66"/>
      <c r="AB1032" s="1" t="s">
        <v>14</v>
      </c>
      <c r="AC1032" s="66">
        <f>+T1032</f>
        <v>0</v>
      </c>
      <c r="AD1032" s="66"/>
      <c r="AE1032" s="9" t="s">
        <v>6</v>
      </c>
      <c r="AF1032" s="66">
        <f>+AF1018</f>
        <v>3.5</v>
      </c>
      <c r="AG1032" s="66"/>
      <c r="AH1032" s="1" t="s">
        <v>200</v>
      </c>
      <c r="AI1032" s="1" t="s">
        <v>173</v>
      </c>
      <c r="AJ1032" s="1">
        <v>2</v>
      </c>
      <c r="AK1032" s="9" t="s">
        <v>7</v>
      </c>
      <c r="AL1032" s="66">
        <f>+F1032+J1032*N1032-Q1032*(T1032-W1032)-Z1032*(AC1032-AF1032)^2/AJ1032</f>
        <v>-465.10070800781239</v>
      </c>
      <c r="AM1032" s="66"/>
      <c r="AN1032" s="66"/>
      <c r="AO1032" s="1" t="s">
        <v>191</v>
      </c>
      <c r="AR1032" s="9"/>
      <c r="AU1032" s="76">
        <f>++AF1018</f>
        <v>3.5</v>
      </c>
      <c r="AV1032" s="76"/>
      <c r="AW1032" s="76">
        <f>ABS(W1012+AB1017*AF1018)</f>
        <v>277.32616424560547</v>
      </c>
      <c r="AX1032" s="76"/>
      <c r="AY1032" s="40"/>
      <c r="AZ1032" s="40"/>
      <c r="BA1032" s="40"/>
      <c r="BB1032" s="40"/>
      <c r="CC1032" s="7"/>
    </row>
    <row r="1033" spans="2:81">
      <c r="B1033" s="6"/>
      <c r="C1033" s="1" t="s">
        <v>247</v>
      </c>
      <c r="E1033" s="66">
        <f>+AN1020/2</f>
        <v>4</v>
      </c>
      <c r="F1033" s="66"/>
      <c r="G1033" s="66"/>
      <c r="H1033" s="1" t="s">
        <v>252</v>
      </c>
      <c r="I1033" s="9"/>
      <c r="J1033" s="9"/>
      <c r="M1033" s="9"/>
      <c r="N1033" s="21"/>
      <c r="P1033" s="9"/>
      <c r="Q1033" s="9"/>
      <c r="S1033" s="9"/>
      <c r="T1033" s="8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U1033" s="76">
        <f>(AB1017-AJ1008+AR1010*AF1018)/AR1010</f>
        <v>4.6294902454723008</v>
      </c>
      <c r="AV1033" s="76"/>
      <c r="AW1033" s="76">
        <f>ABS(W1012+AB1017*AU1033-K1042*(AU1033-P1042)-S1042*(AU1033-X1042)^2/AB1042)</f>
        <v>312.40924014757513</v>
      </c>
      <c r="AX1033" s="76"/>
      <c r="AY1033" s="40"/>
      <c r="AZ1033" s="40"/>
      <c r="BA1033" s="40"/>
      <c r="BB1033" s="40"/>
      <c r="CC1033" s="7"/>
    </row>
    <row r="1034" spans="2:81">
      <c r="B1034" s="6"/>
      <c r="C1034" s="1" t="s">
        <v>261</v>
      </c>
      <c r="D1034" s="9"/>
      <c r="F1034" s="66">
        <f>+F1032</f>
        <v>-465.10070800781239</v>
      </c>
      <c r="G1034" s="66"/>
      <c r="H1034" s="66"/>
      <c r="I1034" s="9" t="s">
        <v>9</v>
      </c>
      <c r="J1034" s="66">
        <f>+J1032</f>
        <v>212.12196350097653</v>
      </c>
      <c r="K1034" s="66"/>
      <c r="L1034" s="66"/>
      <c r="M1034" s="9" t="s">
        <v>5</v>
      </c>
      <c r="N1034" s="66">
        <f>+E1033</f>
        <v>4</v>
      </c>
      <c r="O1034" s="66"/>
      <c r="P1034" s="9" t="s">
        <v>6</v>
      </c>
      <c r="Q1034" s="66">
        <f>IF((T1034-W1034)&lt;0,0,AJ1008)</f>
        <v>150</v>
      </c>
      <c r="R1034" s="66"/>
      <c r="S1034" s="1" t="s">
        <v>14</v>
      </c>
      <c r="T1034" s="66">
        <f>+E1033</f>
        <v>4</v>
      </c>
      <c r="U1034" s="66"/>
      <c r="V1034" s="9" t="s">
        <v>6</v>
      </c>
      <c r="W1034" s="66">
        <f>+W1032</f>
        <v>3.5</v>
      </c>
      <c r="X1034" s="66"/>
      <c r="Y1034" s="1" t="s">
        <v>16</v>
      </c>
      <c r="Z1034" s="66">
        <f>IF((AC1034-AF1034)&lt;0,0,AR1010)</f>
        <v>55</v>
      </c>
      <c r="AA1034" s="66"/>
      <c r="AB1034" s="1" t="s">
        <v>14</v>
      </c>
      <c r="AC1034" s="66">
        <f>+T1034</f>
        <v>4</v>
      </c>
      <c r="AD1034" s="66"/>
      <c r="AE1034" s="9" t="s">
        <v>6</v>
      </c>
      <c r="AF1034" s="66">
        <f>+AF1032</f>
        <v>3.5</v>
      </c>
      <c r="AG1034" s="66"/>
      <c r="AH1034" s="1" t="s">
        <v>200</v>
      </c>
      <c r="AI1034" s="1" t="s">
        <v>173</v>
      </c>
      <c r="AJ1034" s="1">
        <v>2</v>
      </c>
      <c r="AK1034" s="9" t="s">
        <v>7</v>
      </c>
      <c r="AL1034" s="66">
        <f>+F1034+J1034*N1034-Q1034*(T1034-W1034)-Z1034*(AC1034-AF1034)^2/AJ1034</f>
        <v>301.51214599609375</v>
      </c>
      <c r="AM1034" s="66"/>
      <c r="AN1034" s="66"/>
      <c r="AO1034" s="1" t="s">
        <v>191</v>
      </c>
      <c r="AQ1034" s="9"/>
      <c r="AW1034" s="9"/>
      <c r="CC1034" s="7"/>
    </row>
    <row r="1035" spans="2:81">
      <c r="B1035" s="6"/>
      <c r="C1035" s="1" t="s">
        <v>248</v>
      </c>
      <c r="E1035" s="66">
        <f>+AN1020/4</f>
        <v>2</v>
      </c>
      <c r="F1035" s="66"/>
      <c r="G1035" s="66"/>
      <c r="H1035" s="1" t="s">
        <v>252</v>
      </c>
      <c r="I1035" s="9"/>
      <c r="J1035" s="9"/>
      <c r="M1035" s="9"/>
      <c r="N1035" s="21"/>
      <c r="P1035" s="9"/>
      <c r="Q1035" s="9"/>
      <c r="S1035" s="9"/>
      <c r="T1035" s="8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CC1035" s="7"/>
    </row>
    <row r="1036" spans="2:81">
      <c r="B1036" s="6"/>
      <c r="C1036" s="1" t="s">
        <v>249</v>
      </c>
      <c r="F1036" s="66">
        <f>+F1034</f>
        <v>-465.10070800781239</v>
      </c>
      <c r="G1036" s="66"/>
      <c r="H1036" s="66"/>
      <c r="I1036" s="9" t="s">
        <v>9</v>
      </c>
      <c r="J1036" s="66">
        <f>+J1034</f>
        <v>212.12196350097653</v>
      </c>
      <c r="K1036" s="66"/>
      <c r="L1036" s="66"/>
      <c r="M1036" s="9" t="s">
        <v>5</v>
      </c>
      <c r="N1036" s="66">
        <f>+E1035</f>
        <v>2</v>
      </c>
      <c r="O1036" s="66"/>
      <c r="P1036" s="9" t="s">
        <v>6</v>
      </c>
      <c r="Q1036" s="66">
        <f>IF((T1036-W1036)&lt;0,0,AJ1008)</f>
        <v>0</v>
      </c>
      <c r="R1036" s="66"/>
      <c r="S1036" s="1" t="s">
        <v>14</v>
      </c>
      <c r="T1036" s="66">
        <f>+E1035</f>
        <v>2</v>
      </c>
      <c r="U1036" s="66"/>
      <c r="V1036" s="9" t="s">
        <v>6</v>
      </c>
      <c r="W1036" s="66">
        <f>+W1034</f>
        <v>3.5</v>
      </c>
      <c r="X1036" s="66"/>
      <c r="Y1036" s="1" t="s">
        <v>16</v>
      </c>
      <c r="Z1036" s="66">
        <f>IF((AC1036-AF1036)&lt;0,0,AR1010)</f>
        <v>0</v>
      </c>
      <c r="AA1036" s="66"/>
      <c r="AB1036" s="1" t="s">
        <v>14</v>
      </c>
      <c r="AC1036" s="66">
        <f>+T1036</f>
        <v>2</v>
      </c>
      <c r="AD1036" s="66"/>
      <c r="AE1036" s="9" t="s">
        <v>6</v>
      </c>
      <c r="AF1036" s="66">
        <f>+AF1034</f>
        <v>3.5</v>
      </c>
      <c r="AG1036" s="66"/>
      <c r="AH1036" s="1" t="s">
        <v>200</v>
      </c>
      <c r="AI1036" s="1" t="s">
        <v>173</v>
      </c>
      <c r="AJ1036" s="1">
        <v>2</v>
      </c>
      <c r="AK1036" s="9" t="s">
        <v>7</v>
      </c>
      <c r="AL1036" s="66">
        <f>+F1036+J1036*N1036-Q1036*(T1036-W1036)-Z1036*(AC1036-AF1036)^2/AJ1036</f>
        <v>-40.856781005859318</v>
      </c>
      <c r="AM1036" s="66"/>
      <c r="AN1036" s="66"/>
      <c r="AO1036" s="1" t="s">
        <v>191</v>
      </c>
      <c r="AQ1036" s="9"/>
      <c r="AW1036" s="9"/>
      <c r="CC1036" s="7"/>
    </row>
    <row r="1037" spans="2:81">
      <c r="B1037" s="6"/>
      <c r="C1037" s="1" t="s">
        <v>250</v>
      </c>
      <c r="F1037" s="66">
        <f>+AN1020*3/4</f>
        <v>6</v>
      </c>
      <c r="G1037" s="66"/>
      <c r="H1037" s="66"/>
      <c r="I1037" s="1" t="s">
        <v>252</v>
      </c>
      <c r="J1037" s="9"/>
      <c r="M1037" s="9"/>
      <c r="N1037" s="21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CC1037" s="7"/>
    </row>
    <row r="1038" spans="2:81">
      <c r="B1038" s="6"/>
      <c r="C1038" s="1" t="s">
        <v>251</v>
      </c>
      <c r="F1038" s="66">
        <f>+F1036</f>
        <v>-465.10070800781239</v>
      </c>
      <c r="G1038" s="66"/>
      <c r="H1038" s="66"/>
      <c r="I1038" s="9" t="s">
        <v>9</v>
      </c>
      <c r="J1038" s="66">
        <f>+J1036</f>
        <v>212.12196350097653</v>
      </c>
      <c r="K1038" s="66"/>
      <c r="L1038" s="66"/>
      <c r="M1038" s="9" t="s">
        <v>5</v>
      </c>
      <c r="N1038" s="66">
        <f>+F1037</f>
        <v>6</v>
      </c>
      <c r="O1038" s="66"/>
      <c r="P1038" s="9" t="s">
        <v>6</v>
      </c>
      <c r="Q1038" s="66">
        <f>IF((T1038-W1038)&lt;0,0,AJ1008)</f>
        <v>150</v>
      </c>
      <c r="R1038" s="66"/>
      <c r="S1038" s="1" t="s">
        <v>14</v>
      </c>
      <c r="T1038" s="66">
        <f>+F1037</f>
        <v>6</v>
      </c>
      <c r="U1038" s="66"/>
      <c r="V1038" s="9" t="s">
        <v>6</v>
      </c>
      <c r="W1038" s="66">
        <f>+W1036</f>
        <v>3.5</v>
      </c>
      <c r="X1038" s="66"/>
      <c r="Y1038" s="1" t="s">
        <v>16</v>
      </c>
      <c r="Z1038" s="66">
        <f>IF((AC1038-AF1038)&lt;0,0,AR1010)</f>
        <v>55</v>
      </c>
      <c r="AA1038" s="66"/>
      <c r="AB1038" s="1" t="s">
        <v>14</v>
      </c>
      <c r="AC1038" s="66">
        <f>+T1038</f>
        <v>6</v>
      </c>
      <c r="AD1038" s="66"/>
      <c r="AE1038" s="9" t="s">
        <v>6</v>
      </c>
      <c r="AF1038" s="66">
        <f>+AF1036</f>
        <v>3.5</v>
      </c>
      <c r="AG1038" s="66"/>
      <c r="AH1038" s="1" t="s">
        <v>200</v>
      </c>
      <c r="AI1038" s="1" t="s">
        <v>173</v>
      </c>
      <c r="AJ1038" s="1">
        <v>2</v>
      </c>
      <c r="AK1038" s="9" t="s">
        <v>7</v>
      </c>
      <c r="AL1038" s="66">
        <f>+F1038+J1038*N1038-Q1038*(T1038-W1038)-Z1038*(AC1038-AF1038)^2/AJ1038</f>
        <v>260.75607299804676</v>
      </c>
      <c r="AM1038" s="66"/>
      <c r="AN1038" s="66"/>
      <c r="AO1038" s="1" t="s">
        <v>191</v>
      </c>
      <c r="AQ1038" s="9"/>
      <c r="AW1038" s="9"/>
      <c r="CC1038" s="7"/>
    </row>
    <row r="1039" spans="2:81">
      <c r="B1039" s="6"/>
      <c r="C1039" s="1" t="s">
        <v>300</v>
      </c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U1039" s="9"/>
      <c r="V1039" s="9"/>
      <c r="W1039" s="9"/>
      <c r="X1039" s="9"/>
      <c r="Y1039" s="9"/>
      <c r="Z1039" s="9"/>
      <c r="AA1039" s="9"/>
      <c r="AB1039" s="9"/>
      <c r="AD1039" s="9"/>
      <c r="AE1039" s="9"/>
      <c r="AF1039" s="9"/>
      <c r="AG1039" s="9"/>
      <c r="AH1039" s="9"/>
      <c r="AI1039" s="9"/>
      <c r="AJ1039" s="9"/>
      <c r="AK1039" s="9"/>
      <c r="AM1039" s="9"/>
      <c r="AN1039" s="9"/>
      <c r="AO1039" s="9"/>
      <c r="AP1039" s="9"/>
      <c r="AQ1039" s="9"/>
      <c r="AR1039" s="9"/>
      <c r="CC1039" s="7"/>
    </row>
    <row r="1040" spans="2:81">
      <c r="B1040" s="6"/>
      <c r="C1040" s="1" t="s">
        <v>301</v>
      </c>
      <c r="E1040" s="66">
        <v>12.5</v>
      </c>
      <c r="F1040" s="66"/>
      <c r="G1040" s="9" t="s">
        <v>5</v>
      </c>
      <c r="H1040" s="66">
        <f>ABS(AL1032)</f>
        <v>465.10070800781239</v>
      </c>
      <c r="I1040" s="66"/>
      <c r="J1040" s="66"/>
      <c r="K1040" s="9" t="s">
        <v>275</v>
      </c>
      <c r="L1040" s="66">
        <v>2.5</v>
      </c>
      <c r="M1040" s="66"/>
      <c r="N1040" s="9" t="s">
        <v>5</v>
      </c>
      <c r="O1040" s="66">
        <f>+H1040</f>
        <v>465.10070800781239</v>
      </c>
      <c r="P1040" s="66"/>
      <c r="Q1040" s="66"/>
      <c r="R1040" s="9" t="s">
        <v>9</v>
      </c>
      <c r="S1040" s="9">
        <v>3</v>
      </c>
      <c r="T1040" s="9" t="s">
        <v>5</v>
      </c>
      <c r="U1040" s="66">
        <f>ABS(AL1036)</f>
        <v>40.856781005859318</v>
      </c>
      <c r="V1040" s="66"/>
      <c r="W1040" s="66"/>
      <c r="X1040" s="9" t="s">
        <v>9</v>
      </c>
      <c r="Y1040" s="9">
        <v>4</v>
      </c>
      <c r="Z1040" s="9" t="s">
        <v>5</v>
      </c>
      <c r="AA1040" s="66">
        <f>ABS(AL1034)</f>
        <v>301.51214599609375</v>
      </c>
      <c r="AB1040" s="66"/>
      <c r="AC1040" s="66"/>
      <c r="AD1040" s="9" t="s">
        <v>9</v>
      </c>
      <c r="AE1040" s="9">
        <v>3</v>
      </c>
      <c r="AF1040" s="9" t="s">
        <v>5</v>
      </c>
      <c r="AG1040" s="66">
        <f>ABS(AL1038)</f>
        <v>260.75607299804676</v>
      </c>
      <c r="AH1040" s="66"/>
      <c r="AI1040" s="66"/>
      <c r="AJ1040" s="9" t="s">
        <v>201</v>
      </c>
      <c r="AK1040" s="66">
        <f>E1040*H1040/(L1040*O1040+S1040*U1040+Y1040*AA1040+AE1040*AG1040)</f>
        <v>1.7759316159320446</v>
      </c>
      <c r="AL1040" s="66"/>
      <c r="AM1040" s="66"/>
      <c r="AN1040" s="9"/>
      <c r="AO1040" s="9"/>
      <c r="AP1040" s="9"/>
      <c r="AQ1040" s="9"/>
      <c r="AR1040" s="9"/>
      <c r="CC1040" s="7"/>
    </row>
    <row r="1041" spans="2:81">
      <c r="B1041" s="6"/>
      <c r="C1041" s="23" t="s">
        <v>223</v>
      </c>
      <c r="CC1041" s="7"/>
    </row>
    <row r="1042" spans="2:81">
      <c r="B1042" s="6"/>
      <c r="C1042" s="1" t="s">
        <v>404</v>
      </c>
      <c r="E1042" s="1" t="s">
        <v>407</v>
      </c>
      <c r="F1042" s="9"/>
      <c r="G1042" s="1" t="s">
        <v>4</v>
      </c>
      <c r="H1042" s="9" t="s">
        <v>5</v>
      </c>
      <c r="I1042" s="9" t="s">
        <v>13</v>
      </c>
      <c r="J1042" s="9" t="s">
        <v>6</v>
      </c>
      <c r="K1042" s="66">
        <f>+AJ1008</f>
        <v>150</v>
      </c>
      <c r="L1042" s="66"/>
      <c r="M1042" s="1" t="s">
        <v>14</v>
      </c>
      <c r="N1042" s="9" t="s">
        <v>13</v>
      </c>
      <c r="O1042" s="9" t="s">
        <v>6</v>
      </c>
      <c r="P1042" s="66">
        <f>+AF1018</f>
        <v>3.5</v>
      </c>
      <c r="Q1042" s="66"/>
      <c r="R1042" s="1" t="s">
        <v>16</v>
      </c>
      <c r="S1042" s="66">
        <f>+AR1010</f>
        <v>55</v>
      </c>
      <c r="T1042" s="66"/>
      <c r="U1042" s="1" t="s">
        <v>14</v>
      </c>
      <c r="V1042" s="9" t="s">
        <v>13</v>
      </c>
      <c r="W1042" s="9" t="s">
        <v>6</v>
      </c>
      <c r="X1042" s="66">
        <f>+AF1018</f>
        <v>3.5</v>
      </c>
      <c r="Y1042" s="66"/>
      <c r="Z1042" s="1" t="s">
        <v>200</v>
      </c>
      <c r="AA1042" s="1" t="s">
        <v>173</v>
      </c>
      <c r="AB1042" s="1">
        <v>2</v>
      </c>
      <c r="AW1042" s="9"/>
      <c r="AY1042" s="9"/>
      <c r="BB1042" s="9"/>
      <c r="BH1042" s="9"/>
      <c r="BQ1042" s="9"/>
      <c r="BW1042" s="9"/>
      <c r="BX1042" s="9"/>
      <c r="CC1042" s="7"/>
    </row>
    <row r="1043" spans="2:81">
      <c r="B1043" s="6"/>
      <c r="C1043" s="1" t="s">
        <v>408</v>
      </c>
      <c r="E1043" s="1" t="s">
        <v>412</v>
      </c>
      <c r="F1043" s="9"/>
      <c r="G1043" s="9" t="s">
        <v>13</v>
      </c>
      <c r="H1043" s="9" t="s">
        <v>9</v>
      </c>
      <c r="I1043" s="9" t="s">
        <v>4</v>
      </c>
      <c r="J1043" s="9" t="s">
        <v>5</v>
      </c>
      <c r="K1043" s="1" t="s">
        <v>183</v>
      </c>
      <c r="L1043" s="1" t="s">
        <v>173</v>
      </c>
      <c r="M1043" s="1">
        <v>2</v>
      </c>
      <c r="N1043" s="9" t="s">
        <v>6</v>
      </c>
      <c r="O1043" s="66">
        <f>+K1042</f>
        <v>150</v>
      </c>
      <c r="P1043" s="66"/>
      <c r="Q1043" s="1" t="s">
        <v>14</v>
      </c>
      <c r="R1043" s="9" t="s">
        <v>13</v>
      </c>
      <c r="S1043" s="9" t="s">
        <v>6</v>
      </c>
      <c r="T1043" s="66">
        <f>+P1042</f>
        <v>3.5</v>
      </c>
      <c r="U1043" s="66"/>
      <c r="V1043" s="1" t="s">
        <v>200</v>
      </c>
      <c r="W1043" s="1" t="s">
        <v>173</v>
      </c>
      <c r="X1043" s="1">
        <v>2</v>
      </c>
      <c r="Y1043" s="9" t="s">
        <v>6</v>
      </c>
      <c r="Z1043" s="66">
        <f>+S1042</f>
        <v>55</v>
      </c>
      <c r="AA1043" s="66"/>
      <c r="AB1043" s="1" t="s">
        <v>14</v>
      </c>
      <c r="AC1043" s="9" t="s">
        <v>13</v>
      </c>
      <c r="AD1043" s="9" t="s">
        <v>6</v>
      </c>
      <c r="AE1043" s="66">
        <f>+X1042</f>
        <v>3.5</v>
      </c>
      <c r="AF1043" s="66"/>
      <c r="AG1043" s="1" t="s">
        <v>311</v>
      </c>
      <c r="AH1043" s="1" t="s">
        <v>173</v>
      </c>
      <c r="AI1043" s="1">
        <v>6</v>
      </c>
      <c r="AJ1043" s="9" t="s">
        <v>9</v>
      </c>
      <c r="AK1043" s="1" t="s">
        <v>24</v>
      </c>
      <c r="AW1043" s="9"/>
      <c r="AY1043" s="9"/>
      <c r="BB1043" s="9"/>
      <c r="BF1043" s="9"/>
      <c r="BG1043" s="9"/>
      <c r="CC1043" s="7"/>
    </row>
    <row r="1044" spans="2:81">
      <c r="B1044" s="6"/>
      <c r="C1044" s="1" t="s">
        <v>409</v>
      </c>
      <c r="E1044" s="1" t="s">
        <v>412</v>
      </c>
      <c r="F1044" s="9"/>
      <c r="G1044" s="9" t="s">
        <v>183</v>
      </c>
      <c r="H1044" s="1" t="s">
        <v>173</v>
      </c>
      <c r="I1044" s="1">
        <v>2</v>
      </c>
      <c r="J1044" s="9" t="s">
        <v>9</v>
      </c>
      <c r="K1044" s="9" t="s">
        <v>4</v>
      </c>
      <c r="L1044" s="9" t="s">
        <v>5</v>
      </c>
      <c r="M1044" s="1" t="s">
        <v>184</v>
      </c>
      <c r="N1044" s="1" t="s">
        <v>173</v>
      </c>
      <c r="O1044" s="1">
        <v>6</v>
      </c>
      <c r="P1044" s="9" t="s">
        <v>6</v>
      </c>
      <c r="Q1044" s="66">
        <f>+O1043</f>
        <v>150</v>
      </c>
      <c r="R1044" s="66"/>
      <c r="S1044" s="1" t="s">
        <v>14</v>
      </c>
      <c r="T1044" s="9" t="s">
        <v>13</v>
      </c>
      <c r="U1044" s="9" t="s">
        <v>6</v>
      </c>
      <c r="V1044" s="66">
        <f>+T1043</f>
        <v>3.5</v>
      </c>
      <c r="W1044" s="66"/>
      <c r="X1044" s="1" t="s">
        <v>311</v>
      </c>
      <c r="Y1044" s="1" t="s">
        <v>173</v>
      </c>
      <c r="Z1044" s="1">
        <v>6</v>
      </c>
      <c r="AA1044" s="9" t="s">
        <v>6</v>
      </c>
      <c r="AB1044" s="66">
        <f>+Z1043</f>
        <v>55</v>
      </c>
      <c r="AC1044" s="66"/>
      <c r="AD1044" s="1" t="s">
        <v>14</v>
      </c>
      <c r="AE1044" s="9" t="s">
        <v>13</v>
      </c>
      <c r="AF1044" s="9" t="s">
        <v>6</v>
      </c>
      <c r="AG1044" s="66">
        <f>+AE1043</f>
        <v>3.5</v>
      </c>
      <c r="AH1044" s="66"/>
      <c r="AI1044" s="1" t="s">
        <v>342</v>
      </c>
      <c r="AJ1044" s="1" t="s">
        <v>173</v>
      </c>
      <c r="AK1044" s="66">
        <v>24</v>
      </c>
      <c r="AL1044" s="66"/>
      <c r="AM1044" s="9" t="s">
        <v>9</v>
      </c>
      <c r="AN1044" s="1" t="s">
        <v>24</v>
      </c>
      <c r="AO1044" s="9" t="s">
        <v>5</v>
      </c>
      <c r="AP1044" s="9" t="s">
        <v>13</v>
      </c>
      <c r="AQ1044" s="9" t="s">
        <v>9</v>
      </c>
      <c r="AR1044" s="1" t="s">
        <v>307</v>
      </c>
      <c r="CC1044" s="7"/>
    </row>
    <row r="1045" spans="2:81">
      <c r="B1045" s="6"/>
      <c r="C1045" s="24" t="s">
        <v>318</v>
      </c>
      <c r="F1045" s="9"/>
      <c r="G1045" s="9"/>
      <c r="J1045" s="9"/>
      <c r="K1045" s="9"/>
      <c r="L1045" s="9"/>
      <c r="P1045" s="9"/>
      <c r="Q1045" s="9"/>
      <c r="R1045" s="9"/>
      <c r="T1045" s="9"/>
      <c r="U1045" s="9"/>
      <c r="V1045" s="9"/>
      <c r="W1045" s="9"/>
      <c r="AA1045" s="9"/>
      <c r="AB1045" s="9"/>
      <c r="AC1045" s="9"/>
      <c r="AE1045" s="9"/>
      <c r="AF1045" s="9"/>
      <c r="AG1045" s="9"/>
      <c r="AH1045" s="9"/>
      <c r="AK1045" s="9"/>
      <c r="AL1045" s="9"/>
      <c r="AM1045" s="9"/>
      <c r="AO1045" s="9"/>
      <c r="AP1045" s="9"/>
      <c r="AQ1045" s="9"/>
      <c r="CC1045" s="7"/>
    </row>
    <row r="1046" spans="2:81">
      <c r="B1046" s="6"/>
      <c r="C1046" s="1" t="s">
        <v>410</v>
      </c>
      <c r="I1046" s="1" t="s">
        <v>411</v>
      </c>
      <c r="CC1046" s="7"/>
    </row>
    <row r="1047" spans="2:81">
      <c r="B1047" s="6"/>
      <c r="C1047" s="1" t="s">
        <v>415</v>
      </c>
      <c r="I1047" s="1" t="s">
        <v>416</v>
      </c>
      <c r="CC1047" s="7"/>
    </row>
    <row r="1048" spans="2:81">
      <c r="B1048" s="6"/>
      <c r="C1048" s="1" t="s">
        <v>401</v>
      </c>
      <c r="I1048" s="1" t="s">
        <v>412</v>
      </c>
      <c r="J1048" s="9"/>
      <c r="K1048" s="66">
        <f>+AN1020</f>
        <v>8</v>
      </c>
      <c r="L1048" s="66"/>
      <c r="M1048" s="1" t="s">
        <v>254</v>
      </c>
      <c r="N1048" s="1">
        <v>2</v>
      </c>
      <c r="O1048" s="9" t="s">
        <v>9</v>
      </c>
      <c r="P1048" s="9" t="s">
        <v>4</v>
      </c>
      <c r="Q1048" s="9" t="s">
        <v>5</v>
      </c>
      <c r="R1048" s="66">
        <f>+K1048</f>
        <v>8</v>
      </c>
      <c r="S1048" s="66"/>
      <c r="T1048" s="1" t="s">
        <v>321</v>
      </c>
      <c r="U1048" s="1">
        <v>6</v>
      </c>
      <c r="V1048" s="9" t="s">
        <v>6</v>
      </c>
      <c r="W1048" s="66">
        <f>IF((Z1048-AC1048)&lt;0,0,Q1044)</f>
        <v>150</v>
      </c>
      <c r="X1048" s="66"/>
      <c r="Y1048" s="1" t="s">
        <v>14</v>
      </c>
      <c r="Z1048" s="66">
        <f>+R1048</f>
        <v>8</v>
      </c>
      <c r="AA1048" s="66"/>
      <c r="AB1048" s="9" t="s">
        <v>6</v>
      </c>
      <c r="AC1048" s="66">
        <f>+V1044</f>
        <v>3.5</v>
      </c>
      <c r="AD1048" s="66"/>
      <c r="AE1048" s="1" t="s">
        <v>311</v>
      </c>
      <c r="AF1048" s="1" t="s">
        <v>173</v>
      </c>
      <c r="AG1048" s="1">
        <v>6</v>
      </c>
      <c r="AH1048" s="9" t="s">
        <v>6</v>
      </c>
      <c r="AI1048" s="66">
        <f>IF((AL1048-AO1048)&lt;0,0,AB1044)</f>
        <v>55</v>
      </c>
      <c r="AJ1048" s="66"/>
      <c r="AK1048" s="1" t="s">
        <v>14</v>
      </c>
      <c r="AL1048" s="66">
        <f>+Z1048</f>
        <v>8</v>
      </c>
      <c r="AM1048" s="66"/>
      <c r="AN1048" s="9" t="s">
        <v>6</v>
      </c>
      <c r="AO1048" s="66">
        <f>+AG1044</f>
        <v>3.5</v>
      </c>
      <c r="AP1048" s="66"/>
      <c r="AQ1048" s="1" t="s">
        <v>342</v>
      </c>
      <c r="AR1048" s="1" t="s">
        <v>173</v>
      </c>
      <c r="AS1048" s="66">
        <v>24</v>
      </c>
      <c r="AT1048" s="66"/>
      <c r="AU1048" s="9" t="s">
        <v>7</v>
      </c>
      <c r="AV1048" s="9">
        <v>0</v>
      </c>
      <c r="AW1048" s="9"/>
      <c r="CC1048" s="7"/>
    </row>
    <row r="1049" spans="2:81">
      <c r="B1049" s="6"/>
      <c r="I1049" s="1" t="s">
        <v>412</v>
      </c>
      <c r="J1049" s="9"/>
      <c r="K1049" s="66">
        <f>K1048^2/N1048</f>
        <v>32</v>
      </c>
      <c r="L1049" s="66"/>
      <c r="M1049" s="9" t="s">
        <v>9</v>
      </c>
      <c r="N1049" s="9" t="s">
        <v>4</v>
      </c>
      <c r="O1049" s="9" t="s">
        <v>5</v>
      </c>
      <c r="P1049" s="66">
        <f>+R1048^3/U1048</f>
        <v>85.333333333333329</v>
      </c>
      <c r="Q1049" s="66"/>
      <c r="R1049" s="9" t="s">
        <v>6</v>
      </c>
      <c r="S1049" s="66">
        <f>W1048*(Z1048-AC1048)^3/AG1048+AI1048*(AL1048-AO1048)^4/AS1048</f>
        <v>3217.8515625</v>
      </c>
      <c r="T1049" s="66"/>
      <c r="U1049" s="66"/>
      <c r="V1049" s="9" t="s">
        <v>7</v>
      </c>
      <c r="W1049" s="9">
        <v>0</v>
      </c>
      <c r="Y1049" s="1" t="s">
        <v>413</v>
      </c>
      <c r="CC1049" s="7"/>
    </row>
    <row r="1050" spans="2:81">
      <c r="B1050" s="6"/>
      <c r="C1050" s="1" t="s">
        <v>427</v>
      </c>
      <c r="CC1050" s="7"/>
    </row>
    <row r="1051" spans="2:81">
      <c r="B1051" s="6"/>
      <c r="C1051" s="1" t="s">
        <v>407</v>
      </c>
      <c r="E1051" s="9" t="s">
        <v>4</v>
      </c>
      <c r="F1051" s="9" t="s">
        <v>5</v>
      </c>
      <c r="G1051" s="66">
        <f>+AN1020</f>
        <v>8</v>
      </c>
      <c r="H1051" s="66"/>
      <c r="I1051" s="9" t="s">
        <v>6</v>
      </c>
      <c r="J1051" s="66">
        <f>+AJ1008</f>
        <v>150</v>
      </c>
      <c r="K1051" s="66"/>
      <c r="L1051" s="9" t="s">
        <v>5</v>
      </c>
      <c r="M1051" s="66">
        <f>+AR1018</f>
        <v>4.5</v>
      </c>
      <c r="N1051" s="66"/>
      <c r="O1051" s="9" t="s">
        <v>6</v>
      </c>
      <c r="P1051" s="66">
        <f>+AR1010</f>
        <v>55</v>
      </c>
      <c r="Q1051" s="66"/>
      <c r="R1051" s="9" t="s">
        <v>5</v>
      </c>
      <c r="S1051" s="66">
        <f>+AR1018</f>
        <v>4.5</v>
      </c>
      <c r="T1051" s="66"/>
      <c r="U1051" s="9" t="s">
        <v>5</v>
      </c>
      <c r="V1051" s="66">
        <f>+S1051/2</f>
        <v>2.25</v>
      </c>
      <c r="W1051" s="66"/>
      <c r="X1051" s="9" t="s">
        <v>7</v>
      </c>
      <c r="Y1051" s="1">
        <v>0</v>
      </c>
      <c r="AB1051" s="1" t="s">
        <v>407</v>
      </c>
      <c r="AD1051" s="1" t="s">
        <v>4</v>
      </c>
      <c r="AE1051" s="9" t="s">
        <v>5</v>
      </c>
      <c r="AF1051" s="66">
        <f>+G1051</f>
        <v>8</v>
      </c>
      <c r="AG1051" s="66"/>
      <c r="AH1051" s="9" t="s">
        <v>6</v>
      </c>
      <c r="AI1051" s="66">
        <f>+J1051*M1051+P1051*S1051*V1051</f>
        <v>1231.875</v>
      </c>
      <c r="AJ1051" s="66"/>
      <c r="AK1051" s="66"/>
      <c r="AL1051" s="9" t="s">
        <v>7</v>
      </c>
      <c r="AM1051" s="9">
        <v>0</v>
      </c>
      <c r="AO1051" s="1" t="s">
        <v>414</v>
      </c>
      <c r="CC1051" s="7"/>
    </row>
    <row r="1052" spans="2:81">
      <c r="B1052" s="6"/>
      <c r="C1052" s="24" t="s">
        <v>417</v>
      </c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AE1052" s="9"/>
      <c r="AF1052" s="9"/>
      <c r="AG1052" s="9"/>
      <c r="AH1052" s="9"/>
      <c r="AI1052" s="9"/>
      <c r="AJ1052" s="9"/>
      <c r="AK1052" s="9"/>
      <c r="AL1052" s="9"/>
      <c r="AM1052" s="9"/>
      <c r="CC1052" s="7"/>
    </row>
    <row r="1053" spans="2:81">
      <c r="B1053" s="6"/>
      <c r="C1053" s="1" t="s">
        <v>405</v>
      </c>
      <c r="E1053" s="66">
        <f>+N1053</f>
        <v>-465.10070800781239</v>
      </c>
      <c r="F1053" s="66"/>
      <c r="G1053" s="66"/>
      <c r="H1053" s="2"/>
      <c r="I1053" s="40">
        <f>+K1049</f>
        <v>32</v>
      </c>
      <c r="J1053" s="40">
        <f>+P1049</f>
        <v>85.333333333333329</v>
      </c>
      <c r="K1053" s="40">
        <f>S1049</f>
        <v>3217.8515625</v>
      </c>
      <c r="L1053" s="40" cm="1">
        <f t="array" ref="L1053:M1054">MINVERSE(I1053:J1054)</f>
        <v>4.6875E-2</v>
      </c>
      <c r="M1053" s="40">
        <v>-0.49999999999999989</v>
      </c>
      <c r="N1053" s="40" cm="1">
        <f t="array" ref="N1053:N1054">MMULT(L1053:M1054,K1053:K1054)</f>
        <v>-465.10070800781239</v>
      </c>
      <c r="O1053" s="2"/>
      <c r="P1053" s="2"/>
      <c r="Q1053" s="2"/>
      <c r="CC1053" s="7"/>
    </row>
    <row r="1054" spans="2:81">
      <c r="B1054" s="6"/>
      <c r="C1054" s="1" t="s">
        <v>8</v>
      </c>
      <c r="E1054" s="66">
        <f>+N1054</f>
        <v>212.12196350097653</v>
      </c>
      <c r="F1054" s="66"/>
      <c r="G1054" s="66"/>
      <c r="H1054" s="2"/>
      <c r="I1054" s="40">
        <v>1</v>
      </c>
      <c r="J1054" s="40">
        <f>+AF1051</f>
        <v>8</v>
      </c>
      <c r="K1054" s="40">
        <f>AI1051</f>
        <v>1231.875</v>
      </c>
      <c r="L1054" s="40">
        <v>-5.8593749999999991E-3</v>
      </c>
      <c r="M1054" s="40">
        <v>0.18749999999999997</v>
      </c>
      <c r="N1054" s="40">
        <v>212.12196350097653</v>
      </c>
      <c r="O1054" s="2"/>
      <c r="P1054" s="2"/>
      <c r="Q1054" s="2"/>
      <c r="CC1054" s="7"/>
    </row>
    <row r="1055" spans="2:81">
      <c r="B1055" s="6"/>
      <c r="C1055" s="1" t="s">
        <v>418</v>
      </c>
      <c r="CC1055" s="7"/>
    </row>
    <row r="1056" spans="2:81">
      <c r="B1056" s="6"/>
      <c r="C1056" s="1" t="s">
        <v>10</v>
      </c>
      <c r="D1056" s="9" t="s">
        <v>9</v>
      </c>
      <c r="E1056" s="9" t="s">
        <v>4</v>
      </c>
      <c r="F1056" s="9" t="s">
        <v>6</v>
      </c>
      <c r="G1056" s="66">
        <f>+AJ1008</f>
        <v>150</v>
      </c>
      <c r="H1056" s="66"/>
      <c r="I1056" s="9" t="s">
        <v>6</v>
      </c>
      <c r="J1056" s="66">
        <f>+AR1010</f>
        <v>55</v>
      </c>
      <c r="K1056" s="66"/>
      <c r="L1056" s="9" t="s">
        <v>5</v>
      </c>
      <c r="M1056" s="66">
        <f>+AR1018</f>
        <v>4.5</v>
      </c>
      <c r="N1056" s="66"/>
      <c r="O1056" s="9" t="s">
        <v>7</v>
      </c>
      <c r="P1056" s="9">
        <v>0</v>
      </c>
      <c r="CC1056" s="7"/>
    </row>
    <row r="1057" spans="2:81">
      <c r="B1057" s="6"/>
      <c r="C1057" s="1" t="s">
        <v>10</v>
      </c>
      <c r="D1057" s="1" t="s">
        <v>7</v>
      </c>
      <c r="E1057" s="66">
        <f>G1056+J1056*M1056-E1054</f>
        <v>185.37803649902347</v>
      </c>
      <c r="F1057" s="66"/>
      <c r="G1057" s="66"/>
      <c r="H1057" s="1" t="s">
        <v>0</v>
      </c>
      <c r="CC1057" s="7"/>
    </row>
    <row r="1058" spans="2:81">
      <c r="B1058" s="6"/>
      <c r="C1058" s="1" t="s">
        <v>195</v>
      </c>
      <c r="H1058" s="1" t="s">
        <v>412</v>
      </c>
      <c r="I1058" s="9"/>
      <c r="J1058" s="9" t="s">
        <v>183</v>
      </c>
      <c r="K1058" s="1" t="s">
        <v>173</v>
      </c>
      <c r="L1058" s="1">
        <v>2</v>
      </c>
      <c r="M1058" s="9" t="s">
        <v>9</v>
      </c>
      <c r="N1058" s="9" t="s">
        <v>4</v>
      </c>
      <c r="O1058" s="9" t="s">
        <v>5</v>
      </c>
      <c r="P1058" s="1" t="s">
        <v>184</v>
      </c>
      <c r="Q1058" s="1" t="s">
        <v>173</v>
      </c>
      <c r="R1058" s="1">
        <v>6</v>
      </c>
      <c r="S1058" s="9" t="s">
        <v>6</v>
      </c>
      <c r="T1058" s="66">
        <f>+Q1044</f>
        <v>150</v>
      </c>
      <c r="U1058" s="66"/>
      <c r="V1058" s="1" t="s">
        <v>14</v>
      </c>
      <c r="W1058" s="9" t="s">
        <v>13</v>
      </c>
      <c r="X1058" s="9" t="s">
        <v>6</v>
      </c>
      <c r="Y1058" s="66">
        <f>+V1044</f>
        <v>3.5</v>
      </c>
      <c r="Z1058" s="66"/>
      <c r="AA1058" s="1" t="s">
        <v>311</v>
      </c>
      <c r="AB1058" s="1" t="s">
        <v>173</v>
      </c>
      <c r="AC1058" s="1">
        <v>6</v>
      </c>
      <c r="AD1058" s="9" t="s">
        <v>6</v>
      </c>
      <c r="AE1058" s="66">
        <f>+AB1044</f>
        <v>55</v>
      </c>
      <c r="AF1058" s="66"/>
      <c r="AG1058" s="1" t="s">
        <v>14</v>
      </c>
      <c r="AH1058" s="9" t="s">
        <v>13</v>
      </c>
      <c r="AI1058" s="9" t="s">
        <v>6</v>
      </c>
      <c r="AJ1058" s="66">
        <f>+AG1044</f>
        <v>3.5</v>
      </c>
      <c r="AK1058" s="66"/>
      <c r="AL1058" s="1" t="s">
        <v>342</v>
      </c>
      <c r="AM1058" s="1" t="s">
        <v>173</v>
      </c>
      <c r="AN1058" s="66">
        <v>24</v>
      </c>
      <c r="AO1058" s="66"/>
      <c r="AP1058" s="9" t="s">
        <v>9</v>
      </c>
      <c r="AQ1058" s="1" t="s">
        <v>24</v>
      </c>
      <c r="AR1058" s="9" t="s">
        <v>5</v>
      </c>
      <c r="AS1058" s="9" t="s">
        <v>13</v>
      </c>
      <c r="AT1058" s="9" t="s">
        <v>9</v>
      </c>
      <c r="AU1058" s="1" t="s">
        <v>307</v>
      </c>
      <c r="CC1058" s="7"/>
    </row>
    <row r="1059" spans="2:81">
      <c r="B1059" s="6"/>
      <c r="C1059" s="1" t="s">
        <v>27</v>
      </c>
      <c r="D1059" s="67">
        <v>4</v>
      </c>
      <c r="E1059" s="67"/>
      <c r="F1059" s="67"/>
      <c r="G1059" s="1" t="s">
        <v>42</v>
      </c>
      <c r="P1059" s="8" t="str">
        <f>IF(D1059&lt;=AN1020,"","azalt.")</f>
        <v/>
      </c>
      <c r="CC1059" s="7"/>
    </row>
    <row r="1060" spans="2:81">
      <c r="B1060" s="6"/>
      <c r="C1060" s="1" t="s">
        <v>35</v>
      </c>
      <c r="E1060" s="66">
        <f>+E1053</f>
        <v>-465.10070800781239</v>
      </c>
      <c r="F1060" s="66"/>
      <c r="G1060" s="66"/>
      <c r="H1060" s="9" t="s">
        <v>5</v>
      </c>
      <c r="I1060" s="66">
        <f>+D1059</f>
        <v>4</v>
      </c>
      <c r="J1060" s="66"/>
      <c r="K1060" s="1" t="s">
        <v>254</v>
      </c>
      <c r="L1060" s="1">
        <v>2</v>
      </c>
      <c r="M1060" s="9" t="s">
        <v>9</v>
      </c>
      <c r="N1060" s="66">
        <f>+E1054</f>
        <v>212.12196350097653</v>
      </c>
      <c r="O1060" s="66"/>
      <c r="P1060" s="66"/>
      <c r="Q1060" s="9" t="s">
        <v>5</v>
      </c>
      <c r="R1060" s="66">
        <f>+I1060</f>
        <v>4</v>
      </c>
      <c r="S1060" s="66"/>
      <c r="T1060" s="1" t="s">
        <v>321</v>
      </c>
      <c r="U1060" s="1">
        <v>6</v>
      </c>
      <c r="V1060" s="9" t="s">
        <v>6</v>
      </c>
      <c r="W1060" s="66">
        <f>IF((Z1060-AC1060)&lt;0,0,T1058)</f>
        <v>150</v>
      </c>
      <c r="X1060" s="66"/>
      <c r="Y1060" s="1" t="s">
        <v>14</v>
      </c>
      <c r="Z1060" s="66">
        <f>+D1059</f>
        <v>4</v>
      </c>
      <c r="AA1060" s="66"/>
      <c r="AB1060" s="9" t="s">
        <v>6</v>
      </c>
      <c r="AC1060" s="66">
        <f>+Y1058</f>
        <v>3.5</v>
      </c>
      <c r="AD1060" s="66"/>
      <c r="AE1060" s="1" t="s">
        <v>311</v>
      </c>
      <c r="AF1060" s="1" t="s">
        <v>173</v>
      </c>
      <c r="AG1060" s="1">
        <v>6</v>
      </c>
      <c r="AH1060" s="9" t="s">
        <v>6</v>
      </c>
      <c r="AI1060" s="66">
        <f>IF((AL1060-AO1060)&lt;0,0,AE1058)</f>
        <v>55</v>
      </c>
      <c r="AJ1060" s="66"/>
      <c r="AK1060" s="1" t="s">
        <v>14</v>
      </c>
      <c r="AL1060" s="66">
        <f>+Z1060</f>
        <v>4</v>
      </c>
      <c r="AM1060" s="66"/>
      <c r="AN1060" s="9" t="s">
        <v>6</v>
      </c>
      <c r="AO1060" s="66">
        <f>+AJ1058</f>
        <v>3.5</v>
      </c>
      <c r="AP1060" s="66"/>
      <c r="AQ1060" s="1" t="s">
        <v>342</v>
      </c>
      <c r="AR1060" s="1" t="s">
        <v>173</v>
      </c>
      <c r="AS1060" s="66">
        <v>24</v>
      </c>
      <c r="AT1060" s="66"/>
      <c r="AU1060" s="1" t="s">
        <v>193</v>
      </c>
      <c r="AX1060" s="66">
        <f>+F1023</f>
        <v>200000</v>
      </c>
      <c r="AY1060" s="66"/>
      <c r="AZ1060" s="66"/>
      <c r="BA1060" s="9" t="s">
        <v>5</v>
      </c>
      <c r="BB1060" s="66">
        <f>+F1022</f>
        <v>92080</v>
      </c>
      <c r="BC1060" s="66"/>
      <c r="BD1060" s="66"/>
      <c r="BE1060" s="1" t="s">
        <v>40</v>
      </c>
      <c r="CC1060" s="7"/>
    </row>
    <row r="1061" spans="2:81">
      <c r="B1061" s="6"/>
      <c r="C1061" s="1" t="s">
        <v>33</v>
      </c>
      <c r="E1061" s="66">
        <f>(E1060*I1060^2/L1060+N1060*R1060^3/U1060-W1060*(Z1060-AC1060)^3/AG1060-AI1060*(AL1060-AO1060)^4/AS1060)*100000000/(AX1060*BB1060)</f>
        <v>-7.9357059941649446</v>
      </c>
      <c r="F1061" s="66"/>
      <c r="G1061" s="66"/>
      <c r="H1061" s="1" t="s">
        <v>41</v>
      </c>
      <c r="CC1061" s="7"/>
    </row>
    <row r="1062" spans="2:81">
      <c r="B1062" s="6"/>
      <c r="C1062" s="1" t="s">
        <v>172</v>
      </c>
      <c r="H1062" s="66">
        <f>AN1020*1000</f>
        <v>8000</v>
      </c>
      <c r="I1062" s="66"/>
      <c r="J1062" s="66"/>
      <c r="K1062" s="1" t="s">
        <v>173</v>
      </c>
      <c r="L1062" s="66">
        <v>300</v>
      </c>
      <c r="M1062" s="66"/>
      <c r="N1062" s="9" t="s">
        <v>7</v>
      </c>
      <c r="O1062" s="66">
        <f>+H1062/L1062</f>
        <v>26.666666666666668</v>
      </c>
      <c r="P1062" s="66"/>
      <c r="Q1062" s="66"/>
      <c r="R1062" s="1" t="s">
        <v>41</v>
      </c>
      <c r="U1062" s="1" t="s">
        <v>192</v>
      </c>
      <c r="CC1062" s="7"/>
    </row>
    <row r="1063" spans="2:81">
      <c r="B1063" s="6"/>
      <c r="C1063" s="1" t="s">
        <v>34</v>
      </c>
      <c r="D1063" s="66">
        <f>+E1061</f>
        <v>-7.9357059941649446</v>
      </c>
      <c r="E1063" s="66"/>
      <c r="F1063" s="66"/>
      <c r="G1063" s="1" t="s">
        <v>41</v>
      </c>
      <c r="I1063" s="1" t="str">
        <f>IF(ABS(D1063)&lt;ABS(M1063),"&lt;","&gt;")</f>
        <v>&lt;</v>
      </c>
      <c r="J1063" s="1" t="s">
        <v>174</v>
      </c>
      <c r="M1063" s="66">
        <f>+O1062</f>
        <v>26.666666666666668</v>
      </c>
      <c r="N1063" s="66"/>
      <c r="O1063" s="66"/>
      <c r="P1063" s="1" t="s">
        <v>41</v>
      </c>
      <c r="R1063" s="8" t="str">
        <f>IF(ABS(D1063)&lt;ABS(M1063),"uygun.","uygun değil.")</f>
        <v>uygun.</v>
      </c>
      <c r="CC1063" s="7"/>
    </row>
    <row r="1064" spans="2:81" ht="12" thickBot="1">
      <c r="B1064" s="12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13"/>
      <c r="AX1064" s="13"/>
      <c r="AY1064" s="13"/>
      <c r="AZ1064" s="13"/>
      <c r="BA1064" s="13"/>
      <c r="BB1064" s="13"/>
      <c r="BC1064" s="13"/>
      <c r="BD1064" s="13"/>
      <c r="BE1064" s="13"/>
      <c r="BF1064" s="13"/>
      <c r="BG1064" s="13"/>
      <c r="BH1064" s="13"/>
      <c r="BI1064" s="13"/>
      <c r="BJ1064" s="13"/>
      <c r="BK1064" s="13"/>
      <c r="BL1064" s="13"/>
      <c r="BM1064" s="13"/>
      <c r="BN1064" s="13"/>
      <c r="BO1064" s="13"/>
      <c r="BP1064" s="13"/>
      <c r="BQ1064" s="13"/>
      <c r="BR1064" s="13"/>
      <c r="BS1064" s="13"/>
      <c r="BT1064" s="13"/>
      <c r="BU1064" s="13"/>
      <c r="BV1064" s="13"/>
      <c r="BW1064" s="13"/>
      <c r="BX1064" s="13"/>
      <c r="BY1064" s="13"/>
      <c r="BZ1064" s="13"/>
      <c r="CA1064" s="13"/>
      <c r="CB1064" s="13"/>
      <c r="CC1064" s="14"/>
    </row>
    <row r="1065" spans="2:81" ht="12" thickBot="1"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44"/>
      <c r="AM1065" s="44"/>
      <c r="AN1065" s="44"/>
      <c r="AO1065" s="44"/>
      <c r="AP1065" s="44"/>
      <c r="AQ1065" s="44"/>
      <c r="AR1065" s="44"/>
      <c r="AS1065" s="44"/>
      <c r="AT1065" s="44"/>
      <c r="AU1065" s="44"/>
      <c r="AV1065" s="44"/>
      <c r="AW1065" s="44"/>
      <c r="AX1065" s="44"/>
      <c r="AY1065" s="44"/>
      <c r="AZ1065" s="44"/>
      <c r="BA1065" s="44"/>
      <c r="BB1065" s="44"/>
      <c r="BC1065" s="44"/>
      <c r="BD1065" s="44"/>
      <c r="BE1065" s="44"/>
      <c r="BF1065" s="44"/>
      <c r="BG1065" s="44"/>
      <c r="BH1065" s="44"/>
      <c r="BI1065" s="44"/>
      <c r="BJ1065" s="44"/>
      <c r="BK1065" s="44"/>
      <c r="BL1065" s="44"/>
      <c r="BM1065" s="44"/>
      <c r="BN1065" s="44"/>
      <c r="BO1065" s="44"/>
      <c r="BP1065" s="44"/>
      <c r="BQ1065" s="44"/>
      <c r="BR1065" s="44"/>
      <c r="BS1065" s="44"/>
      <c r="BT1065" s="44"/>
      <c r="BU1065" s="44"/>
      <c r="BV1065" s="44"/>
      <c r="BW1065" s="44"/>
      <c r="BX1065" s="44"/>
      <c r="BY1065" s="44"/>
      <c r="BZ1065" s="44"/>
      <c r="CA1065" s="44"/>
      <c r="CB1065" s="44"/>
      <c r="CC1065" s="44"/>
    </row>
    <row r="1066" spans="2:81" ht="48" customHeight="1">
      <c r="B1066" s="73" t="s">
        <v>421</v>
      </c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Q1066" s="74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74"/>
      <c r="AJ1066" s="74"/>
      <c r="AK1066" s="74"/>
      <c r="AL1066" s="74"/>
      <c r="AM1066" s="74"/>
      <c r="AN1066" s="74"/>
      <c r="AO1066" s="74"/>
      <c r="AP1066" s="74"/>
      <c r="AQ1066" s="74"/>
      <c r="AR1066" s="74"/>
      <c r="AS1066" s="74"/>
      <c r="AT1066" s="74"/>
      <c r="AU1066" s="74"/>
      <c r="AV1066" s="74"/>
      <c r="AW1066" s="74"/>
      <c r="AX1066" s="74"/>
      <c r="AY1066" s="74"/>
      <c r="AZ1066" s="74"/>
      <c r="BA1066" s="74"/>
      <c r="BB1066" s="74"/>
      <c r="BC1066" s="74"/>
      <c r="BD1066" s="74"/>
      <c r="BE1066" s="74"/>
      <c r="BF1066" s="74"/>
      <c r="BG1066" s="74"/>
      <c r="BH1066" s="74"/>
      <c r="BI1066" s="74"/>
      <c r="BJ1066" s="74"/>
      <c r="BK1066" s="74"/>
      <c r="BL1066" s="74"/>
      <c r="BM1066" s="74"/>
      <c r="BN1066" s="74"/>
      <c r="BO1066" s="74"/>
      <c r="BP1066" s="74"/>
      <c r="BQ1066" s="74"/>
      <c r="BR1066" s="74"/>
      <c r="BS1066" s="74"/>
      <c r="BT1066" s="74"/>
      <c r="BU1066" s="74"/>
      <c r="BV1066" s="74"/>
      <c r="BW1066" s="74"/>
      <c r="BX1066" s="74"/>
      <c r="BY1066" s="74"/>
      <c r="BZ1066" s="74"/>
      <c r="CA1066" s="74"/>
      <c r="CB1066" s="74"/>
      <c r="CC1066" s="75"/>
    </row>
    <row r="1067" spans="2:81">
      <c r="B1067" s="6"/>
      <c r="Z1067" s="8" t="s">
        <v>176</v>
      </c>
      <c r="AR1067" s="1" t="s">
        <v>290</v>
      </c>
      <c r="CC1067" s="7"/>
    </row>
    <row r="1068" spans="2:81">
      <c r="B1068" s="6"/>
      <c r="O1068" s="67" t="s">
        <v>171</v>
      </c>
      <c r="P1068" s="67"/>
      <c r="Q1068" s="67"/>
      <c r="R1068" s="67"/>
      <c r="S1068" s="67"/>
      <c r="T1068" s="67"/>
      <c r="AG1068" s="1" t="s">
        <v>505</v>
      </c>
      <c r="CC1068" s="7"/>
    </row>
    <row r="1069" spans="2:81">
      <c r="B1069" s="6"/>
      <c r="AG1069" s="67">
        <v>15</v>
      </c>
      <c r="AH1069" s="67"/>
      <c r="AI1069" s="1" t="s">
        <v>187</v>
      </c>
      <c r="AQ1069" s="1" t="s">
        <v>504</v>
      </c>
      <c r="CC1069" s="7"/>
    </row>
    <row r="1070" spans="2:81">
      <c r="B1070" s="6"/>
      <c r="AR1070" s="67">
        <v>30</v>
      </c>
      <c r="AS1070" s="67"/>
      <c r="AT1070" s="1" t="s">
        <v>187</v>
      </c>
      <c r="BI1070" s="23" t="s">
        <v>341</v>
      </c>
      <c r="CC1070" s="7"/>
    </row>
    <row r="1071" spans="2:81">
      <c r="B1071" s="6"/>
      <c r="BI1071" s="1" t="s">
        <v>301</v>
      </c>
      <c r="BK1071" s="66">
        <f>+AK1098</f>
        <v>2.4717597126999631</v>
      </c>
      <c r="BL1071" s="66"/>
      <c r="BM1071" s="66"/>
      <c r="CC1071" s="7"/>
    </row>
    <row r="1072" spans="2:81">
      <c r="B1072" s="6"/>
      <c r="C1072" s="71">
        <f>INDEX($CI$24:$CI$138,MATCH(O1068,$CG$24:$CG$138,0),0)</f>
        <v>600</v>
      </c>
      <c r="U1072" s="1" t="s">
        <v>405</v>
      </c>
      <c r="W1072" s="66">
        <f>-H1151</f>
        <v>-121.50390625000003</v>
      </c>
      <c r="X1072" s="66"/>
      <c r="Y1072" s="1" t="s">
        <v>191</v>
      </c>
      <c r="BB1072" s="1" t="s">
        <v>406</v>
      </c>
      <c r="BD1072" s="66">
        <f>-AA1152</f>
        <v>-147.87109375000006</v>
      </c>
      <c r="BE1072" s="66"/>
      <c r="BF1072" s="1" t="s">
        <v>191</v>
      </c>
      <c r="BI1072" s="1" t="s">
        <v>297</v>
      </c>
      <c r="BK1072" s="66">
        <f>ABS(+AW1090)</f>
        <v>147.87109374999977</v>
      </c>
      <c r="BL1072" s="66"/>
      <c r="BM1072" s="66"/>
      <c r="BN1072" s="1" t="s">
        <v>191</v>
      </c>
      <c r="BP1072" s="1" t="s">
        <v>329</v>
      </c>
      <c r="CC1072" s="7"/>
    </row>
    <row r="1073" spans="2:81">
      <c r="B1073" s="6"/>
      <c r="C1073" s="71"/>
      <c r="BI1073" s="1" t="s">
        <v>330</v>
      </c>
      <c r="BL1073" s="66">
        <f>MAX(ABS(BL1074),ABS(BM1074),ABS(BN1074))</f>
        <v>114.85839843749997</v>
      </c>
      <c r="BM1073" s="66"/>
      <c r="BN1073" s="66"/>
      <c r="BO1073" s="1" t="s">
        <v>0</v>
      </c>
      <c r="BQ1073" s="1" t="s">
        <v>331</v>
      </c>
      <c r="CC1073" s="7"/>
    </row>
    <row r="1074" spans="2:81">
      <c r="B1074" s="6"/>
      <c r="C1074" s="71"/>
      <c r="J1074" s="66">
        <f>INDEX($CK$24:$CK$138,MATCH(O1068,$CG$24:$CG$138,0),0)</f>
        <v>12</v>
      </c>
      <c r="K1074" s="66"/>
      <c r="BI1074" s="2"/>
      <c r="BJ1074" s="2"/>
      <c r="BK1074" s="2"/>
      <c r="BL1074" s="40">
        <f>AB1077</f>
        <v>80.141601562500028</v>
      </c>
      <c r="BM1074" s="40">
        <f>+BL1074-AG1069*AG1078</f>
        <v>35.141601562500028</v>
      </c>
      <c r="BN1074" s="40">
        <f>+BM1074-AR1070*AS1078</f>
        <v>-114.85839843749997</v>
      </c>
      <c r="BO1074" s="2"/>
      <c r="BP1074" s="2"/>
      <c r="BQ1074" s="2"/>
      <c r="BR1074" s="2"/>
      <c r="BS1074" s="2"/>
      <c r="BT1074" s="2"/>
      <c r="BU1074" s="2"/>
      <c r="CC1074" s="7"/>
    </row>
    <row r="1075" spans="2:81">
      <c r="B1075" s="6"/>
      <c r="AF1075" s="1" t="s">
        <v>13</v>
      </c>
      <c r="AQ1075" s="1" t="s">
        <v>428</v>
      </c>
      <c r="CC1075" s="7"/>
    </row>
    <row r="1076" spans="2:81">
      <c r="B1076" s="6"/>
      <c r="CC1076" s="7"/>
    </row>
    <row r="1077" spans="2:81">
      <c r="B1077" s="6"/>
      <c r="K1077" s="66">
        <f>INDEX($CL$24:$CL$138,MATCH(O1068,$CG$24:$CG$138,0),0)</f>
        <v>19</v>
      </c>
      <c r="L1077" s="66"/>
      <c r="AA1077" s="1" t="s">
        <v>2</v>
      </c>
      <c r="AB1077" s="66">
        <f>+H1149</f>
        <v>80.141601562500028</v>
      </c>
      <c r="AC1077" s="66"/>
      <c r="AD1077" s="1" t="s">
        <v>0</v>
      </c>
      <c r="AX1077" s="1" t="s">
        <v>3</v>
      </c>
      <c r="AY1077" s="66">
        <f>+R1150</f>
        <v>114.85839843750003</v>
      </c>
      <c r="AZ1077" s="66"/>
      <c r="BA1077" s="1" t="s">
        <v>0</v>
      </c>
      <c r="CC1077" s="7"/>
    </row>
    <row r="1078" spans="2:81">
      <c r="B1078" s="6"/>
      <c r="AG1078" s="67">
        <v>3</v>
      </c>
      <c r="AH1078" s="67"/>
      <c r="AI1078" s="9" t="s">
        <v>1</v>
      </c>
      <c r="AS1078" s="66">
        <f>+AN1080-AG1078</f>
        <v>5</v>
      </c>
      <c r="AT1078" s="66"/>
      <c r="AU1078" s="1" t="s">
        <v>1</v>
      </c>
      <c r="CC1078" s="7"/>
    </row>
    <row r="1079" spans="2:81">
      <c r="B1079" s="6"/>
      <c r="BF1079" s="23" t="s">
        <v>266</v>
      </c>
      <c r="CC1079" s="7"/>
    </row>
    <row r="1080" spans="2:81">
      <c r="B1080" s="6"/>
      <c r="I1080" s="66">
        <f>INDEX($CJ$24:$CJ$138,MATCH(O1068,$CG$24:$CG$138,0),0)</f>
        <v>220</v>
      </c>
      <c r="J1080" s="66"/>
      <c r="AM1080" s="1" t="s">
        <v>197</v>
      </c>
      <c r="AN1080" s="67">
        <v>8</v>
      </c>
      <c r="AO1080" s="67"/>
      <c r="AP1080" s="9" t="s">
        <v>1</v>
      </c>
      <c r="BF1080" s="11" t="s">
        <v>265</v>
      </c>
      <c r="CC1080" s="7"/>
    </row>
    <row r="1081" spans="2:81">
      <c r="B1081" s="6"/>
      <c r="BF1081" s="11" t="s">
        <v>263</v>
      </c>
      <c r="CC1081" s="7"/>
    </row>
    <row r="1082" spans="2:81">
      <c r="B1082" s="6"/>
      <c r="D1082" s="10" t="s">
        <v>36</v>
      </c>
      <c r="F1082" s="66">
        <f>INDEX($CM$24:$CM$138,MATCH(O1068,$CG$24:$CG$138,0),0)</f>
        <v>92080</v>
      </c>
      <c r="G1082" s="66"/>
      <c r="H1082" s="66"/>
      <c r="I1082" s="66"/>
      <c r="J1082" s="1" t="s">
        <v>37</v>
      </c>
      <c r="M1082" s="1" t="s">
        <v>175</v>
      </c>
      <c r="AA1082" s="1" t="s">
        <v>436</v>
      </c>
      <c r="AL1082" s="23" t="s">
        <v>317</v>
      </c>
      <c r="AX1082" s="1" t="s">
        <v>437</v>
      </c>
      <c r="BF1082" s="11" t="s">
        <v>264</v>
      </c>
      <c r="CC1082" s="7"/>
    </row>
    <row r="1083" spans="2:81">
      <c r="B1083" s="6"/>
      <c r="D1083" s="1" t="s">
        <v>38</v>
      </c>
      <c r="F1083" s="67">
        <v>200000</v>
      </c>
      <c r="G1083" s="67"/>
      <c r="H1083" s="67"/>
      <c r="I1083" s="67"/>
      <c r="J1083" s="1" t="s">
        <v>39</v>
      </c>
      <c r="M1083" s="1" t="s">
        <v>302</v>
      </c>
      <c r="AE1083" s="9"/>
      <c r="AH1083" s="9"/>
      <c r="CC1083" s="7"/>
    </row>
    <row r="1084" spans="2:81">
      <c r="B1084" s="6"/>
      <c r="AK1084" s="1" t="s">
        <v>460</v>
      </c>
      <c r="CC1084" s="7"/>
    </row>
    <row r="1085" spans="2:81">
      <c r="B1085" s="6"/>
      <c r="D1085" s="9"/>
      <c r="E1085" s="9"/>
      <c r="F1085" s="9"/>
      <c r="G1085" s="9"/>
      <c r="AA1085" s="1" t="s">
        <v>319</v>
      </c>
      <c r="AK1085" s="1" t="s">
        <v>461</v>
      </c>
      <c r="AX1085" s="1" t="s">
        <v>345</v>
      </c>
      <c r="CC1085" s="7"/>
    </row>
    <row r="1086" spans="2:81">
      <c r="B1086" s="6"/>
      <c r="AK1086" s="1" t="s">
        <v>464</v>
      </c>
      <c r="CC1086" s="7"/>
    </row>
    <row r="1087" spans="2:81">
      <c r="B1087" s="6"/>
      <c r="AK1087" s="1" t="s">
        <v>469</v>
      </c>
      <c r="CC1087" s="7"/>
    </row>
    <row r="1088" spans="2:81">
      <c r="B1088" s="6"/>
      <c r="C1088" s="23" t="s">
        <v>253</v>
      </c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CC1088" s="7"/>
    </row>
    <row r="1089" spans="2:81">
      <c r="B1089" s="6"/>
      <c r="C1089" s="1" t="s">
        <v>27</v>
      </c>
      <c r="D1089" s="66">
        <f>+BK1089</f>
        <v>8</v>
      </c>
      <c r="E1089" s="66"/>
      <c r="F1089" s="66"/>
      <c r="G1089" s="1" t="s">
        <v>257</v>
      </c>
      <c r="H1089" s="9"/>
      <c r="I1089" s="9"/>
      <c r="J1089" s="9"/>
      <c r="M1089" s="9"/>
      <c r="O1089" s="2"/>
      <c r="P1089" s="42"/>
      <c r="Q1089" s="2"/>
      <c r="R1089" s="2"/>
      <c r="S1089" s="2"/>
      <c r="X1089" s="2"/>
      <c r="AC1089" s="2"/>
      <c r="AH1089" s="2"/>
      <c r="AM1089" s="2"/>
      <c r="AN1089" s="2"/>
      <c r="AQ1089" s="72"/>
      <c r="AR1089" s="72"/>
      <c r="AS1089" s="2"/>
      <c r="AT1089" s="2"/>
      <c r="AU1089" s="2"/>
      <c r="AV1089" s="2"/>
      <c r="AW1089" s="2"/>
      <c r="AX1089" s="2"/>
      <c r="BE1089" s="76">
        <f>AB1077/AG1069</f>
        <v>5.3427734375000018</v>
      </c>
      <c r="BF1089" s="76"/>
      <c r="BG1089" s="76">
        <f>ABS(W1072+AB1077*BE1089-AG1069*BE1089*BE1089/2)</f>
        <v>92.585303783416833</v>
      </c>
      <c r="BH1089" s="76"/>
      <c r="BI1089" s="76">
        <f>MAX(BG1089,BG1090,BG1091,BG1092)</f>
        <v>147.87109375000006</v>
      </c>
      <c r="BJ1089" s="76"/>
      <c r="BK1089" s="76" cm="1">
        <f t="array" ref="BK1089">INDEX(BE1089:BE1092,MATCH(BI1089,BG1089:BG1092,0),0)</f>
        <v>8</v>
      </c>
      <c r="BL1089" s="76"/>
      <c r="BM1089" s="2"/>
      <c r="BN1089" s="2"/>
      <c r="CC1089" s="7"/>
    </row>
    <row r="1090" spans="2:81">
      <c r="B1090" s="6"/>
      <c r="C1090" s="1" t="s">
        <v>260</v>
      </c>
      <c r="D1090" s="9"/>
      <c r="E1090" s="9"/>
      <c r="F1090" s="66">
        <f>+W1072</f>
        <v>-121.50390625000003</v>
      </c>
      <c r="G1090" s="66"/>
      <c r="H1090" s="66"/>
      <c r="I1090" s="9" t="s">
        <v>9</v>
      </c>
      <c r="J1090" s="66">
        <f>+AB1077</f>
        <v>80.141601562500028</v>
      </c>
      <c r="K1090" s="66"/>
      <c r="L1090" s="66"/>
      <c r="M1090" s="9" t="s">
        <v>5</v>
      </c>
      <c r="N1090" s="66">
        <f>+D1089</f>
        <v>8</v>
      </c>
      <c r="O1090" s="66"/>
      <c r="P1090" s="9" t="s">
        <v>6</v>
      </c>
      <c r="Q1090" s="66">
        <f>IF(T1090&gt;AG1078,0,AG1069)</f>
        <v>0</v>
      </c>
      <c r="R1090" s="66"/>
      <c r="S1090" s="9" t="s">
        <v>5</v>
      </c>
      <c r="T1090" s="66">
        <f>+D1089</f>
        <v>8</v>
      </c>
      <c r="U1090" s="66"/>
      <c r="V1090" s="1" t="s">
        <v>254</v>
      </c>
      <c r="W1090" s="1">
        <v>2</v>
      </c>
      <c r="X1090" s="9" t="s">
        <v>6</v>
      </c>
      <c r="Y1090" s="66">
        <f>IF(AE1090&lt;AG1078,0,AG1069)</f>
        <v>15</v>
      </c>
      <c r="Z1090" s="66"/>
      <c r="AA1090" s="9" t="s">
        <v>5</v>
      </c>
      <c r="AB1090" s="66">
        <f>+AG1078</f>
        <v>3</v>
      </c>
      <c r="AC1090" s="66"/>
      <c r="AD1090" s="1" t="s">
        <v>14</v>
      </c>
      <c r="AE1090" s="66">
        <f>+D1089</f>
        <v>8</v>
      </c>
      <c r="AF1090" s="66"/>
      <c r="AG1090" s="9" t="s">
        <v>6</v>
      </c>
      <c r="AH1090" s="66">
        <f>+AG1078/2</f>
        <v>1.5</v>
      </c>
      <c r="AI1090" s="66"/>
      <c r="AJ1090" s="1" t="s">
        <v>16</v>
      </c>
      <c r="AK1090" s="66">
        <f>IF(D1089&lt;AG1078,0,AR1070)</f>
        <v>30</v>
      </c>
      <c r="AL1090" s="66"/>
      <c r="AM1090" s="1" t="s">
        <v>14</v>
      </c>
      <c r="AN1090" s="66">
        <f>+D1089</f>
        <v>8</v>
      </c>
      <c r="AO1090" s="66"/>
      <c r="AP1090" s="9" t="s">
        <v>6</v>
      </c>
      <c r="AQ1090" s="66">
        <f>+AG1078</f>
        <v>3</v>
      </c>
      <c r="AR1090" s="66"/>
      <c r="AS1090" s="1" t="s">
        <v>200</v>
      </c>
      <c r="AT1090" s="1" t="s">
        <v>173</v>
      </c>
      <c r="AU1090" s="1">
        <v>2</v>
      </c>
      <c r="AV1090" s="9" t="s">
        <v>7</v>
      </c>
      <c r="AW1090" s="66">
        <f>+F1090+J1090*N1090-Q1090*T1090^2/W1090-Y1090*AB1090*(AE1090-AH1090)-AK1090*(AN1090-AQ1090)^2/AU1090</f>
        <v>-147.87109374999977</v>
      </c>
      <c r="AX1090" s="66"/>
      <c r="AY1090" s="66"/>
      <c r="AZ1090" s="1" t="s">
        <v>191</v>
      </c>
      <c r="BE1090" s="76">
        <f>(AB1077-AG1069*AG1078+AR1070*AG1078)/AR1070</f>
        <v>4.1713867187500009</v>
      </c>
      <c r="BF1090" s="76"/>
      <c r="BG1090" s="76">
        <f>ABS(W1072+AB1077*BE1090-AG1069*AG1078*(BE1090-AG1078/2)-AR1070*(BE1090-AG1078)^2/2)</f>
        <v>72.003101110458445</v>
      </c>
      <c r="BH1090" s="76"/>
      <c r="BI1090" s="40"/>
      <c r="BJ1090" s="40"/>
      <c r="BK1090" s="40"/>
      <c r="BL1090" s="40"/>
      <c r="BM1090" s="2"/>
      <c r="BN1090" s="2"/>
      <c r="CC1090" s="7"/>
    </row>
    <row r="1091" spans="2:81">
      <c r="B1091" s="6"/>
      <c r="C1091" s="1" t="s">
        <v>247</v>
      </c>
      <c r="E1091" s="66">
        <f>+AN1080/2</f>
        <v>4</v>
      </c>
      <c r="F1091" s="66"/>
      <c r="G1091" s="66"/>
      <c r="H1091" s="1" t="s">
        <v>252</v>
      </c>
      <c r="I1091" s="9"/>
      <c r="J1091" s="9"/>
      <c r="M1091" s="9"/>
      <c r="N1091" s="21"/>
      <c r="P1091" s="9"/>
      <c r="Q1091" s="9"/>
      <c r="S1091" s="9"/>
      <c r="T1091" s="8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P1091" s="9"/>
      <c r="BB1091" s="9"/>
      <c r="BE1091" s="76">
        <v>0</v>
      </c>
      <c r="BF1091" s="76"/>
      <c r="BG1091" s="76">
        <f>ABS(W1072)</f>
        <v>121.50390625000003</v>
      </c>
      <c r="BH1091" s="76"/>
      <c r="BI1091" s="40"/>
      <c r="BJ1091" s="40"/>
      <c r="BK1091" s="43"/>
      <c r="BL1091" s="40"/>
      <c r="BM1091" s="2"/>
      <c r="BN1091" s="2"/>
      <c r="BQ1091" s="9"/>
      <c r="CC1091" s="7"/>
    </row>
    <row r="1092" spans="2:81">
      <c r="B1092" s="6"/>
      <c r="C1092" s="1" t="s">
        <v>261</v>
      </c>
      <c r="D1092" s="9"/>
      <c r="F1092" s="66">
        <f>+F1090</f>
        <v>-121.50390625000003</v>
      </c>
      <c r="G1092" s="66"/>
      <c r="H1092" s="66"/>
      <c r="I1092" s="9" t="s">
        <v>9</v>
      </c>
      <c r="J1092" s="66">
        <f>+J1090</f>
        <v>80.141601562500028</v>
      </c>
      <c r="K1092" s="66"/>
      <c r="L1092" s="66"/>
      <c r="M1092" s="9" t="s">
        <v>5</v>
      </c>
      <c r="N1092" s="66">
        <f>+E1091</f>
        <v>4</v>
      </c>
      <c r="O1092" s="66"/>
      <c r="P1092" s="9" t="s">
        <v>6</v>
      </c>
      <c r="Q1092" s="66">
        <f>IF(T1092&gt;AG1078,0,AG1069)</f>
        <v>0</v>
      </c>
      <c r="R1092" s="66"/>
      <c r="S1092" s="9" t="s">
        <v>5</v>
      </c>
      <c r="T1092" s="66">
        <f>+E1091</f>
        <v>4</v>
      </c>
      <c r="U1092" s="66"/>
      <c r="V1092" s="1" t="s">
        <v>254</v>
      </c>
      <c r="W1092" s="1">
        <v>2</v>
      </c>
      <c r="X1092" s="9" t="s">
        <v>6</v>
      </c>
      <c r="Y1092" s="66">
        <f>IF(AE1092&lt;AG1078,0,AG1069)</f>
        <v>15</v>
      </c>
      <c r="Z1092" s="66"/>
      <c r="AA1092" s="9" t="s">
        <v>5</v>
      </c>
      <c r="AB1092" s="66">
        <f>+AG1078</f>
        <v>3</v>
      </c>
      <c r="AC1092" s="66"/>
      <c r="AD1092" s="1" t="s">
        <v>14</v>
      </c>
      <c r="AE1092" s="66">
        <f>+E1091</f>
        <v>4</v>
      </c>
      <c r="AF1092" s="66"/>
      <c r="AG1092" s="9" t="s">
        <v>6</v>
      </c>
      <c r="AH1092" s="66">
        <f>+AG1078/2</f>
        <v>1.5</v>
      </c>
      <c r="AI1092" s="66"/>
      <c r="AJ1092" s="1" t="s">
        <v>16</v>
      </c>
      <c r="AK1092" s="66">
        <f>IF(E1091&lt;AG1078,0,AR1070)</f>
        <v>30</v>
      </c>
      <c r="AL1092" s="66"/>
      <c r="AM1092" s="1" t="s">
        <v>14</v>
      </c>
      <c r="AN1092" s="66">
        <f>+E1091</f>
        <v>4</v>
      </c>
      <c r="AO1092" s="66"/>
      <c r="AP1092" s="9" t="s">
        <v>6</v>
      </c>
      <c r="AQ1092" s="66">
        <f>+AG1078</f>
        <v>3</v>
      </c>
      <c r="AR1092" s="66"/>
      <c r="AS1092" s="1" t="s">
        <v>200</v>
      </c>
      <c r="AT1092" s="1" t="s">
        <v>173</v>
      </c>
      <c r="AU1092" s="1">
        <v>2</v>
      </c>
      <c r="AV1092" s="9" t="s">
        <v>7</v>
      </c>
      <c r="AW1092" s="66">
        <f>+F1092+J1092*N1092-Q1092*T1092^2/W1092-Y1092*AB1092*(AE1092-AH1092)-AK1092*(AN1092-AQ1092)^2/AU1092</f>
        <v>71.562500000000085</v>
      </c>
      <c r="AX1092" s="66"/>
      <c r="AY1092" s="66"/>
      <c r="AZ1092" s="1" t="s">
        <v>191</v>
      </c>
      <c r="BE1092" s="76">
        <f>+AN1080</f>
        <v>8</v>
      </c>
      <c r="BF1092" s="76"/>
      <c r="BG1092" s="76">
        <f>ABS(BD1072)</f>
        <v>147.87109375000006</v>
      </c>
      <c r="BH1092" s="76"/>
      <c r="BI1092" s="40"/>
      <c r="BJ1092" s="40"/>
      <c r="BK1092" s="40"/>
      <c r="BL1092" s="40"/>
      <c r="BM1092" s="2"/>
      <c r="BN1092" s="2"/>
      <c r="CC1092" s="7"/>
    </row>
    <row r="1093" spans="2:81">
      <c r="B1093" s="6"/>
      <c r="C1093" s="1" t="s">
        <v>248</v>
      </c>
      <c r="E1093" s="66">
        <f>+AN1080/4</f>
        <v>2</v>
      </c>
      <c r="F1093" s="66"/>
      <c r="G1093" s="66"/>
      <c r="H1093" s="1" t="s">
        <v>252</v>
      </c>
      <c r="I1093" s="9"/>
      <c r="J1093" s="9"/>
      <c r="M1093" s="9"/>
      <c r="N1093" s="21"/>
      <c r="P1093" s="9"/>
      <c r="Q1093" s="9"/>
      <c r="S1093" s="9"/>
      <c r="T1093" s="8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P1093" s="9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CC1093" s="7"/>
    </row>
    <row r="1094" spans="2:81">
      <c r="B1094" s="6"/>
      <c r="C1094" s="1" t="s">
        <v>249</v>
      </c>
      <c r="F1094" s="66">
        <f>+F1092</f>
        <v>-121.50390625000003</v>
      </c>
      <c r="G1094" s="66"/>
      <c r="H1094" s="66"/>
      <c r="I1094" s="9" t="s">
        <v>9</v>
      </c>
      <c r="J1094" s="66">
        <f>+J1092</f>
        <v>80.141601562500028</v>
      </c>
      <c r="K1094" s="66"/>
      <c r="L1094" s="66"/>
      <c r="M1094" s="9" t="s">
        <v>5</v>
      </c>
      <c r="N1094" s="66">
        <f>+E1093</f>
        <v>2</v>
      </c>
      <c r="O1094" s="66"/>
      <c r="P1094" s="9" t="s">
        <v>6</v>
      </c>
      <c r="Q1094" s="66">
        <f>IF(T1094&gt;AG1078,0,AG1069)</f>
        <v>15</v>
      </c>
      <c r="R1094" s="66"/>
      <c r="S1094" s="9" t="s">
        <v>5</v>
      </c>
      <c r="T1094" s="66">
        <f>+E1093</f>
        <v>2</v>
      </c>
      <c r="U1094" s="66"/>
      <c r="V1094" s="1" t="s">
        <v>254</v>
      </c>
      <c r="W1094" s="1">
        <v>2</v>
      </c>
      <c r="X1094" s="9" t="s">
        <v>6</v>
      </c>
      <c r="Y1094" s="66">
        <f>IF(AE1094&lt;AG1078,0,AG1069)</f>
        <v>0</v>
      </c>
      <c r="Z1094" s="66"/>
      <c r="AA1094" s="9" t="s">
        <v>5</v>
      </c>
      <c r="AB1094" s="66">
        <f>+AG1078</f>
        <v>3</v>
      </c>
      <c r="AC1094" s="66"/>
      <c r="AD1094" s="1" t="s">
        <v>14</v>
      </c>
      <c r="AE1094" s="66">
        <f>+E1093</f>
        <v>2</v>
      </c>
      <c r="AF1094" s="66"/>
      <c r="AG1094" s="9" t="s">
        <v>6</v>
      </c>
      <c r="AH1094" s="66">
        <f>+AG1078/2</f>
        <v>1.5</v>
      </c>
      <c r="AI1094" s="66"/>
      <c r="AJ1094" s="1" t="s">
        <v>16</v>
      </c>
      <c r="AK1094" s="66">
        <f>IF(E1093&lt;AG1078,0,AR1070)</f>
        <v>0</v>
      </c>
      <c r="AL1094" s="66"/>
      <c r="AM1094" s="1" t="s">
        <v>14</v>
      </c>
      <c r="AN1094" s="66">
        <f>+E1093</f>
        <v>2</v>
      </c>
      <c r="AO1094" s="66"/>
      <c r="AP1094" s="9" t="s">
        <v>6</v>
      </c>
      <c r="AQ1094" s="66">
        <f>+AG1078</f>
        <v>3</v>
      </c>
      <c r="AR1094" s="66"/>
      <c r="AS1094" s="1" t="s">
        <v>200</v>
      </c>
      <c r="AT1094" s="1" t="s">
        <v>173</v>
      </c>
      <c r="AU1094" s="1">
        <v>2</v>
      </c>
      <c r="AV1094" s="9" t="s">
        <v>7</v>
      </c>
      <c r="AW1094" s="66">
        <f>+F1094+J1094*N1094-Q1094*T1094^2/W1094-Y1094*AB1094*(AE1094-AH1094)-AK1094*(AN1094-AQ1094)^2/AU1094</f>
        <v>8.7792968750000284</v>
      </c>
      <c r="AX1094" s="66"/>
      <c r="AY1094" s="66"/>
      <c r="AZ1094" s="1" t="s">
        <v>191</v>
      </c>
      <c r="CC1094" s="7"/>
    </row>
    <row r="1095" spans="2:81">
      <c r="B1095" s="6"/>
      <c r="C1095" s="1" t="s">
        <v>250</v>
      </c>
      <c r="F1095" s="66">
        <f>+AN1080*3/4</f>
        <v>6</v>
      </c>
      <c r="G1095" s="66"/>
      <c r="H1095" s="66"/>
      <c r="I1095" s="1" t="s">
        <v>252</v>
      </c>
      <c r="J1095" s="9"/>
      <c r="M1095" s="9"/>
      <c r="N1095" s="21"/>
      <c r="P1095" s="9"/>
      <c r="Q1095" s="9"/>
      <c r="R1095" s="9"/>
      <c r="U1095" s="9"/>
      <c r="X1095" s="9"/>
      <c r="Y1095" s="9"/>
      <c r="Z1095" s="9"/>
      <c r="AA1095" s="9"/>
      <c r="AB1095" s="9"/>
      <c r="AC1095" s="9"/>
      <c r="AD1095" s="9"/>
      <c r="AE1095" s="9"/>
      <c r="AP1095" s="9"/>
      <c r="CC1095" s="7"/>
    </row>
    <row r="1096" spans="2:81">
      <c r="B1096" s="6"/>
      <c r="C1096" s="1" t="s">
        <v>251</v>
      </c>
      <c r="F1096" s="66">
        <f>+F1094</f>
        <v>-121.50390625000003</v>
      </c>
      <c r="G1096" s="66"/>
      <c r="H1096" s="66"/>
      <c r="I1096" s="9" t="s">
        <v>9</v>
      </c>
      <c r="J1096" s="66">
        <f>+J1094</f>
        <v>80.141601562500028</v>
      </c>
      <c r="K1096" s="66"/>
      <c r="L1096" s="66"/>
      <c r="M1096" s="9" t="s">
        <v>5</v>
      </c>
      <c r="N1096" s="66">
        <f>+F1095</f>
        <v>6</v>
      </c>
      <c r="O1096" s="66"/>
      <c r="P1096" s="9" t="s">
        <v>6</v>
      </c>
      <c r="Q1096" s="66">
        <f>IF(T1096&gt;AG1078,0,AG1069)</f>
        <v>0</v>
      </c>
      <c r="R1096" s="66"/>
      <c r="S1096" s="9" t="s">
        <v>5</v>
      </c>
      <c r="T1096" s="66">
        <f>+F1095</f>
        <v>6</v>
      </c>
      <c r="U1096" s="66"/>
      <c r="V1096" s="1" t="s">
        <v>254</v>
      </c>
      <c r="W1096" s="1">
        <v>2</v>
      </c>
      <c r="X1096" s="9" t="s">
        <v>6</v>
      </c>
      <c r="Y1096" s="66">
        <f>IF(AE1096&lt;AG1078,0,AG1069)</f>
        <v>15</v>
      </c>
      <c r="Z1096" s="66"/>
      <c r="AA1096" s="9" t="s">
        <v>5</v>
      </c>
      <c r="AB1096" s="66">
        <f>+AG1078</f>
        <v>3</v>
      </c>
      <c r="AC1096" s="66"/>
      <c r="AD1096" s="1" t="s">
        <v>14</v>
      </c>
      <c r="AE1096" s="66">
        <f>+F1095</f>
        <v>6</v>
      </c>
      <c r="AF1096" s="66"/>
      <c r="AG1096" s="9" t="s">
        <v>6</v>
      </c>
      <c r="AH1096" s="66">
        <f>+AG1078/2</f>
        <v>1.5</v>
      </c>
      <c r="AI1096" s="66"/>
      <c r="AJ1096" s="1" t="s">
        <v>16</v>
      </c>
      <c r="AK1096" s="66">
        <f>IF(F1095&lt;AG1078,0,AR1070)</f>
        <v>30</v>
      </c>
      <c r="AL1096" s="66"/>
      <c r="AM1096" s="1" t="s">
        <v>14</v>
      </c>
      <c r="AN1096" s="66">
        <f>+F1095</f>
        <v>6</v>
      </c>
      <c r="AO1096" s="66"/>
      <c r="AP1096" s="9" t="s">
        <v>6</v>
      </c>
      <c r="AQ1096" s="66">
        <f>+AG1078</f>
        <v>3</v>
      </c>
      <c r="AR1096" s="66"/>
      <c r="AS1096" s="1" t="s">
        <v>200</v>
      </c>
      <c r="AT1096" s="1" t="s">
        <v>173</v>
      </c>
      <c r="AU1096" s="1">
        <v>2</v>
      </c>
      <c r="AV1096" s="9" t="s">
        <v>7</v>
      </c>
      <c r="AW1096" s="66">
        <f>+F1096+J1096*N1096-Q1096*T1096^2/W1096-Y1096*AB1096*(AE1096-AH1096)-AK1096*(AN1096-AQ1096)^2/AU1096</f>
        <v>21.845703125000114</v>
      </c>
      <c r="AX1096" s="66"/>
      <c r="AY1096" s="66"/>
      <c r="AZ1096" s="1" t="s">
        <v>191</v>
      </c>
      <c r="CC1096" s="7"/>
    </row>
    <row r="1097" spans="2:81">
      <c r="B1097" s="6"/>
      <c r="C1097" s="1" t="s">
        <v>300</v>
      </c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U1097" s="9"/>
      <c r="V1097" s="9"/>
      <c r="W1097" s="9"/>
      <c r="X1097" s="9"/>
      <c r="Y1097" s="9"/>
      <c r="Z1097" s="9"/>
      <c r="AA1097" s="9"/>
      <c r="AB1097" s="9"/>
      <c r="AD1097" s="9"/>
      <c r="AE1097" s="9"/>
      <c r="AF1097" s="9"/>
      <c r="AG1097" s="9"/>
      <c r="AH1097" s="9"/>
      <c r="AI1097" s="9"/>
      <c r="AJ1097" s="9"/>
      <c r="AK1097" s="9"/>
      <c r="AM1097" s="9"/>
      <c r="AN1097" s="9"/>
      <c r="AO1097" s="9"/>
      <c r="AP1097" s="9"/>
      <c r="AQ1097" s="9"/>
      <c r="AR1097" s="9"/>
      <c r="CC1097" s="7"/>
    </row>
    <row r="1098" spans="2:81">
      <c r="B1098" s="6"/>
      <c r="C1098" s="1" t="s">
        <v>301</v>
      </c>
      <c r="E1098" s="66">
        <v>12.5</v>
      </c>
      <c r="F1098" s="66"/>
      <c r="G1098" s="9" t="s">
        <v>5</v>
      </c>
      <c r="H1098" s="66">
        <f>ABS(AW1090)</f>
        <v>147.87109374999977</v>
      </c>
      <c r="I1098" s="66"/>
      <c r="J1098" s="66"/>
      <c r="K1098" s="9" t="s">
        <v>275</v>
      </c>
      <c r="L1098" s="66">
        <v>2.5</v>
      </c>
      <c r="M1098" s="66"/>
      <c r="N1098" s="9" t="s">
        <v>5</v>
      </c>
      <c r="O1098" s="66">
        <f>+H1098</f>
        <v>147.87109374999977</v>
      </c>
      <c r="P1098" s="66"/>
      <c r="Q1098" s="66"/>
      <c r="R1098" s="9" t="s">
        <v>9</v>
      </c>
      <c r="S1098" s="9">
        <v>3</v>
      </c>
      <c r="T1098" s="9" t="s">
        <v>5</v>
      </c>
      <c r="U1098" s="66">
        <f>ABS(AW1094)</f>
        <v>8.7792968750000284</v>
      </c>
      <c r="V1098" s="66"/>
      <c r="W1098" s="66"/>
      <c r="X1098" s="9" t="s">
        <v>9</v>
      </c>
      <c r="Y1098" s="9">
        <v>4</v>
      </c>
      <c r="Z1098" s="9" t="s">
        <v>5</v>
      </c>
      <c r="AA1098" s="66">
        <f>ABS(AW1092)</f>
        <v>71.562500000000085</v>
      </c>
      <c r="AB1098" s="66"/>
      <c r="AC1098" s="66"/>
      <c r="AD1098" s="9" t="s">
        <v>9</v>
      </c>
      <c r="AE1098" s="9">
        <v>3</v>
      </c>
      <c r="AF1098" s="9" t="s">
        <v>5</v>
      </c>
      <c r="AG1098" s="66">
        <f>ABS(AW1096)</f>
        <v>21.845703125000114</v>
      </c>
      <c r="AH1098" s="66"/>
      <c r="AI1098" s="66"/>
      <c r="AJ1098" s="9" t="s">
        <v>201</v>
      </c>
      <c r="AK1098" s="66">
        <f>E1098*H1098/(L1098*O1098+S1098*U1098+Y1098*AA1098+AE1098*AG1098)</f>
        <v>2.4717597126999631</v>
      </c>
      <c r="AL1098" s="66"/>
      <c r="AM1098" s="66"/>
      <c r="AN1098" s="9"/>
      <c r="AO1098" s="9"/>
      <c r="AP1098" s="9"/>
      <c r="AQ1098" s="9"/>
      <c r="AR1098" s="9"/>
      <c r="CC1098" s="7"/>
    </row>
    <row r="1099" spans="2:81">
      <c r="B1099" s="6"/>
      <c r="C1099" s="23" t="s">
        <v>223</v>
      </c>
      <c r="CC1099" s="7"/>
    </row>
    <row r="1100" spans="2:81">
      <c r="B1100" s="6"/>
      <c r="C1100" s="24" t="s">
        <v>303</v>
      </c>
      <c r="CC1100" s="7"/>
    </row>
    <row r="1101" spans="2:81">
      <c r="B1101" s="6"/>
      <c r="C1101" s="1" t="s">
        <v>434</v>
      </c>
      <c r="E1101" s="66">
        <f>+AG1069</f>
        <v>15</v>
      </c>
      <c r="F1101" s="66"/>
      <c r="G1101" s="9" t="s">
        <v>5</v>
      </c>
      <c r="H1101" s="9" t="s">
        <v>13</v>
      </c>
      <c r="I1101" s="9" t="s">
        <v>9</v>
      </c>
      <c r="J1101" s="1" t="s">
        <v>24</v>
      </c>
      <c r="CC1101" s="7"/>
    </row>
    <row r="1102" spans="2:81">
      <c r="B1102" s="6"/>
      <c r="C1102" s="1" t="s">
        <v>429</v>
      </c>
      <c r="E1102" s="66">
        <f>+E1101</f>
        <v>15</v>
      </c>
      <c r="F1102" s="66"/>
      <c r="G1102" s="9" t="s">
        <v>5</v>
      </c>
      <c r="H1102" s="9" t="s">
        <v>183</v>
      </c>
      <c r="I1102" s="1" t="s">
        <v>173</v>
      </c>
      <c r="J1102" s="1">
        <v>2</v>
      </c>
      <c r="K1102" s="9" t="s">
        <v>9</v>
      </c>
      <c r="L1102" s="1" t="s">
        <v>24</v>
      </c>
      <c r="M1102" s="9" t="s">
        <v>5</v>
      </c>
      <c r="N1102" s="9" t="s">
        <v>13</v>
      </c>
      <c r="O1102" s="9" t="s">
        <v>9</v>
      </c>
      <c r="P1102" s="1" t="s">
        <v>307</v>
      </c>
      <c r="V1102" s="9"/>
      <c r="W1102" s="9"/>
      <c r="CC1102" s="7"/>
    </row>
    <row r="1103" spans="2:81">
      <c r="B1103" s="6"/>
      <c r="C1103" s="1" t="s">
        <v>432</v>
      </c>
      <c r="E1103" s="66">
        <f>+E1102</f>
        <v>15</v>
      </c>
      <c r="F1103" s="66"/>
      <c r="G1103" s="9" t="s">
        <v>5</v>
      </c>
      <c r="H1103" s="9" t="s">
        <v>184</v>
      </c>
      <c r="I1103" s="1" t="s">
        <v>173</v>
      </c>
      <c r="J1103" s="1">
        <v>6</v>
      </c>
      <c r="K1103" s="9" t="s">
        <v>9</v>
      </c>
      <c r="L1103" s="1" t="s">
        <v>24</v>
      </c>
      <c r="M1103" s="9" t="s">
        <v>5</v>
      </c>
      <c r="N1103" s="9" t="s">
        <v>183</v>
      </c>
      <c r="O1103" s="1" t="s">
        <v>173</v>
      </c>
      <c r="P1103" s="1">
        <v>2</v>
      </c>
      <c r="Q1103" s="9" t="s">
        <v>9</v>
      </c>
      <c r="R1103" s="1" t="s">
        <v>307</v>
      </c>
      <c r="S1103" s="9" t="s">
        <v>5</v>
      </c>
      <c r="T1103" s="9" t="s">
        <v>13</v>
      </c>
      <c r="U1103" s="9" t="s">
        <v>9</v>
      </c>
      <c r="V1103" s="1" t="s">
        <v>440</v>
      </c>
      <c r="Y1103" s="9"/>
      <c r="AC1103" s="9"/>
      <c r="AD1103" s="9"/>
      <c r="CC1103" s="7"/>
    </row>
    <row r="1104" spans="2:81">
      <c r="B1104" s="6"/>
      <c r="C1104" s="1" t="s">
        <v>431</v>
      </c>
      <c r="E1104" s="66">
        <f>+E1103</f>
        <v>15</v>
      </c>
      <c r="F1104" s="66"/>
      <c r="G1104" s="9" t="s">
        <v>5</v>
      </c>
      <c r="H1104" s="9" t="s">
        <v>185</v>
      </c>
      <c r="I1104" s="1" t="s">
        <v>173</v>
      </c>
      <c r="J1104" s="66">
        <v>24</v>
      </c>
      <c r="K1104" s="66"/>
      <c r="L1104" s="9" t="s">
        <v>9</v>
      </c>
      <c r="M1104" s="1" t="s">
        <v>24</v>
      </c>
      <c r="N1104" s="9" t="s">
        <v>5</v>
      </c>
      <c r="O1104" s="9" t="s">
        <v>184</v>
      </c>
      <c r="P1104" s="1" t="s">
        <v>173</v>
      </c>
      <c r="Q1104" s="1">
        <v>6</v>
      </c>
      <c r="R1104" s="9" t="s">
        <v>9</v>
      </c>
      <c r="S1104" s="1" t="s">
        <v>307</v>
      </c>
      <c r="T1104" s="9" t="s">
        <v>5</v>
      </c>
      <c r="U1104" s="1" t="s">
        <v>183</v>
      </c>
      <c r="V1104" s="1" t="s">
        <v>173</v>
      </c>
      <c r="W1104" s="1">
        <v>2</v>
      </c>
      <c r="X1104" s="9" t="s">
        <v>9</v>
      </c>
      <c r="Y1104" s="1" t="s">
        <v>440</v>
      </c>
      <c r="Z1104" s="9" t="s">
        <v>5</v>
      </c>
      <c r="AA1104" s="1" t="s">
        <v>13</v>
      </c>
      <c r="AB1104" s="9" t="s">
        <v>9</v>
      </c>
      <c r="AC1104" s="1" t="s">
        <v>441</v>
      </c>
      <c r="AE1104" s="9"/>
      <c r="AF1104" s="9"/>
      <c r="CC1104" s="7"/>
    </row>
    <row r="1105" spans="2:81">
      <c r="B1105" s="6"/>
      <c r="C1105" s="24" t="s">
        <v>308</v>
      </c>
      <c r="CC1105" s="7"/>
    </row>
    <row r="1106" spans="2:81">
      <c r="B1106" s="6"/>
      <c r="C1106" s="1" t="s">
        <v>442</v>
      </c>
      <c r="E1106" s="66">
        <f>+AR1070</f>
        <v>30</v>
      </c>
      <c r="F1106" s="66"/>
      <c r="G1106" s="9" t="s">
        <v>5</v>
      </c>
      <c r="H1106" s="9" t="s">
        <v>428</v>
      </c>
      <c r="I1106" s="9" t="s">
        <v>9</v>
      </c>
      <c r="J1106" s="1" t="s">
        <v>313</v>
      </c>
      <c r="CC1106" s="7"/>
    </row>
    <row r="1107" spans="2:81">
      <c r="B1107" s="6"/>
      <c r="C1107" s="1" t="s">
        <v>433</v>
      </c>
      <c r="E1107" s="66">
        <f>+E1106</f>
        <v>30</v>
      </c>
      <c r="F1107" s="66"/>
      <c r="G1107" s="9" t="s">
        <v>5</v>
      </c>
      <c r="H1107" s="9" t="s">
        <v>443</v>
      </c>
      <c r="I1107" s="1" t="s">
        <v>173</v>
      </c>
      <c r="J1107" s="1">
        <v>2</v>
      </c>
      <c r="K1107" s="9" t="s">
        <v>9</v>
      </c>
      <c r="L1107" s="1" t="s">
        <v>313</v>
      </c>
      <c r="M1107" s="9" t="s">
        <v>5</v>
      </c>
      <c r="N1107" s="9" t="s">
        <v>428</v>
      </c>
      <c r="O1107" s="9" t="s">
        <v>9</v>
      </c>
      <c r="P1107" s="1" t="s">
        <v>315</v>
      </c>
      <c r="V1107" s="9"/>
      <c r="W1107" s="9"/>
      <c r="CC1107" s="7"/>
    </row>
    <row r="1108" spans="2:81">
      <c r="B1108" s="6"/>
      <c r="C1108" s="1" t="s">
        <v>430</v>
      </c>
      <c r="E1108" s="66">
        <f>+E1107</f>
        <v>30</v>
      </c>
      <c r="F1108" s="66"/>
      <c r="G1108" s="9" t="s">
        <v>5</v>
      </c>
      <c r="H1108" s="9" t="s">
        <v>444</v>
      </c>
      <c r="I1108" s="1" t="s">
        <v>173</v>
      </c>
      <c r="J1108" s="1">
        <v>6</v>
      </c>
      <c r="K1108" s="9" t="s">
        <v>9</v>
      </c>
      <c r="L1108" s="1" t="s">
        <v>313</v>
      </c>
      <c r="M1108" s="9" t="s">
        <v>5</v>
      </c>
      <c r="N1108" s="9" t="s">
        <v>443</v>
      </c>
      <c r="O1108" s="1" t="s">
        <v>173</v>
      </c>
      <c r="P1108" s="1">
        <v>2</v>
      </c>
      <c r="Q1108" s="9" t="s">
        <v>9</v>
      </c>
      <c r="R1108" s="1" t="s">
        <v>315</v>
      </c>
      <c r="S1108" s="9" t="s">
        <v>5</v>
      </c>
      <c r="T1108" s="9" t="s">
        <v>428</v>
      </c>
      <c r="U1108" s="9" t="s">
        <v>9</v>
      </c>
      <c r="V1108" s="1" t="s">
        <v>446</v>
      </c>
      <c r="Y1108" s="9"/>
      <c r="AC1108" s="9"/>
      <c r="AD1108" s="9"/>
      <c r="AJ1108" s="9"/>
      <c r="CC1108" s="7"/>
    </row>
    <row r="1109" spans="2:81">
      <c r="B1109" s="6"/>
      <c r="C1109" s="1" t="s">
        <v>435</v>
      </c>
      <c r="E1109" s="66">
        <f>+E1108</f>
        <v>30</v>
      </c>
      <c r="F1109" s="66"/>
      <c r="G1109" s="9" t="s">
        <v>5</v>
      </c>
      <c r="H1109" s="9" t="s">
        <v>445</v>
      </c>
      <c r="I1109" s="1" t="s">
        <v>173</v>
      </c>
      <c r="J1109" s="66">
        <v>24</v>
      </c>
      <c r="K1109" s="66"/>
      <c r="L1109" s="9" t="s">
        <v>9</v>
      </c>
      <c r="M1109" s="1" t="s">
        <v>313</v>
      </c>
      <c r="N1109" s="9" t="s">
        <v>5</v>
      </c>
      <c r="O1109" s="9" t="s">
        <v>444</v>
      </c>
      <c r="P1109" s="1" t="s">
        <v>173</v>
      </c>
      <c r="Q1109" s="1">
        <v>6</v>
      </c>
      <c r="R1109" s="9" t="s">
        <v>9</v>
      </c>
      <c r="S1109" s="1" t="s">
        <v>315</v>
      </c>
      <c r="T1109" s="9" t="s">
        <v>5</v>
      </c>
      <c r="U1109" s="1" t="s">
        <v>443</v>
      </c>
      <c r="V1109" s="1" t="s">
        <v>173</v>
      </c>
      <c r="W1109" s="1">
        <v>2</v>
      </c>
      <c r="X1109" s="9" t="s">
        <v>9</v>
      </c>
      <c r="Y1109" s="1" t="s">
        <v>446</v>
      </c>
      <c r="Z1109" s="9" t="s">
        <v>5</v>
      </c>
      <c r="AA1109" s="1" t="s">
        <v>428</v>
      </c>
      <c r="AB1109" s="9" t="s">
        <v>9</v>
      </c>
      <c r="AC1109" s="1" t="s">
        <v>447</v>
      </c>
      <c r="AE1109" s="9"/>
      <c r="AF1109" s="9"/>
      <c r="AM1109" s="9"/>
      <c r="AO1109" s="9"/>
      <c r="AQ1109" s="9"/>
      <c r="CC1109" s="7"/>
    </row>
    <row r="1110" spans="2:81">
      <c r="B1110" s="6"/>
      <c r="C1110" s="24" t="s">
        <v>318</v>
      </c>
      <c r="CC1110" s="7"/>
    </row>
    <row r="1111" spans="2:81">
      <c r="B1111" s="6"/>
      <c r="C1111" s="1" t="s">
        <v>319</v>
      </c>
      <c r="I1111" s="1" t="s">
        <v>448</v>
      </c>
      <c r="CC1111" s="7"/>
    </row>
    <row r="1112" spans="2:81">
      <c r="B1112" s="6"/>
      <c r="C1112" s="1" t="s">
        <v>436</v>
      </c>
      <c r="I1112" s="1" t="s">
        <v>449</v>
      </c>
      <c r="CC1112" s="7"/>
    </row>
    <row r="1113" spans="2:81">
      <c r="B1113" s="6"/>
      <c r="C1113" s="1" t="s">
        <v>451</v>
      </c>
      <c r="G1113" s="66">
        <f>+E1102</f>
        <v>15</v>
      </c>
      <c r="H1113" s="66"/>
      <c r="I1113" s="9" t="s">
        <v>5</v>
      </c>
      <c r="J1113" s="66">
        <f>+AG1078</f>
        <v>3</v>
      </c>
      <c r="K1113" s="66"/>
      <c r="L1113" s="1" t="s">
        <v>254</v>
      </c>
      <c r="M1113" s="1">
        <v>2</v>
      </c>
      <c r="N1113" s="9" t="s">
        <v>9</v>
      </c>
      <c r="O1113" s="1" t="s">
        <v>24</v>
      </c>
      <c r="P1113" s="9" t="s">
        <v>5</v>
      </c>
      <c r="Q1113" s="66">
        <f>+J1113</f>
        <v>3</v>
      </c>
      <c r="R1113" s="66"/>
      <c r="S1113" s="9" t="s">
        <v>9</v>
      </c>
      <c r="T1113" s="1" t="s">
        <v>307</v>
      </c>
      <c r="CC1113" s="7"/>
    </row>
    <row r="1114" spans="2:81">
      <c r="B1114" s="6"/>
      <c r="C1114" s="1" t="s">
        <v>450</v>
      </c>
      <c r="G1114" s="1" t="s">
        <v>315</v>
      </c>
      <c r="I1114" s="9"/>
      <c r="N1114" s="9"/>
      <c r="P1114" s="9"/>
      <c r="CC1114" s="7"/>
    </row>
    <row r="1115" spans="2:81">
      <c r="B1115" s="6"/>
      <c r="C1115" s="1" t="s">
        <v>452</v>
      </c>
      <c r="L1115" s="1" t="s">
        <v>24</v>
      </c>
      <c r="M1115" s="9" t="s">
        <v>5</v>
      </c>
      <c r="N1115" s="66">
        <f>+Q1113</f>
        <v>3</v>
      </c>
      <c r="O1115" s="66"/>
      <c r="P1115" s="9" t="s">
        <v>9</v>
      </c>
      <c r="Q1115" s="1" t="s">
        <v>307</v>
      </c>
      <c r="R1115" s="9" t="s">
        <v>6</v>
      </c>
      <c r="S1115" s="1" t="s">
        <v>315</v>
      </c>
      <c r="T1115" s="9" t="s">
        <v>9</v>
      </c>
      <c r="U1115" s="66">
        <f>+G1113*J1113^2/M1113</f>
        <v>67.5</v>
      </c>
      <c r="V1115" s="66"/>
      <c r="W1115" s="66"/>
      <c r="X1115" s="9" t="s">
        <v>7</v>
      </c>
      <c r="Y1115" s="9">
        <v>0</v>
      </c>
      <c r="AA1115" s="1" t="s">
        <v>438</v>
      </c>
      <c r="CC1115" s="7"/>
    </row>
    <row r="1116" spans="2:81">
      <c r="B1116" s="6"/>
      <c r="C1116" s="1" t="s">
        <v>453</v>
      </c>
      <c r="I1116" s="66">
        <f>+E1109</f>
        <v>30</v>
      </c>
      <c r="J1116" s="66"/>
      <c r="K1116" s="9" t="s">
        <v>5</v>
      </c>
      <c r="L1116" s="66">
        <f>+AS1078</f>
        <v>5</v>
      </c>
      <c r="M1116" s="66"/>
      <c r="N1116" s="1" t="s">
        <v>403</v>
      </c>
      <c r="O1116" s="66">
        <v>24</v>
      </c>
      <c r="P1116" s="66"/>
      <c r="Q1116" s="9" t="s">
        <v>9</v>
      </c>
      <c r="R1116" s="1" t="s">
        <v>313</v>
      </c>
      <c r="S1116" s="9" t="s">
        <v>5</v>
      </c>
      <c r="T1116" s="66">
        <f>+L1116</f>
        <v>5</v>
      </c>
      <c r="U1116" s="66"/>
      <c r="V1116" s="1" t="s">
        <v>321</v>
      </c>
      <c r="W1116" s="1">
        <v>6</v>
      </c>
      <c r="X1116" s="9" t="s">
        <v>9</v>
      </c>
      <c r="Y1116" s="1" t="s">
        <v>315</v>
      </c>
      <c r="Z1116" s="9" t="s">
        <v>5</v>
      </c>
      <c r="AA1116" s="66">
        <f>+T1116</f>
        <v>5</v>
      </c>
      <c r="AB1116" s="66"/>
      <c r="AC1116" s="1" t="s">
        <v>254</v>
      </c>
      <c r="AD1116" s="1">
        <v>2</v>
      </c>
      <c r="AE1116" s="9" t="s">
        <v>9</v>
      </c>
      <c r="AF1116" s="1" t="s">
        <v>446</v>
      </c>
      <c r="AG1116" s="9" t="s">
        <v>5</v>
      </c>
      <c r="AH1116" s="66">
        <f>+AA1116</f>
        <v>5</v>
      </c>
      <c r="AI1116" s="66"/>
      <c r="AJ1116" s="9" t="s">
        <v>9</v>
      </c>
      <c r="AK1116" s="1" t="s">
        <v>447</v>
      </c>
      <c r="AN1116" s="1" t="s">
        <v>313</v>
      </c>
      <c r="AO1116" s="9" t="s">
        <v>5</v>
      </c>
      <c r="AP1116" s="66">
        <f>+T1116^3/W1116</f>
        <v>20.833333333333332</v>
      </c>
      <c r="AQ1116" s="66"/>
      <c r="AR1116" s="9" t="s">
        <v>9</v>
      </c>
      <c r="AS1116" s="1" t="s">
        <v>315</v>
      </c>
      <c r="AT1116" s="9" t="s">
        <v>5</v>
      </c>
      <c r="AU1116" s="66">
        <f>AA1116^2/AD1116</f>
        <v>12.5</v>
      </c>
      <c r="AV1116" s="66"/>
      <c r="AW1116" s="9" t="s">
        <v>9</v>
      </c>
      <c r="AX1116" s="1" t="s">
        <v>446</v>
      </c>
      <c r="AY1116" s="9" t="s">
        <v>5</v>
      </c>
      <c r="AZ1116" s="66">
        <f>+AH1116</f>
        <v>5</v>
      </c>
      <c r="BA1116" s="66"/>
      <c r="BB1116" s="9" t="s">
        <v>9</v>
      </c>
      <c r="BC1116" s="1" t="s">
        <v>447</v>
      </c>
      <c r="BD1116" s="9" t="s">
        <v>9</v>
      </c>
      <c r="BE1116" s="66">
        <f>+I1116*L1116^4/O1116</f>
        <v>781.25</v>
      </c>
      <c r="BF1116" s="66"/>
      <c r="BG1116" s="66"/>
      <c r="BH1116" s="9" t="s">
        <v>7</v>
      </c>
      <c r="BI1116" s="9">
        <v>0</v>
      </c>
      <c r="BK1116" s="1" t="s">
        <v>439</v>
      </c>
      <c r="CC1116" s="7"/>
    </row>
    <row r="1117" spans="2:81">
      <c r="B1117" s="6"/>
      <c r="C1117" s="1" t="s">
        <v>454</v>
      </c>
      <c r="I1117" s="66">
        <f>+E1108</f>
        <v>30</v>
      </c>
      <c r="J1117" s="66"/>
      <c r="K1117" s="9" t="s">
        <v>5</v>
      </c>
      <c r="L1117" s="66">
        <f>+AS1078</f>
        <v>5</v>
      </c>
      <c r="M1117" s="66"/>
      <c r="N1117" s="1" t="s">
        <v>455</v>
      </c>
      <c r="O1117" s="1">
        <v>6</v>
      </c>
      <c r="P1117" s="9" t="s">
        <v>9</v>
      </c>
      <c r="Q1117" s="1" t="s">
        <v>313</v>
      </c>
      <c r="R1117" s="9" t="s">
        <v>5</v>
      </c>
      <c r="S1117" s="66">
        <f>+L1117</f>
        <v>5</v>
      </c>
      <c r="T1117" s="66"/>
      <c r="U1117" s="1" t="s">
        <v>254</v>
      </c>
      <c r="V1117" s="1">
        <v>2</v>
      </c>
      <c r="W1117" s="9" t="s">
        <v>9</v>
      </c>
      <c r="X1117" s="1" t="s">
        <v>315</v>
      </c>
      <c r="Y1117" s="9" t="s">
        <v>5</v>
      </c>
      <c r="Z1117" s="66">
        <f>+S1117</f>
        <v>5</v>
      </c>
      <c r="AA1117" s="66"/>
      <c r="AB1117" s="9" t="s">
        <v>9</v>
      </c>
      <c r="AC1117" s="1" t="s">
        <v>446</v>
      </c>
      <c r="AF1117" s="1" t="s">
        <v>313</v>
      </c>
      <c r="AG1117" s="9" t="s">
        <v>5</v>
      </c>
      <c r="AH1117" s="66">
        <f>+S1117^2/V1117</f>
        <v>12.5</v>
      </c>
      <c r="AI1117" s="66"/>
      <c r="AJ1117" s="9" t="s">
        <v>9</v>
      </c>
      <c r="AK1117" s="1" t="s">
        <v>315</v>
      </c>
      <c r="AL1117" s="9" t="s">
        <v>5</v>
      </c>
      <c r="AM1117" s="66">
        <f>+Z1117</f>
        <v>5</v>
      </c>
      <c r="AN1117" s="66"/>
      <c r="AO1117" s="9" t="s">
        <v>9</v>
      </c>
      <c r="AP1117" s="1" t="s">
        <v>446</v>
      </c>
      <c r="AQ1117" s="9" t="s">
        <v>9</v>
      </c>
      <c r="AR1117" s="66">
        <f>+I1117*L1117^3/O1117</f>
        <v>625</v>
      </c>
      <c r="AS1117" s="66"/>
      <c r="AT1117" s="66"/>
      <c r="AU1117" s="9" t="s">
        <v>7</v>
      </c>
      <c r="AV1117" s="9">
        <v>0</v>
      </c>
      <c r="AX1117" s="1" t="s">
        <v>456</v>
      </c>
      <c r="CC1117" s="7"/>
    </row>
    <row r="1118" spans="2:81">
      <c r="B1118" s="6"/>
      <c r="C1118" s="1" t="s">
        <v>358</v>
      </c>
      <c r="G1118" s="66">
        <f>+E1104</f>
        <v>15</v>
      </c>
      <c r="H1118" s="66"/>
      <c r="I1118" s="9" t="s">
        <v>5</v>
      </c>
      <c r="J1118" s="66">
        <f>+AG1078</f>
        <v>3</v>
      </c>
      <c r="K1118" s="66"/>
      <c r="L1118" s="1" t="s">
        <v>403</v>
      </c>
      <c r="M1118" s="66">
        <v>24</v>
      </c>
      <c r="N1118" s="66"/>
      <c r="O1118" s="9" t="s">
        <v>9</v>
      </c>
      <c r="P1118" s="1" t="s">
        <v>24</v>
      </c>
      <c r="Q1118" s="9" t="s">
        <v>5</v>
      </c>
      <c r="R1118" s="66">
        <f>+J1118</f>
        <v>3</v>
      </c>
      <c r="S1118" s="66"/>
      <c r="T1118" s="1" t="s">
        <v>321</v>
      </c>
      <c r="U1118" s="1">
        <v>6</v>
      </c>
      <c r="V1118" s="9" t="s">
        <v>9</v>
      </c>
      <c r="W1118" s="1" t="s">
        <v>307</v>
      </c>
      <c r="X1118" s="9" t="s">
        <v>5</v>
      </c>
      <c r="Y1118" s="66">
        <f>+R1118</f>
        <v>3</v>
      </c>
      <c r="Z1118" s="66"/>
      <c r="AA1118" s="1" t="s">
        <v>254</v>
      </c>
      <c r="AB1118" s="1">
        <v>2</v>
      </c>
      <c r="AE1118" s="1" t="s">
        <v>24</v>
      </c>
      <c r="AF1118" s="9" t="s">
        <v>5</v>
      </c>
      <c r="AG1118" s="66">
        <f>+R1118^3/U1118</f>
        <v>4.5</v>
      </c>
      <c r="AH1118" s="66"/>
      <c r="AI1118" s="9" t="s">
        <v>9</v>
      </c>
      <c r="AJ1118" s="1" t="s">
        <v>307</v>
      </c>
      <c r="AK1118" s="9" t="s">
        <v>5</v>
      </c>
      <c r="AL1118" s="66">
        <f>+Y1118^2/AB1118</f>
        <v>4.5</v>
      </c>
      <c r="AM1118" s="66"/>
      <c r="AN1118" s="9" t="s">
        <v>9</v>
      </c>
      <c r="AO1118" s="66">
        <f>+G1118*J1118^4/M1118</f>
        <v>50.625</v>
      </c>
      <c r="AP1118" s="66"/>
      <c r="AQ1118" s="66"/>
      <c r="CC1118" s="7"/>
    </row>
    <row r="1119" spans="2:81">
      <c r="B1119" s="6"/>
      <c r="C1119" s="1" t="s">
        <v>458</v>
      </c>
      <c r="G1119" s="1" t="s">
        <v>447</v>
      </c>
      <c r="CC1119" s="7"/>
    </row>
    <row r="1120" spans="2:81">
      <c r="B1120" s="6"/>
      <c r="C1120" s="1" t="s">
        <v>457</v>
      </c>
      <c r="L1120" s="1" t="s">
        <v>24</v>
      </c>
      <c r="M1120" s="9" t="s">
        <v>5</v>
      </c>
      <c r="N1120" s="66">
        <f>+AG1118</f>
        <v>4.5</v>
      </c>
      <c r="O1120" s="66"/>
      <c r="P1120" s="9" t="s">
        <v>9</v>
      </c>
      <c r="Q1120" s="1" t="s">
        <v>307</v>
      </c>
      <c r="R1120" s="9" t="s">
        <v>5</v>
      </c>
      <c r="S1120" s="66">
        <f>+AL1118</f>
        <v>4.5</v>
      </c>
      <c r="T1120" s="66"/>
      <c r="U1120" s="9" t="s">
        <v>6</v>
      </c>
      <c r="V1120" s="1" t="s">
        <v>447</v>
      </c>
      <c r="W1120" s="9" t="s">
        <v>9</v>
      </c>
      <c r="X1120" s="66">
        <f>+AO1118</f>
        <v>50.625</v>
      </c>
      <c r="Y1120" s="66"/>
      <c r="Z1120" s="66"/>
      <c r="AA1120" s="9" t="s">
        <v>7</v>
      </c>
      <c r="AB1120" s="9">
        <v>0</v>
      </c>
      <c r="AD1120" s="1" t="s">
        <v>459</v>
      </c>
      <c r="CC1120" s="7"/>
    </row>
    <row r="1121" spans="2:81">
      <c r="B1121" s="6"/>
      <c r="C1121" s="1" t="s">
        <v>465</v>
      </c>
      <c r="G1121" s="66">
        <f>+E1101</f>
        <v>15</v>
      </c>
      <c r="H1121" s="66"/>
      <c r="I1121" s="9" t="s">
        <v>5</v>
      </c>
      <c r="J1121" s="66">
        <f>+AG1078</f>
        <v>3</v>
      </c>
      <c r="K1121" s="66"/>
      <c r="L1121" s="9" t="s">
        <v>9</v>
      </c>
      <c r="M1121" s="1" t="s">
        <v>24</v>
      </c>
      <c r="P1121" s="1" t="s">
        <v>24</v>
      </c>
      <c r="Q1121" s="9" t="s">
        <v>9</v>
      </c>
      <c r="R1121" s="66">
        <f>+G1121*J1121</f>
        <v>45</v>
      </c>
      <c r="S1121" s="66"/>
      <c r="CC1121" s="7"/>
    </row>
    <row r="1122" spans="2:81">
      <c r="B1122" s="6"/>
      <c r="C1122" s="1" t="s">
        <v>466</v>
      </c>
      <c r="G1122" s="1" t="s">
        <v>313</v>
      </c>
      <c r="I1122" s="9"/>
      <c r="L1122" s="9"/>
      <c r="Q1122" s="9"/>
      <c r="CC1122" s="7"/>
    </row>
    <row r="1123" spans="2:81">
      <c r="B1123" s="6"/>
      <c r="C1123" s="1" t="s">
        <v>467</v>
      </c>
      <c r="L1123" s="1" t="s">
        <v>24</v>
      </c>
      <c r="M1123" s="9" t="s">
        <v>6</v>
      </c>
      <c r="N1123" s="1" t="s">
        <v>313</v>
      </c>
      <c r="O1123" s="9" t="s">
        <v>9</v>
      </c>
      <c r="P1123" s="66">
        <f>+R1121-R1122</f>
        <v>45</v>
      </c>
      <c r="Q1123" s="66"/>
      <c r="R1123" s="9" t="s">
        <v>7</v>
      </c>
      <c r="S1123" s="9">
        <v>0</v>
      </c>
      <c r="U1123" s="1" t="s">
        <v>468</v>
      </c>
      <c r="CC1123" s="7"/>
    </row>
    <row r="1124" spans="2:81">
      <c r="B1124" s="6"/>
      <c r="C1124" s="1" t="s">
        <v>320</v>
      </c>
      <c r="G1124" s="66">
        <f>+E1103</f>
        <v>15</v>
      </c>
      <c r="H1124" s="66"/>
      <c r="I1124" s="9" t="s">
        <v>5</v>
      </c>
      <c r="J1124" s="66">
        <f>+AG1078</f>
        <v>3</v>
      </c>
      <c r="K1124" s="66"/>
      <c r="L1124" s="1" t="s">
        <v>321</v>
      </c>
      <c r="M1124" s="1">
        <v>6</v>
      </c>
      <c r="N1124" s="9" t="s">
        <v>9</v>
      </c>
      <c r="O1124" s="1" t="s">
        <v>24</v>
      </c>
      <c r="P1124" s="9" t="s">
        <v>5</v>
      </c>
      <c r="Q1124" s="66">
        <f>+J1124</f>
        <v>3</v>
      </c>
      <c r="R1124" s="66"/>
      <c r="S1124" s="1" t="s">
        <v>254</v>
      </c>
      <c r="T1124" s="1">
        <v>2</v>
      </c>
      <c r="U1124" s="9" t="s">
        <v>9</v>
      </c>
      <c r="V1124" s="1" t="s">
        <v>307</v>
      </c>
      <c r="W1124" s="9" t="s">
        <v>5</v>
      </c>
      <c r="X1124" s="66">
        <f>+Q1124</f>
        <v>3</v>
      </c>
      <c r="Y1124" s="66"/>
      <c r="AB1124" s="1" t="s">
        <v>24</v>
      </c>
      <c r="AC1124" s="9" t="s">
        <v>5</v>
      </c>
      <c r="AD1124" s="66">
        <f>+Q1124^2/T1124</f>
        <v>4.5</v>
      </c>
      <c r="AE1124" s="66"/>
      <c r="AF1124" s="9" t="s">
        <v>9</v>
      </c>
      <c r="AG1124" s="1" t="s">
        <v>307</v>
      </c>
      <c r="AH1124" s="9" t="s">
        <v>5</v>
      </c>
      <c r="AI1124" s="66">
        <f>+X1124</f>
        <v>3</v>
      </c>
      <c r="AJ1124" s="66"/>
      <c r="AK1124" s="9" t="s">
        <v>9</v>
      </c>
      <c r="AL1124" s="66">
        <f>+G1124*J1124^3/M1124</f>
        <v>67.5</v>
      </c>
      <c r="AM1124" s="66"/>
      <c r="AN1124" s="66"/>
      <c r="CC1124" s="7"/>
    </row>
    <row r="1125" spans="2:81">
      <c r="B1125" s="6"/>
      <c r="C1125" s="1" t="s">
        <v>470</v>
      </c>
      <c r="G1125" s="1" t="s">
        <v>446</v>
      </c>
      <c r="I1125" s="9"/>
      <c r="N1125" s="9"/>
      <c r="P1125" s="9"/>
      <c r="U1125" s="9"/>
      <c r="W1125" s="9"/>
      <c r="Z1125" s="9"/>
      <c r="AE1125" s="9"/>
      <c r="AF1125" s="66"/>
      <c r="AG1125" s="66"/>
      <c r="AH1125" s="9"/>
      <c r="AJ1125" s="9"/>
      <c r="AK1125" s="66"/>
      <c r="AL1125" s="66"/>
      <c r="AM1125" s="9"/>
      <c r="AO1125" s="9"/>
      <c r="AP1125" s="66"/>
      <c r="AQ1125" s="66"/>
      <c r="AR1125" s="66"/>
      <c r="CC1125" s="7"/>
    </row>
    <row r="1126" spans="2:81">
      <c r="B1126" s="6"/>
      <c r="C1126" s="1" t="s">
        <v>471</v>
      </c>
      <c r="L1126" s="1" t="s">
        <v>24</v>
      </c>
      <c r="M1126" s="9" t="s">
        <v>5</v>
      </c>
      <c r="N1126" s="66">
        <f>+AD1124</f>
        <v>4.5</v>
      </c>
      <c r="O1126" s="66"/>
      <c r="P1126" s="9" t="s">
        <v>9</v>
      </c>
      <c r="Q1126" s="1" t="s">
        <v>307</v>
      </c>
      <c r="R1126" s="9" t="s">
        <v>5</v>
      </c>
      <c r="S1126" s="66">
        <f>+AI1124</f>
        <v>3</v>
      </c>
      <c r="T1126" s="66"/>
      <c r="U1126" s="9" t="s">
        <v>6</v>
      </c>
      <c r="V1126" s="1" t="s">
        <v>446</v>
      </c>
      <c r="W1126" s="9" t="s">
        <v>9</v>
      </c>
      <c r="X1126" s="66">
        <f>AL1124</f>
        <v>67.5</v>
      </c>
      <c r="Y1126" s="66"/>
      <c r="Z1126" s="66"/>
      <c r="AA1126" s="9" t="s">
        <v>7</v>
      </c>
      <c r="AB1126" s="9">
        <v>0</v>
      </c>
      <c r="AD1126" s="1" t="s">
        <v>472</v>
      </c>
      <c r="CC1126" s="7"/>
    </row>
    <row r="1127" spans="2:81">
      <c r="B1127" s="6"/>
      <c r="C1127" s="24" t="s">
        <v>485</v>
      </c>
      <c r="CC1127" s="7"/>
    </row>
    <row r="1128" spans="2:81">
      <c r="B1128" s="6"/>
      <c r="C1128" s="1" t="s">
        <v>32</v>
      </c>
      <c r="E1128" s="66">
        <f>+W1128</f>
        <v>-80.141601562500028</v>
      </c>
      <c r="F1128" s="66"/>
      <c r="G1128" s="66"/>
      <c r="I1128" s="40">
        <f>+N1115</f>
        <v>3</v>
      </c>
      <c r="J1128" s="40">
        <v>1</v>
      </c>
      <c r="K1128" s="40">
        <v>0</v>
      </c>
      <c r="L1128" s="40">
        <v>-1</v>
      </c>
      <c r="M1128" s="40">
        <v>0</v>
      </c>
      <c r="N1128" s="40">
        <v>0</v>
      </c>
      <c r="O1128" s="40">
        <f>-U1115</f>
        <v>-67.5</v>
      </c>
      <c r="P1128" s="40"/>
      <c r="Q1128" s="40" cm="1">
        <f t="array" ref="Q1128:V1133">MINVERSE(I1128:N1133)</f>
        <v>0.17578125000000011</v>
      </c>
      <c r="R1128" s="40">
        <v>-2.3437499999999951E-2</v>
      </c>
      <c r="S1128" s="40">
        <v>9.3749999999999972E-2</v>
      </c>
      <c r="T1128" s="40">
        <v>-2.34375E-2</v>
      </c>
      <c r="U1128" s="40">
        <v>0.68359375</v>
      </c>
      <c r="V1128" s="40">
        <v>-2.34375E-2</v>
      </c>
      <c r="W1128" s="40" cm="1">
        <f t="array" ref="W1128:W1133">MMULT(Q1128:V1133,O1128:O1133)</f>
        <v>-80.141601562500028</v>
      </c>
      <c r="CC1128" s="7"/>
    </row>
    <row r="1129" spans="2:81">
      <c r="B1129" s="6"/>
      <c r="C1129" s="1" t="s">
        <v>392</v>
      </c>
      <c r="E1129" s="66">
        <f t="shared" ref="E1129:E1133" si="8">+W1129</f>
        <v>121.50390625000003</v>
      </c>
      <c r="F1129" s="66"/>
      <c r="G1129" s="66"/>
      <c r="I1129" s="40">
        <v>0</v>
      </c>
      <c r="J1129" s="40">
        <v>0</v>
      </c>
      <c r="K1129" s="40">
        <f>+AP1116</f>
        <v>20.833333333333332</v>
      </c>
      <c r="L1129" s="40">
        <f>+AU1116</f>
        <v>12.5</v>
      </c>
      <c r="M1129" s="40">
        <f>+AZ1116</f>
        <v>5</v>
      </c>
      <c r="N1129" s="40">
        <v>1</v>
      </c>
      <c r="O1129" s="40">
        <f>-BE1116</f>
        <v>-781.25</v>
      </c>
      <c r="P1129" s="40"/>
      <c r="Q1129" s="40">
        <v>-7.8125000000000111E-2</v>
      </c>
      <c r="R1129" s="40">
        <v>9.3749999999999931E-2</v>
      </c>
      <c r="S1129" s="40">
        <v>-0.24999999999999994</v>
      </c>
      <c r="T1129" s="40">
        <v>9.375E-2</v>
      </c>
      <c r="U1129" s="40">
        <v>-1.171875</v>
      </c>
      <c r="V1129" s="40">
        <v>0.21875</v>
      </c>
      <c r="W1129" s="40">
        <v>121.50390625000003</v>
      </c>
      <c r="CC1129" s="7"/>
    </row>
    <row r="1130" spans="2:81">
      <c r="B1130" s="6"/>
      <c r="C1130" s="1" t="s">
        <v>354</v>
      </c>
      <c r="E1130" s="66">
        <f t="shared" si="8"/>
        <v>-35.141601562499979</v>
      </c>
      <c r="F1130" s="66"/>
      <c r="G1130" s="66"/>
      <c r="I1130" s="40">
        <v>0</v>
      </c>
      <c r="J1130" s="40">
        <v>0</v>
      </c>
      <c r="K1130" s="40">
        <f>+AH1117</f>
        <v>12.5</v>
      </c>
      <c r="L1130" s="40">
        <f>+AM1117</f>
        <v>5</v>
      </c>
      <c r="M1130" s="40">
        <v>1</v>
      </c>
      <c r="N1130" s="40">
        <v>0</v>
      </c>
      <c r="O1130" s="40">
        <f>-AR1117</f>
        <v>-625</v>
      </c>
      <c r="P1130" s="40"/>
      <c r="Q1130" s="40">
        <v>0.17578124999999992</v>
      </c>
      <c r="R1130" s="40">
        <v>-2.3437500000000024E-2</v>
      </c>
      <c r="S1130" s="40">
        <v>9.375E-2</v>
      </c>
      <c r="T1130" s="40">
        <v>-2.34375E-2</v>
      </c>
      <c r="U1130" s="40">
        <v>-0.31640625</v>
      </c>
      <c r="V1130" s="40">
        <v>-2.34375E-2</v>
      </c>
      <c r="W1130" s="40">
        <v>-35.141601562499979</v>
      </c>
      <c r="CC1130" s="7"/>
    </row>
    <row r="1131" spans="2:81">
      <c r="B1131" s="6"/>
      <c r="C1131" s="1" t="s">
        <v>355</v>
      </c>
      <c r="E1131" s="66">
        <f t="shared" si="8"/>
        <v>-51.420898437500043</v>
      </c>
      <c r="F1131" s="66"/>
      <c r="G1131" s="66"/>
      <c r="I1131" s="40">
        <f>+N1120</f>
        <v>4.5</v>
      </c>
      <c r="J1131" s="40">
        <f>+S1120</f>
        <v>4.5</v>
      </c>
      <c r="K1131" s="40">
        <v>0</v>
      </c>
      <c r="L1131" s="40">
        <v>0</v>
      </c>
      <c r="M1131" s="40">
        <v>0</v>
      </c>
      <c r="N1131" s="40">
        <v>-1</v>
      </c>
      <c r="O1131" s="40">
        <f>-X1120</f>
        <v>-50.625</v>
      </c>
      <c r="P1131" s="40"/>
      <c r="Q1131" s="40">
        <v>-0.55078124999999989</v>
      </c>
      <c r="R1131" s="40">
        <v>2.3437500000000049E-2</v>
      </c>
      <c r="S1131" s="40">
        <v>3.124999999999999E-2</v>
      </c>
      <c r="T1131" s="40">
        <v>2.3437500000000014E-2</v>
      </c>
      <c r="U1131" s="40">
        <v>0.87890625</v>
      </c>
      <c r="V1131" s="40">
        <v>0.14843750000000003</v>
      </c>
      <c r="W1131" s="40">
        <v>-51.420898437500043</v>
      </c>
      <c r="CC1131" s="7"/>
    </row>
    <row r="1132" spans="2:81">
      <c r="B1132" s="6"/>
      <c r="C1132" s="1" t="s">
        <v>463</v>
      </c>
      <c r="E1132" s="66">
        <f t="shared" si="8"/>
        <v>71.37451171875</v>
      </c>
      <c r="F1132" s="66"/>
      <c r="G1132" s="66"/>
      <c r="I1132" s="40">
        <v>1</v>
      </c>
      <c r="J1132" s="40">
        <v>0</v>
      </c>
      <c r="K1132" s="40">
        <v>-1</v>
      </c>
      <c r="L1132" s="40">
        <v>0</v>
      </c>
      <c r="M1132" s="40">
        <v>0</v>
      </c>
      <c r="N1132" s="40">
        <v>0</v>
      </c>
      <c r="O1132" s="40">
        <f>-P1123</f>
        <v>-45</v>
      </c>
      <c r="P1132" s="40"/>
      <c r="Q1132" s="40">
        <v>0.556640625</v>
      </c>
      <c r="R1132" s="40">
        <v>0.17578124999999997</v>
      </c>
      <c r="S1132" s="40">
        <v>-0.32812499999999994</v>
      </c>
      <c r="T1132" s="40">
        <v>0.17578124999999997</v>
      </c>
      <c r="U1132" s="40">
        <v>-0.43945312500000011</v>
      </c>
      <c r="V1132" s="40">
        <v>-0.44921875000000006</v>
      </c>
      <c r="W1132" s="40">
        <v>71.37451171875</v>
      </c>
      <c r="CC1132" s="7"/>
    </row>
    <row r="1133" spans="2:81">
      <c r="B1133" s="6"/>
      <c r="C1133" s="1" t="s">
        <v>462</v>
      </c>
      <c r="E1133" s="66">
        <f t="shared" si="8"/>
        <v>236.75537109375006</v>
      </c>
      <c r="F1133" s="66"/>
      <c r="G1133" s="66"/>
      <c r="I1133" s="40">
        <f>+N1126</f>
        <v>4.5</v>
      </c>
      <c r="J1133" s="40">
        <f>+S1126</f>
        <v>3</v>
      </c>
      <c r="K1133" s="40">
        <v>0</v>
      </c>
      <c r="L1133" s="40">
        <v>0</v>
      </c>
      <c r="M1133" s="40">
        <v>-1</v>
      </c>
      <c r="N1133" s="40">
        <v>0</v>
      </c>
      <c r="O1133" s="40">
        <f>-X1126</f>
        <v>-67.5</v>
      </c>
      <c r="P1133" s="40"/>
      <c r="Q1133" s="40">
        <v>0.43945312499999989</v>
      </c>
      <c r="R1133" s="40">
        <v>0.31640624999999989</v>
      </c>
      <c r="S1133" s="40">
        <v>-0.70312499999999989</v>
      </c>
      <c r="T1133" s="40">
        <v>-0.68359375</v>
      </c>
      <c r="U1133" s="40">
        <v>-2.197265625</v>
      </c>
      <c r="V1133" s="40">
        <v>0.87890625</v>
      </c>
      <c r="W1133" s="40">
        <v>236.75537109375006</v>
      </c>
      <c r="CC1133" s="7"/>
    </row>
    <row r="1134" spans="2:81">
      <c r="B1134" s="6"/>
      <c r="C1134" s="24" t="s">
        <v>303</v>
      </c>
      <c r="E1134" s="9"/>
      <c r="F1134" s="9"/>
      <c r="G1134" s="9"/>
      <c r="CC1134" s="7"/>
    </row>
    <row r="1135" spans="2:81">
      <c r="B1135" s="6"/>
      <c r="C1135" s="1" t="s">
        <v>195</v>
      </c>
      <c r="H1135" s="66">
        <f>+E1104</f>
        <v>15</v>
      </c>
      <c r="I1135" s="66"/>
      <c r="J1135" s="9" t="s">
        <v>5</v>
      </c>
      <c r="K1135" s="9" t="s">
        <v>185</v>
      </c>
      <c r="L1135" s="1" t="s">
        <v>173</v>
      </c>
      <c r="M1135" s="66">
        <v>24</v>
      </c>
      <c r="N1135" s="66"/>
      <c r="O1135" s="9" t="s">
        <v>9</v>
      </c>
      <c r="P1135" s="1" t="s">
        <v>24</v>
      </c>
      <c r="Q1135" s="9" t="s">
        <v>5</v>
      </c>
      <c r="R1135" s="9" t="s">
        <v>184</v>
      </c>
      <c r="S1135" s="1" t="s">
        <v>173</v>
      </c>
      <c r="T1135" s="1">
        <v>6</v>
      </c>
      <c r="U1135" s="9" t="s">
        <v>9</v>
      </c>
      <c r="V1135" s="1" t="s">
        <v>307</v>
      </c>
      <c r="W1135" s="9" t="s">
        <v>5</v>
      </c>
      <c r="X1135" s="1" t="s">
        <v>183</v>
      </c>
      <c r="Y1135" s="1" t="s">
        <v>173</v>
      </c>
      <c r="Z1135" s="1">
        <v>2</v>
      </c>
      <c r="AA1135" s="9" t="s">
        <v>9</v>
      </c>
      <c r="AB1135" s="1" t="s">
        <v>440</v>
      </c>
      <c r="AC1135" s="9" t="s">
        <v>5</v>
      </c>
      <c r="AD1135" s="9" t="s">
        <v>13</v>
      </c>
      <c r="AE1135" s="9" t="s">
        <v>9</v>
      </c>
      <c r="AF1135" s="1" t="s">
        <v>441</v>
      </c>
      <c r="CC1135" s="7"/>
    </row>
    <row r="1136" spans="2:81">
      <c r="B1136" s="6"/>
      <c r="C1136" s="1" t="s">
        <v>27</v>
      </c>
      <c r="D1136" s="67">
        <v>3</v>
      </c>
      <c r="E1136" s="67"/>
      <c r="F1136" s="67"/>
      <c r="G1136" s="1" t="s">
        <v>42</v>
      </c>
      <c r="P1136" s="8" t="str">
        <f>IF(D1136&lt;=AG1078,"","azalt.")</f>
        <v/>
      </c>
      <c r="CC1136" s="7"/>
    </row>
    <row r="1137" spans="2:81">
      <c r="B1137" s="6"/>
      <c r="C1137" s="1" t="s">
        <v>35</v>
      </c>
      <c r="E1137" s="66">
        <f>+H1135</f>
        <v>15</v>
      </c>
      <c r="F1137" s="66"/>
      <c r="G1137" s="9" t="s">
        <v>5</v>
      </c>
      <c r="H1137" s="66">
        <f>+D1136</f>
        <v>3</v>
      </c>
      <c r="I1137" s="66"/>
      <c r="J1137" s="1" t="s">
        <v>403</v>
      </c>
      <c r="K1137" s="66">
        <v>24</v>
      </c>
      <c r="L1137" s="66"/>
      <c r="M1137" s="1" t="s">
        <v>9</v>
      </c>
      <c r="N1137" s="66">
        <f>+E1128</f>
        <v>-80.141601562500028</v>
      </c>
      <c r="O1137" s="66"/>
      <c r="P1137" s="66"/>
      <c r="Q1137" s="9" t="s">
        <v>5</v>
      </c>
      <c r="R1137" s="66">
        <f>+H1137</f>
        <v>3</v>
      </c>
      <c r="S1137" s="66"/>
      <c r="T1137" s="1" t="s">
        <v>321</v>
      </c>
      <c r="U1137" s="1">
        <v>6</v>
      </c>
      <c r="V1137" s="1" t="s">
        <v>9</v>
      </c>
      <c r="W1137" s="66">
        <f>+E1129</f>
        <v>121.50390625000003</v>
      </c>
      <c r="X1137" s="66"/>
      <c r="Y1137" s="66"/>
      <c r="Z1137" s="1" t="s">
        <v>5</v>
      </c>
      <c r="AA1137" s="66">
        <f>+R1137</f>
        <v>3</v>
      </c>
      <c r="AB1137" s="66"/>
      <c r="AC1137" s="1" t="s">
        <v>254</v>
      </c>
      <c r="AD1137" s="1">
        <v>2</v>
      </c>
      <c r="AE1137" s="1" t="s">
        <v>193</v>
      </c>
      <c r="AH1137" s="66">
        <f>+F1083</f>
        <v>200000</v>
      </c>
      <c r="AI1137" s="66"/>
      <c r="AJ1137" s="66"/>
      <c r="AK1137" s="9" t="s">
        <v>5</v>
      </c>
      <c r="AL1137" s="66">
        <f>+F1082</f>
        <v>92080</v>
      </c>
      <c r="AM1137" s="66"/>
      <c r="AN1137" s="66"/>
      <c r="AO1137" s="1" t="s">
        <v>40</v>
      </c>
      <c r="CC1137" s="7"/>
    </row>
    <row r="1138" spans="2:81">
      <c r="B1138" s="6"/>
      <c r="C1138" s="1" t="s">
        <v>33</v>
      </c>
      <c r="E1138" s="66">
        <f>(E1137*H1137^4/K1137+N1137*R1137^3/U1137+W1137*AA1137^2/AD1137)*100000000/(AH1137*AL1137)</f>
        <v>1.2855960637149759</v>
      </c>
      <c r="F1138" s="66"/>
      <c r="G1138" s="66"/>
      <c r="H1138" s="1" t="s">
        <v>41</v>
      </c>
      <c r="CC1138" s="7"/>
    </row>
    <row r="1139" spans="2:81">
      <c r="B1139" s="6"/>
      <c r="C1139" s="1" t="s">
        <v>172</v>
      </c>
      <c r="H1139" s="66">
        <f>AN1080*1000</f>
        <v>8000</v>
      </c>
      <c r="I1139" s="66"/>
      <c r="J1139" s="66"/>
      <c r="K1139" s="1" t="s">
        <v>173</v>
      </c>
      <c r="L1139" s="66">
        <v>300</v>
      </c>
      <c r="M1139" s="66"/>
      <c r="N1139" s="9" t="s">
        <v>7</v>
      </c>
      <c r="O1139" s="66">
        <f>+H1139/L1139</f>
        <v>26.666666666666668</v>
      </c>
      <c r="P1139" s="66"/>
      <c r="Q1139" s="66"/>
      <c r="R1139" s="1" t="s">
        <v>41</v>
      </c>
      <c r="U1139" s="1" t="s">
        <v>192</v>
      </c>
      <c r="CC1139" s="7"/>
    </row>
    <row r="1140" spans="2:81">
      <c r="B1140" s="6"/>
      <c r="C1140" s="1" t="s">
        <v>34</v>
      </c>
      <c r="D1140" s="66">
        <f>+E1138</f>
        <v>1.2855960637149759</v>
      </c>
      <c r="E1140" s="66"/>
      <c r="F1140" s="66"/>
      <c r="G1140" s="1" t="s">
        <v>41</v>
      </c>
      <c r="I1140" s="1" t="str">
        <f>IF(ABS(D1140)&lt;ABS(M1140),"&lt;","&gt;")</f>
        <v>&lt;</v>
      </c>
      <c r="J1140" s="1" t="s">
        <v>174</v>
      </c>
      <c r="M1140" s="66">
        <f>+O1139</f>
        <v>26.666666666666668</v>
      </c>
      <c r="N1140" s="66"/>
      <c r="O1140" s="66"/>
      <c r="P1140" s="1" t="s">
        <v>41</v>
      </c>
      <c r="R1140" s="8" t="str">
        <f>IF(ABS(D1140)&lt;ABS(M1140),"uygun.","uygun değil.")</f>
        <v>uygun.</v>
      </c>
      <c r="CC1140" s="7"/>
    </row>
    <row r="1141" spans="2:81">
      <c r="B1141" s="6"/>
      <c r="C1141" s="24" t="s">
        <v>308</v>
      </c>
      <c r="CC1141" s="7"/>
    </row>
    <row r="1142" spans="2:81">
      <c r="B1142" s="6"/>
      <c r="C1142" s="1" t="s">
        <v>195</v>
      </c>
      <c r="H1142" s="66">
        <f>+E1109</f>
        <v>30</v>
      </c>
      <c r="I1142" s="66"/>
      <c r="J1142" s="9" t="s">
        <v>5</v>
      </c>
      <c r="K1142" s="9" t="s">
        <v>445</v>
      </c>
      <c r="L1142" s="1" t="s">
        <v>173</v>
      </c>
      <c r="M1142" s="66">
        <v>24</v>
      </c>
      <c r="N1142" s="66"/>
      <c r="O1142" s="9" t="s">
        <v>9</v>
      </c>
      <c r="P1142" s="1" t="s">
        <v>313</v>
      </c>
      <c r="Q1142" s="9" t="s">
        <v>5</v>
      </c>
      <c r="R1142" s="9" t="s">
        <v>444</v>
      </c>
      <c r="S1142" s="1" t="s">
        <v>173</v>
      </c>
      <c r="T1142" s="1">
        <v>6</v>
      </c>
      <c r="U1142" s="9" t="s">
        <v>9</v>
      </c>
      <c r="V1142" s="1" t="s">
        <v>315</v>
      </c>
      <c r="W1142" s="9" t="s">
        <v>5</v>
      </c>
      <c r="X1142" s="1" t="s">
        <v>443</v>
      </c>
      <c r="Y1142" s="1" t="s">
        <v>173</v>
      </c>
      <c r="Z1142" s="1">
        <v>2</v>
      </c>
      <c r="AA1142" s="9" t="s">
        <v>9</v>
      </c>
      <c r="AB1142" s="1" t="s">
        <v>446</v>
      </c>
      <c r="AC1142" s="9" t="s">
        <v>5</v>
      </c>
      <c r="AD1142" s="9" t="s">
        <v>428</v>
      </c>
      <c r="AE1142" s="9" t="s">
        <v>9</v>
      </c>
      <c r="AF1142" s="1" t="s">
        <v>447</v>
      </c>
      <c r="AH1142" s="9"/>
      <c r="AI1142" s="9"/>
      <c r="CC1142" s="7"/>
    </row>
    <row r="1143" spans="2:81">
      <c r="B1143" s="6"/>
      <c r="C1143" s="1" t="s">
        <v>482</v>
      </c>
      <c r="D1143" s="67">
        <v>2</v>
      </c>
      <c r="E1143" s="67"/>
      <c r="F1143" s="67"/>
      <c r="G1143" s="1" t="s">
        <v>42</v>
      </c>
      <c r="P1143" s="8" t="str">
        <f>IF(D1143&lt;=AS1078,"","azalt.")</f>
        <v/>
      </c>
      <c r="CC1143" s="7"/>
    </row>
    <row r="1144" spans="2:81">
      <c r="B1144" s="6"/>
      <c r="C1144" s="1" t="s">
        <v>35</v>
      </c>
      <c r="E1144" s="66">
        <f>+H1142</f>
        <v>30</v>
      </c>
      <c r="F1144" s="66"/>
      <c r="G1144" s="9" t="s">
        <v>5</v>
      </c>
      <c r="H1144" s="66">
        <f>+D1143</f>
        <v>2</v>
      </c>
      <c r="I1144" s="66"/>
      <c r="J1144" s="1" t="s">
        <v>403</v>
      </c>
      <c r="K1144" s="66">
        <v>24</v>
      </c>
      <c r="L1144" s="66"/>
      <c r="M1144" s="1" t="s">
        <v>9</v>
      </c>
      <c r="N1144" s="66">
        <f>+E1130</f>
        <v>-35.141601562499979</v>
      </c>
      <c r="O1144" s="66"/>
      <c r="P1144" s="66"/>
      <c r="Q1144" s="9" t="s">
        <v>5</v>
      </c>
      <c r="R1144" s="66">
        <f>+H1144</f>
        <v>2</v>
      </c>
      <c r="S1144" s="66"/>
      <c r="T1144" s="1" t="s">
        <v>321</v>
      </c>
      <c r="U1144" s="1">
        <v>6</v>
      </c>
      <c r="V1144" s="9" t="s">
        <v>9</v>
      </c>
      <c r="W1144" s="66">
        <f>+E1131</f>
        <v>-51.420898437500043</v>
      </c>
      <c r="X1144" s="66"/>
      <c r="Y1144" s="66"/>
      <c r="Z1144" s="1" t="s">
        <v>5</v>
      </c>
      <c r="AA1144" s="66">
        <f>+R1144</f>
        <v>2</v>
      </c>
      <c r="AB1144" s="66"/>
      <c r="AC1144" s="1" t="s">
        <v>254</v>
      </c>
      <c r="AD1144" s="1">
        <v>2</v>
      </c>
      <c r="AE1144" s="9" t="s">
        <v>9</v>
      </c>
      <c r="AF1144" s="66">
        <f>+E1132</f>
        <v>71.37451171875</v>
      </c>
      <c r="AG1144" s="66"/>
      <c r="AH1144" s="66"/>
      <c r="AI1144" s="9" t="s">
        <v>5</v>
      </c>
      <c r="AJ1144" s="66">
        <f>+AA1144</f>
        <v>2</v>
      </c>
      <c r="AK1144" s="66"/>
      <c r="AL1144" s="9" t="s">
        <v>9</v>
      </c>
      <c r="AM1144" s="66">
        <f>+E1133</f>
        <v>236.75537109375006</v>
      </c>
      <c r="AN1144" s="66"/>
      <c r="AO1144" s="66"/>
      <c r="AP1144" s="1" t="s">
        <v>193</v>
      </c>
      <c r="AS1144" s="66">
        <f>+AH1137</f>
        <v>200000</v>
      </c>
      <c r="AT1144" s="66"/>
      <c r="AU1144" s="66"/>
      <c r="AV1144" s="9" t="s">
        <v>5</v>
      </c>
      <c r="AW1144" s="66">
        <f>+AL1137</f>
        <v>92080</v>
      </c>
      <c r="AX1144" s="66"/>
      <c r="AY1144" s="66"/>
      <c r="AZ1144" s="1" t="s">
        <v>40</v>
      </c>
      <c r="CC1144" s="7"/>
    </row>
    <row r="1145" spans="2:81">
      <c r="B1145" s="6"/>
      <c r="C1145" s="1" t="s">
        <v>33</v>
      </c>
      <c r="E1145" s="66">
        <f>(E1144*H1144^4/K1144+N1144*R1144^3/U1144+W1144*AA1144^2/AD1144+AF1144*AJ1144+AM1144)*100000000/(AS1144*AW1144)</f>
        <v>1.3564679024014443</v>
      </c>
      <c r="F1145" s="66"/>
      <c r="G1145" s="66"/>
      <c r="H1145" s="1" t="s">
        <v>41</v>
      </c>
      <c r="CC1145" s="7"/>
    </row>
    <row r="1146" spans="2:81">
      <c r="B1146" s="6"/>
      <c r="C1146" s="1" t="s">
        <v>172</v>
      </c>
      <c r="H1146" s="66">
        <f>AN1080*1000</f>
        <v>8000</v>
      </c>
      <c r="I1146" s="66"/>
      <c r="J1146" s="66"/>
      <c r="K1146" s="1" t="s">
        <v>173</v>
      </c>
      <c r="L1146" s="66">
        <v>300</v>
      </c>
      <c r="M1146" s="66"/>
      <c r="N1146" s="9" t="s">
        <v>7</v>
      </c>
      <c r="O1146" s="66">
        <f>+H1146/L1146</f>
        <v>26.666666666666668</v>
      </c>
      <c r="P1146" s="66"/>
      <c r="Q1146" s="66"/>
      <c r="R1146" s="1" t="s">
        <v>41</v>
      </c>
      <c r="U1146" s="1" t="s">
        <v>192</v>
      </c>
      <c r="CC1146" s="7"/>
    </row>
    <row r="1147" spans="2:81">
      <c r="B1147" s="6"/>
      <c r="C1147" s="1" t="s">
        <v>34</v>
      </c>
      <c r="D1147" s="66">
        <f>+E1145</f>
        <v>1.3564679024014443</v>
      </c>
      <c r="E1147" s="66"/>
      <c r="F1147" s="66"/>
      <c r="G1147" s="1" t="s">
        <v>41</v>
      </c>
      <c r="I1147" s="1" t="str">
        <f>IF(ABS(D1147)&lt;ABS(M1147),"&lt;","&gt;")</f>
        <v>&lt;</v>
      </c>
      <c r="J1147" s="1" t="s">
        <v>174</v>
      </c>
      <c r="M1147" s="66">
        <f>+O1146</f>
        <v>26.666666666666668</v>
      </c>
      <c r="N1147" s="66"/>
      <c r="O1147" s="66"/>
      <c r="P1147" s="1" t="s">
        <v>41</v>
      </c>
      <c r="R1147" s="8" t="str">
        <f>IF(ABS(D1147)&lt;ABS(M1147),"uygun.","uygun değil.")</f>
        <v>uygun.</v>
      </c>
      <c r="CC1147" s="7"/>
    </row>
    <row r="1148" spans="2:81">
      <c r="B1148" s="6"/>
      <c r="C1148" s="23" t="s">
        <v>221</v>
      </c>
      <c r="CC1148" s="7"/>
    </row>
    <row r="1149" spans="2:81">
      <c r="B1149" s="6"/>
      <c r="C1149" s="1" t="s">
        <v>473</v>
      </c>
      <c r="H1149" s="66">
        <f>-E1128</f>
        <v>80.141601562500028</v>
      </c>
      <c r="I1149" s="66"/>
      <c r="J1149" s="66"/>
      <c r="K1149" s="1" t="s">
        <v>0</v>
      </c>
      <c r="M1149" s="1" t="s">
        <v>474</v>
      </c>
      <c r="CC1149" s="7"/>
    </row>
    <row r="1150" spans="2:81">
      <c r="B1150" s="6"/>
      <c r="C1150" s="1" t="s">
        <v>475</v>
      </c>
      <c r="H1150" s="66">
        <f>+E1106</f>
        <v>30</v>
      </c>
      <c r="I1150" s="66"/>
      <c r="J1150" s="9" t="s">
        <v>5</v>
      </c>
      <c r="K1150" s="66">
        <f>+AS1078</f>
        <v>5</v>
      </c>
      <c r="L1150" s="66"/>
      <c r="M1150" s="9" t="s">
        <v>9</v>
      </c>
      <c r="N1150" s="66">
        <f>+E1130</f>
        <v>-35.141601562499979</v>
      </c>
      <c r="O1150" s="66"/>
      <c r="P1150" s="66"/>
      <c r="Q1150" s="9" t="s">
        <v>7</v>
      </c>
      <c r="R1150" s="66">
        <f>+H1150*K1150+N1150</f>
        <v>114.85839843750003</v>
      </c>
      <c r="S1150" s="66"/>
      <c r="T1150" s="66"/>
      <c r="U1150" s="1" t="s">
        <v>0</v>
      </c>
      <c r="W1150" s="1" t="s">
        <v>477</v>
      </c>
      <c r="CC1150" s="7"/>
    </row>
    <row r="1151" spans="2:81">
      <c r="B1151" s="6"/>
      <c r="C1151" s="1" t="s">
        <v>476</v>
      </c>
      <c r="H1151" s="66">
        <f>+E1129</f>
        <v>121.50390625000003</v>
      </c>
      <c r="I1151" s="66"/>
      <c r="J1151" s="66"/>
      <c r="K1151" s="1" t="s">
        <v>191</v>
      </c>
      <c r="M1151" s="1" t="s">
        <v>478</v>
      </c>
      <c r="CC1151" s="7"/>
    </row>
    <row r="1152" spans="2:81">
      <c r="B1152" s="6"/>
      <c r="C1152" s="1" t="s">
        <v>483</v>
      </c>
      <c r="H1152" s="66">
        <f>+E1107</f>
        <v>30</v>
      </c>
      <c r="I1152" s="66"/>
      <c r="J1152" s="9" t="s">
        <v>5</v>
      </c>
      <c r="K1152" s="66">
        <f>+AS1078</f>
        <v>5</v>
      </c>
      <c r="L1152" s="66"/>
      <c r="M1152" s="1" t="s">
        <v>254</v>
      </c>
      <c r="N1152" s="1">
        <v>2</v>
      </c>
      <c r="O1152" s="9" t="s">
        <v>9</v>
      </c>
      <c r="P1152" s="66">
        <f>+E1130</f>
        <v>-35.141601562499979</v>
      </c>
      <c r="Q1152" s="66"/>
      <c r="R1152" s="66"/>
      <c r="S1152" s="9" t="s">
        <v>5</v>
      </c>
      <c r="T1152" s="66">
        <f>+K1152</f>
        <v>5</v>
      </c>
      <c r="U1152" s="66"/>
      <c r="V1152" s="9" t="s">
        <v>9</v>
      </c>
      <c r="W1152" s="66">
        <f>+E1131</f>
        <v>-51.420898437500043</v>
      </c>
      <c r="X1152" s="66"/>
      <c r="Y1152" s="66"/>
      <c r="Z1152" s="9" t="s">
        <v>7</v>
      </c>
      <c r="AA1152" s="66">
        <f>+H1152*K1152^2/N1152+P1152*T1152+W1152</f>
        <v>147.87109375000006</v>
      </c>
      <c r="AB1152" s="66"/>
      <c r="AC1152" s="66"/>
      <c r="AD1152" s="1" t="s">
        <v>191</v>
      </c>
      <c r="AF1152" s="1" t="s">
        <v>484</v>
      </c>
      <c r="CC1152" s="7"/>
    </row>
    <row r="1153" spans="2:81">
      <c r="B1153" s="6"/>
      <c r="C1153" s="23" t="s">
        <v>222</v>
      </c>
      <c r="H1153" s="9"/>
      <c r="I1153" s="9"/>
      <c r="J1153" s="9"/>
      <c r="CC1153" s="7"/>
    </row>
    <row r="1154" spans="2:81">
      <c r="B1154" s="6"/>
      <c r="C1154" s="1" t="s">
        <v>479</v>
      </c>
      <c r="H1154" s="67">
        <v>3</v>
      </c>
      <c r="I1154" s="67"/>
      <c r="J1154" s="1" t="s">
        <v>480</v>
      </c>
      <c r="W1154" s="8" t="str">
        <f>IF(H1154&lt;=AG1078,"","azalt.")</f>
        <v/>
      </c>
      <c r="CC1154" s="7"/>
    </row>
    <row r="1155" spans="2:81">
      <c r="B1155" s="6"/>
      <c r="C1155" s="1" t="s">
        <v>489</v>
      </c>
      <c r="E1155" s="66">
        <f>+E1102</f>
        <v>15</v>
      </c>
      <c r="F1155" s="66"/>
      <c r="G1155" s="9" t="s">
        <v>5</v>
      </c>
      <c r="H1155" s="66">
        <f>+H1154</f>
        <v>3</v>
      </c>
      <c r="I1155" s="66"/>
      <c r="J1155" s="1" t="s">
        <v>254</v>
      </c>
      <c r="K1155" s="1">
        <v>2</v>
      </c>
      <c r="L1155" s="9" t="s">
        <v>9</v>
      </c>
      <c r="M1155" s="66">
        <f>+E1128</f>
        <v>-80.141601562500028</v>
      </c>
      <c r="N1155" s="66"/>
      <c r="O1155" s="66"/>
      <c r="P1155" s="9" t="s">
        <v>5</v>
      </c>
      <c r="Q1155" s="66">
        <f>+H1155</f>
        <v>3</v>
      </c>
      <c r="R1155" s="66"/>
      <c r="S1155" s="9" t="s">
        <v>9</v>
      </c>
      <c r="T1155" s="66">
        <f>+E1129</f>
        <v>121.50390625000003</v>
      </c>
      <c r="U1155" s="66"/>
      <c r="V1155" s="66"/>
      <c r="W1155" s="9" t="s">
        <v>7</v>
      </c>
      <c r="X1155" s="66">
        <f>E1155*H1155^2/K1155+M1155*Q1155+T1155</f>
        <v>-51.420898437500057</v>
      </c>
      <c r="Y1155" s="66"/>
      <c r="Z1155" s="66"/>
      <c r="AA1155" s="1" t="s">
        <v>191</v>
      </c>
      <c r="CC1155" s="7"/>
    </row>
    <row r="1156" spans="2:81">
      <c r="B1156" s="6"/>
      <c r="C1156" s="1" t="s">
        <v>490</v>
      </c>
      <c r="E1156" s="66">
        <f>+E1101</f>
        <v>15</v>
      </c>
      <c r="F1156" s="66"/>
      <c r="G1156" s="9" t="s">
        <v>5</v>
      </c>
      <c r="H1156" s="66">
        <f>+H1155</f>
        <v>3</v>
      </c>
      <c r="I1156" s="66"/>
      <c r="J1156" s="9" t="s">
        <v>9</v>
      </c>
      <c r="K1156" s="66">
        <f>+E1128</f>
        <v>-80.141601562500028</v>
      </c>
      <c r="L1156" s="66"/>
      <c r="M1156" s="66"/>
      <c r="N1156" s="9" t="s">
        <v>7</v>
      </c>
      <c r="O1156" s="66">
        <f>+E1156*H1156+K1156</f>
        <v>-35.141601562500028</v>
      </c>
      <c r="P1156" s="66"/>
      <c r="Q1156" s="66"/>
      <c r="R1156" s="1" t="s">
        <v>0</v>
      </c>
      <c r="CC1156" s="7"/>
    </row>
    <row r="1157" spans="2:81">
      <c r="B1157" s="6"/>
      <c r="C1157" s="1" t="s">
        <v>481</v>
      </c>
      <c r="H1157" s="67">
        <v>3</v>
      </c>
      <c r="I1157" s="67"/>
      <c r="J1157" s="1" t="s">
        <v>480</v>
      </c>
      <c r="W1157" s="8" t="str">
        <f>IF(H1157&lt;=AS1078,"","azalt.")</f>
        <v/>
      </c>
      <c r="CC1157" s="7"/>
    </row>
    <row r="1158" spans="2:81">
      <c r="B1158" s="6"/>
      <c r="C1158" s="1" t="s">
        <v>491</v>
      </c>
      <c r="E1158" s="66">
        <f>+E1107</f>
        <v>30</v>
      </c>
      <c r="F1158" s="66"/>
      <c r="G1158" s="9" t="s">
        <v>5</v>
      </c>
      <c r="H1158" s="66">
        <f>+H1157</f>
        <v>3</v>
      </c>
      <c r="I1158" s="66"/>
      <c r="J1158" s="1" t="s">
        <v>254</v>
      </c>
      <c r="K1158" s="1">
        <v>2</v>
      </c>
      <c r="L1158" s="9" t="s">
        <v>9</v>
      </c>
      <c r="M1158" s="66">
        <f>+E1130</f>
        <v>-35.141601562499979</v>
      </c>
      <c r="N1158" s="66"/>
      <c r="O1158" s="66"/>
      <c r="P1158" s="9" t="s">
        <v>5</v>
      </c>
      <c r="Q1158" s="66">
        <f>+H1158</f>
        <v>3</v>
      </c>
      <c r="R1158" s="66"/>
      <c r="S1158" s="9" t="s">
        <v>9</v>
      </c>
      <c r="T1158" s="66">
        <f>+E1131</f>
        <v>-51.420898437500043</v>
      </c>
      <c r="U1158" s="66"/>
      <c r="V1158" s="66"/>
      <c r="W1158" s="9" t="s">
        <v>7</v>
      </c>
      <c r="X1158" s="66">
        <f>E1158*H1158^2/K1158+M1158*Q1158+T1158</f>
        <v>-21.845703124999986</v>
      </c>
      <c r="Y1158" s="66"/>
      <c r="Z1158" s="66"/>
      <c r="AA1158" s="1" t="s">
        <v>191</v>
      </c>
      <c r="CC1158" s="7"/>
    </row>
    <row r="1159" spans="2:81">
      <c r="B1159" s="6"/>
      <c r="C1159" s="1" t="s">
        <v>492</v>
      </c>
      <c r="E1159" s="66">
        <f>+E1106</f>
        <v>30</v>
      </c>
      <c r="F1159" s="66"/>
      <c r="G1159" s="9" t="s">
        <v>5</v>
      </c>
      <c r="H1159" s="66">
        <f>+H1158</f>
        <v>3</v>
      </c>
      <c r="I1159" s="66"/>
      <c r="J1159" s="9" t="s">
        <v>9</v>
      </c>
      <c r="K1159" s="66">
        <f>+E1130</f>
        <v>-35.141601562499979</v>
      </c>
      <c r="L1159" s="66"/>
      <c r="M1159" s="66"/>
      <c r="N1159" s="9" t="s">
        <v>7</v>
      </c>
      <c r="O1159" s="66">
        <f>+E1159*H1159+K1159</f>
        <v>54.858398437500021</v>
      </c>
      <c r="P1159" s="66"/>
      <c r="Q1159" s="66"/>
      <c r="R1159" s="1" t="s">
        <v>0</v>
      </c>
      <c r="CC1159" s="7"/>
    </row>
    <row r="1160" spans="2:81" ht="12" thickBot="1">
      <c r="B1160" s="12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13"/>
      <c r="AL1160" s="13"/>
      <c r="AM1160" s="13"/>
      <c r="AN1160" s="13"/>
      <c r="AO1160" s="13"/>
      <c r="AP1160" s="13"/>
      <c r="AQ1160" s="13"/>
      <c r="AR1160" s="13"/>
      <c r="AS1160" s="13"/>
      <c r="AT1160" s="13"/>
      <c r="AU1160" s="13"/>
      <c r="AV1160" s="13"/>
      <c r="AW1160" s="13"/>
      <c r="AX1160" s="13"/>
      <c r="AY1160" s="13"/>
      <c r="AZ1160" s="13"/>
      <c r="BA1160" s="13"/>
      <c r="BB1160" s="13"/>
      <c r="BC1160" s="13"/>
      <c r="BD1160" s="13"/>
      <c r="BE1160" s="13"/>
      <c r="BF1160" s="13"/>
      <c r="BG1160" s="13"/>
      <c r="BH1160" s="13"/>
      <c r="BI1160" s="13"/>
      <c r="BJ1160" s="13"/>
      <c r="BK1160" s="13"/>
      <c r="BL1160" s="13"/>
      <c r="BM1160" s="13"/>
      <c r="BN1160" s="13"/>
      <c r="BO1160" s="13"/>
      <c r="BP1160" s="13"/>
      <c r="BQ1160" s="13"/>
      <c r="BR1160" s="13"/>
      <c r="BS1160" s="13"/>
      <c r="BT1160" s="13"/>
      <c r="BU1160" s="13"/>
      <c r="BV1160" s="13"/>
      <c r="BW1160" s="13"/>
      <c r="BX1160" s="13"/>
      <c r="BY1160" s="13"/>
      <c r="BZ1160" s="13"/>
      <c r="CA1160" s="13"/>
      <c r="CB1160" s="13"/>
      <c r="CC1160" s="14"/>
    </row>
    <row r="1161" spans="2:81" ht="12" thickBot="1"/>
    <row r="1162" spans="2:81" ht="48" customHeight="1">
      <c r="B1162" s="73" t="s">
        <v>421</v>
      </c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Q1162" s="74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74"/>
      <c r="AJ1162" s="74"/>
      <c r="AK1162" s="74"/>
      <c r="AL1162" s="74"/>
      <c r="AM1162" s="74"/>
      <c r="AN1162" s="74"/>
      <c r="AO1162" s="74"/>
      <c r="AP1162" s="74"/>
      <c r="AQ1162" s="74"/>
      <c r="AR1162" s="74"/>
      <c r="AS1162" s="74"/>
      <c r="AT1162" s="74"/>
      <c r="AU1162" s="74"/>
      <c r="AV1162" s="74"/>
      <c r="AW1162" s="74"/>
      <c r="AX1162" s="74"/>
      <c r="AY1162" s="74"/>
      <c r="AZ1162" s="74"/>
      <c r="BA1162" s="74"/>
      <c r="BB1162" s="74"/>
      <c r="BC1162" s="74"/>
      <c r="BD1162" s="74"/>
      <c r="BE1162" s="74"/>
      <c r="BF1162" s="74"/>
      <c r="BG1162" s="74"/>
      <c r="BH1162" s="74"/>
      <c r="BI1162" s="74"/>
      <c r="BJ1162" s="74"/>
      <c r="BK1162" s="74"/>
      <c r="BL1162" s="74"/>
      <c r="BM1162" s="74"/>
      <c r="BN1162" s="74"/>
      <c r="BO1162" s="74"/>
      <c r="BP1162" s="74"/>
      <c r="BQ1162" s="74"/>
      <c r="BR1162" s="74"/>
      <c r="BS1162" s="74"/>
      <c r="BT1162" s="74"/>
      <c r="BU1162" s="74"/>
      <c r="BV1162" s="74"/>
      <c r="BW1162" s="74"/>
      <c r="BX1162" s="74"/>
      <c r="BY1162" s="74"/>
      <c r="BZ1162" s="74"/>
      <c r="CA1162" s="74"/>
      <c r="CB1162" s="74"/>
      <c r="CC1162" s="75"/>
    </row>
    <row r="1163" spans="2:81">
      <c r="B1163" s="6"/>
      <c r="Z1163" s="8" t="s">
        <v>176</v>
      </c>
      <c r="AR1163" s="1" t="s">
        <v>290</v>
      </c>
      <c r="CC1163" s="7"/>
    </row>
    <row r="1164" spans="2:81">
      <c r="B1164" s="6"/>
      <c r="O1164" s="67" t="s">
        <v>171</v>
      </c>
      <c r="P1164" s="67"/>
      <c r="Q1164" s="67"/>
      <c r="R1164" s="67"/>
      <c r="S1164" s="67"/>
      <c r="T1164" s="67"/>
      <c r="AG1164" s="1" t="s">
        <v>505</v>
      </c>
      <c r="CC1164" s="7"/>
    </row>
    <row r="1165" spans="2:81">
      <c r="B1165" s="6"/>
      <c r="AG1165" s="67">
        <v>15</v>
      </c>
      <c r="AH1165" s="67"/>
      <c r="AI1165" s="1" t="s">
        <v>187</v>
      </c>
      <c r="AQ1165" s="1" t="s">
        <v>504</v>
      </c>
      <c r="CC1165" s="7"/>
    </row>
    <row r="1166" spans="2:81">
      <c r="B1166" s="6"/>
      <c r="AR1166" s="67">
        <v>30</v>
      </c>
      <c r="AS1166" s="67"/>
      <c r="AT1166" s="1" t="s">
        <v>187</v>
      </c>
      <c r="BI1166" s="23" t="s">
        <v>341</v>
      </c>
      <c r="CC1166" s="7"/>
    </row>
    <row r="1167" spans="2:81">
      <c r="B1167" s="6"/>
      <c r="BI1167" s="1" t="s">
        <v>301</v>
      </c>
      <c r="BK1167" s="66">
        <f>+AK1195</f>
        <v>1.8870219506675727</v>
      </c>
      <c r="BL1167" s="66"/>
      <c r="BM1167" s="66"/>
      <c r="CC1167" s="7"/>
    </row>
    <row r="1168" spans="2:81">
      <c r="B1168" s="6"/>
      <c r="C1168" s="71">
        <f>INDEX($CI$24:$CI$138,MATCH(O1164,$CG$24:$CG$138,0),0)</f>
        <v>600</v>
      </c>
      <c r="U1168" s="1" t="s">
        <v>405</v>
      </c>
      <c r="W1168" s="66">
        <f>-H1248</f>
        <v>-195.43945312499989</v>
      </c>
      <c r="X1168" s="66"/>
      <c r="Y1168" s="1" t="s">
        <v>191</v>
      </c>
      <c r="BI1168" s="1" t="s">
        <v>297</v>
      </c>
      <c r="BK1168" s="66">
        <f>ABS(+AW1187)</f>
        <v>195.43945312499989</v>
      </c>
      <c r="BL1168" s="66"/>
      <c r="BM1168" s="66"/>
      <c r="BN1168" s="1" t="s">
        <v>191</v>
      </c>
      <c r="BP1168" s="1" t="s">
        <v>329</v>
      </c>
      <c r="CC1168" s="7"/>
    </row>
    <row r="1169" spans="2:81">
      <c r="B1169" s="6"/>
      <c r="C1169" s="71"/>
      <c r="BI1169" s="1" t="s">
        <v>330</v>
      </c>
      <c r="BL1169" s="66">
        <f>MAX(ABS(BL1170),ABS(BM1170),ABS(BN1170))</f>
        <v>107.86743164062494</v>
      </c>
      <c r="BM1169" s="66"/>
      <c r="BN1169" s="66"/>
      <c r="BO1169" s="1" t="s">
        <v>0</v>
      </c>
      <c r="BQ1169" s="1" t="s">
        <v>331</v>
      </c>
      <c r="CC1169" s="7"/>
    </row>
    <row r="1170" spans="2:81">
      <c r="B1170" s="6"/>
      <c r="C1170" s="71"/>
      <c r="J1170" s="66">
        <f>INDEX($CK$24:$CK$138,MATCH(O1164,$CG$24:$CG$138,0),0)</f>
        <v>12</v>
      </c>
      <c r="K1170" s="66"/>
      <c r="BI1170" s="2"/>
      <c r="BJ1170" s="2"/>
      <c r="BK1170" s="2"/>
      <c r="BL1170" s="40">
        <f>AB1173</f>
        <v>107.86743164062494</v>
      </c>
      <c r="BM1170" s="40">
        <f>+BL1170-AG1165*AG1174</f>
        <v>62.867431640624943</v>
      </c>
      <c r="BN1170" s="40">
        <f>+BM1170-AR1166*AS1174</f>
        <v>-87.132568359375057</v>
      </c>
      <c r="BO1170" s="2"/>
      <c r="BP1170" s="2"/>
      <c r="BQ1170" s="2"/>
      <c r="BR1170" s="2"/>
      <c r="BS1170" s="2"/>
      <c r="BT1170" s="2"/>
      <c r="BU1170" s="2"/>
      <c r="CC1170" s="7"/>
    </row>
    <row r="1171" spans="2:81">
      <c r="B1171" s="6"/>
      <c r="AF1171" s="1" t="s">
        <v>13</v>
      </c>
      <c r="AQ1171" s="1" t="s">
        <v>428</v>
      </c>
      <c r="CC1171" s="7"/>
    </row>
    <row r="1172" spans="2:81">
      <c r="B1172" s="6"/>
      <c r="CC1172" s="7"/>
    </row>
    <row r="1173" spans="2:81">
      <c r="B1173" s="6"/>
      <c r="K1173" s="66">
        <f>INDEX($CL$24:$CL$138,MATCH(O1164,$CG$24:$CG$138,0),0)</f>
        <v>19</v>
      </c>
      <c r="L1173" s="66"/>
      <c r="AA1173" s="1" t="s">
        <v>2</v>
      </c>
      <c r="AB1173" s="66">
        <f>+H1246</f>
        <v>107.86743164062494</v>
      </c>
      <c r="AC1173" s="66"/>
      <c r="AD1173" s="1" t="s">
        <v>0</v>
      </c>
      <c r="AX1173" s="1" t="s">
        <v>3</v>
      </c>
      <c r="AY1173" s="66">
        <f>R1247</f>
        <v>87.132568359375</v>
      </c>
      <c r="AZ1173" s="66"/>
      <c r="BA1173" s="1" t="s">
        <v>0</v>
      </c>
      <c r="CC1173" s="7"/>
    </row>
    <row r="1174" spans="2:81">
      <c r="B1174" s="6"/>
      <c r="AG1174" s="67">
        <v>3</v>
      </c>
      <c r="AH1174" s="67"/>
      <c r="AI1174" s="9" t="s">
        <v>1</v>
      </c>
      <c r="AS1174" s="66">
        <f>+AN1176-AG1174</f>
        <v>5</v>
      </c>
      <c r="AT1174" s="66"/>
      <c r="AU1174" s="1" t="s">
        <v>1</v>
      </c>
      <c r="CC1174" s="7"/>
    </row>
    <row r="1175" spans="2:81">
      <c r="B1175" s="6"/>
      <c r="BF1175" s="23" t="s">
        <v>266</v>
      </c>
      <c r="CC1175" s="7"/>
    </row>
    <row r="1176" spans="2:81">
      <c r="B1176" s="6"/>
      <c r="I1176" s="66">
        <f>INDEX($CJ$24:$CJ$138,MATCH(O1164,$CG$24:$CG$138,0),0)</f>
        <v>220</v>
      </c>
      <c r="J1176" s="66"/>
      <c r="AM1176" s="1" t="s">
        <v>197</v>
      </c>
      <c r="AN1176" s="67">
        <v>8</v>
      </c>
      <c r="AO1176" s="67"/>
      <c r="AP1176" s="9" t="s">
        <v>1</v>
      </c>
      <c r="BF1176" s="11" t="s">
        <v>265</v>
      </c>
      <c r="CC1176" s="7"/>
    </row>
    <row r="1177" spans="2:81">
      <c r="B1177" s="6"/>
      <c r="BF1177" s="11" t="s">
        <v>263</v>
      </c>
      <c r="CC1177" s="7"/>
    </row>
    <row r="1178" spans="2:81">
      <c r="B1178" s="6"/>
      <c r="D1178" s="10" t="s">
        <v>36</v>
      </c>
      <c r="F1178" s="66">
        <f>INDEX($CM$24:$CM$138,MATCH(O1164,$CG$24:$CG$138,0),0)</f>
        <v>92080</v>
      </c>
      <c r="G1178" s="66"/>
      <c r="H1178" s="66"/>
      <c r="I1178" s="66"/>
      <c r="J1178" s="1" t="s">
        <v>37</v>
      </c>
      <c r="M1178" s="1" t="s">
        <v>175</v>
      </c>
      <c r="AA1178" s="1" t="s">
        <v>436</v>
      </c>
      <c r="AL1178" s="23" t="s">
        <v>317</v>
      </c>
      <c r="BF1178" s="11" t="s">
        <v>264</v>
      </c>
      <c r="CC1178" s="7"/>
    </row>
    <row r="1179" spans="2:81">
      <c r="B1179" s="6"/>
      <c r="D1179" s="1" t="s">
        <v>38</v>
      </c>
      <c r="F1179" s="67">
        <v>200000</v>
      </c>
      <c r="G1179" s="67"/>
      <c r="H1179" s="67"/>
      <c r="I1179" s="67"/>
      <c r="J1179" s="1" t="s">
        <v>39</v>
      </c>
      <c r="M1179" s="1" t="s">
        <v>302</v>
      </c>
      <c r="AE1179" s="9"/>
      <c r="AH1179" s="9"/>
      <c r="CC1179" s="7"/>
    </row>
    <row r="1180" spans="2:81">
      <c r="B1180" s="6"/>
      <c r="AK1180" s="1" t="s">
        <v>460</v>
      </c>
      <c r="CC1180" s="7"/>
    </row>
    <row r="1181" spans="2:81">
      <c r="B1181" s="6"/>
      <c r="D1181" s="9"/>
      <c r="E1181" s="9"/>
      <c r="F1181" s="9"/>
      <c r="G1181" s="9"/>
      <c r="AA1181" s="1" t="s">
        <v>319</v>
      </c>
      <c r="AK1181" s="1" t="s">
        <v>461</v>
      </c>
      <c r="AX1181" s="1" t="s">
        <v>345</v>
      </c>
      <c r="CC1181" s="7"/>
    </row>
    <row r="1182" spans="2:81">
      <c r="B1182" s="6"/>
      <c r="AK1182" s="1" t="s">
        <v>464</v>
      </c>
      <c r="AX1182" s="1" t="s">
        <v>767</v>
      </c>
      <c r="CC1182" s="7"/>
    </row>
    <row r="1183" spans="2:81">
      <c r="B1183" s="6"/>
      <c r="AK1183" s="1" t="s">
        <v>469</v>
      </c>
      <c r="CC1183" s="7"/>
    </row>
    <row r="1184" spans="2:81">
      <c r="B1184" s="6"/>
      <c r="CC1184" s="7"/>
    </row>
    <row r="1185" spans="2:81">
      <c r="B1185" s="6"/>
      <c r="C1185" s="23" t="s">
        <v>253</v>
      </c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CC1185" s="7"/>
    </row>
    <row r="1186" spans="2:81">
      <c r="B1186" s="6"/>
      <c r="C1186" s="1" t="s">
        <v>27</v>
      </c>
      <c r="D1186" s="66">
        <f>+BK1186</f>
        <v>0</v>
      </c>
      <c r="E1186" s="66"/>
      <c r="F1186" s="66"/>
      <c r="G1186" s="1" t="s">
        <v>257</v>
      </c>
      <c r="H1186" s="9"/>
      <c r="I1186" s="9"/>
      <c r="J1186" s="9"/>
      <c r="M1186" s="9"/>
      <c r="O1186" s="2"/>
      <c r="P1186" s="42"/>
      <c r="Q1186" s="2"/>
      <c r="R1186" s="2"/>
      <c r="S1186" s="2"/>
      <c r="X1186" s="2"/>
      <c r="AC1186" s="2"/>
      <c r="AH1186" s="2"/>
      <c r="AM1186" s="2"/>
      <c r="AN1186" s="2"/>
      <c r="AQ1186" s="72"/>
      <c r="AR1186" s="72"/>
      <c r="AS1186" s="2"/>
      <c r="AT1186" s="2"/>
      <c r="AU1186" s="2"/>
      <c r="AV1186" s="2"/>
      <c r="AW1186" s="2"/>
      <c r="AX1186" s="2"/>
      <c r="BE1186" s="76">
        <f>AB1173/AG1165</f>
        <v>7.1911621093749964</v>
      </c>
      <c r="BF1186" s="76"/>
      <c r="BG1186" s="76">
        <f>ABS(W1168+AB1173*BE1186-AG1165*BE1186*BE1186/2)</f>
        <v>192.40664049982996</v>
      </c>
      <c r="BH1186" s="76"/>
      <c r="BI1186" s="76">
        <f>MAX(BG1186,BG1187,BG1188)</f>
        <v>195.43945312499989</v>
      </c>
      <c r="BJ1186" s="76"/>
      <c r="BK1186" s="76" cm="1">
        <f t="array" ref="BK1186">INDEX(BE1186:BE1188,MATCH(BI1186,BG1186:BG1188,0),0)</f>
        <v>0</v>
      </c>
      <c r="BL1186" s="76"/>
      <c r="BM1186" s="2"/>
      <c r="BN1186" s="2"/>
      <c r="BO1186" s="2"/>
      <c r="BP1186" s="2"/>
      <c r="BQ1186" s="2"/>
      <c r="BR1186" s="2"/>
      <c r="BS1186" s="2"/>
      <c r="CC1186" s="7"/>
    </row>
    <row r="1187" spans="2:81">
      <c r="B1187" s="6"/>
      <c r="C1187" s="1" t="s">
        <v>260</v>
      </c>
      <c r="D1187" s="9"/>
      <c r="E1187" s="9"/>
      <c r="F1187" s="66">
        <f>+W1168</f>
        <v>-195.43945312499989</v>
      </c>
      <c r="G1187" s="66"/>
      <c r="H1187" s="66"/>
      <c r="I1187" s="9" t="s">
        <v>9</v>
      </c>
      <c r="J1187" s="66">
        <f>+AB1173</f>
        <v>107.86743164062494</v>
      </c>
      <c r="K1187" s="66"/>
      <c r="L1187" s="66"/>
      <c r="M1187" s="9" t="s">
        <v>5</v>
      </c>
      <c r="N1187" s="66">
        <f>+D1186</f>
        <v>0</v>
      </c>
      <c r="O1187" s="66"/>
      <c r="P1187" s="9" t="s">
        <v>6</v>
      </c>
      <c r="Q1187" s="66">
        <f>IF(T1187&gt;AG1174,0,AG1165)</f>
        <v>15</v>
      </c>
      <c r="R1187" s="66"/>
      <c r="S1187" s="9" t="s">
        <v>5</v>
      </c>
      <c r="T1187" s="66">
        <f>+D1186</f>
        <v>0</v>
      </c>
      <c r="U1187" s="66"/>
      <c r="V1187" s="1" t="s">
        <v>254</v>
      </c>
      <c r="W1187" s="1">
        <v>2</v>
      </c>
      <c r="X1187" s="9" t="s">
        <v>6</v>
      </c>
      <c r="Y1187" s="66">
        <f>IF(AE1187&lt;AG1174,0,AG1165)</f>
        <v>0</v>
      </c>
      <c r="Z1187" s="66"/>
      <c r="AA1187" s="9" t="s">
        <v>5</v>
      </c>
      <c r="AB1187" s="66">
        <f>+AG1174</f>
        <v>3</v>
      </c>
      <c r="AC1187" s="66"/>
      <c r="AD1187" s="1" t="s">
        <v>14</v>
      </c>
      <c r="AE1187" s="66">
        <f>+D1186</f>
        <v>0</v>
      </c>
      <c r="AF1187" s="66"/>
      <c r="AG1187" s="9" t="s">
        <v>6</v>
      </c>
      <c r="AH1187" s="66">
        <f>+AG1174/2</f>
        <v>1.5</v>
      </c>
      <c r="AI1187" s="66"/>
      <c r="AJ1187" s="1" t="s">
        <v>16</v>
      </c>
      <c r="AK1187" s="66">
        <f>IF(D1186&lt;AG1174,0,AR1166)</f>
        <v>0</v>
      </c>
      <c r="AL1187" s="66"/>
      <c r="AM1187" s="1" t="s">
        <v>14</v>
      </c>
      <c r="AN1187" s="66">
        <f>+D1186</f>
        <v>0</v>
      </c>
      <c r="AO1187" s="66"/>
      <c r="AP1187" s="9" t="s">
        <v>6</v>
      </c>
      <c r="AQ1187" s="66">
        <f>+AG1174</f>
        <v>3</v>
      </c>
      <c r="AR1187" s="66"/>
      <c r="AS1187" s="1" t="s">
        <v>200</v>
      </c>
      <c r="AT1187" s="1" t="s">
        <v>173</v>
      </c>
      <c r="AU1187" s="1">
        <v>2</v>
      </c>
      <c r="AV1187" s="9" t="s">
        <v>7</v>
      </c>
      <c r="AW1187" s="66">
        <f>+F1187+J1187*N1187-Q1187*T1187^2/W1187-Y1187*AB1187*(AE1187-AH1187)-AK1187*(AN1187-AQ1187)^2/AU1187</f>
        <v>-195.43945312499989</v>
      </c>
      <c r="AX1187" s="66"/>
      <c r="AY1187" s="66"/>
      <c r="AZ1187" s="1" t="s">
        <v>191</v>
      </c>
      <c r="BE1187" s="76">
        <f>(AB1173-AG1165*AG1174+AR1166*AG1174)/AR1166</f>
        <v>5.0955810546874982</v>
      </c>
      <c r="BF1187" s="76"/>
      <c r="BG1187" s="76">
        <f>ABS(W1168+AB1173*BE1187-AG1165*AG1174*(BE1187-AG1174/2)-AR1166*(BE1187-AG1174)^2/2)</f>
        <v>126.53474114835248</v>
      </c>
      <c r="BH1187" s="76"/>
      <c r="BI1187" s="40"/>
      <c r="BJ1187" s="40"/>
      <c r="BK1187" s="40"/>
      <c r="BL1187" s="40"/>
      <c r="BM1187" s="2"/>
      <c r="BN1187" s="2"/>
      <c r="BO1187" s="2"/>
      <c r="BP1187" s="2"/>
      <c r="BQ1187" s="2"/>
      <c r="BR1187" s="2"/>
      <c r="BS1187" s="2"/>
      <c r="CC1187" s="7"/>
    </row>
    <row r="1188" spans="2:81">
      <c r="B1188" s="6"/>
      <c r="C1188" s="1" t="s">
        <v>247</v>
      </c>
      <c r="E1188" s="66">
        <f>+AN1176/2</f>
        <v>4</v>
      </c>
      <c r="F1188" s="66"/>
      <c r="G1188" s="66"/>
      <c r="H1188" s="1" t="s">
        <v>252</v>
      </c>
      <c r="I1188" s="9"/>
      <c r="J1188" s="9"/>
      <c r="M1188" s="9"/>
      <c r="N1188" s="21"/>
      <c r="P1188" s="9"/>
      <c r="Q1188" s="9"/>
      <c r="S1188" s="9"/>
      <c r="T1188" s="8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P1188" s="9"/>
      <c r="BB1188" s="9"/>
      <c r="BE1188" s="76">
        <v>0</v>
      </c>
      <c r="BF1188" s="76"/>
      <c r="BG1188" s="76">
        <f>ABS(W1168)</f>
        <v>195.43945312499989</v>
      </c>
      <c r="BH1188" s="76"/>
      <c r="BI1188" s="40"/>
      <c r="BJ1188" s="40"/>
      <c r="BK1188" s="43"/>
      <c r="BL1188" s="40"/>
      <c r="BM1188" s="2"/>
      <c r="BN1188" s="2"/>
      <c r="BO1188" s="2"/>
      <c r="BP1188" s="2"/>
      <c r="BQ1188" s="42"/>
      <c r="BR1188" s="2"/>
      <c r="BS1188" s="2"/>
      <c r="CC1188" s="7"/>
    </row>
    <row r="1189" spans="2:81">
      <c r="B1189" s="6"/>
      <c r="C1189" s="1" t="s">
        <v>261</v>
      </c>
      <c r="D1189" s="9"/>
      <c r="F1189" s="66">
        <f>+F1187</f>
        <v>-195.43945312499989</v>
      </c>
      <c r="G1189" s="66"/>
      <c r="H1189" s="66"/>
      <c r="I1189" s="9" t="s">
        <v>9</v>
      </c>
      <c r="J1189" s="66">
        <f>+J1187</f>
        <v>107.86743164062494</v>
      </c>
      <c r="K1189" s="66"/>
      <c r="L1189" s="66"/>
      <c r="M1189" s="9" t="s">
        <v>5</v>
      </c>
      <c r="N1189" s="66">
        <f>+E1188</f>
        <v>4</v>
      </c>
      <c r="O1189" s="66"/>
      <c r="P1189" s="9" t="s">
        <v>6</v>
      </c>
      <c r="Q1189" s="66">
        <f>IF(T1189&gt;AG1174,0,AG1165)</f>
        <v>0</v>
      </c>
      <c r="R1189" s="66"/>
      <c r="S1189" s="9" t="s">
        <v>5</v>
      </c>
      <c r="T1189" s="66">
        <f>+E1188</f>
        <v>4</v>
      </c>
      <c r="U1189" s="66"/>
      <c r="V1189" s="1" t="s">
        <v>254</v>
      </c>
      <c r="W1189" s="1">
        <v>2</v>
      </c>
      <c r="X1189" s="9" t="s">
        <v>6</v>
      </c>
      <c r="Y1189" s="66">
        <f>IF(AE1189&lt;AG1174,0,AG1165)</f>
        <v>15</v>
      </c>
      <c r="Z1189" s="66"/>
      <c r="AA1189" s="9" t="s">
        <v>5</v>
      </c>
      <c r="AB1189" s="66">
        <f>+AG1174</f>
        <v>3</v>
      </c>
      <c r="AC1189" s="66"/>
      <c r="AD1189" s="1" t="s">
        <v>14</v>
      </c>
      <c r="AE1189" s="66">
        <f>+E1188</f>
        <v>4</v>
      </c>
      <c r="AF1189" s="66"/>
      <c r="AG1189" s="9" t="s">
        <v>6</v>
      </c>
      <c r="AH1189" s="66">
        <f>+AG1174/2</f>
        <v>1.5</v>
      </c>
      <c r="AI1189" s="66"/>
      <c r="AJ1189" s="1" t="s">
        <v>16</v>
      </c>
      <c r="AK1189" s="66">
        <f>IF(E1188&lt;AG1174,0,AR1166)</f>
        <v>30</v>
      </c>
      <c r="AL1189" s="66"/>
      <c r="AM1189" s="1" t="s">
        <v>14</v>
      </c>
      <c r="AN1189" s="66">
        <f>+E1188</f>
        <v>4</v>
      </c>
      <c r="AO1189" s="66"/>
      <c r="AP1189" s="9" t="s">
        <v>6</v>
      </c>
      <c r="AQ1189" s="66">
        <f>+AG1174</f>
        <v>3</v>
      </c>
      <c r="AR1189" s="66"/>
      <c r="AS1189" s="1" t="s">
        <v>200</v>
      </c>
      <c r="AT1189" s="1" t="s">
        <v>173</v>
      </c>
      <c r="AU1189" s="1">
        <v>2</v>
      </c>
      <c r="AV1189" s="9" t="s">
        <v>7</v>
      </c>
      <c r="AW1189" s="66">
        <f>+F1189+J1189*N1189-Q1189*T1189^2/W1189-Y1189*AB1189*(AE1189-AH1189)-AK1189*(AN1189-AQ1189)^2/AU1189</f>
        <v>108.53027343749989</v>
      </c>
      <c r="AX1189" s="66"/>
      <c r="AY1189" s="66"/>
      <c r="AZ1189" s="1" t="s">
        <v>191</v>
      </c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CC1189" s="7"/>
    </row>
    <row r="1190" spans="2:81">
      <c r="B1190" s="6"/>
      <c r="C1190" s="1" t="s">
        <v>248</v>
      </c>
      <c r="E1190" s="66">
        <f>+AN1176/4</f>
        <v>2</v>
      </c>
      <c r="F1190" s="66"/>
      <c r="G1190" s="66"/>
      <c r="H1190" s="1" t="s">
        <v>252</v>
      </c>
      <c r="I1190" s="9"/>
      <c r="J1190" s="9"/>
      <c r="M1190" s="9"/>
      <c r="N1190" s="21"/>
      <c r="P1190" s="9"/>
      <c r="Q1190" s="9"/>
      <c r="S1190" s="9"/>
      <c r="T1190" s="8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P1190" s="9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CC1190" s="7"/>
    </row>
    <row r="1191" spans="2:81">
      <c r="B1191" s="6"/>
      <c r="C1191" s="1" t="s">
        <v>249</v>
      </c>
      <c r="F1191" s="66">
        <f>+F1189</f>
        <v>-195.43945312499989</v>
      </c>
      <c r="G1191" s="66"/>
      <c r="H1191" s="66"/>
      <c r="I1191" s="9" t="s">
        <v>9</v>
      </c>
      <c r="J1191" s="66">
        <f>+J1189</f>
        <v>107.86743164062494</v>
      </c>
      <c r="K1191" s="66"/>
      <c r="L1191" s="66"/>
      <c r="M1191" s="9" t="s">
        <v>5</v>
      </c>
      <c r="N1191" s="66">
        <f>+E1190</f>
        <v>2</v>
      </c>
      <c r="O1191" s="66"/>
      <c r="P1191" s="9" t="s">
        <v>6</v>
      </c>
      <c r="Q1191" s="66">
        <f>IF(T1191&gt;AG1174,0,AG1165)</f>
        <v>15</v>
      </c>
      <c r="R1191" s="66"/>
      <c r="S1191" s="9" t="s">
        <v>5</v>
      </c>
      <c r="T1191" s="66">
        <f>+E1190</f>
        <v>2</v>
      </c>
      <c r="U1191" s="66"/>
      <c r="V1191" s="1" t="s">
        <v>254</v>
      </c>
      <c r="W1191" s="1">
        <v>2</v>
      </c>
      <c r="X1191" s="9" t="s">
        <v>6</v>
      </c>
      <c r="Y1191" s="66">
        <f>IF(AE1191&lt;AG1174,0,AG1165)</f>
        <v>0</v>
      </c>
      <c r="Z1191" s="66"/>
      <c r="AA1191" s="9" t="s">
        <v>5</v>
      </c>
      <c r="AB1191" s="66">
        <f>+AG1174</f>
        <v>3</v>
      </c>
      <c r="AC1191" s="66"/>
      <c r="AD1191" s="1" t="s">
        <v>14</v>
      </c>
      <c r="AE1191" s="66">
        <f>+E1190</f>
        <v>2</v>
      </c>
      <c r="AF1191" s="66"/>
      <c r="AG1191" s="9" t="s">
        <v>6</v>
      </c>
      <c r="AH1191" s="66">
        <f>+AG1174/2</f>
        <v>1.5</v>
      </c>
      <c r="AI1191" s="66"/>
      <c r="AJ1191" s="1" t="s">
        <v>16</v>
      </c>
      <c r="AK1191" s="66">
        <f>IF(E1190&lt;AG1174,0,AR1166)</f>
        <v>0</v>
      </c>
      <c r="AL1191" s="66"/>
      <c r="AM1191" s="1" t="s">
        <v>14</v>
      </c>
      <c r="AN1191" s="66">
        <f>+E1190</f>
        <v>2</v>
      </c>
      <c r="AO1191" s="66"/>
      <c r="AP1191" s="9" t="s">
        <v>6</v>
      </c>
      <c r="AQ1191" s="66">
        <f>+AG1174</f>
        <v>3</v>
      </c>
      <c r="AR1191" s="66"/>
      <c r="AS1191" s="1" t="s">
        <v>200</v>
      </c>
      <c r="AT1191" s="1" t="s">
        <v>173</v>
      </c>
      <c r="AU1191" s="1">
        <v>2</v>
      </c>
      <c r="AV1191" s="9" t="s">
        <v>7</v>
      </c>
      <c r="AW1191" s="66">
        <f>+F1191+J1191*N1191-Q1191*T1191^2/W1191-Y1191*AB1191*(AE1191-AH1191)-AK1191*(AN1191-AQ1191)^2/AU1191</f>
        <v>-9.70458984375</v>
      </c>
      <c r="AX1191" s="66"/>
      <c r="AY1191" s="66"/>
      <c r="AZ1191" s="1" t="s">
        <v>191</v>
      </c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CC1191" s="7"/>
    </row>
    <row r="1192" spans="2:81">
      <c r="B1192" s="6"/>
      <c r="C1192" s="1" t="s">
        <v>250</v>
      </c>
      <c r="F1192" s="66">
        <f>+AN1176*3/4</f>
        <v>6</v>
      </c>
      <c r="G1192" s="66"/>
      <c r="H1192" s="66"/>
      <c r="I1192" s="1" t="s">
        <v>252</v>
      </c>
      <c r="J1192" s="9"/>
      <c r="M1192" s="9"/>
      <c r="N1192" s="21"/>
      <c r="P1192" s="9"/>
      <c r="Q1192" s="9"/>
      <c r="R1192" s="9"/>
      <c r="U1192" s="9"/>
      <c r="X1192" s="9"/>
      <c r="Y1192" s="9"/>
      <c r="Z1192" s="9"/>
      <c r="AA1192" s="9"/>
      <c r="AB1192" s="9"/>
      <c r="AC1192" s="9"/>
      <c r="AD1192" s="9"/>
      <c r="AE1192" s="9"/>
      <c r="AP1192" s="9"/>
      <c r="CC1192" s="7"/>
    </row>
    <row r="1193" spans="2:81">
      <c r="B1193" s="6"/>
      <c r="C1193" s="1" t="s">
        <v>251</v>
      </c>
      <c r="F1193" s="66">
        <f>+F1191</f>
        <v>-195.43945312499989</v>
      </c>
      <c r="G1193" s="66"/>
      <c r="H1193" s="66"/>
      <c r="I1193" s="9" t="s">
        <v>9</v>
      </c>
      <c r="J1193" s="66">
        <f>+J1191</f>
        <v>107.86743164062494</v>
      </c>
      <c r="K1193" s="66"/>
      <c r="L1193" s="66"/>
      <c r="M1193" s="9" t="s">
        <v>5</v>
      </c>
      <c r="N1193" s="66">
        <f>+F1192</f>
        <v>6</v>
      </c>
      <c r="O1193" s="66"/>
      <c r="P1193" s="9" t="s">
        <v>6</v>
      </c>
      <c r="Q1193" s="66">
        <f>IF(T1193&gt;AG1174,0,AG1165)</f>
        <v>0</v>
      </c>
      <c r="R1193" s="66"/>
      <c r="S1193" s="9" t="s">
        <v>5</v>
      </c>
      <c r="T1193" s="66">
        <f>+F1192</f>
        <v>6</v>
      </c>
      <c r="U1193" s="66"/>
      <c r="V1193" s="1" t="s">
        <v>254</v>
      </c>
      <c r="W1193" s="1">
        <v>2</v>
      </c>
      <c r="X1193" s="9" t="s">
        <v>6</v>
      </c>
      <c r="Y1193" s="66">
        <f>IF(AE1193&lt;AG1174,0,AG1165)</f>
        <v>15</v>
      </c>
      <c r="Z1193" s="66"/>
      <c r="AA1193" s="9" t="s">
        <v>5</v>
      </c>
      <c r="AB1193" s="66">
        <f>+AG1174</f>
        <v>3</v>
      </c>
      <c r="AC1193" s="66"/>
      <c r="AD1193" s="1" t="s">
        <v>14</v>
      </c>
      <c r="AE1193" s="66">
        <f>+F1192</f>
        <v>6</v>
      </c>
      <c r="AF1193" s="66"/>
      <c r="AG1193" s="9" t="s">
        <v>6</v>
      </c>
      <c r="AH1193" s="66">
        <f>+AG1174/2</f>
        <v>1.5</v>
      </c>
      <c r="AI1193" s="66"/>
      <c r="AJ1193" s="1" t="s">
        <v>16</v>
      </c>
      <c r="AK1193" s="66">
        <f>IF(F1192&lt;AG1174,0,AR1166)</f>
        <v>30</v>
      </c>
      <c r="AL1193" s="66"/>
      <c r="AM1193" s="1" t="s">
        <v>14</v>
      </c>
      <c r="AN1193" s="66">
        <f>+F1192</f>
        <v>6</v>
      </c>
      <c r="AO1193" s="66"/>
      <c r="AP1193" s="9" t="s">
        <v>6</v>
      </c>
      <c r="AQ1193" s="66">
        <f>+AG1174</f>
        <v>3</v>
      </c>
      <c r="AR1193" s="66"/>
      <c r="AS1193" s="1" t="s">
        <v>200</v>
      </c>
      <c r="AT1193" s="1" t="s">
        <v>173</v>
      </c>
      <c r="AU1193" s="1">
        <v>2</v>
      </c>
      <c r="AV1193" s="9" t="s">
        <v>7</v>
      </c>
      <c r="AW1193" s="66">
        <f>+F1193+J1193*N1193-Q1193*T1193^2/W1193-Y1193*AB1193*(AE1193-AH1193)-AK1193*(AN1193-AQ1193)^2/AU1193</f>
        <v>114.26513671874977</v>
      </c>
      <c r="AX1193" s="66"/>
      <c r="AY1193" s="66"/>
      <c r="AZ1193" s="1" t="s">
        <v>191</v>
      </c>
      <c r="CC1193" s="7"/>
    </row>
    <row r="1194" spans="2:81">
      <c r="B1194" s="6"/>
      <c r="C1194" s="1" t="s">
        <v>300</v>
      </c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U1194" s="9"/>
      <c r="V1194" s="9"/>
      <c r="W1194" s="9"/>
      <c r="X1194" s="9"/>
      <c r="Y1194" s="9"/>
      <c r="Z1194" s="9"/>
      <c r="AA1194" s="9"/>
      <c r="AB1194" s="9"/>
      <c r="AD1194" s="9"/>
      <c r="AE1194" s="9"/>
      <c r="AF1194" s="9"/>
      <c r="AG1194" s="9"/>
      <c r="AH1194" s="9"/>
      <c r="AI1194" s="9"/>
      <c r="AJ1194" s="9"/>
      <c r="AK1194" s="9"/>
      <c r="AM1194" s="9"/>
      <c r="AN1194" s="9"/>
      <c r="AO1194" s="9"/>
      <c r="AP1194" s="9"/>
      <c r="AQ1194" s="9"/>
      <c r="AR1194" s="9"/>
      <c r="CC1194" s="7"/>
    </row>
    <row r="1195" spans="2:81">
      <c r="B1195" s="6"/>
      <c r="C1195" s="1" t="s">
        <v>301</v>
      </c>
      <c r="E1195" s="66">
        <v>12.5</v>
      </c>
      <c r="F1195" s="66"/>
      <c r="G1195" s="9" t="s">
        <v>5</v>
      </c>
      <c r="H1195" s="66">
        <f>ABS(AW1187)</f>
        <v>195.43945312499989</v>
      </c>
      <c r="I1195" s="66"/>
      <c r="J1195" s="66"/>
      <c r="K1195" s="9" t="s">
        <v>275</v>
      </c>
      <c r="L1195" s="66">
        <v>2.5</v>
      </c>
      <c r="M1195" s="66"/>
      <c r="N1195" s="9" t="s">
        <v>5</v>
      </c>
      <c r="O1195" s="66">
        <f>+H1195</f>
        <v>195.43945312499989</v>
      </c>
      <c r="P1195" s="66"/>
      <c r="Q1195" s="66"/>
      <c r="R1195" s="9" t="s">
        <v>9</v>
      </c>
      <c r="S1195" s="9">
        <v>3</v>
      </c>
      <c r="T1195" s="9" t="s">
        <v>5</v>
      </c>
      <c r="U1195" s="66">
        <f>ABS(AW1191)</f>
        <v>9.70458984375</v>
      </c>
      <c r="V1195" s="66"/>
      <c r="W1195" s="66"/>
      <c r="X1195" s="9" t="s">
        <v>9</v>
      </c>
      <c r="Y1195" s="9">
        <v>4</v>
      </c>
      <c r="Z1195" s="9" t="s">
        <v>5</v>
      </c>
      <c r="AA1195" s="66">
        <f>ABS(AW1189)</f>
        <v>108.53027343749989</v>
      </c>
      <c r="AB1195" s="66"/>
      <c r="AC1195" s="66"/>
      <c r="AD1195" s="9" t="s">
        <v>9</v>
      </c>
      <c r="AE1195" s="9">
        <v>3</v>
      </c>
      <c r="AF1195" s="9" t="s">
        <v>5</v>
      </c>
      <c r="AG1195" s="66">
        <f>ABS(AW1193)</f>
        <v>114.26513671874977</v>
      </c>
      <c r="AH1195" s="66"/>
      <c r="AI1195" s="66"/>
      <c r="AJ1195" s="9" t="s">
        <v>201</v>
      </c>
      <c r="AK1195" s="66">
        <f>E1195*H1195/(L1195*O1195+S1195*U1195+Y1195*AA1195+AE1195*AG1195)</f>
        <v>1.8870219506675727</v>
      </c>
      <c r="AL1195" s="66"/>
      <c r="AM1195" s="66"/>
      <c r="AN1195" s="9"/>
      <c r="AO1195" s="9"/>
      <c r="AP1195" s="9"/>
      <c r="AQ1195" s="9"/>
      <c r="AR1195" s="9"/>
      <c r="CC1195" s="7"/>
    </row>
    <row r="1196" spans="2:81">
      <c r="B1196" s="6"/>
      <c r="C1196" s="23" t="s">
        <v>223</v>
      </c>
      <c r="CC1196" s="7"/>
    </row>
    <row r="1197" spans="2:81">
      <c r="B1197" s="6"/>
      <c r="C1197" s="24" t="s">
        <v>303</v>
      </c>
      <c r="CC1197" s="7"/>
    </row>
    <row r="1198" spans="2:81">
      <c r="B1198" s="6"/>
      <c r="C1198" s="1" t="s">
        <v>434</v>
      </c>
      <c r="E1198" s="66">
        <f>+AG1165</f>
        <v>15</v>
      </c>
      <c r="F1198" s="66"/>
      <c r="G1198" s="9" t="s">
        <v>5</v>
      </c>
      <c r="H1198" s="9" t="s">
        <v>13</v>
      </c>
      <c r="I1198" s="9" t="s">
        <v>9</v>
      </c>
      <c r="J1198" s="1" t="s">
        <v>24</v>
      </c>
      <c r="CC1198" s="7"/>
    </row>
    <row r="1199" spans="2:81">
      <c r="B1199" s="6"/>
      <c r="C1199" s="1" t="s">
        <v>429</v>
      </c>
      <c r="E1199" s="66">
        <f>+E1198</f>
        <v>15</v>
      </c>
      <c r="F1199" s="66"/>
      <c r="G1199" s="9" t="s">
        <v>5</v>
      </c>
      <c r="H1199" s="9" t="s">
        <v>183</v>
      </c>
      <c r="I1199" s="1" t="s">
        <v>173</v>
      </c>
      <c r="J1199" s="1">
        <v>2</v>
      </c>
      <c r="K1199" s="9" t="s">
        <v>9</v>
      </c>
      <c r="L1199" s="1" t="s">
        <v>24</v>
      </c>
      <c r="M1199" s="9" t="s">
        <v>5</v>
      </c>
      <c r="N1199" s="9" t="s">
        <v>13</v>
      </c>
      <c r="O1199" s="9" t="s">
        <v>9</v>
      </c>
      <c r="P1199" s="1" t="s">
        <v>307</v>
      </c>
      <c r="V1199" s="9"/>
      <c r="W1199" s="9"/>
      <c r="CC1199" s="7"/>
    </row>
    <row r="1200" spans="2:81">
      <c r="B1200" s="6"/>
      <c r="C1200" s="1" t="s">
        <v>432</v>
      </c>
      <c r="E1200" s="66">
        <f>+E1199</f>
        <v>15</v>
      </c>
      <c r="F1200" s="66"/>
      <c r="G1200" s="9" t="s">
        <v>5</v>
      </c>
      <c r="H1200" s="9" t="s">
        <v>184</v>
      </c>
      <c r="I1200" s="1" t="s">
        <v>173</v>
      </c>
      <c r="J1200" s="1">
        <v>6</v>
      </c>
      <c r="K1200" s="9" t="s">
        <v>9</v>
      </c>
      <c r="L1200" s="1" t="s">
        <v>24</v>
      </c>
      <c r="M1200" s="9" t="s">
        <v>5</v>
      </c>
      <c r="N1200" s="9" t="s">
        <v>183</v>
      </c>
      <c r="O1200" s="1" t="s">
        <v>173</v>
      </c>
      <c r="P1200" s="1">
        <v>2</v>
      </c>
      <c r="Q1200" s="9" t="s">
        <v>9</v>
      </c>
      <c r="R1200" s="1" t="s">
        <v>307</v>
      </c>
      <c r="S1200" s="9" t="s">
        <v>5</v>
      </c>
      <c r="T1200" s="9" t="s">
        <v>13</v>
      </c>
      <c r="U1200" s="9" t="s">
        <v>9</v>
      </c>
      <c r="V1200" s="1" t="s">
        <v>440</v>
      </c>
      <c r="Y1200" s="9"/>
      <c r="AC1200" s="9"/>
      <c r="AD1200" s="9"/>
      <c r="CC1200" s="7"/>
    </row>
    <row r="1201" spans="2:81">
      <c r="B1201" s="6"/>
      <c r="C1201" s="1" t="s">
        <v>431</v>
      </c>
      <c r="E1201" s="66">
        <f>+E1200</f>
        <v>15</v>
      </c>
      <c r="F1201" s="66"/>
      <c r="G1201" s="9" t="s">
        <v>5</v>
      </c>
      <c r="H1201" s="9" t="s">
        <v>185</v>
      </c>
      <c r="I1201" s="1" t="s">
        <v>173</v>
      </c>
      <c r="J1201" s="66">
        <v>24</v>
      </c>
      <c r="K1201" s="66"/>
      <c r="L1201" s="9" t="s">
        <v>9</v>
      </c>
      <c r="M1201" s="1" t="s">
        <v>24</v>
      </c>
      <c r="N1201" s="9" t="s">
        <v>5</v>
      </c>
      <c r="O1201" s="9" t="s">
        <v>184</v>
      </c>
      <c r="P1201" s="1" t="s">
        <v>173</v>
      </c>
      <c r="Q1201" s="1">
        <v>6</v>
      </c>
      <c r="R1201" s="9" t="s">
        <v>9</v>
      </c>
      <c r="S1201" s="1" t="s">
        <v>307</v>
      </c>
      <c r="T1201" s="9" t="s">
        <v>5</v>
      </c>
      <c r="U1201" s="1" t="s">
        <v>183</v>
      </c>
      <c r="V1201" s="1" t="s">
        <v>173</v>
      </c>
      <c r="W1201" s="1">
        <v>2</v>
      </c>
      <c r="X1201" s="9" t="s">
        <v>9</v>
      </c>
      <c r="Y1201" s="1" t="s">
        <v>440</v>
      </c>
      <c r="Z1201" s="9" t="s">
        <v>5</v>
      </c>
      <c r="AA1201" s="1" t="s">
        <v>13</v>
      </c>
      <c r="AB1201" s="9" t="s">
        <v>9</v>
      </c>
      <c r="AC1201" s="1" t="s">
        <v>441</v>
      </c>
      <c r="AE1201" s="9"/>
      <c r="AF1201" s="9"/>
      <c r="CC1201" s="7"/>
    </row>
    <row r="1202" spans="2:81">
      <c r="B1202" s="6"/>
      <c r="C1202" s="24" t="s">
        <v>308</v>
      </c>
      <c r="CC1202" s="7"/>
    </row>
    <row r="1203" spans="2:81">
      <c r="B1203" s="6"/>
      <c r="C1203" s="1" t="s">
        <v>442</v>
      </c>
      <c r="E1203" s="66">
        <f>+AR1166</f>
        <v>30</v>
      </c>
      <c r="F1203" s="66"/>
      <c r="G1203" s="9" t="s">
        <v>5</v>
      </c>
      <c r="H1203" s="9" t="s">
        <v>428</v>
      </c>
      <c r="I1203" s="9" t="s">
        <v>9</v>
      </c>
      <c r="J1203" s="1" t="s">
        <v>313</v>
      </c>
      <c r="CC1203" s="7"/>
    </row>
    <row r="1204" spans="2:81">
      <c r="B1204" s="6"/>
      <c r="C1204" s="1" t="s">
        <v>433</v>
      </c>
      <c r="E1204" s="66">
        <f>+E1203</f>
        <v>30</v>
      </c>
      <c r="F1204" s="66"/>
      <c r="G1204" s="9" t="s">
        <v>5</v>
      </c>
      <c r="H1204" s="9" t="s">
        <v>443</v>
      </c>
      <c r="I1204" s="1" t="s">
        <v>173</v>
      </c>
      <c r="J1204" s="1">
        <v>2</v>
      </c>
      <c r="K1204" s="9" t="s">
        <v>9</v>
      </c>
      <c r="L1204" s="1" t="s">
        <v>313</v>
      </c>
      <c r="M1204" s="9" t="s">
        <v>5</v>
      </c>
      <c r="N1204" s="9" t="s">
        <v>428</v>
      </c>
      <c r="O1204" s="9" t="s">
        <v>9</v>
      </c>
      <c r="P1204" s="1" t="s">
        <v>315</v>
      </c>
      <c r="V1204" s="9"/>
      <c r="W1204" s="9"/>
      <c r="CC1204" s="7"/>
    </row>
    <row r="1205" spans="2:81">
      <c r="B1205" s="6"/>
      <c r="C1205" s="1" t="s">
        <v>430</v>
      </c>
      <c r="E1205" s="66">
        <f>+E1204</f>
        <v>30</v>
      </c>
      <c r="F1205" s="66"/>
      <c r="G1205" s="9" t="s">
        <v>5</v>
      </c>
      <c r="H1205" s="9" t="s">
        <v>444</v>
      </c>
      <c r="I1205" s="1" t="s">
        <v>173</v>
      </c>
      <c r="J1205" s="1">
        <v>6</v>
      </c>
      <c r="K1205" s="9" t="s">
        <v>9</v>
      </c>
      <c r="L1205" s="1" t="s">
        <v>313</v>
      </c>
      <c r="M1205" s="9" t="s">
        <v>5</v>
      </c>
      <c r="N1205" s="9" t="s">
        <v>443</v>
      </c>
      <c r="O1205" s="1" t="s">
        <v>173</v>
      </c>
      <c r="P1205" s="1">
        <v>2</v>
      </c>
      <c r="Q1205" s="9" t="s">
        <v>9</v>
      </c>
      <c r="R1205" s="1" t="s">
        <v>315</v>
      </c>
      <c r="S1205" s="9" t="s">
        <v>5</v>
      </c>
      <c r="T1205" s="9" t="s">
        <v>428</v>
      </c>
      <c r="U1205" s="9" t="s">
        <v>9</v>
      </c>
      <c r="V1205" s="1" t="s">
        <v>446</v>
      </c>
      <c r="Y1205" s="9"/>
      <c r="AC1205" s="9"/>
      <c r="AD1205" s="9"/>
      <c r="AJ1205" s="9"/>
      <c r="CC1205" s="7"/>
    </row>
    <row r="1206" spans="2:81">
      <c r="B1206" s="6"/>
      <c r="C1206" s="1" t="s">
        <v>435</v>
      </c>
      <c r="E1206" s="66">
        <f>+E1205</f>
        <v>30</v>
      </c>
      <c r="F1206" s="66"/>
      <c r="G1206" s="9" t="s">
        <v>5</v>
      </c>
      <c r="H1206" s="9" t="s">
        <v>445</v>
      </c>
      <c r="I1206" s="1" t="s">
        <v>173</v>
      </c>
      <c r="J1206" s="66">
        <v>24</v>
      </c>
      <c r="K1206" s="66"/>
      <c r="L1206" s="9" t="s">
        <v>9</v>
      </c>
      <c r="M1206" s="1" t="s">
        <v>313</v>
      </c>
      <c r="N1206" s="9" t="s">
        <v>5</v>
      </c>
      <c r="O1206" s="9" t="s">
        <v>444</v>
      </c>
      <c r="P1206" s="1" t="s">
        <v>173</v>
      </c>
      <c r="Q1206" s="1">
        <v>6</v>
      </c>
      <c r="R1206" s="9" t="s">
        <v>9</v>
      </c>
      <c r="S1206" s="1" t="s">
        <v>315</v>
      </c>
      <c r="T1206" s="9" t="s">
        <v>5</v>
      </c>
      <c r="U1206" s="1" t="s">
        <v>443</v>
      </c>
      <c r="V1206" s="1" t="s">
        <v>173</v>
      </c>
      <c r="W1206" s="1">
        <v>2</v>
      </c>
      <c r="X1206" s="9" t="s">
        <v>9</v>
      </c>
      <c r="Y1206" s="1" t="s">
        <v>446</v>
      </c>
      <c r="Z1206" s="9" t="s">
        <v>5</v>
      </c>
      <c r="AA1206" s="1" t="s">
        <v>428</v>
      </c>
      <c r="AB1206" s="9" t="s">
        <v>9</v>
      </c>
      <c r="AC1206" s="1" t="s">
        <v>447</v>
      </c>
      <c r="AE1206" s="9"/>
      <c r="AF1206" s="9"/>
      <c r="AM1206" s="9"/>
      <c r="AO1206" s="9"/>
      <c r="AQ1206" s="9"/>
      <c r="CC1206" s="7"/>
    </row>
    <row r="1207" spans="2:81">
      <c r="B1207" s="6"/>
      <c r="C1207" s="24" t="s">
        <v>318</v>
      </c>
      <c r="CC1207" s="7"/>
    </row>
    <row r="1208" spans="2:81">
      <c r="B1208" s="6"/>
      <c r="C1208" s="1" t="s">
        <v>319</v>
      </c>
      <c r="I1208" s="1" t="s">
        <v>448</v>
      </c>
      <c r="CC1208" s="7"/>
    </row>
    <row r="1209" spans="2:81">
      <c r="B1209" s="6"/>
      <c r="C1209" s="1" t="s">
        <v>436</v>
      </c>
      <c r="I1209" s="1" t="s">
        <v>449</v>
      </c>
      <c r="CC1209" s="7"/>
    </row>
    <row r="1210" spans="2:81">
      <c r="B1210" s="6"/>
      <c r="C1210" s="1" t="s">
        <v>451</v>
      </c>
      <c r="G1210" s="66">
        <f>+E1199</f>
        <v>15</v>
      </c>
      <c r="H1210" s="66"/>
      <c r="I1210" s="9" t="s">
        <v>5</v>
      </c>
      <c r="J1210" s="66">
        <f>+AG1174</f>
        <v>3</v>
      </c>
      <c r="K1210" s="66"/>
      <c r="L1210" s="1" t="s">
        <v>254</v>
      </c>
      <c r="M1210" s="1">
        <v>2</v>
      </c>
      <c r="N1210" s="9" t="s">
        <v>9</v>
      </c>
      <c r="O1210" s="1" t="s">
        <v>24</v>
      </c>
      <c r="P1210" s="9" t="s">
        <v>5</v>
      </c>
      <c r="Q1210" s="66">
        <f>+J1210</f>
        <v>3</v>
      </c>
      <c r="R1210" s="66"/>
      <c r="S1210" s="9" t="s">
        <v>9</v>
      </c>
      <c r="T1210" s="1" t="s">
        <v>307</v>
      </c>
      <c r="CC1210" s="7"/>
    </row>
    <row r="1211" spans="2:81">
      <c r="B1211" s="6"/>
      <c r="C1211" s="1" t="s">
        <v>450</v>
      </c>
      <c r="G1211" s="1" t="s">
        <v>315</v>
      </c>
      <c r="I1211" s="9"/>
      <c r="N1211" s="9"/>
      <c r="P1211" s="9"/>
      <c r="CC1211" s="7"/>
    </row>
    <row r="1212" spans="2:81">
      <c r="B1212" s="6"/>
      <c r="C1212" s="1" t="s">
        <v>452</v>
      </c>
      <c r="L1212" s="1" t="s">
        <v>24</v>
      </c>
      <c r="M1212" s="9" t="s">
        <v>5</v>
      </c>
      <c r="N1212" s="66">
        <f>+Q1210</f>
        <v>3</v>
      </c>
      <c r="O1212" s="66"/>
      <c r="P1212" s="9" t="s">
        <v>9</v>
      </c>
      <c r="Q1212" s="1" t="s">
        <v>307</v>
      </c>
      <c r="R1212" s="9" t="s">
        <v>6</v>
      </c>
      <c r="S1212" s="1" t="s">
        <v>315</v>
      </c>
      <c r="T1212" s="9" t="s">
        <v>9</v>
      </c>
      <c r="U1212" s="66">
        <f>+G1210*J1210^2/M1210</f>
        <v>67.5</v>
      </c>
      <c r="V1212" s="66"/>
      <c r="W1212" s="66"/>
      <c r="X1212" s="9" t="s">
        <v>7</v>
      </c>
      <c r="Y1212" s="9">
        <v>0</v>
      </c>
      <c r="AA1212" s="1" t="s">
        <v>438</v>
      </c>
      <c r="CC1212" s="7"/>
    </row>
    <row r="1213" spans="2:81">
      <c r="B1213" s="6"/>
      <c r="C1213" s="1" t="s">
        <v>453</v>
      </c>
      <c r="I1213" s="66">
        <f>+E1206</f>
        <v>30</v>
      </c>
      <c r="J1213" s="66"/>
      <c r="K1213" s="9" t="s">
        <v>5</v>
      </c>
      <c r="L1213" s="66">
        <f>+AS1174</f>
        <v>5</v>
      </c>
      <c r="M1213" s="66"/>
      <c r="N1213" s="1" t="s">
        <v>403</v>
      </c>
      <c r="O1213" s="66">
        <v>24</v>
      </c>
      <c r="P1213" s="66"/>
      <c r="Q1213" s="9" t="s">
        <v>9</v>
      </c>
      <c r="R1213" s="1" t="s">
        <v>313</v>
      </c>
      <c r="S1213" s="9" t="s">
        <v>5</v>
      </c>
      <c r="T1213" s="66">
        <f>+L1213</f>
        <v>5</v>
      </c>
      <c r="U1213" s="66"/>
      <c r="V1213" s="1" t="s">
        <v>321</v>
      </c>
      <c r="W1213" s="1">
        <v>6</v>
      </c>
      <c r="X1213" s="9" t="s">
        <v>9</v>
      </c>
      <c r="Y1213" s="1" t="s">
        <v>315</v>
      </c>
      <c r="Z1213" s="9" t="s">
        <v>5</v>
      </c>
      <c r="AA1213" s="66">
        <f>+T1213</f>
        <v>5</v>
      </c>
      <c r="AB1213" s="66"/>
      <c r="AC1213" s="1" t="s">
        <v>254</v>
      </c>
      <c r="AD1213" s="1">
        <v>2</v>
      </c>
      <c r="AE1213" s="9" t="s">
        <v>9</v>
      </c>
      <c r="AF1213" s="1" t="s">
        <v>446</v>
      </c>
      <c r="AG1213" s="9" t="s">
        <v>5</v>
      </c>
      <c r="AH1213" s="66">
        <f>+AA1213</f>
        <v>5</v>
      </c>
      <c r="AI1213" s="66"/>
      <c r="AJ1213" s="9" t="s">
        <v>9</v>
      </c>
      <c r="AK1213" s="1" t="s">
        <v>447</v>
      </c>
      <c r="AN1213" s="1" t="s">
        <v>313</v>
      </c>
      <c r="AO1213" s="9" t="s">
        <v>5</v>
      </c>
      <c r="AP1213" s="66">
        <f>+T1213^3/W1213</f>
        <v>20.833333333333332</v>
      </c>
      <c r="AQ1213" s="66"/>
      <c r="AR1213" s="9" t="s">
        <v>9</v>
      </c>
      <c r="AS1213" s="1" t="s">
        <v>315</v>
      </c>
      <c r="AT1213" s="9" t="s">
        <v>5</v>
      </c>
      <c r="AU1213" s="66">
        <f>AA1213^2/AD1213</f>
        <v>12.5</v>
      </c>
      <c r="AV1213" s="66"/>
      <c r="AW1213" s="9" t="s">
        <v>9</v>
      </c>
      <c r="AX1213" s="1" t="s">
        <v>446</v>
      </c>
      <c r="AY1213" s="9" t="s">
        <v>5</v>
      </c>
      <c r="AZ1213" s="66">
        <f>+AH1213</f>
        <v>5</v>
      </c>
      <c r="BA1213" s="66"/>
      <c r="BB1213" s="9" t="s">
        <v>9</v>
      </c>
      <c r="BC1213" s="1" t="s">
        <v>447</v>
      </c>
      <c r="BD1213" s="9" t="s">
        <v>9</v>
      </c>
      <c r="BE1213" s="66">
        <f>+I1213*L1213^4/O1213</f>
        <v>781.25</v>
      </c>
      <c r="BF1213" s="66"/>
      <c r="BG1213" s="66"/>
      <c r="BH1213" s="9" t="s">
        <v>7</v>
      </c>
      <c r="BI1213" s="9">
        <v>0</v>
      </c>
      <c r="BK1213" s="1" t="s">
        <v>439</v>
      </c>
      <c r="CC1213" s="7"/>
    </row>
    <row r="1214" spans="2:81">
      <c r="B1214" s="6"/>
      <c r="C1214" s="1" t="s">
        <v>769</v>
      </c>
      <c r="G1214" s="66">
        <f>+E1204</f>
        <v>30</v>
      </c>
      <c r="H1214" s="66"/>
      <c r="I1214" s="9" t="s">
        <v>5</v>
      </c>
      <c r="J1214" s="66">
        <f>+AS1174</f>
        <v>5</v>
      </c>
      <c r="K1214" s="66"/>
      <c r="L1214" s="1" t="s">
        <v>254</v>
      </c>
      <c r="M1214" s="1">
        <v>2</v>
      </c>
      <c r="N1214" s="9" t="s">
        <v>9</v>
      </c>
      <c r="O1214" s="9" t="s">
        <v>313</v>
      </c>
      <c r="P1214" s="9" t="s">
        <v>5</v>
      </c>
      <c r="Q1214" s="66">
        <f>+J1214</f>
        <v>5</v>
      </c>
      <c r="R1214" s="66"/>
      <c r="S1214" s="9" t="s">
        <v>9</v>
      </c>
      <c r="T1214" s="9" t="s">
        <v>315</v>
      </c>
      <c r="U1214" s="9" t="s">
        <v>7</v>
      </c>
      <c r="V1214" s="9">
        <v>0</v>
      </c>
      <c r="Y1214" s="1" t="s">
        <v>313</v>
      </c>
      <c r="Z1214" s="9" t="s">
        <v>5</v>
      </c>
      <c r="AA1214" s="66">
        <f>+Q1214</f>
        <v>5</v>
      </c>
      <c r="AB1214" s="66"/>
      <c r="AC1214" s="9" t="s">
        <v>9</v>
      </c>
      <c r="AD1214" s="9" t="s">
        <v>315</v>
      </c>
      <c r="AE1214" s="9" t="s">
        <v>9</v>
      </c>
      <c r="AF1214" s="66">
        <f>+G1214*J1214^2/M1214</f>
        <v>375</v>
      </c>
      <c r="AG1214" s="66"/>
      <c r="AH1214" s="66"/>
      <c r="AI1214" s="9" t="s">
        <v>7</v>
      </c>
      <c r="AJ1214" s="9">
        <v>0</v>
      </c>
      <c r="AL1214" s="1" t="s">
        <v>513</v>
      </c>
      <c r="AO1214" s="9"/>
      <c r="AP1214" s="9"/>
      <c r="AQ1214" s="9"/>
      <c r="AR1214" s="9"/>
      <c r="AT1214" s="9"/>
      <c r="AU1214" s="9"/>
      <c r="AV1214" s="9"/>
      <c r="AW1214" s="9"/>
      <c r="AY1214" s="9"/>
      <c r="AZ1214" s="9"/>
      <c r="BA1214" s="9"/>
      <c r="BB1214" s="9"/>
      <c r="BD1214" s="9"/>
      <c r="BE1214" s="9"/>
      <c r="BF1214" s="9"/>
      <c r="BG1214" s="9"/>
      <c r="BH1214" s="9"/>
      <c r="BI1214" s="9"/>
      <c r="CC1214" s="7"/>
    </row>
    <row r="1215" spans="2:81">
      <c r="B1215" s="6"/>
      <c r="C1215" s="1" t="s">
        <v>358</v>
      </c>
      <c r="G1215" s="66">
        <f>+E1201</f>
        <v>15</v>
      </c>
      <c r="H1215" s="66"/>
      <c r="I1215" s="9" t="s">
        <v>5</v>
      </c>
      <c r="J1215" s="66">
        <f>+AG1174</f>
        <v>3</v>
      </c>
      <c r="K1215" s="66"/>
      <c r="L1215" s="1" t="s">
        <v>403</v>
      </c>
      <c r="M1215" s="66">
        <v>24</v>
      </c>
      <c r="N1215" s="66"/>
      <c r="O1215" s="9" t="s">
        <v>9</v>
      </c>
      <c r="P1215" s="1" t="s">
        <v>24</v>
      </c>
      <c r="Q1215" s="9" t="s">
        <v>5</v>
      </c>
      <c r="R1215" s="66">
        <f>+J1215</f>
        <v>3</v>
      </c>
      <c r="S1215" s="66"/>
      <c r="T1215" s="1" t="s">
        <v>321</v>
      </c>
      <c r="U1215" s="1">
        <v>6</v>
      </c>
      <c r="V1215" s="9" t="s">
        <v>9</v>
      </c>
      <c r="W1215" s="1" t="s">
        <v>307</v>
      </c>
      <c r="X1215" s="9" t="s">
        <v>5</v>
      </c>
      <c r="Y1215" s="66">
        <f>+R1215</f>
        <v>3</v>
      </c>
      <c r="Z1215" s="66"/>
      <c r="AA1215" s="1" t="s">
        <v>254</v>
      </c>
      <c r="AB1215" s="1">
        <v>2</v>
      </c>
      <c r="AE1215" s="1" t="s">
        <v>24</v>
      </c>
      <c r="AF1215" s="9" t="s">
        <v>5</v>
      </c>
      <c r="AG1215" s="66">
        <f>+R1215^3/U1215</f>
        <v>4.5</v>
      </c>
      <c r="AH1215" s="66"/>
      <c r="AI1215" s="9" t="s">
        <v>9</v>
      </c>
      <c r="AJ1215" s="1" t="s">
        <v>307</v>
      </c>
      <c r="AK1215" s="9" t="s">
        <v>5</v>
      </c>
      <c r="AL1215" s="66">
        <f>+Y1215^2/AB1215</f>
        <v>4.5</v>
      </c>
      <c r="AM1215" s="66"/>
      <c r="AN1215" s="9" t="s">
        <v>9</v>
      </c>
      <c r="AO1215" s="66">
        <f>+G1215*J1215^4/M1215</f>
        <v>50.625</v>
      </c>
      <c r="AP1215" s="66"/>
      <c r="AQ1215" s="66"/>
      <c r="CC1215" s="7"/>
    </row>
    <row r="1216" spans="2:81">
      <c r="B1216" s="6"/>
      <c r="C1216" s="1" t="s">
        <v>458</v>
      </c>
      <c r="G1216" s="1" t="s">
        <v>447</v>
      </c>
      <c r="CC1216" s="7"/>
    </row>
    <row r="1217" spans="2:81">
      <c r="B1217" s="6"/>
      <c r="C1217" s="1" t="s">
        <v>457</v>
      </c>
      <c r="L1217" s="1" t="s">
        <v>24</v>
      </c>
      <c r="M1217" s="9" t="s">
        <v>5</v>
      </c>
      <c r="N1217" s="66">
        <f>+AG1215</f>
        <v>4.5</v>
      </c>
      <c r="O1217" s="66"/>
      <c r="P1217" s="9" t="s">
        <v>9</v>
      </c>
      <c r="Q1217" s="1" t="s">
        <v>307</v>
      </c>
      <c r="R1217" s="9" t="s">
        <v>5</v>
      </c>
      <c r="S1217" s="66">
        <f>+AL1215</f>
        <v>4.5</v>
      </c>
      <c r="T1217" s="66"/>
      <c r="U1217" s="9" t="s">
        <v>6</v>
      </c>
      <c r="V1217" s="1" t="s">
        <v>447</v>
      </c>
      <c r="W1217" s="9" t="s">
        <v>9</v>
      </c>
      <c r="X1217" s="66">
        <f>+AO1215</f>
        <v>50.625</v>
      </c>
      <c r="Y1217" s="66"/>
      <c r="Z1217" s="66"/>
      <c r="AA1217" s="9" t="s">
        <v>7</v>
      </c>
      <c r="AB1217" s="9">
        <v>0</v>
      </c>
      <c r="AD1217" s="1" t="s">
        <v>459</v>
      </c>
      <c r="CC1217" s="7"/>
    </row>
    <row r="1218" spans="2:81">
      <c r="B1218" s="6"/>
      <c r="C1218" s="1" t="s">
        <v>465</v>
      </c>
      <c r="G1218" s="66">
        <f>+E1198</f>
        <v>15</v>
      </c>
      <c r="H1218" s="66"/>
      <c r="I1218" s="9" t="s">
        <v>5</v>
      </c>
      <c r="J1218" s="66">
        <f>+AG1174</f>
        <v>3</v>
      </c>
      <c r="K1218" s="66"/>
      <c r="L1218" s="9" t="s">
        <v>9</v>
      </c>
      <c r="M1218" s="1" t="s">
        <v>24</v>
      </c>
      <c r="P1218" s="1" t="s">
        <v>24</v>
      </c>
      <c r="Q1218" s="9" t="s">
        <v>9</v>
      </c>
      <c r="R1218" s="66">
        <f>+G1218*J1218</f>
        <v>45</v>
      </c>
      <c r="S1218" s="66"/>
      <c r="CC1218" s="7"/>
    </row>
    <row r="1219" spans="2:81">
      <c r="B1219" s="6"/>
      <c r="C1219" s="1" t="s">
        <v>466</v>
      </c>
      <c r="G1219" s="1" t="s">
        <v>313</v>
      </c>
      <c r="I1219" s="9"/>
      <c r="L1219" s="9"/>
      <c r="Q1219" s="9"/>
      <c r="CC1219" s="7"/>
    </row>
    <row r="1220" spans="2:81">
      <c r="B1220" s="6"/>
      <c r="C1220" s="1" t="s">
        <v>467</v>
      </c>
      <c r="L1220" s="1" t="s">
        <v>24</v>
      </c>
      <c r="M1220" s="9" t="s">
        <v>6</v>
      </c>
      <c r="N1220" s="1" t="s">
        <v>313</v>
      </c>
      <c r="O1220" s="9" t="s">
        <v>9</v>
      </c>
      <c r="P1220" s="66">
        <f>+R1218-R1219</f>
        <v>45</v>
      </c>
      <c r="Q1220" s="66"/>
      <c r="R1220" s="9" t="s">
        <v>7</v>
      </c>
      <c r="S1220" s="9">
        <v>0</v>
      </c>
      <c r="U1220" s="1" t="s">
        <v>468</v>
      </c>
      <c r="CC1220" s="7"/>
    </row>
    <row r="1221" spans="2:81">
      <c r="B1221" s="6"/>
      <c r="C1221" s="1" t="s">
        <v>320</v>
      </c>
      <c r="G1221" s="66">
        <f>+E1200</f>
        <v>15</v>
      </c>
      <c r="H1221" s="66"/>
      <c r="I1221" s="9" t="s">
        <v>5</v>
      </c>
      <c r="J1221" s="66">
        <f>+AG1174</f>
        <v>3</v>
      </c>
      <c r="K1221" s="66"/>
      <c r="L1221" s="1" t="s">
        <v>321</v>
      </c>
      <c r="M1221" s="1">
        <v>6</v>
      </c>
      <c r="N1221" s="9" t="s">
        <v>9</v>
      </c>
      <c r="O1221" s="1" t="s">
        <v>24</v>
      </c>
      <c r="P1221" s="9" t="s">
        <v>5</v>
      </c>
      <c r="Q1221" s="66">
        <f>+J1221</f>
        <v>3</v>
      </c>
      <c r="R1221" s="66"/>
      <c r="S1221" s="1" t="s">
        <v>254</v>
      </c>
      <c r="T1221" s="1">
        <v>2</v>
      </c>
      <c r="U1221" s="9" t="s">
        <v>9</v>
      </c>
      <c r="V1221" s="1" t="s">
        <v>307</v>
      </c>
      <c r="W1221" s="9" t="s">
        <v>5</v>
      </c>
      <c r="X1221" s="66">
        <f>+Q1221</f>
        <v>3</v>
      </c>
      <c r="Y1221" s="66"/>
      <c r="AB1221" s="1" t="s">
        <v>24</v>
      </c>
      <c r="AC1221" s="9" t="s">
        <v>5</v>
      </c>
      <c r="AD1221" s="66">
        <f>+Q1221^2/T1221</f>
        <v>4.5</v>
      </c>
      <c r="AE1221" s="66"/>
      <c r="AF1221" s="9" t="s">
        <v>9</v>
      </c>
      <c r="AG1221" s="1" t="s">
        <v>307</v>
      </c>
      <c r="AH1221" s="9" t="s">
        <v>5</v>
      </c>
      <c r="AI1221" s="66">
        <f>+X1221</f>
        <v>3</v>
      </c>
      <c r="AJ1221" s="66"/>
      <c r="AK1221" s="9" t="s">
        <v>9</v>
      </c>
      <c r="AL1221" s="66">
        <f>+G1221*J1221^3/M1221</f>
        <v>67.5</v>
      </c>
      <c r="AM1221" s="66"/>
      <c r="AN1221" s="66"/>
      <c r="CC1221" s="7"/>
    </row>
    <row r="1222" spans="2:81">
      <c r="B1222" s="6"/>
      <c r="C1222" s="1" t="s">
        <v>470</v>
      </c>
      <c r="G1222" s="1" t="s">
        <v>446</v>
      </c>
      <c r="I1222" s="9"/>
      <c r="N1222" s="9"/>
      <c r="P1222" s="9"/>
      <c r="U1222" s="9"/>
      <c r="W1222" s="9"/>
      <c r="Z1222" s="9"/>
      <c r="AE1222" s="9"/>
      <c r="AF1222" s="66"/>
      <c r="AG1222" s="66"/>
      <c r="AH1222" s="9"/>
      <c r="AJ1222" s="9"/>
      <c r="AK1222" s="66"/>
      <c r="AL1222" s="66"/>
      <c r="AM1222" s="9"/>
      <c r="AO1222" s="9"/>
      <c r="AP1222" s="66"/>
      <c r="AQ1222" s="66"/>
      <c r="AR1222" s="66"/>
      <c r="CC1222" s="7"/>
    </row>
    <row r="1223" spans="2:81">
      <c r="B1223" s="6"/>
      <c r="C1223" s="1" t="s">
        <v>471</v>
      </c>
      <c r="L1223" s="1" t="s">
        <v>24</v>
      </c>
      <c r="M1223" s="9" t="s">
        <v>5</v>
      </c>
      <c r="N1223" s="66">
        <f>+AD1221</f>
        <v>4.5</v>
      </c>
      <c r="O1223" s="66"/>
      <c r="P1223" s="9" t="s">
        <v>9</v>
      </c>
      <c r="Q1223" s="1" t="s">
        <v>307</v>
      </c>
      <c r="R1223" s="9" t="s">
        <v>5</v>
      </c>
      <c r="S1223" s="66">
        <f>+AI1221</f>
        <v>3</v>
      </c>
      <c r="T1223" s="66"/>
      <c r="U1223" s="9" t="s">
        <v>6</v>
      </c>
      <c r="V1223" s="1" t="s">
        <v>446</v>
      </c>
      <c r="W1223" s="9" t="s">
        <v>9</v>
      </c>
      <c r="X1223" s="66">
        <f>AL1221</f>
        <v>67.5</v>
      </c>
      <c r="Y1223" s="66"/>
      <c r="Z1223" s="66"/>
      <c r="AA1223" s="9" t="s">
        <v>7</v>
      </c>
      <c r="AB1223" s="9">
        <v>0</v>
      </c>
      <c r="AD1223" s="1" t="s">
        <v>768</v>
      </c>
      <c r="CC1223" s="7"/>
    </row>
    <row r="1224" spans="2:81">
      <c r="B1224" s="6"/>
      <c r="C1224" s="24" t="s">
        <v>485</v>
      </c>
      <c r="CC1224" s="7"/>
    </row>
    <row r="1225" spans="2:81">
      <c r="B1225" s="6"/>
      <c r="C1225" s="1" t="s">
        <v>32</v>
      </c>
      <c r="E1225" s="66">
        <f>+W1225</f>
        <v>-107.86743164062494</v>
      </c>
      <c r="F1225" s="66"/>
      <c r="G1225" s="66"/>
      <c r="H1225" s="2"/>
      <c r="I1225" s="40">
        <f>+N1212</f>
        <v>3</v>
      </c>
      <c r="J1225" s="40">
        <v>1</v>
      </c>
      <c r="K1225" s="40">
        <v>0</v>
      </c>
      <c r="L1225" s="40">
        <v>-1</v>
      </c>
      <c r="M1225" s="40">
        <v>0</v>
      </c>
      <c r="N1225" s="40">
        <v>0</v>
      </c>
      <c r="O1225" s="40">
        <f>-U1212</f>
        <v>-67.5</v>
      </c>
      <c r="P1225" s="40"/>
      <c r="Q1225" s="40" cm="1">
        <f t="array" ref="Q1225:V1230">MINVERSE(I1225:N1230)</f>
        <v>0.1142578125000001</v>
      </c>
      <c r="R1225" s="40">
        <v>-5.859375E-3</v>
      </c>
      <c r="S1225" s="40">
        <v>0.18749999999999989</v>
      </c>
      <c r="T1225" s="40">
        <v>-5.8593750000000243E-3</v>
      </c>
      <c r="U1225" s="40">
        <v>0.81542968749999989</v>
      </c>
      <c r="V1225" s="40">
        <v>-2.9296875E-2</v>
      </c>
      <c r="W1225" s="40" cm="1">
        <f t="array" ref="W1225:W1230">MMULT(Q1225:V1230,O1225:O1230)</f>
        <v>-107.86743164062494</v>
      </c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CC1225" s="7"/>
    </row>
    <row r="1226" spans="2:81">
      <c r="B1226" s="6"/>
      <c r="C1226" s="1" t="s">
        <v>392</v>
      </c>
      <c r="E1226" s="66">
        <f t="shared" ref="E1226:E1230" si="9">+W1226</f>
        <v>195.43945312499989</v>
      </c>
      <c r="F1226" s="66"/>
      <c r="G1226" s="66"/>
      <c r="H1226" s="2"/>
      <c r="I1226" s="40">
        <v>0</v>
      </c>
      <c r="J1226" s="40">
        <v>0</v>
      </c>
      <c r="K1226" s="40">
        <f>+AP1213</f>
        <v>20.833333333333332</v>
      </c>
      <c r="L1226" s="40">
        <f>+AU1213</f>
        <v>12.5</v>
      </c>
      <c r="M1226" s="40">
        <f>+AZ1213</f>
        <v>5</v>
      </c>
      <c r="N1226" s="40">
        <v>1</v>
      </c>
      <c r="O1226" s="40">
        <f>-BE1213</f>
        <v>-781.25</v>
      </c>
      <c r="P1226" s="40"/>
      <c r="Q1226" s="40">
        <v>8.5937499999999889E-2</v>
      </c>
      <c r="R1226" s="40">
        <v>4.6875E-2</v>
      </c>
      <c r="S1226" s="40">
        <v>-0.49999999999999978</v>
      </c>
      <c r="T1226" s="40">
        <v>4.6875000000000056E-2</v>
      </c>
      <c r="U1226" s="40">
        <v>-1.5234374999999998</v>
      </c>
      <c r="V1226" s="40">
        <v>0.234375</v>
      </c>
      <c r="W1226" s="40">
        <v>195.43945312499989</v>
      </c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CC1226" s="7"/>
    </row>
    <row r="1227" spans="2:81">
      <c r="B1227" s="6"/>
      <c r="C1227" s="1" t="s">
        <v>354</v>
      </c>
      <c r="E1227" s="66">
        <f t="shared" si="9"/>
        <v>-62.867431640625</v>
      </c>
      <c r="F1227" s="66"/>
      <c r="G1227" s="66"/>
      <c r="H1227" s="2"/>
      <c r="I1227" s="40">
        <v>0</v>
      </c>
      <c r="J1227" s="40">
        <v>0</v>
      </c>
      <c r="K1227" s="40">
        <f>+AA1214</f>
        <v>5</v>
      </c>
      <c r="L1227" s="40">
        <v>1</v>
      </c>
      <c r="M1227" s="40">
        <v>0</v>
      </c>
      <c r="N1227" s="40">
        <v>0</v>
      </c>
      <c r="O1227" s="40">
        <f>-AF1214</f>
        <v>-375</v>
      </c>
      <c r="P1227" s="40"/>
      <c r="Q1227" s="40">
        <v>0.11425781249999992</v>
      </c>
      <c r="R1227" s="40">
        <v>-5.8593749999999948E-3</v>
      </c>
      <c r="S1227" s="40">
        <v>0.1875</v>
      </c>
      <c r="T1227" s="40">
        <v>-5.8593749999999844E-3</v>
      </c>
      <c r="U1227" s="40">
        <v>-0.18457031249999994</v>
      </c>
      <c r="V1227" s="40">
        <v>-2.9296875E-2</v>
      </c>
      <c r="W1227" s="40">
        <v>-62.867431640625</v>
      </c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CC1227" s="7"/>
    </row>
    <row r="1228" spans="2:81">
      <c r="B1228" s="6"/>
      <c r="C1228" s="1" t="s">
        <v>355</v>
      </c>
      <c r="E1228" s="66">
        <f t="shared" si="9"/>
        <v>-60.662841796874972</v>
      </c>
      <c r="F1228" s="66"/>
      <c r="G1228" s="66"/>
      <c r="H1228" s="2"/>
      <c r="I1228" s="40">
        <f>+N1217</f>
        <v>4.5</v>
      </c>
      <c r="J1228" s="40">
        <f>+S1217</f>
        <v>4.5</v>
      </c>
      <c r="K1228" s="40">
        <v>0</v>
      </c>
      <c r="L1228" s="40">
        <v>0</v>
      </c>
      <c r="M1228" s="40">
        <v>0</v>
      </c>
      <c r="N1228" s="40">
        <v>-1</v>
      </c>
      <c r="O1228" s="40">
        <f>-X1217</f>
        <v>-50.625</v>
      </c>
      <c r="P1228" s="40"/>
      <c r="Q1228" s="40">
        <v>-0.57128906249999989</v>
      </c>
      <c r="R1228" s="40">
        <v>2.9296874999999997E-2</v>
      </c>
      <c r="S1228" s="40">
        <v>6.2499999999999931E-2</v>
      </c>
      <c r="T1228" s="40">
        <v>2.9296874999999951E-2</v>
      </c>
      <c r="U1228" s="40">
        <v>0.92285156249999989</v>
      </c>
      <c r="V1228" s="40">
        <v>0.146484375</v>
      </c>
      <c r="W1228" s="40">
        <v>-60.662841796874972</v>
      </c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CC1228" s="7"/>
    </row>
    <row r="1229" spans="2:81">
      <c r="B1229" s="6"/>
      <c r="C1229" s="1" t="s">
        <v>463</v>
      </c>
      <c r="E1229" s="66">
        <f t="shared" si="9"/>
        <v>168.41491699218747</v>
      </c>
      <c r="F1229" s="66"/>
      <c r="G1229" s="66"/>
      <c r="H1229" s="2"/>
      <c r="I1229" s="40">
        <v>1</v>
      </c>
      <c r="J1229" s="40">
        <v>0</v>
      </c>
      <c r="K1229" s="40">
        <v>-1</v>
      </c>
      <c r="L1229" s="40">
        <v>0</v>
      </c>
      <c r="M1229" s="40">
        <v>0</v>
      </c>
      <c r="N1229" s="40">
        <v>0</v>
      </c>
      <c r="O1229" s="40">
        <f>-P1220</f>
        <v>-45</v>
      </c>
      <c r="P1229" s="40"/>
      <c r="Q1229" s="40">
        <v>0.77197265625</v>
      </c>
      <c r="R1229" s="40">
        <v>0.11425781249999999</v>
      </c>
      <c r="S1229" s="40">
        <v>-0.65624999999999989</v>
      </c>
      <c r="T1229" s="40">
        <v>0.11425781250000003</v>
      </c>
      <c r="U1229" s="40">
        <v>-0.90087890625</v>
      </c>
      <c r="V1229" s="40">
        <v>-0.4287109375</v>
      </c>
      <c r="W1229" s="40">
        <v>168.41491699218747</v>
      </c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CC1229" s="7"/>
    </row>
    <row r="1230" spans="2:81">
      <c r="B1230" s="6"/>
      <c r="C1230" s="1" t="s">
        <v>462</v>
      </c>
      <c r="E1230" s="66">
        <f t="shared" si="9"/>
        <v>444.69909667968739</v>
      </c>
      <c r="F1230" s="66"/>
      <c r="G1230" s="66"/>
      <c r="H1230" s="2"/>
      <c r="I1230" s="40">
        <f>+N1223</f>
        <v>4.5</v>
      </c>
      <c r="J1230" s="40">
        <f>+S1223</f>
        <v>3</v>
      </c>
      <c r="K1230" s="40">
        <v>0</v>
      </c>
      <c r="L1230" s="40">
        <v>0</v>
      </c>
      <c r="M1230" s="40">
        <v>-1</v>
      </c>
      <c r="N1230" s="40">
        <v>0</v>
      </c>
      <c r="O1230" s="40">
        <f>-X1223</f>
        <v>-67.5</v>
      </c>
      <c r="P1230" s="40"/>
      <c r="Q1230" s="40">
        <v>0.90087890624999989</v>
      </c>
      <c r="R1230" s="40">
        <v>0.1845703125</v>
      </c>
      <c r="S1230" s="40">
        <v>-1.4062499999999996</v>
      </c>
      <c r="T1230" s="40">
        <v>-0.81542968749999989</v>
      </c>
      <c r="U1230" s="40">
        <v>-3.1860351562499996</v>
      </c>
      <c r="V1230" s="40">
        <v>0.9228515625</v>
      </c>
      <c r="W1230" s="40">
        <v>444.69909667968739</v>
      </c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CC1230" s="7"/>
    </row>
    <row r="1231" spans="2:81">
      <c r="B1231" s="6"/>
      <c r="C1231" s="24" t="s">
        <v>303</v>
      </c>
      <c r="E1231" s="9"/>
      <c r="F1231" s="9"/>
      <c r="G1231" s="9"/>
      <c r="CC1231" s="7"/>
    </row>
    <row r="1232" spans="2:81">
      <c r="B1232" s="6"/>
      <c r="C1232" s="1" t="s">
        <v>195</v>
      </c>
      <c r="H1232" s="66">
        <f>+E1201</f>
        <v>15</v>
      </c>
      <c r="I1232" s="66"/>
      <c r="J1232" s="9" t="s">
        <v>5</v>
      </c>
      <c r="K1232" s="9" t="s">
        <v>185</v>
      </c>
      <c r="L1232" s="1" t="s">
        <v>173</v>
      </c>
      <c r="M1232" s="66">
        <v>24</v>
      </c>
      <c r="N1232" s="66"/>
      <c r="O1232" s="9" t="s">
        <v>9</v>
      </c>
      <c r="P1232" s="1" t="s">
        <v>24</v>
      </c>
      <c r="Q1232" s="9" t="s">
        <v>5</v>
      </c>
      <c r="R1232" s="9" t="s">
        <v>184</v>
      </c>
      <c r="S1232" s="1" t="s">
        <v>173</v>
      </c>
      <c r="T1232" s="1">
        <v>6</v>
      </c>
      <c r="U1232" s="9" t="s">
        <v>9</v>
      </c>
      <c r="V1232" s="1" t="s">
        <v>307</v>
      </c>
      <c r="W1232" s="9" t="s">
        <v>5</v>
      </c>
      <c r="X1232" s="1" t="s">
        <v>183</v>
      </c>
      <c r="Y1232" s="1" t="s">
        <v>173</v>
      </c>
      <c r="Z1232" s="1">
        <v>2</v>
      </c>
      <c r="AA1232" s="9" t="s">
        <v>9</v>
      </c>
      <c r="AB1232" s="1" t="s">
        <v>440</v>
      </c>
      <c r="AC1232" s="9" t="s">
        <v>5</v>
      </c>
      <c r="AD1232" s="9" t="s">
        <v>13</v>
      </c>
      <c r="AE1232" s="9" t="s">
        <v>9</v>
      </c>
      <c r="AF1232" s="1" t="s">
        <v>441</v>
      </c>
      <c r="CC1232" s="7"/>
    </row>
    <row r="1233" spans="2:81">
      <c r="B1233" s="6"/>
      <c r="C1233" s="1" t="s">
        <v>27</v>
      </c>
      <c r="D1233" s="67">
        <v>3</v>
      </c>
      <c r="E1233" s="67"/>
      <c r="F1233" s="67"/>
      <c r="G1233" s="1" t="s">
        <v>42</v>
      </c>
      <c r="P1233" s="8" t="str">
        <f>IF(D1233&lt;=AG1174,"","azalt.")</f>
        <v/>
      </c>
      <c r="CC1233" s="7"/>
    </row>
    <row r="1234" spans="2:81">
      <c r="B1234" s="6"/>
      <c r="C1234" s="1" t="s">
        <v>35</v>
      </c>
      <c r="E1234" s="66">
        <f>+H1232</f>
        <v>15</v>
      </c>
      <c r="F1234" s="66"/>
      <c r="G1234" s="9" t="s">
        <v>5</v>
      </c>
      <c r="H1234" s="66">
        <f>+D1233</f>
        <v>3</v>
      </c>
      <c r="I1234" s="66"/>
      <c r="J1234" s="1" t="s">
        <v>403</v>
      </c>
      <c r="K1234" s="66">
        <v>24</v>
      </c>
      <c r="L1234" s="66"/>
      <c r="M1234" s="1" t="s">
        <v>9</v>
      </c>
      <c r="N1234" s="66">
        <f>+E1225</f>
        <v>-107.86743164062494</v>
      </c>
      <c r="O1234" s="66"/>
      <c r="P1234" s="66"/>
      <c r="Q1234" s="9" t="s">
        <v>5</v>
      </c>
      <c r="R1234" s="66">
        <f>+H1234</f>
        <v>3</v>
      </c>
      <c r="S1234" s="66"/>
      <c r="T1234" s="1" t="s">
        <v>321</v>
      </c>
      <c r="U1234" s="1">
        <v>6</v>
      </c>
      <c r="V1234" s="1" t="s">
        <v>9</v>
      </c>
      <c r="W1234" s="66">
        <f>+E1226</f>
        <v>195.43945312499989</v>
      </c>
      <c r="X1234" s="66"/>
      <c r="Y1234" s="66"/>
      <c r="Z1234" s="1" t="s">
        <v>5</v>
      </c>
      <c r="AA1234" s="66">
        <f>+R1234</f>
        <v>3</v>
      </c>
      <c r="AB1234" s="66"/>
      <c r="AC1234" s="1" t="s">
        <v>254</v>
      </c>
      <c r="AD1234" s="1">
        <v>2</v>
      </c>
      <c r="AE1234" s="1" t="s">
        <v>193</v>
      </c>
      <c r="AH1234" s="66">
        <f>+F1179</f>
        <v>200000</v>
      </c>
      <c r="AI1234" s="66"/>
      <c r="AJ1234" s="66"/>
      <c r="AK1234" s="9" t="s">
        <v>5</v>
      </c>
      <c r="AL1234" s="66">
        <f>+F1178</f>
        <v>92080</v>
      </c>
      <c r="AM1234" s="66"/>
      <c r="AN1234" s="66"/>
      <c r="AO1234" s="1" t="s">
        <v>40</v>
      </c>
      <c r="CC1234" s="7"/>
    </row>
    <row r="1235" spans="2:81">
      <c r="B1235" s="6"/>
      <c r="C1235" s="1" t="s">
        <v>33</v>
      </c>
      <c r="E1235" s="66">
        <f>(E1234*H1234^4/K1234+N1234*R1234^3/U1234+W1234*AA1234^2/AD1234)*100000000/(AH1234*AL1234)</f>
        <v>2.4147431400938708</v>
      </c>
      <c r="F1235" s="66"/>
      <c r="G1235" s="66"/>
      <c r="H1235" s="1" t="s">
        <v>41</v>
      </c>
      <c r="CC1235" s="7"/>
    </row>
    <row r="1236" spans="2:81">
      <c r="B1236" s="6"/>
      <c r="C1236" s="1" t="s">
        <v>172</v>
      </c>
      <c r="H1236" s="66">
        <f>AN1176*1000</f>
        <v>8000</v>
      </c>
      <c r="I1236" s="66"/>
      <c r="J1236" s="66"/>
      <c r="K1236" s="1" t="s">
        <v>173</v>
      </c>
      <c r="L1236" s="66">
        <v>300</v>
      </c>
      <c r="M1236" s="66"/>
      <c r="N1236" s="9" t="s">
        <v>7</v>
      </c>
      <c r="O1236" s="66">
        <f>+H1236/L1236</f>
        <v>26.666666666666668</v>
      </c>
      <c r="P1236" s="66"/>
      <c r="Q1236" s="66"/>
      <c r="R1236" s="1" t="s">
        <v>41</v>
      </c>
      <c r="U1236" s="1" t="s">
        <v>192</v>
      </c>
      <c r="CC1236" s="7"/>
    </row>
    <row r="1237" spans="2:81">
      <c r="B1237" s="6"/>
      <c r="C1237" s="1" t="s">
        <v>34</v>
      </c>
      <c r="D1237" s="66">
        <f>+E1235</f>
        <v>2.4147431400938708</v>
      </c>
      <c r="E1237" s="66"/>
      <c r="F1237" s="66"/>
      <c r="G1237" s="1" t="s">
        <v>41</v>
      </c>
      <c r="I1237" s="1" t="str">
        <f>IF(ABS(D1237)&lt;ABS(M1237),"&lt;","&gt;")</f>
        <v>&lt;</v>
      </c>
      <c r="J1237" s="1" t="s">
        <v>174</v>
      </c>
      <c r="M1237" s="66">
        <f>+O1236</f>
        <v>26.666666666666668</v>
      </c>
      <c r="N1237" s="66"/>
      <c r="O1237" s="66"/>
      <c r="P1237" s="1" t="s">
        <v>41</v>
      </c>
      <c r="R1237" s="8" t="str">
        <f>IF(ABS(D1237)&lt;ABS(M1237),"uygun.","uygun değil.")</f>
        <v>uygun.</v>
      </c>
      <c r="CC1237" s="7"/>
    </row>
    <row r="1238" spans="2:81">
      <c r="B1238" s="6"/>
      <c r="C1238" s="24" t="s">
        <v>308</v>
      </c>
      <c r="CC1238" s="7"/>
    </row>
    <row r="1239" spans="2:81">
      <c r="B1239" s="6"/>
      <c r="C1239" s="1" t="s">
        <v>195</v>
      </c>
      <c r="H1239" s="66">
        <f>+E1206</f>
        <v>30</v>
      </c>
      <c r="I1239" s="66"/>
      <c r="J1239" s="9" t="s">
        <v>5</v>
      </c>
      <c r="K1239" s="9" t="s">
        <v>445</v>
      </c>
      <c r="L1239" s="1" t="s">
        <v>173</v>
      </c>
      <c r="M1239" s="66">
        <v>24</v>
      </c>
      <c r="N1239" s="66"/>
      <c r="O1239" s="9" t="s">
        <v>9</v>
      </c>
      <c r="P1239" s="1" t="s">
        <v>313</v>
      </c>
      <c r="Q1239" s="9" t="s">
        <v>5</v>
      </c>
      <c r="R1239" s="9" t="s">
        <v>444</v>
      </c>
      <c r="S1239" s="1" t="s">
        <v>173</v>
      </c>
      <c r="T1239" s="1">
        <v>6</v>
      </c>
      <c r="U1239" s="9" t="s">
        <v>9</v>
      </c>
      <c r="V1239" s="1" t="s">
        <v>315</v>
      </c>
      <c r="W1239" s="9" t="s">
        <v>5</v>
      </c>
      <c r="X1239" s="1" t="s">
        <v>443</v>
      </c>
      <c r="Y1239" s="1" t="s">
        <v>173</v>
      </c>
      <c r="Z1239" s="1">
        <v>2</v>
      </c>
      <c r="AA1239" s="9" t="s">
        <v>9</v>
      </c>
      <c r="AB1239" s="1" t="s">
        <v>446</v>
      </c>
      <c r="AC1239" s="9" t="s">
        <v>5</v>
      </c>
      <c r="AD1239" s="9" t="s">
        <v>428</v>
      </c>
      <c r="AE1239" s="9" t="s">
        <v>9</v>
      </c>
      <c r="AF1239" s="1" t="s">
        <v>447</v>
      </c>
      <c r="AH1239" s="9"/>
      <c r="AI1239" s="9"/>
      <c r="CC1239" s="7"/>
    </row>
    <row r="1240" spans="2:81">
      <c r="B1240" s="6"/>
      <c r="C1240" s="1" t="s">
        <v>482</v>
      </c>
      <c r="D1240" s="67">
        <v>2</v>
      </c>
      <c r="E1240" s="67"/>
      <c r="F1240" s="67"/>
      <c r="G1240" s="1" t="s">
        <v>42</v>
      </c>
      <c r="P1240" s="8" t="str">
        <f>IF(D1240&lt;=AS1174,"","azalt.")</f>
        <v/>
      </c>
      <c r="CC1240" s="7"/>
    </row>
    <row r="1241" spans="2:81">
      <c r="B1241" s="6"/>
      <c r="C1241" s="1" t="s">
        <v>35</v>
      </c>
      <c r="E1241" s="66">
        <f>+H1239</f>
        <v>30</v>
      </c>
      <c r="F1241" s="66"/>
      <c r="G1241" s="9" t="s">
        <v>5</v>
      </c>
      <c r="H1241" s="66">
        <f>+D1240</f>
        <v>2</v>
      </c>
      <c r="I1241" s="66"/>
      <c r="J1241" s="1" t="s">
        <v>403</v>
      </c>
      <c r="K1241" s="66">
        <v>24</v>
      </c>
      <c r="L1241" s="66"/>
      <c r="M1241" s="1" t="s">
        <v>9</v>
      </c>
      <c r="N1241" s="66">
        <f>+E1227</f>
        <v>-62.867431640625</v>
      </c>
      <c r="O1241" s="66"/>
      <c r="P1241" s="66"/>
      <c r="Q1241" s="9" t="s">
        <v>5</v>
      </c>
      <c r="R1241" s="66">
        <f>+H1241</f>
        <v>2</v>
      </c>
      <c r="S1241" s="66"/>
      <c r="T1241" s="1" t="s">
        <v>321</v>
      </c>
      <c r="U1241" s="1">
        <v>6</v>
      </c>
      <c r="V1241" s="9" t="s">
        <v>9</v>
      </c>
      <c r="W1241" s="66">
        <f>+E1228</f>
        <v>-60.662841796874972</v>
      </c>
      <c r="X1241" s="66"/>
      <c r="Y1241" s="66"/>
      <c r="Z1241" s="1" t="s">
        <v>5</v>
      </c>
      <c r="AA1241" s="66">
        <f>+R1241</f>
        <v>2</v>
      </c>
      <c r="AB1241" s="66"/>
      <c r="AC1241" s="1" t="s">
        <v>254</v>
      </c>
      <c r="AD1241" s="1">
        <v>2</v>
      </c>
      <c r="AE1241" s="9" t="s">
        <v>9</v>
      </c>
      <c r="AF1241" s="66">
        <f>+E1229</f>
        <v>168.41491699218747</v>
      </c>
      <c r="AG1241" s="66"/>
      <c r="AH1241" s="66"/>
      <c r="AI1241" s="9" t="s">
        <v>5</v>
      </c>
      <c r="AJ1241" s="66">
        <f>+AA1241</f>
        <v>2</v>
      </c>
      <c r="AK1241" s="66"/>
      <c r="AL1241" s="9" t="s">
        <v>9</v>
      </c>
      <c r="AM1241" s="66">
        <f>+E1230</f>
        <v>444.69909667968739</v>
      </c>
      <c r="AN1241" s="66"/>
      <c r="AO1241" s="66"/>
      <c r="AP1241" s="1" t="s">
        <v>193</v>
      </c>
      <c r="AS1241" s="66">
        <f>+AH1234</f>
        <v>200000</v>
      </c>
      <c r="AT1241" s="66"/>
      <c r="AU1241" s="66"/>
      <c r="AV1241" s="9" t="s">
        <v>5</v>
      </c>
      <c r="AW1241" s="66">
        <f>+AL1234</f>
        <v>92080</v>
      </c>
      <c r="AX1241" s="66"/>
      <c r="AY1241" s="66"/>
      <c r="AZ1241" s="1" t="s">
        <v>40</v>
      </c>
      <c r="CC1241" s="7"/>
    </row>
    <row r="1242" spans="2:81">
      <c r="B1242" s="6"/>
      <c r="C1242" s="1" t="s">
        <v>33</v>
      </c>
      <c r="E1242" s="66">
        <f>(E1241*H1241^4/K1241+N1241*R1241^3/U1241+W1241*AA1241^2/AD1241+AF1241*AJ1241+AM1241)*100000000/(AS1241*AW1241)</f>
        <v>3.2383796963662705</v>
      </c>
      <c r="F1242" s="66"/>
      <c r="G1242" s="66"/>
      <c r="H1242" s="1" t="s">
        <v>41</v>
      </c>
      <c r="CC1242" s="7"/>
    </row>
    <row r="1243" spans="2:81">
      <c r="B1243" s="6"/>
      <c r="C1243" s="1" t="s">
        <v>172</v>
      </c>
      <c r="H1243" s="66">
        <f>AN1176*1000</f>
        <v>8000</v>
      </c>
      <c r="I1243" s="66"/>
      <c r="J1243" s="66"/>
      <c r="K1243" s="1" t="s">
        <v>173</v>
      </c>
      <c r="L1243" s="66">
        <v>300</v>
      </c>
      <c r="M1243" s="66"/>
      <c r="N1243" s="9" t="s">
        <v>7</v>
      </c>
      <c r="O1243" s="66">
        <f>+H1243/L1243</f>
        <v>26.666666666666668</v>
      </c>
      <c r="P1243" s="66"/>
      <c r="Q1243" s="66"/>
      <c r="R1243" s="1" t="s">
        <v>41</v>
      </c>
      <c r="U1243" s="1" t="s">
        <v>192</v>
      </c>
      <c r="CC1243" s="7"/>
    </row>
    <row r="1244" spans="2:81">
      <c r="B1244" s="6"/>
      <c r="C1244" s="1" t="s">
        <v>34</v>
      </c>
      <c r="D1244" s="66">
        <f>+E1242</f>
        <v>3.2383796963662705</v>
      </c>
      <c r="E1244" s="66"/>
      <c r="F1244" s="66"/>
      <c r="G1244" s="1" t="s">
        <v>41</v>
      </c>
      <c r="I1244" s="1" t="str">
        <f>IF(ABS(D1244)&lt;ABS(M1244),"&lt;","&gt;")</f>
        <v>&lt;</v>
      </c>
      <c r="J1244" s="1" t="s">
        <v>174</v>
      </c>
      <c r="M1244" s="66">
        <f>+O1243</f>
        <v>26.666666666666668</v>
      </c>
      <c r="N1244" s="66"/>
      <c r="O1244" s="66"/>
      <c r="P1244" s="1" t="s">
        <v>41</v>
      </c>
      <c r="R1244" s="8" t="str">
        <f>IF(ABS(D1244)&lt;ABS(M1244),"uygun.","uygun değil.")</f>
        <v>uygun.</v>
      </c>
      <c r="CC1244" s="7"/>
    </row>
    <row r="1245" spans="2:81">
      <c r="B1245" s="6"/>
      <c r="C1245" s="23" t="s">
        <v>221</v>
      </c>
      <c r="CC1245" s="7"/>
    </row>
    <row r="1246" spans="2:81">
      <c r="B1246" s="6"/>
      <c r="C1246" s="1" t="s">
        <v>473</v>
      </c>
      <c r="H1246" s="66">
        <f>-E1225</f>
        <v>107.86743164062494</v>
      </c>
      <c r="I1246" s="66"/>
      <c r="J1246" s="66"/>
      <c r="K1246" s="1" t="s">
        <v>0</v>
      </c>
      <c r="M1246" s="1" t="s">
        <v>474</v>
      </c>
      <c r="CC1246" s="7"/>
    </row>
    <row r="1247" spans="2:81">
      <c r="B1247" s="6"/>
      <c r="C1247" s="1" t="s">
        <v>475</v>
      </c>
      <c r="H1247" s="66">
        <f>+E1203</f>
        <v>30</v>
      </c>
      <c r="I1247" s="66"/>
      <c r="J1247" s="9" t="s">
        <v>5</v>
      </c>
      <c r="K1247" s="66">
        <f>+AS1174</f>
        <v>5</v>
      </c>
      <c r="L1247" s="66"/>
      <c r="M1247" s="9" t="s">
        <v>9</v>
      </c>
      <c r="N1247" s="66">
        <f>+E1227</f>
        <v>-62.867431640625</v>
      </c>
      <c r="O1247" s="66"/>
      <c r="P1247" s="66"/>
      <c r="Q1247" s="9" t="s">
        <v>7</v>
      </c>
      <c r="R1247" s="66">
        <f>+H1247*K1247+N1247</f>
        <v>87.132568359375</v>
      </c>
      <c r="S1247" s="66"/>
      <c r="T1247" s="66"/>
      <c r="U1247" s="1" t="s">
        <v>0</v>
      </c>
      <c r="W1247" s="1" t="s">
        <v>477</v>
      </c>
      <c r="CC1247" s="7"/>
    </row>
    <row r="1248" spans="2:81">
      <c r="B1248" s="6"/>
      <c r="C1248" s="1" t="s">
        <v>476</v>
      </c>
      <c r="H1248" s="66">
        <f>+E1226</f>
        <v>195.43945312499989</v>
      </c>
      <c r="I1248" s="66"/>
      <c r="J1248" s="66"/>
      <c r="K1248" s="1" t="s">
        <v>191</v>
      </c>
      <c r="M1248" s="1" t="s">
        <v>478</v>
      </c>
      <c r="CC1248" s="7"/>
    </row>
    <row r="1249" spans="2:81">
      <c r="B1249" s="6"/>
      <c r="C1249" s="23" t="s">
        <v>222</v>
      </c>
      <c r="H1249" s="9"/>
      <c r="I1249" s="9"/>
      <c r="J1249" s="9"/>
      <c r="CC1249" s="7"/>
    </row>
    <row r="1250" spans="2:81">
      <c r="B1250" s="6"/>
      <c r="C1250" s="1" t="s">
        <v>479</v>
      </c>
      <c r="H1250" s="67">
        <v>3</v>
      </c>
      <c r="I1250" s="67"/>
      <c r="J1250" s="1" t="s">
        <v>480</v>
      </c>
      <c r="W1250" s="8" t="str">
        <f>IF(H1250&lt;=AG1174,"","azalt.")</f>
        <v/>
      </c>
      <c r="CC1250" s="7"/>
    </row>
    <row r="1251" spans="2:81">
      <c r="B1251" s="6"/>
      <c r="C1251" s="1" t="s">
        <v>489</v>
      </c>
      <c r="E1251" s="66">
        <f>+E1199</f>
        <v>15</v>
      </c>
      <c r="F1251" s="66"/>
      <c r="G1251" s="9" t="s">
        <v>5</v>
      </c>
      <c r="H1251" s="66">
        <f>+H1250</f>
        <v>3</v>
      </c>
      <c r="I1251" s="66"/>
      <c r="J1251" s="1" t="s">
        <v>254</v>
      </c>
      <c r="K1251" s="1">
        <v>2</v>
      </c>
      <c r="L1251" s="9" t="s">
        <v>9</v>
      </c>
      <c r="M1251" s="66">
        <f>+E1225</f>
        <v>-107.86743164062494</v>
      </c>
      <c r="N1251" s="66"/>
      <c r="O1251" s="66"/>
      <c r="P1251" s="9" t="s">
        <v>5</v>
      </c>
      <c r="Q1251" s="66">
        <f>+H1251</f>
        <v>3</v>
      </c>
      <c r="R1251" s="66"/>
      <c r="S1251" s="9" t="s">
        <v>9</v>
      </c>
      <c r="T1251" s="66">
        <f>+E1226</f>
        <v>195.43945312499989</v>
      </c>
      <c r="U1251" s="66"/>
      <c r="V1251" s="66"/>
      <c r="W1251" s="9" t="s">
        <v>7</v>
      </c>
      <c r="X1251" s="66">
        <f>E1251*H1251^2/K1251+M1251*Q1251+T1251</f>
        <v>-60.662841796874943</v>
      </c>
      <c r="Y1251" s="66"/>
      <c r="Z1251" s="66"/>
      <c r="AA1251" s="1" t="s">
        <v>191</v>
      </c>
      <c r="CC1251" s="7"/>
    </row>
    <row r="1252" spans="2:81">
      <c r="B1252" s="6"/>
      <c r="C1252" s="1" t="s">
        <v>490</v>
      </c>
      <c r="E1252" s="66">
        <f>+E1198</f>
        <v>15</v>
      </c>
      <c r="F1252" s="66"/>
      <c r="G1252" s="9" t="s">
        <v>5</v>
      </c>
      <c r="H1252" s="66">
        <f>+H1251</f>
        <v>3</v>
      </c>
      <c r="I1252" s="66"/>
      <c r="J1252" s="9" t="s">
        <v>9</v>
      </c>
      <c r="K1252" s="66">
        <f>+E1225</f>
        <v>-107.86743164062494</v>
      </c>
      <c r="L1252" s="66"/>
      <c r="M1252" s="66"/>
      <c r="N1252" s="9" t="s">
        <v>7</v>
      </c>
      <c r="O1252" s="66">
        <f>+E1252*H1252+K1252</f>
        <v>-62.867431640624943</v>
      </c>
      <c r="P1252" s="66"/>
      <c r="Q1252" s="66"/>
      <c r="R1252" s="1" t="s">
        <v>0</v>
      </c>
      <c r="CC1252" s="7"/>
    </row>
    <row r="1253" spans="2:81">
      <c r="B1253" s="6"/>
      <c r="C1253" s="1" t="s">
        <v>481</v>
      </c>
      <c r="H1253" s="67">
        <v>3</v>
      </c>
      <c r="I1253" s="67"/>
      <c r="J1253" s="1" t="s">
        <v>480</v>
      </c>
      <c r="W1253" s="8" t="str">
        <f>IF(H1253&lt;=AS1174,"","azalt.")</f>
        <v/>
      </c>
      <c r="CC1253" s="7"/>
    </row>
    <row r="1254" spans="2:81">
      <c r="B1254" s="6"/>
      <c r="C1254" s="1" t="s">
        <v>491</v>
      </c>
      <c r="E1254" s="66">
        <f>+E1204</f>
        <v>30</v>
      </c>
      <c r="F1254" s="66"/>
      <c r="G1254" s="9" t="s">
        <v>5</v>
      </c>
      <c r="H1254" s="66">
        <f>+H1253</f>
        <v>3</v>
      </c>
      <c r="I1254" s="66"/>
      <c r="J1254" s="1" t="s">
        <v>254</v>
      </c>
      <c r="K1254" s="1">
        <v>2</v>
      </c>
      <c r="L1254" s="9" t="s">
        <v>9</v>
      </c>
      <c r="M1254" s="66">
        <f>+E1227</f>
        <v>-62.867431640625</v>
      </c>
      <c r="N1254" s="66"/>
      <c r="O1254" s="66"/>
      <c r="P1254" s="9" t="s">
        <v>5</v>
      </c>
      <c r="Q1254" s="66">
        <f>+H1254</f>
        <v>3</v>
      </c>
      <c r="R1254" s="66"/>
      <c r="S1254" s="9" t="s">
        <v>9</v>
      </c>
      <c r="T1254" s="66">
        <f>+E1228</f>
        <v>-60.662841796874972</v>
      </c>
      <c r="U1254" s="66"/>
      <c r="V1254" s="66"/>
      <c r="W1254" s="9" t="s">
        <v>7</v>
      </c>
      <c r="X1254" s="66">
        <f>E1254*H1254^2/K1254+M1254*Q1254+T1254</f>
        <v>-114.26513671874997</v>
      </c>
      <c r="Y1254" s="66"/>
      <c r="Z1254" s="66"/>
      <c r="AA1254" s="1" t="s">
        <v>191</v>
      </c>
      <c r="CC1254" s="7"/>
    </row>
    <row r="1255" spans="2:81">
      <c r="B1255" s="6"/>
      <c r="C1255" s="1" t="s">
        <v>492</v>
      </c>
      <c r="E1255" s="66">
        <f>+E1203</f>
        <v>30</v>
      </c>
      <c r="F1255" s="66"/>
      <c r="G1255" s="9" t="s">
        <v>5</v>
      </c>
      <c r="H1255" s="66">
        <f>+H1254</f>
        <v>3</v>
      </c>
      <c r="I1255" s="66"/>
      <c r="J1255" s="9" t="s">
        <v>9</v>
      </c>
      <c r="K1255" s="66">
        <f>+E1227</f>
        <v>-62.867431640625</v>
      </c>
      <c r="L1255" s="66"/>
      <c r="M1255" s="66"/>
      <c r="N1255" s="9" t="s">
        <v>7</v>
      </c>
      <c r="O1255" s="66">
        <f>+E1255*H1255+K1255</f>
        <v>27.132568359375</v>
      </c>
      <c r="P1255" s="66"/>
      <c r="Q1255" s="66"/>
      <c r="R1255" s="1" t="s">
        <v>0</v>
      </c>
      <c r="CC1255" s="7"/>
    </row>
    <row r="1256" spans="2:81" ht="12" thickBot="1">
      <c r="B1256" s="12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13"/>
      <c r="AV1256" s="13"/>
      <c r="AW1256" s="13"/>
      <c r="AX1256" s="13"/>
      <c r="AY1256" s="13"/>
      <c r="AZ1256" s="13"/>
      <c r="BA1256" s="13"/>
      <c r="BB1256" s="13"/>
      <c r="BC1256" s="13"/>
      <c r="BD1256" s="13"/>
      <c r="BE1256" s="13"/>
      <c r="BF1256" s="13"/>
      <c r="BG1256" s="13"/>
      <c r="BH1256" s="13"/>
      <c r="BI1256" s="13"/>
      <c r="BJ1256" s="13"/>
      <c r="BK1256" s="13"/>
      <c r="BL1256" s="13"/>
      <c r="BM1256" s="13"/>
      <c r="BN1256" s="13"/>
      <c r="BO1256" s="13"/>
      <c r="BP1256" s="13"/>
      <c r="BQ1256" s="13"/>
      <c r="BR1256" s="13"/>
      <c r="BS1256" s="13"/>
      <c r="BT1256" s="13"/>
      <c r="BU1256" s="13"/>
      <c r="BV1256" s="13"/>
      <c r="BW1256" s="13"/>
      <c r="BX1256" s="13"/>
      <c r="BY1256" s="13"/>
      <c r="BZ1256" s="13"/>
      <c r="CA1256" s="13"/>
      <c r="CB1256" s="13"/>
      <c r="CC1256" s="14"/>
    </row>
    <row r="1257" spans="2:81" ht="12" thickBot="1"/>
    <row r="1258" spans="2:81" ht="48" customHeight="1">
      <c r="B1258" s="73" t="s">
        <v>493</v>
      </c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Q1258" s="74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  <c r="AG1258" s="74"/>
      <c r="AH1258" s="74"/>
      <c r="AI1258" s="74"/>
      <c r="AJ1258" s="74"/>
      <c r="AK1258" s="74"/>
      <c r="AL1258" s="74"/>
      <c r="AM1258" s="74"/>
      <c r="AN1258" s="74"/>
      <c r="AO1258" s="74"/>
      <c r="AP1258" s="74"/>
      <c r="AQ1258" s="74"/>
      <c r="AR1258" s="74"/>
      <c r="AS1258" s="74"/>
      <c r="AT1258" s="74"/>
      <c r="AU1258" s="74"/>
      <c r="AV1258" s="74"/>
      <c r="AW1258" s="74"/>
      <c r="AX1258" s="74"/>
      <c r="AY1258" s="74"/>
      <c r="AZ1258" s="74"/>
      <c r="BA1258" s="74"/>
      <c r="BB1258" s="74"/>
      <c r="BC1258" s="74"/>
      <c r="BD1258" s="74"/>
      <c r="BE1258" s="74"/>
      <c r="BF1258" s="74"/>
      <c r="BG1258" s="74"/>
      <c r="BH1258" s="74"/>
      <c r="BI1258" s="74"/>
      <c r="BJ1258" s="74"/>
      <c r="BK1258" s="74"/>
      <c r="BL1258" s="74"/>
      <c r="BM1258" s="74"/>
      <c r="BN1258" s="74"/>
      <c r="BO1258" s="74"/>
      <c r="BP1258" s="74"/>
      <c r="BQ1258" s="74"/>
      <c r="BR1258" s="74"/>
      <c r="BS1258" s="74"/>
      <c r="BT1258" s="74"/>
      <c r="BU1258" s="74"/>
      <c r="BV1258" s="74"/>
      <c r="BW1258" s="74"/>
      <c r="BX1258" s="74"/>
      <c r="BY1258" s="74"/>
      <c r="BZ1258" s="74"/>
      <c r="CA1258" s="74"/>
      <c r="CB1258" s="74"/>
      <c r="CC1258" s="75"/>
    </row>
    <row r="1259" spans="2:81">
      <c r="B1259" s="6"/>
      <c r="Y1259" s="8" t="s">
        <v>176</v>
      </c>
      <c r="CC1259" s="7"/>
    </row>
    <row r="1260" spans="2:81">
      <c r="B1260" s="6"/>
      <c r="O1260" s="67" t="s">
        <v>171</v>
      </c>
      <c r="P1260" s="67"/>
      <c r="Q1260" s="67"/>
      <c r="R1260" s="67"/>
      <c r="S1260" s="67"/>
      <c r="T1260" s="67"/>
      <c r="X1260" s="1" t="s">
        <v>290</v>
      </c>
      <c r="CC1260" s="7"/>
    </row>
    <row r="1261" spans="2:81">
      <c r="B1261" s="6"/>
      <c r="AP1261" s="23" t="s">
        <v>341</v>
      </c>
      <c r="CC1261" s="7"/>
    </row>
    <row r="1262" spans="2:81">
      <c r="B1262" s="6"/>
      <c r="AD1262" s="67">
        <v>25</v>
      </c>
      <c r="AE1262" s="67"/>
      <c r="AF1262" s="1" t="s">
        <v>187</v>
      </c>
      <c r="AP1262" s="1" t="s">
        <v>301</v>
      </c>
      <c r="AR1262" s="66">
        <f>+AK1305</f>
        <v>1.1764705882352942</v>
      </c>
      <c r="AS1262" s="66"/>
      <c r="AT1262" s="66"/>
      <c r="CC1262" s="7"/>
    </row>
    <row r="1263" spans="2:81">
      <c r="B1263" s="6"/>
      <c r="AP1263" s="1" t="s">
        <v>297</v>
      </c>
      <c r="AR1263" s="66">
        <f>+R1297</f>
        <v>18.75</v>
      </c>
      <c r="AS1263" s="66"/>
      <c r="AT1263" s="66"/>
      <c r="AU1263" s="1" t="s">
        <v>191</v>
      </c>
      <c r="AW1263" s="1" t="s">
        <v>329</v>
      </c>
      <c r="CC1263" s="7"/>
    </row>
    <row r="1264" spans="2:81">
      <c r="B1264" s="6"/>
      <c r="C1264" s="71">
        <f>INDEX($CI$24:$CI$138,MATCH(O1260,$CG$24:$CG$138,0),0)</f>
        <v>600</v>
      </c>
      <c r="AP1264" s="1" t="s">
        <v>330</v>
      </c>
      <c r="AS1264" s="66">
        <f>MAX(W1270,AK1270)</f>
        <v>18.75</v>
      </c>
      <c r="AT1264" s="66"/>
      <c r="AU1264" s="66"/>
      <c r="AV1264" s="1" t="s">
        <v>0</v>
      </c>
      <c r="AX1264" s="1" t="s">
        <v>331</v>
      </c>
      <c r="CC1264" s="7"/>
    </row>
    <row r="1265" spans="2:81">
      <c r="B1265" s="6"/>
      <c r="C1265" s="71"/>
      <c r="AP1265" s="2"/>
      <c r="AQ1265" s="2"/>
      <c r="AR1265" s="2"/>
      <c r="AS1265" s="40"/>
      <c r="AT1265" s="40"/>
      <c r="AU1265" s="40"/>
      <c r="AV1265" s="2"/>
      <c r="AW1265" s="2"/>
      <c r="AX1265" s="2"/>
      <c r="AY1265" s="2"/>
      <c r="AZ1265" s="2"/>
      <c r="BA1265" s="2"/>
      <c r="BB1265" s="2"/>
      <c r="CC1265" s="7"/>
    </row>
    <row r="1266" spans="2:81">
      <c r="B1266" s="6"/>
      <c r="C1266" s="71"/>
      <c r="J1266" s="66">
        <f>INDEX($CK$24:$CK$138,MATCH(O1260,$CG$24:$CG$138,0),0)</f>
        <v>12</v>
      </c>
      <c r="K1266" s="66"/>
      <c r="CC1266" s="7"/>
    </row>
    <row r="1267" spans="2:81">
      <c r="B1267" s="6"/>
      <c r="CC1267" s="7"/>
    </row>
    <row r="1268" spans="2:81">
      <c r="B1268" s="6"/>
      <c r="AA1268" s="1" t="s">
        <v>13</v>
      </c>
      <c r="AR1268" s="23" t="s">
        <v>266</v>
      </c>
      <c r="CC1268" s="7"/>
    </row>
    <row r="1269" spans="2:81">
      <c r="B1269" s="6"/>
      <c r="K1269" s="66">
        <f>INDEX($CL$24:$CL$138,MATCH(O1260,$CG$24:$CG$138,0),0)</f>
        <v>19</v>
      </c>
      <c r="L1269" s="66"/>
      <c r="AR1269" s="11" t="s">
        <v>265</v>
      </c>
      <c r="CC1269" s="7"/>
    </row>
    <row r="1270" spans="2:81">
      <c r="B1270" s="6"/>
      <c r="V1270" s="1" t="s">
        <v>2</v>
      </c>
      <c r="W1270" s="66">
        <f>+E1279</f>
        <v>18.75</v>
      </c>
      <c r="X1270" s="66"/>
      <c r="Y1270" s="1" t="s">
        <v>0</v>
      </c>
      <c r="AJ1270" s="1" t="s">
        <v>3</v>
      </c>
      <c r="AK1270" s="66">
        <f>+E1281</f>
        <v>18.75</v>
      </c>
      <c r="AL1270" s="66"/>
      <c r="AM1270" s="1" t="s">
        <v>0</v>
      </c>
      <c r="AR1270" s="11" t="s">
        <v>263</v>
      </c>
      <c r="CC1270" s="7"/>
    </row>
    <row r="1271" spans="2:81">
      <c r="B1271" s="6"/>
      <c r="AC1271" s="1" t="s">
        <v>197</v>
      </c>
      <c r="AD1271" s="67">
        <v>3</v>
      </c>
      <c r="AE1271" s="67"/>
      <c r="AF1271" s="9" t="s">
        <v>1</v>
      </c>
      <c r="AJ1271" s="20"/>
      <c r="AR1271" s="11" t="s">
        <v>264</v>
      </c>
      <c r="CC1271" s="7"/>
    </row>
    <row r="1272" spans="2:81">
      <c r="B1272" s="6"/>
      <c r="I1272" s="66">
        <f>INDEX($CJ$24:$CJ$138,MATCH(O1260,$CG$24:$CG$138,0),0)</f>
        <v>220</v>
      </c>
      <c r="J1272" s="66"/>
      <c r="CC1272" s="7"/>
    </row>
    <row r="1273" spans="2:81">
      <c r="B1273" s="6"/>
      <c r="CC1273" s="7"/>
    </row>
    <row r="1274" spans="2:81">
      <c r="B1274" s="6"/>
      <c r="D1274" s="10" t="s">
        <v>36</v>
      </c>
      <c r="F1274" s="66">
        <f>INDEX($CM$24:$CM$138,MATCH(O1260,$CG$24:$CG$138,0),0)</f>
        <v>92080</v>
      </c>
      <c r="G1274" s="66"/>
      <c r="H1274" s="66"/>
      <c r="I1274" s="66"/>
      <c r="J1274" s="1" t="s">
        <v>37</v>
      </c>
      <c r="M1274" s="1" t="s">
        <v>175</v>
      </c>
      <c r="CC1274" s="7"/>
    </row>
    <row r="1275" spans="2:81">
      <c r="B1275" s="6"/>
      <c r="D1275" s="1" t="s">
        <v>38</v>
      </c>
      <c r="F1275" s="67">
        <v>200000</v>
      </c>
      <c r="G1275" s="67"/>
      <c r="H1275" s="67"/>
      <c r="I1275" s="67"/>
      <c r="J1275" s="1" t="s">
        <v>39</v>
      </c>
      <c r="M1275" s="1" t="s">
        <v>302</v>
      </c>
      <c r="CC1275" s="7"/>
    </row>
    <row r="1276" spans="2:81">
      <c r="B1276" s="6"/>
      <c r="CC1276" s="7"/>
    </row>
    <row r="1277" spans="2:81">
      <c r="B1277" s="6"/>
      <c r="C1277" s="23" t="s">
        <v>221</v>
      </c>
      <c r="V1277" s="1" t="s">
        <v>423</v>
      </c>
      <c r="AC1277" s="1" t="s">
        <v>494</v>
      </c>
      <c r="CC1277" s="7"/>
    </row>
    <row r="1278" spans="2:81">
      <c r="B1278" s="6"/>
      <c r="C1278" s="1" t="s">
        <v>4</v>
      </c>
      <c r="D1278" s="9" t="s">
        <v>5</v>
      </c>
      <c r="E1278" s="66">
        <f>+AD1271</f>
        <v>3</v>
      </c>
      <c r="F1278" s="66"/>
      <c r="G1278" s="9" t="s">
        <v>6</v>
      </c>
      <c r="H1278" s="66">
        <f>+AD1262</f>
        <v>25</v>
      </c>
      <c r="I1278" s="66"/>
      <c r="J1278" s="9" t="s">
        <v>5</v>
      </c>
      <c r="K1278" s="66">
        <f>++AD1271</f>
        <v>3</v>
      </c>
      <c r="L1278" s="66"/>
      <c r="M1278" s="1" t="s">
        <v>173</v>
      </c>
      <c r="N1278" s="1">
        <v>2</v>
      </c>
      <c r="O1278" s="9" t="s">
        <v>5</v>
      </c>
      <c r="P1278" s="66">
        <f>+K1278/2</f>
        <v>1.5</v>
      </c>
      <c r="Q1278" s="66"/>
      <c r="R1278" s="9" t="s">
        <v>7</v>
      </c>
      <c r="S1278" s="9">
        <v>0</v>
      </c>
      <c r="CC1278" s="7"/>
    </row>
    <row r="1279" spans="2:81">
      <c r="B1279" s="6"/>
      <c r="C1279" s="1" t="s">
        <v>4</v>
      </c>
      <c r="D1279" s="9" t="s">
        <v>7</v>
      </c>
      <c r="E1279" s="66">
        <f>H1278*K1278/N1278*P1278/E1278</f>
        <v>18.75</v>
      </c>
      <c r="F1279" s="66"/>
      <c r="G1279" s="66"/>
      <c r="H1279" s="1" t="s">
        <v>0</v>
      </c>
      <c r="CC1279" s="7"/>
    </row>
    <row r="1280" spans="2:81">
      <c r="B1280" s="6"/>
      <c r="C1280" s="1" t="s">
        <v>10</v>
      </c>
      <c r="D1280" s="9" t="s">
        <v>9</v>
      </c>
      <c r="E1280" s="1" t="s">
        <v>4</v>
      </c>
      <c r="F1280" s="9" t="s">
        <v>6</v>
      </c>
      <c r="G1280" s="66">
        <f>+H1278</f>
        <v>25</v>
      </c>
      <c r="H1280" s="66"/>
      <c r="I1280" s="9" t="s">
        <v>5</v>
      </c>
      <c r="J1280" s="66">
        <f>+K1278</f>
        <v>3</v>
      </c>
      <c r="K1280" s="66"/>
      <c r="L1280" s="1" t="s">
        <v>173</v>
      </c>
      <c r="M1280" s="1">
        <v>2</v>
      </c>
      <c r="N1280" s="9" t="s">
        <v>7</v>
      </c>
      <c r="O1280" s="9">
        <v>0</v>
      </c>
      <c r="CC1280" s="7"/>
    </row>
    <row r="1281" spans="2:81">
      <c r="B1281" s="6"/>
      <c r="C1281" s="1" t="s">
        <v>10</v>
      </c>
      <c r="D1281" s="9" t="s">
        <v>7</v>
      </c>
      <c r="E1281" s="66">
        <f>+G1280*J1280/M1280-E1279</f>
        <v>18.75</v>
      </c>
      <c r="F1281" s="66"/>
      <c r="G1281" s="66"/>
      <c r="H1281" s="1" t="s">
        <v>0</v>
      </c>
      <c r="CC1281" s="7"/>
    </row>
    <row r="1282" spans="2:81">
      <c r="B1282" s="6"/>
      <c r="C1282" s="23" t="s">
        <v>223</v>
      </c>
      <c r="CC1282" s="7"/>
    </row>
    <row r="1283" spans="2:81">
      <c r="B1283" s="6"/>
      <c r="C1283" s="1" t="s">
        <v>404</v>
      </c>
      <c r="E1283" s="66">
        <f>+W1270</f>
        <v>18.75</v>
      </c>
      <c r="F1283" s="66"/>
      <c r="G1283" s="9" t="s">
        <v>5</v>
      </c>
      <c r="H1283" s="9" t="s">
        <v>13</v>
      </c>
      <c r="I1283" s="9" t="s">
        <v>6</v>
      </c>
      <c r="J1283" s="66">
        <f>+AD1262</f>
        <v>25</v>
      </c>
      <c r="K1283" s="66"/>
      <c r="L1283" s="9" t="s">
        <v>5</v>
      </c>
      <c r="M1283" s="1" t="s">
        <v>184</v>
      </c>
      <c r="N1283" s="1" t="s">
        <v>275</v>
      </c>
      <c r="O1283" s="1">
        <v>3</v>
      </c>
      <c r="P1283" s="9" t="s">
        <v>5</v>
      </c>
      <c r="Q1283" s="66">
        <f>+AD1271</f>
        <v>3</v>
      </c>
      <c r="R1283" s="66"/>
      <c r="S1283" s="1" t="s">
        <v>201</v>
      </c>
      <c r="T1283" s="66">
        <f>+E1283</f>
        <v>18.75</v>
      </c>
      <c r="U1283" s="66"/>
      <c r="V1283" s="9" t="s">
        <v>5</v>
      </c>
      <c r="W1283" s="9" t="s">
        <v>13</v>
      </c>
      <c r="X1283" s="9" t="s">
        <v>6</v>
      </c>
      <c r="Y1283" s="66">
        <f>+J1283/(O1283*Q1283)</f>
        <v>2.7777777777777777</v>
      </c>
      <c r="Z1283" s="66"/>
      <c r="AA1283" s="9" t="s">
        <v>5</v>
      </c>
      <c r="AB1283" s="1" t="s">
        <v>184</v>
      </c>
      <c r="CC1283" s="7"/>
    </row>
    <row r="1284" spans="2:81">
      <c r="B1284" s="6"/>
      <c r="C1284" s="1" t="s">
        <v>408</v>
      </c>
      <c r="E1284" s="66">
        <f>+T1283</f>
        <v>18.75</v>
      </c>
      <c r="F1284" s="66"/>
      <c r="G1284" s="9" t="s">
        <v>5</v>
      </c>
      <c r="H1284" s="9" t="s">
        <v>183</v>
      </c>
      <c r="I1284" s="1" t="s">
        <v>173</v>
      </c>
      <c r="J1284" s="1">
        <v>2</v>
      </c>
      <c r="K1284" s="9" t="s">
        <v>6</v>
      </c>
      <c r="L1284" s="66">
        <f>+Y1283</f>
        <v>2.7777777777777777</v>
      </c>
      <c r="M1284" s="66"/>
      <c r="N1284" s="9" t="s">
        <v>5</v>
      </c>
      <c r="O1284" s="1" t="s">
        <v>185</v>
      </c>
      <c r="P1284" s="1" t="s">
        <v>173</v>
      </c>
      <c r="Q1284" s="1">
        <v>4</v>
      </c>
      <c r="R1284" s="9" t="s">
        <v>9</v>
      </c>
      <c r="S1284" s="1" t="s">
        <v>24</v>
      </c>
      <c r="CC1284" s="7"/>
    </row>
    <row r="1285" spans="2:81">
      <c r="B1285" s="6"/>
      <c r="C1285" s="1" t="s">
        <v>409</v>
      </c>
      <c r="E1285" s="66">
        <f>+E1284</f>
        <v>18.75</v>
      </c>
      <c r="F1285" s="66"/>
      <c r="G1285" s="9" t="s">
        <v>5</v>
      </c>
      <c r="H1285" s="1" t="s">
        <v>184</v>
      </c>
      <c r="I1285" s="1" t="s">
        <v>173</v>
      </c>
      <c r="J1285" s="1">
        <v>6</v>
      </c>
      <c r="K1285" s="9" t="s">
        <v>6</v>
      </c>
      <c r="L1285" s="66">
        <f>+L1284</f>
        <v>2.7777777777777777</v>
      </c>
      <c r="M1285" s="66"/>
      <c r="N1285" s="9" t="s">
        <v>5</v>
      </c>
      <c r="O1285" s="1" t="s">
        <v>486</v>
      </c>
      <c r="P1285" s="1" t="s">
        <v>173</v>
      </c>
      <c r="Q1285" s="66">
        <v>20</v>
      </c>
      <c r="R1285" s="66"/>
      <c r="S1285" s="9" t="s">
        <v>9</v>
      </c>
      <c r="T1285" s="1" t="s">
        <v>24</v>
      </c>
      <c r="U1285" s="9" t="s">
        <v>5</v>
      </c>
      <c r="V1285" s="9" t="s">
        <v>13</v>
      </c>
      <c r="W1285" s="9" t="s">
        <v>9</v>
      </c>
      <c r="X1285" s="1" t="s">
        <v>307</v>
      </c>
      <c r="CC1285" s="7"/>
    </row>
    <row r="1286" spans="2:81">
      <c r="B1286" s="6"/>
      <c r="C1286" s="24" t="s">
        <v>318</v>
      </c>
      <c r="CC1286" s="7"/>
    </row>
    <row r="1287" spans="2:81">
      <c r="B1287" s="6"/>
      <c r="C1287" s="1" t="s">
        <v>423</v>
      </c>
      <c r="I1287" s="1" t="s">
        <v>411</v>
      </c>
      <c r="CC1287" s="7"/>
    </row>
    <row r="1288" spans="2:81">
      <c r="B1288" s="6"/>
      <c r="C1288" s="1" t="s">
        <v>495</v>
      </c>
      <c r="J1288" s="66">
        <f>+E1284</f>
        <v>18.75</v>
      </c>
      <c r="K1288" s="66"/>
      <c r="L1288" s="9" t="s">
        <v>5</v>
      </c>
      <c r="M1288" s="66">
        <f>+AD1271/2</f>
        <v>1.5</v>
      </c>
      <c r="N1288" s="66"/>
      <c r="O1288" s="1" t="s">
        <v>254</v>
      </c>
      <c r="P1288" s="1">
        <v>2</v>
      </c>
      <c r="Q1288" s="9" t="s">
        <v>6</v>
      </c>
      <c r="R1288" s="66">
        <f>+L1284</f>
        <v>2.7777777777777777</v>
      </c>
      <c r="S1288" s="66"/>
      <c r="T1288" s="9" t="s">
        <v>5</v>
      </c>
      <c r="U1288" s="66">
        <f>+M1288</f>
        <v>1.5</v>
      </c>
      <c r="V1288" s="66"/>
      <c r="W1288" s="1" t="s">
        <v>186</v>
      </c>
      <c r="X1288" s="1">
        <v>4</v>
      </c>
      <c r="Y1288" s="9" t="s">
        <v>9</v>
      </c>
      <c r="Z1288" s="1" t="s">
        <v>24</v>
      </c>
      <c r="AA1288" s="9" t="s">
        <v>7</v>
      </c>
      <c r="AB1288" s="9">
        <v>0</v>
      </c>
      <c r="AE1288" s="1" t="s">
        <v>24</v>
      </c>
      <c r="AF1288" s="1" t="s">
        <v>7</v>
      </c>
      <c r="AG1288" s="66">
        <f>-(J1288*M1288^2/P1288-R1288*U1288^4/X1288)</f>
        <v>-17.578125</v>
      </c>
      <c r="AH1288" s="66"/>
      <c r="AI1288" s="66"/>
      <c r="CC1288" s="7"/>
    </row>
    <row r="1289" spans="2:81">
      <c r="B1289" s="6"/>
      <c r="C1289" s="1" t="s">
        <v>195</v>
      </c>
      <c r="H1289" s="66">
        <f>+E1285</f>
        <v>18.75</v>
      </c>
      <c r="I1289" s="66"/>
      <c r="J1289" s="9" t="s">
        <v>5</v>
      </c>
      <c r="K1289" s="1" t="s">
        <v>184</v>
      </c>
      <c r="L1289" s="1" t="s">
        <v>173</v>
      </c>
      <c r="M1289" s="1">
        <v>6</v>
      </c>
      <c r="N1289" s="9" t="s">
        <v>6</v>
      </c>
      <c r="O1289" s="66">
        <f>+L1285</f>
        <v>2.7777777777777777</v>
      </c>
      <c r="P1289" s="66"/>
      <c r="Q1289" s="9" t="s">
        <v>5</v>
      </c>
      <c r="R1289" s="1" t="s">
        <v>486</v>
      </c>
      <c r="S1289" s="1" t="s">
        <v>173</v>
      </c>
      <c r="T1289" s="66">
        <v>20</v>
      </c>
      <c r="U1289" s="66"/>
      <c r="V1289" s="9" t="s">
        <v>9</v>
      </c>
      <c r="W1289" s="1" t="s">
        <v>24</v>
      </c>
      <c r="X1289" s="9" t="s">
        <v>5</v>
      </c>
      <c r="Y1289" s="9" t="s">
        <v>13</v>
      </c>
      <c r="AZ1289" s="19"/>
      <c r="BA1289" s="19"/>
      <c r="BB1289" s="19"/>
      <c r="BC1289" s="19"/>
      <c r="BD1289" s="19"/>
      <c r="BE1289" s="19"/>
      <c r="BF1289" s="19"/>
      <c r="CC1289" s="7"/>
    </row>
    <row r="1290" spans="2:81">
      <c r="B1290" s="6"/>
      <c r="C1290" s="1" t="s">
        <v>27</v>
      </c>
      <c r="D1290" s="67">
        <v>1.5</v>
      </c>
      <c r="E1290" s="67"/>
      <c r="F1290" s="67"/>
      <c r="G1290" s="1" t="s">
        <v>42</v>
      </c>
      <c r="P1290" s="8" t="str">
        <f>IF(D1290&lt;=AD1271/2,"","azalt.")</f>
        <v/>
      </c>
      <c r="CC1290" s="7"/>
    </row>
    <row r="1291" spans="2:81">
      <c r="B1291" s="6"/>
      <c r="C1291" s="1" t="s">
        <v>35</v>
      </c>
      <c r="E1291" s="66">
        <f>+H1289</f>
        <v>18.75</v>
      </c>
      <c r="F1291" s="66"/>
      <c r="G1291" s="9" t="s">
        <v>5</v>
      </c>
      <c r="H1291" s="66">
        <f>+D1290</f>
        <v>1.5</v>
      </c>
      <c r="I1291" s="66"/>
      <c r="J1291" s="1" t="s">
        <v>30</v>
      </c>
      <c r="K1291" s="1">
        <v>6</v>
      </c>
      <c r="L1291" s="9" t="s">
        <v>6</v>
      </c>
      <c r="M1291" s="66">
        <f>+O1289</f>
        <v>2.7777777777777777</v>
      </c>
      <c r="N1291" s="66"/>
      <c r="O1291" s="9" t="s">
        <v>5</v>
      </c>
      <c r="P1291" s="66">
        <f>+H1291</f>
        <v>1.5</v>
      </c>
      <c r="Q1291" s="66"/>
      <c r="R1291" s="1" t="s">
        <v>487</v>
      </c>
      <c r="S1291" s="66">
        <v>20</v>
      </c>
      <c r="T1291" s="66"/>
      <c r="U1291" s="9" t="s">
        <v>9</v>
      </c>
      <c r="V1291" s="66">
        <f>+AG1288</f>
        <v>-17.578125</v>
      </c>
      <c r="W1291" s="66"/>
      <c r="X1291" s="66"/>
      <c r="Y1291" s="9" t="s">
        <v>5</v>
      </c>
      <c r="Z1291" s="66">
        <f>+P1291</f>
        <v>1.5</v>
      </c>
      <c r="AA1291" s="66"/>
      <c r="AB1291" s="1" t="s">
        <v>193</v>
      </c>
      <c r="AE1291" s="66">
        <f>+F1275</f>
        <v>200000</v>
      </c>
      <c r="AF1291" s="66"/>
      <c r="AG1291" s="66"/>
      <c r="AH1291" s="9" t="s">
        <v>5</v>
      </c>
      <c r="AI1291" s="66">
        <f>+F1274</f>
        <v>92080</v>
      </c>
      <c r="AJ1291" s="66"/>
      <c r="AK1291" s="66"/>
      <c r="AL1291" s="1" t="s">
        <v>40</v>
      </c>
      <c r="CC1291" s="7"/>
    </row>
    <row r="1292" spans="2:81">
      <c r="B1292" s="6"/>
      <c r="C1292" s="1" t="s">
        <v>33</v>
      </c>
      <c r="E1292" s="66">
        <f>(E1291*H1291^3/K1291-M1291*P1291^5/S1291+V1291*Z1291)*100000000/(AE1291*AI1291)</f>
        <v>-9.1632276281494354E-2</v>
      </c>
      <c r="F1292" s="66"/>
      <c r="G1292" s="66"/>
      <c r="H1292" s="1" t="s">
        <v>41</v>
      </c>
      <c r="CC1292" s="7"/>
    </row>
    <row r="1293" spans="2:81">
      <c r="B1293" s="6"/>
      <c r="C1293" s="1" t="s">
        <v>172</v>
      </c>
      <c r="H1293" s="66">
        <f>AD1271*1000</f>
        <v>3000</v>
      </c>
      <c r="I1293" s="66"/>
      <c r="J1293" s="66"/>
      <c r="K1293" s="1" t="s">
        <v>173</v>
      </c>
      <c r="L1293" s="66">
        <v>300</v>
      </c>
      <c r="M1293" s="66"/>
      <c r="N1293" s="9" t="s">
        <v>7</v>
      </c>
      <c r="O1293" s="66">
        <f>+H1293/L1293</f>
        <v>10</v>
      </c>
      <c r="P1293" s="66"/>
      <c r="Q1293" s="66"/>
      <c r="R1293" s="1" t="s">
        <v>41</v>
      </c>
      <c r="U1293" s="1" t="s">
        <v>192</v>
      </c>
      <c r="CC1293" s="7"/>
    </row>
    <row r="1294" spans="2:81">
      <c r="B1294" s="6"/>
      <c r="C1294" s="1" t="s">
        <v>34</v>
      </c>
      <c r="D1294" s="66">
        <f>+E1292</f>
        <v>-9.1632276281494354E-2</v>
      </c>
      <c r="E1294" s="66"/>
      <c r="F1294" s="66"/>
      <c r="G1294" s="1" t="s">
        <v>41</v>
      </c>
      <c r="I1294" s="1" t="str">
        <f>IF(ABS(D1294)&lt;ABS(M1294),"&lt;","&gt;")</f>
        <v>&lt;</v>
      </c>
      <c r="J1294" s="1" t="s">
        <v>174</v>
      </c>
      <c r="M1294" s="66">
        <f>+O1293</f>
        <v>10</v>
      </c>
      <c r="N1294" s="66"/>
      <c r="O1294" s="66"/>
      <c r="P1294" s="1" t="s">
        <v>41</v>
      </c>
      <c r="R1294" s="8" t="str">
        <f>IF(ABS(D1294)&lt;ABS(M1294),"uygun.","uygun değil.")</f>
        <v>uygun.</v>
      </c>
      <c r="CC1294" s="7"/>
    </row>
    <row r="1295" spans="2:81">
      <c r="B1295" s="6"/>
      <c r="C1295" s="23" t="s">
        <v>253</v>
      </c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CC1295" s="7"/>
    </row>
    <row r="1296" spans="2:81">
      <c r="B1296" s="6"/>
      <c r="C1296" s="1" t="s">
        <v>27</v>
      </c>
      <c r="D1296" s="66">
        <f>+AD1271/2</f>
        <v>1.5</v>
      </c>
      <c r="E1296" s="66"/>
      <c r="F1296" s="66"/>
      <c r="G1296" s="1" t="s">
        <v>257</v>
      </c>
      <c r="H1296" s="9"/>
      <c r="I1296" s="9"/>
      <c r="J1296" s="9"/>
      <c r="M1296" s="9"/>
      <c r="O1296" s="2"/>
      <c r="P1296" s="42"/>
      <c r="Q1296" s="2"/>
      <c r="R1296" s="2"/>
      <c r="S1296" s="2"/>
      <c r="X1296" s="2"/>
      <c r="AC1296" s="2"/>
      <c r="AH1296" s="2"/>
      <c r="AM1296" s="2"/>
      <c r="AN1296" s="2"/>
      <c r="AQ1296" s="72"/>
      <c r="AR1296" s="72"/>
      <c r="AS1296" s="2"/>
      <c r="AT1296" s="2"/>
      <c r="AU1296" s="2"/>
      <c r="AV1296" s="2"/>
      <c r="AW1296" s="2"/>
      <c r="AX1296" s="2"/>
      <c r="BE1296" s="40"/>
      <c r="BF1296" s="40"/>
      <c r="BG1296" s="40"/>
      <c r="BH1296" s="40"/>
      <c r="BI1296" s="40"/>
      <c r="BJ1296" s="40"/>
      <c r="BK1296" s="40"/>
      <c r="BL1296" s="40"/>
      <c r="CC1296" s="7"/>
    </row>
    <row r="1297" spans="2:81">
      <c r="B1297" s="6"/>
      <c r="C1297" s="1" t="s">
        <v>260</v>
      </c>
      <c r="D1297" s="9"/>
      <c r="E1297" s="9"/>
      <c r="F1297" s="66">
        <f>+E1283</f>
        <v>18.75</v>
      </c>
      <c r="G1297" s="66"/>
      <c r="H1297" s="9" t="s">
        <v>5</v>
      </c>
      <c r="I1297" s="66">
        <f>+D1296</f>
        <v>1.5</v>
      </c>
      <c r="J1297" s="66"/>
      <c r="K1297" s="9" t="s">
        <v>6</v>
      </c>
      <c r="L1297" s="66">
        <f>+Y1283</f>
        <v>2.7777777777777777</v>
      </c>
      <c r="M1297" s="66"/>
      <c r="N1297" s="9" t="s">
        <v>5</v>
      </c>
      <c r="O1297" s="66">
        <f>+D1296</f>
        <v>1.5</v>
      </c>
      <c r="P1297" s="66"/>
      <c r="Q1297" s="45" t="s">
        <v>488</v>
      </c>
      <c r="R1297" s="66">
        <f>+F1297*I1297-L1297*O1297^3</f>
        <v>18.75</v>
      </c>
      <c r="S1297" s="66"/>
      <c r="T1297" s="66"/>
      <c r="U1297" s="1" t="s">
        <v>191</v>
      </c>
      <c r="X1297" s="9"/>
      <c r="AG1297" s="9"/>
      <c r="AP1297" s="9"/>
      <c r="AV1297" s="9"/>
      <c r="BE1297" s="40"/>
      <c r="BF1297" s="40"/>
      <c r="BG1297" s="40"/>
      <c r="BH1297" s="40"/>
      <c r="BI1297" s="40"/>
      <c r="BJ1297" s="40"/>
      <c r="BK1297" s="40"/>
      <c r="BL1297" s="40"/>
      <c r="CC1297" s="7"/>
    </row>
    <row r="1298" spans="2:81">
      <c r="B1298" s="6"/>
      <c r="C1298" s="1" t="s">
        <v>247</v>
      </c>
      <c r="E1298" s="66">
        <f>+AD1271/2</f>
        <v>1.5</v>
      </c>
      <c r="F1298" s="66"/>
      <c r="G1298" s="66"/>
      <c r="H1298" s="1" t="s">
        <v>252</v>
      </c>
      <c r="I1298" s="9"/>
      <c r="J1298" s="9"/>
      <c r="M1298" s="9"/>
      <c r="N1298" s="21"/>
      <c r="P1298" s="9"/>
      <c r="Q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P1298" s="9"/>
      <c r="BB1298" s="9"/>
      <c r="BE1298" s="40"/>
      <c r="BF1298" s="40"/>
      <c r="BG1298" s="40"/>
      <c r="BH1298" s="40"/>
      <c r="BI1298" s="40"/>
      <c r="BJ1298" s="40"/>
      <c r="BK1298" s="43"/>
      <c r="BL1298" s="40"/>
      <c r="BQ1298" s="9"/>
      <c r="CC1298" s="7"/>
    </row>
    <row r="1299" spans="2:81">
      <c r="B1299" s="6"/>
      <c r="C1299" s="1" t="s">
        <v>261</v>
      </c>
      <c r="D1299" s="9"/>
      <c r="E1299" s="66">
        <f>+F1297</f>
        <v>18.75</v>
      </c>
      <c r="F1299" s="66"/>
      <c r="G1299" s="9" t="s">
        <v>5</v>
      </c>
      <c r="H1299" s="66">
        <f>+E1298</f>
        <v>1.5</v>
      </c>
      <c r="I1299" s="66"/>
      <c r="J1299" s="9" t="s">
        <v>6</v>
      </c>
      <c r="K1299" s="66">
        <f>+L1297</f>
        <v>2.7777777777777777</v>
      </c>
      <c r="L1299" s="66"/>
      <c r="M1299" s="9" t="s">
        <v>5</v>
      </c>
      <c r="N1299" s="66">
        <f>+E1298</f>
        <v>1.5</v>
      </c>
      <c r="O1299" s="66"/>
      <c r="P1299" s="45" t="s">
        <v>488</v>
      </c>
      <c r="Q1299" s="66">
        <f>+E1299*H1299-K1299*N1299^3</f>
        <v>18.75</v>
      </c>
      <c r="R1299" s="66"/>
      <c r="S1299" s="66"/>
      <c r="T1299" s="1" t="s">
        <v>191</v>
      </c>
      <c r="X1299" s="9"/>
      <c r="AG1299" s="9"/>
      <c r="AP1299" s="9"/>
      <c r="AV1299" s="9"/>
      <c r="BE1299" s="40"/>
      <c r="BF1299" s="40"/>
      <c r="BG1299" s="40"/>
      <c r="BH1299" s="40"/>
      <c r="BI1299" s="40"/>
      <c r="BJ1299" s="40"/>
      <c r="BK1299" s="40"/>
      <c r="BL1299" s="40"/>
      <c r="CC1299" s="7"/>
    </row>
    <row r="1300" spans="2:81">
      <c r="B1300" s="6"/>
      <c r="C1300" s="1" t="s">
        <v>248</v>
      </c>
      <c r="E1300" s="66">
        <f>+AD1271/4</f>
        <v>0.75</v>
      </c>
      <c r="F1300" s="66"/>
      <c r="G1300" s="66"/>
      <c r="H1300" s="1" t="s">
        <v>252</v>
      </c>
      <c r="I1300" s="9"/>
      <c r="J1300" s="9"/>
      <c r="M1300" s="9"/>
      <c r="N1300" s="21"/>
      <c r="P1300" s="9"/>
      <c r="Q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P1300" s="9"/>
      <c r="CC1300" s="7"/>
    </row>
    <row r="1301" spans="2:81">
      <c r="B1301" s="6"/>
      <c r="C1301" s="1" t="s">
        <v>249</v>
      </c>
      <c r="E1301" s="66">
        <f>+E1299</f>
        <v>18.75</v>
      </c>
      <c r="F1301" s="66"/>
      <c r="G1301" s="9" t="s">
        <v>5</v>
      </c>
      <c r="H1301" s="66">
        <f>+E1300</f>
        <v>0.75</v>
      </c>
      <c r="I1301" s="66"/>
      <c r="J1301" s="9" t="s">
        <v>6</v>
      </c>
      <c r="K1301" s="66">
        <f>+K1299</f>
        <v>2.7777777777777777</v>
      </c>
      <c r="L1301" s="66"/>
      <c r="M1301" s="9" t="s">
        <v>5</v>
      </c>
      <c r="N1301" s="66">
        <f>+E1300</f>
        <v>0.75</v>
      </c>
      <c r="O1301" s="66"/>
      <c r="P1301" s="45" t="s">
        <v>488</v>
      </c>
      <c r="Q1301" s="66">
        <f>+E1301*H1301-K1301*N1301^3</f>
        <v>12.890625</v>
      </c>
      <c r="R1301" s="66"/>
      <c r="S1301" s="66"/>
      <c r="T1301" s="1" t="s">
        <v>191</v>
      </c>
      <c r="AA1301" s="9"/>
      <c r="AG1301" s="9"/>
      <c r="AP1301" s="9"/>
      <c r="AV1301" s="9"/>
      <c r="CC1301" s="7"/>
    </row>
    <row r="1302" spans="2:81">
      <c r="B1302" s="6"/>
      <c r="C1302" s="1" t="s">
        <v>250</v>
      </c>
      <c r="F1302" s="66">
        <f>+AD1271*3/4</f>
        <v>2.25</v>
      </c>
      <c r="G1302" s="66"/>
      <c r="H1302" s="66"/>
      <c r="I1302" s="1" t="s">
        <v>252</v>
      </c>
      <c r="J1302" s="9"/>
      <c r="M1302" s="9"/>
      <c r="N1302" s="21"/>
      <c r="P1302" s="9"/>
      <c r="Q1302" s="9"/>
      <c r="X1302" s="9"/>
      <c r="Y1302" s="9"/>
      <c r="Z1302" s="9"/>
      <c r="AA1302" s="9"/>
      <c r="AB1302" s="9"/>
      <c r="AC1302" s="9"/>
      <c r="AD1302" s="9"/>
      <c r="AE1302" s="9"/>
      <c r="AP1302" s="9"/>
      <c r="CC1302" s="7"/>
    </row>
    <row r="1303" spans="2:81">
      <c r="B1303" s="6"/>
      <c r="C1303" s="1" t="s">
        <v>251</v>
      </c>
      <c r="E1303" s="66">
        <f>+E1301</f>
        <v>18.75</v>
      </c>
      <c r="F1303" s="66"/>
      <c r="G1303" s="9" t="s">
        <v>5</v>
      </c>
      <c r="H1303" s="66">
        <f>+E1300</f>
        <v>0.75</v>
      </c>
      <c r="I1303" s="66"/>
      <c r="J1303" s="9" t="s">
        <v>6</v>
      </c>
      <c r="K1303" s="66">
        <f>+K1301</f>
        <v>2.7777777777777777</v>
      </c>
      <c r="L1303" s="66"/>
      <c r="M1303" s="9" t="s">
        <v>5</v>
      </c>
      <c r="N1303" s="66">
        <f>+H1303</f>
        <v>0.75</v>
      </c>
      <c r="O1303" s="66"/>
      <c r="P1303" s="45" t="s">
        <v>488</v>
      </c>
      <c r="Q1303" s="66">
        <f>+E1303*H1303-K1303*N1303^3</f>
        <v>12.890625</v>
      </c>
      <c r="R1303" s="66"/>
      <c r="S1303" s="66"/>
      <c r="T1303" s="1" t="s">
        <v>191</v>
      </c>
      <c r="W1303" s="1" t="s">
        <v>496</v>
      </c>
      <c r="AG1303" s="9"/>
      <c r="AP1303" s="9"/>
      <c r="AV1303" s="9"/>
      <c r="CC1303" s="7"/>
    </row>
    <row r="1304" spans="2:81">
      <c r="B1304" s="6"/>
      <c r="C1304" s="1" t="s">
        <v>300</v>
      </c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U1304" s="9"/>
      <c r="V1304" s="9"/>
      <c r="W1304" s="9"/>
      <c r="X1304" s="9"/>
      <c r="Y1304" s="9"/>
      <c r="Z1304" s="9"/>
      <c r="AA1304" s="9"/>
      <c r="AB1304" s="9"/>
      <c r="AD1304" s="9"/>
      <c r="AE1304" s="9"/>
      <c r="AF1304" s="9"/>
      <c r="AG1304" s="9"/>
      <c r="AH1304" s="9"/>
      <c r="AI1304" s="9"/>
      <c r="AJ1304" s="9"/>
      <c r="AK1304" s="9"/>
      <c r="AM1304" s="9"/>
      <c r="AN1304" s="9"/>
      <c r="AO1304" s="9"/>
      <c r="AP1304" s="9"/>
      <c r="AQ1304" s="9"/>
      <c r="AR1304" s="9"/>
      <c r="CC1304" s="7"/>
    </row>
    <row r="1305" spans="2:81">
      <c r="B1305" s="6"/>
      <c r="C1305" s="1" t="s">
        <v>301</v>
      </c>
      <c r="E1305" s="66">
        <v>12.5</v>
      </c>
      <c r="F1305" s="66"/>
      <c r="G1305" s="9" t="s">
        <v>5</v>
      </c>
      <c r="H1305" s="66">
        <f>ABS(R1297)</f>
        <v>18.75</v>
      </c>
      <c r="I1305" s="66"/>
      <c r="J1305" s="66"/>
      <c r="K1305" s="9" t="s">
        <v>275</v>
      </c>
      <c r="L1305" s="66">
        <v>2.5</v>
      </c>
      <c r="M1305" s="66"/>
      <c r="N1305" s="9" t="s">
        <v>5</v>
      </c>
      <c r="O1305" s="66">
        <f>+H1305</f>
        <v>18.75</v>
      </c>
      <c r="P1305" s="66"/>
      <c r="Q1305" s="66"/>
      <c r="R1305" s="9" t="s">
        <v>9</v>
      </c>
      <c r="S1305" s="9">
        <v>3</v>
      </c>
      <c r="T1305" s="9" t="s">
        <v>5</v>
      </c>
      <c r="U1305" s="66">
        <f>ABS(Q1301)</f>
        <v>12.890625</v>
      </c>
      <c r="V1305" s="66"/>
      <c r="W1305" s="66"/>
      <c r="X1305" s="9" t="s">
        <v>9</v>
      </c>
      <c r="Y1305" s="9">
        <v>4</v>
      </c>
      <c r="Z1305" s="9" t="s">
        <v>5</v>
      </c>
      <c r="AA1305" s="66">
        <f>ABS(Q1299)</f>
        <v>18.75</v>
      </c>
      <c r="AB1305" s="66"/>
      <c r="AC1305" s="66"/>
      <c r="AD1305" s="9" t="s">
        <v>9</v>
      </c>
      <c r="AE1305" s="9">
        <v>3</v>
      </c>
      <c r="AF1305" s="9" t="s">
        <v>5</v>
      </c>
      <c r="AG1305" s="66">
        <f>ABS(Q1303)</f>
        <v>12.890625</v>
      </c>
      <c r="AH1305" s="66"/>
      <c r="AI1305" s="66"/>
      <c r="AJ1305" s="9" t="s">
        <v>201</v>
      </c>
      <c r="AK1305" s="66">
        <f>E1305*H1305/(L1305*O1305+S1305*U1305+Y1305*AA1305+AE1305*AG1305)</f>
        <v>1.1764705882352942</v>
      </c>
      <c r="AL1305" s="66"/>
      <c r="AM1305" s="66"/>
      <c r="AN1305" s="9"/>
      <c r="AO1305" s="9"/>
      <c r="AP1305" s="9"/>
      <c r="AQ1305" s="9"/>
      <c r="CC1305" s="7"/>
    </row>
    <row r="1306" spans="2:81">
      <c r="B1306" s="6"/>
      <c r="C1306" s="23" t="s">
        <v>222</v>
      </c>
      <c r="CC1306" s="7"/>
    </row>
    <row r="1307" spans="2:81">
      <c r="B1307" s="6"/>
      <c r="C1307" s="1" t="s">
        <v>27</v>
      </c>
      <c r="D1307" s="67">
        <v>0.8</v>
      </c>
      <c r="E1307" s="67"/>
      <c r="F1307" s="67"/>
      <c r="G1307" s="1" t="s">
        <v>480</v>
      </c>
      <c r="V1307" s="8" t="str">
        <f>IF(D1307&lt;=AD1271/2,"","azalt.")</f>
        <v/>
      </c>
      <c r="CC1307" s="7"/>
    </row>
    <row r="1308" spans="2:81">
      <c r="B1308" s="6"/>
      <c r="C1308" s="1" t="s">
        <v>491</v>
      </c>
      <c r="E1308" s="66">
        <f>+F1297</f>
        <v>18.75</v>
      </c>
      <c r="F1308" s="66"/>
      <c r="G1308" s="9" t="s">
        <v>5</v>
      </c>
      <c r="H1308" s="66">
        <f>+D1307</f>
        <v>0.8</v>
      </c>
      <c r="I1308" s="66"/>
      <c r="J1308" s="9" t="s">
        <v>6</v>
      </c>
      <c r="K1308" s="66">
        <f>+L1297</f>
        <v>2.7777777777777777</v>
      </c>
      <c r="L1308" s="66"/>
      <c r="M1308" s="9" t="s">
        <v>5</v>
      </c>
      <c r="N1308" s="66">
        <f>+D1307</f>
        <v>0.8</v>
      </c>
      <c r="O1308" s="66"/>
      <c r="P1308" s="45" t="s">
        <v>488</v>
      </c>
      <c r="Q1308" s="66">
        <f>+E1308*H1308-K1308*N1308^3</f>
        <v>13.577777777777778</v>
      </c>
      <c r="R1308" s="66"/>
      <c r="S1308" s="66"/>
      <c r="T1308" s="1" t="s">
        <v>191</v>
      </c>
      <c r="CC1308" s="7"/>
    </row>
    <row r="1309" spans="2:81">
      <c r="B1309" s="6"/>
      <c r="C1309" s="1" t="s">
        <v>492</v>
      </c>
      <c r="E1309" s="66">
        <f>+W1270</f>
        <v>18.75</v>
      </c>
      <c r="F1309" s="66"/>
      <c r="G1309" s="9" t="s">
        <v>6</v>
      </c>
      <c r="H1309" s="66">
        <f>+AD1262</f>
        <v>25</v>
      </c>
      <c r="I1309" s="66"/>
      <c r="J1309" s="9" t="s">
        <v>5</v>
      </c>
      <c r="K1309" s="66">
        <f>+D1307</f>
        <v>0.8</v>
      </c>
      <c r="L1309" s="66"/>
      <c r="M1309" s="1" t="s">
        <v>254</v>
      </c>
      <c r="N1309" s="66">
        <f>+AD1271</f>
        <v>3</v>
      </c>
      <c r="O1309" s="66"/>
      <c r="P1309" s="9" t="s">
        <v>7</v>
      </c>
      <c r="Q1309" s="66">
        <f>+E1309-H1309*K1309^2/N1309</f>
        <v>13.416666666666664</v>
      </c>
      <c r="R1309" s="66"/>
      <c r="S1309" s="66"/>
      <c r="T1309" s="1" t="s">
        <v>0</v>
      </c>
      <c r="CC1309" s="7"/>
    </row>
    <row r="1310" spans="2:81" ht="12" thickBot="1">
      <c r="B1310" s="12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  <c r="AK1310" s="13"/>
      <c r="AL1310" s="13"/>
      <c r="AM1310" s="13"/>
      <c r="AN1310" s="13"/>
      <c r="AO1310" s="13"/>
      <c r="AP1310" s="13"/>
      <c r="AQ1310" s="13"/>
      <c r="AR1310" s="13"/>
      <c r="AS1310" s="13"/>
      <c r="AT1310" s="13"/>
      <c r="AU1310" s="13"/>
      <c r="AV1310" s="13"/>
      <c r="AW1310" s="13"/>
      <c r="AX1310" s="13"/>
      <c r="AY1310" s="13"/>
      <c r="AZ1310" s="13"/>
      <c r="BA1310" s="13"/>
      <c r="BB1310" s="13"/>
      <c r="BC1310" s="13"/>
      <c r="BD1310" s="13"/>
      <c r="BE1310" s="13"/>
      <c r="BF1310" s="13"/>
      <c r="BG1310" s="13"/>
      <c r="BH1310" s="13"/>
      <c r="BI1310" s="13"/>
      <c r="BJ1310" s="13"/>
      <c r="BK1310" s="13"/>
      <c r="BL1310" s="13"/>
      <c r="BM1310" s="13"/>
      <c r="BN1310" s="13"/>
      <c r="BO1310" s="13"/>
      <c r="BP1310" s="13"/>
      <c r="BQ1310" s="13"/>
      <c r="BR1310" s="13"/>
      <c r="BS1310" s="13"/>
      <c r="BT1310" s="13"/>
      <c r="BU1310" s="13"/>
      <c r="BV1310" s="13"/>
      <c r="BW1310" s="13"/>
      <c r="BX1310" s="13"/>
      <c r="BY1310" s="13"/>
      <c r="BZ1310" s="13"/>
      <c r="CA1310" s="13"/>
      <c r="CB1310" s="13"/>
      <c r="CC1310" s="14"/>
    </row>
    <row r="1311" spans="2:81" ht="12" thickBot="1"/>
    <row r="1312" spans="2:81" ht="48" customHeight="1">
      <c r="B1312" s="73" t="s">
        <v>425</v>
      </c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Q1312" s="74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  <c r="AG1312" s="74"/>
      <c r="AH1312" s="74"/>
      <c r="AI1312" s="74"/>
      <c r="AJ1312" s="74"/>
      <c r="AK1312" s="74"/>
      <c r="AL1312" s="74"/>
      <c r="AM1312" s="74"/>
      <c r="AN1312" s="74"/>
      <c r="AO1312" s="74"/>
      <c r="AP1312" s="74"/>
      <c r="AQ1312" s="74"/>
      <c r="AR1312" s="74"/>
      <c r="AS1312" s="74"/>
      <c r="AT1312" s="74"/>
      <c r="AU1312" s="74"/>
      <c r="AV1312" s="74"/>
      <c r="AW1312" s="74"/>
      <c r="AX1312" s="74"/>
      <c r="AY1312" s="74"/>
      <c r="AZ1312" s="74"/>
      <c r="BA1312" s="74"/>
      <c r="BB1312" s="74"/>
      <c r="BC1312" s="74"/>
      <c r="BD1312" s="74"/>
      <c r="BE1312" s="74"/>
      <c r="BF1312" s="74"/>
      <c r="BG1312" s="74"/>
      <c r="BH1312" s="74"/>
      <c r="BI1312" s="74"/>
      <c r="BJ1312" s="74"/>
      <c r="BK1312" s="74"/>
      <c r="BL1312" s="74"/>
      <c r="BM1312" s="74"/>
      <c r="BN1312" s="74"/>
      <c r="BO1312" s="74"/>
      <c r="BP1312" s="74"/>
      <c r="BQ1312" s="74"/>
      <c r="BR1312" s="74"/>
      <c r="BS1312" s="74"/>
      <c r="BT1312" s="74"/>
      <c r="BU1312" s="74"/>
      <c r="BV1312" s="74"/>
      <c r="BW1312" s="74"/>
      <c r="BX1312" s="74"/>
      <c r="BY1312" s="74"/>
      <c r="BZ1312" s="74"/>
      <c r="CA1312" s="74"/>
      <c r="CB1312" s="74"/>
      <c r="CC1312" s="75"/>
    </row>
    <row r="1313" spans="2:81">
      <c r="B1313" s="6"/>
      <c r="S1313" s="8" t="s">
        <v>176</v>
      </c>
      <c r="CC1313" s="7"/>
    </row>
    <row r="1314" spans="2:81">
      <c r="B1314" s="6"/>
      <c r="AP1314" s="1" t="s">
        <v>290</v>
      </c>
      <c r="CC1314" s="7"/>
    </row>
    <row r="1315" spans="2:81">
      <c r="B1315" s="6"/>
      <c r="O1315" s="67" t="s">
        <v>171</v>
      </c>
      <c r="P1315" s="67"/>
      <c r="Q1315" s="67"/>
      <c r="R1315" s="67"/>
      <c r="S1315" s="67"/>
      <c r="T1315" s="67"/>
      <c r="AH1315" s="67">
        <v>150</v>
      </c>
      <c r="AI1315" s="67"/>
      <c r="AJ1315" s="1" t="s">
        <v>0</v>
      </c>
      <c r="CC1315" s="7"/>
    </row>
    <row r="1316" spans="2:81">
      <c r="B1316" s="6"/>
      <c r="CC1316" s="7"/>
    </row>
    <row r="1317" spans="2:81">
      <c r="B1317" s="6"/>
      <c r="AR1317" s="67">
        <v>55</v>
      </c>
      <c r="AS1317" s="67"/>
      <c r="AT1317" s="1" t="s">
        <v>187</v>
      </c>
      <c r="BI1317" s="23" t="s">
        <v>341</v>
      </c>
      <c r="CC1317" s="7"/>
    </row>
    <row r="1318" spans="2:81">
      <c r="B1318" s="6"/>
      <c r="BI1318" s="1" t="s">
        <v>301</v>
      </c>
      <c r="BK1318" s="66">
        <f>+AK1351</f>
        <v>1.2262861049393265</v>
      </c>
      <c r="BL1318" s="66"/>
      <c r="BM1318" s="66"/>
      <c r="CC1318" s="7"/>
    </row>
    <row r="1319" spans="2:81">
      <c r="B1319" s="6"/>
      <c r="C1319" s="71">
        <f>INDEX($CI$24:$CI$138,MATCH(O1315,$CG$24:$CG$138,0),0)</f>
        <v>600</v>
      </c>
      <c r="BI1319" s="1" t="s">
        <v>297</v>
      </c>
      <c r="BK1319" s="66">
        <f>ABS(AH1343)</f>
        <v>403.59375</v>
      </c>
      <c r="BL1319" s="66"/>
      <c r="BM1319" s="66"/>
      <c r="BN1319" s="1" t="s">
        <v>191</v>
      </c>
      <c r="BP1319" s="1" t="s">
        <v>329</v>
      </c>
      <c r="CC1319" s="7"/>
    </row>
    <row r="1320" spans="2:81">
      <c r="B1320" s="6"/>
      <c r="C1320" s="71"/>
      <c r="BI1320" s="1" t="s">
        <v>330</v>
      </c>
      <c r="BL1320" s="66">
        <f>MAX(ABS(BK1321),ABS(BL1321),ABS(BM1321))</f>
        <v>199.6875</v>
      </c>
      <c r="BM1320" s="66"/>
      <c r="BN1320" s="66"/>
      <c r="BO1320" s="1" t="s">
        <v>0</v>
      </c>
      <c r="BQ1320" s="1" t="s">
        <v>331</v>
      </c>
      <c r="CC1320" s="7"/>
    </row>
    <row r="1321" spans="2:81">
      <c r="B1321" s="6"/>
      <c r="C1321" s="71"/>
      <c r="J1321" s="66">
        <f>INDEX($CK$24:$CK$138,MATCH(O1315,$CG$24:$CG$138,0),0)</f>
        <v>12</v>
      </c>
      <c r="K1321" s="66"/>
      <c r="BG1321" s="2"/>
      <c r="BH1321" s="2"/>
      <c r="BI1321" s="2"/>
      <c r="BJ1321" s="2"/>
      <c r="BK1321" s="40">
        <f>AB1324</f>
        <v>115.3125</v>
      </c>
      <c r="BL1321" s="40">
        <f>+BK1321-AH1315</f>
        <v>-34.6875</v>
      </c>
      <c r="BM1321" s="40">
        <f>+BL1321-AR1317*AS1325</f>
        <v>-199.6875</v>
      </c>
      <c r="BN1321" s="2"/>
      <c r="BO1321" s="2"/>
      <c r="BP1321" s="2"/>
      <c r="BQ1321" s="2"/>
      <c r="BR1321" s="2"/>
      <c r="BS1321" s="2"/>
      <c r="BT1321" s="2"/>
      <c r="BU1321" s="2"/>
      <c r="BV1321" s="2"/>
      <c r="CC1321" s="7"/>
    </row>
    <row r="1322" spans="2:81">
      <c r="B1322" s="6"/>
      <c r="AF1322" s="1" t="s">
        <v>13</v>
      </c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CC1322" s="7"/>
    </row>
    <row r="1323" spans="2:81">
      <c r="B1323" s="6"/>
      <c r="CC1323" s="7"/>
    </row>
    <row r="1324" spans="2:81">
      <c r="B1324" s="6"/>
      <c r="K1324" s="66">
        <f>INDEX($CL$24:$CL$138,MATCH(O1315,$CG$24:$CG$138,0),0)</f>
        <v>19</v>
      </c>
      <c r="L1324" s="66"/>
      <c r="AA1324" s="1" t="s">
        <v>2</v>
      </c>
      <c r="AB1324" s="66">
        <f>+E1334</f>
        <v>115.3125</v>
      </c>
      <c r="AC1324" s="66"/>
      <c r="AD1324" s="1" t="s">
        <v>0</v>
      </c>
      <c r="AX1324" s="1" t="s">
        <v>3</v>
      </c>
      <c r="AY1324" s="66">
        <f>+E1336</f>
        <v>199.6875</v>
      </c>
      <c r="AZ1324" s="66"/>
      <c r="BA1324" s="1" t="s">
        <v>0</v>
      </c>
      <c r="BE1324" s="23" t="s">
        <v>266</v>
      </c>
      <c r="CC1324" s="7"/>
    </row>
    <row r="1325" spans="2:81">
      <c r="B1325" s="6"/>
      <c r="AE1325" s="67">
        <v>3.5</v>
      </c>
      <c r="AF1325" s="67"/>
      <c r="AG1325" s="9" t="s">
        <v>1</v>
      </c>
      <c r="AK1325" s="67">
        <v>1.5</v>
      </c>
      <c r="AL1325" s="67"/>
      <c r="AM1325" s="9" t="s">
        <v>1</v>
      </c>
      <c r="AS1325" s="66">
        <f>+AN1327-AE1325-AK1325</f>
        <v>3</v>
      </c>
      <c r="AT1325" s="66"/>
      <c r="AU1325" s="1" t="s">
        <v>1</v>
      </c>
      <c r="BE1325" s="11" t="s">
        <v>265</v>
      </c>
      <c r="CC1325" s="7"/>
    </row>
    <row r="1326" spans="2:81">
      <c r="B1326" s="6"/>
      <c r="BE1326" s="11" t="s">
        <v>263</v>
      </c>
      <c r="CC1326" s="7"/>
    </row>
    <row r="1327" spans="2:81">
      <c r="B1327" s="6"/>
      <c r="I1327" s="66">
        <f>INDEX($CJ$24:$CJ$138,MATCH(O1315,$CG$24:$CG$138,0),0)</f>
        <v>220</v>
      </c>
      <c r="J1327" s="66"/>
      <c r="AM1327" s="1" t="s">
        <v>197</v>
      </c>
      <c r="AN1327" s="67">
        <v>8</v>
      </c>
      <c r="AO1327" s="67"/>
      <c r="AP1327" s="9" t="s">
        <v>1</v>
      </c>
      <c r="BE1327" s="11" t="s">
        <v>264</v>
      </c>
      <c r="CC1327" s="7"/>
    </row>
    <row r="1328" spans="2:81">
      <c r="B1328" s="6"/>
      <c r="CC1328" s="7"/>
    </row>
    <row r="1329" spans="2:81">
      <c r="B1329" s="6"/>
      <c r="D1329" s="10" t="s">
        <v>36</v>
      </c>
      <c r="F1329" s="66">
        <f>INDEX($CM$24:$CM$138,MATCH(O1315,$CG$24:$CG$138,0),0)</f>
        <v>92080</v>
      </c>
      <c r="G1329" s="66"/>
      <c r="H1329" s="66"/>
      <c r="I1329" s="66"/>
      <c r="J1329" s="1" t="s">
        <v>37</v>
      </c>
      <c r="M1329" s="1" t="s">
        <v>175</v>
      </c>
      <c r="CC1329" s="7"/>
    </row>
    <row r="1330" spans="2:81">
      <c r="B1330" s="6"/>
      <c r="D1330" s="1" t="s">
        <v>38</v>
      </c>
      <c r="F1330" s="67">
        <v>200000</v>
      </c>
      <c r="G1330" s="67"/>
      <c r="H1330" s="67"/>
      <c r="I1330" s="67"/>
      <c r="J1330" s="1" t="s">
        <v>39</v>
      </c>
      <c r="M1330" s="1" t="s">
        <v>302</v>
      </c>
      <c r="AE1330" s="9"/>
      <c r="AH1330" s="9"/>
      <c r="CC1330" s="7"/>
    </row>
    <row r="1331" spans="2:81">
      <c r="B1331" s="6"/>
      <c r="CC1331" s="7"/>
    </row>
    <row r="1332" spans="2:81">
      <c r="B1332" s="6"/>
      <c r="C1332" s="23" t="s">
        <v>422</v>
      </c>
      <c r="AA1332" s="1" t="s">
        <v>423</v>
      </c>
      <c r="AX1332" s="1" t="s">
        <v>424</v>
      </c>
      <c r="CC1332" s="7"/>
    </row>
    <row r="1333" spans="2:81">
      <c r="B1333" s="6"/>
      <c r="C1333" s="1" t="s">
        <v>4</v>
      </c>
      <c r="D1333" s="9" t="s">
        <v>5</v>
      </c>
      <c r="E1333" s="66">
        <f>+AN1327</f>
        <v>8</v>
      </c>
      <c r="F1333" s="66"/>
      <c r="G1333" s="9" t="s">
        <v>6</v>
      </c>
      <c r="H1333" s="66">
        <f>+AH1315</f>
        <v>150</v>
      </c>
      <c r="I1333" s="66"/>
      <c r="J1333" s="9" t="s">
        <v>5</v>
      </c>
      <c r="K1333" s="66">
        <f>+AK1325+AS1325</f>
        <v>4.5</v>
      </c>
      <c r="L1333" s="66"/>
      <c r="M1333" s="9" t="s">
        <v>6</v>
      </c>
      <c r="N1333" s="66">
        <f>+AR1317</f>
        <v>55</v>
      </c>
      <c r="O1333" s="66"/>
      <c r="P1333" s="9" t="s">
        <v>5</v>
      </c>
      <c r="Q1333" s="66">
        <f>+AS1325</f>
        <v>3</v>
      </c>
      <c r="R1333" s="66"/>
      <c r="S1333" s="9" t="s">
        <v>5</v>
      </c>
      <c r="T1333" s="66">
        <f>+Q1333/2</f>
        <v>1.5</v>
      </c>
      <c r="U1333" s="66"/>
      <c r="V1333" s="9" t="s">
        <v>7</v>
      </c>
      <c r="W1333" s="9">
        <v>0</v>
      </c>
      <c r="CC1333" s="7"/>
    </row>
    <row r="1334" spans="2:81">
      <c r="B1334" s="6"/>
      <c r="C1334" s="1" t="s">
        <v>8</v>
      </c>
      <c r="E1334" s="66">
        <f>(H1333*K1333+N1333*Q1333*T1333)/E1333</f>
        <v>115.3125</v>
      </c>
      <c r="F1334" s="66"/>
      <c r="G1334" s="66"/>
      <c r="H1334" s="1" t="s">
        <v>0</v>
      </c>
      <c r="CC1334" s="7"/>
    </row>
    <row r="1335" spans="2:81">
      <c r="B1335" s="6"/>
      <c r="C1335" s="1" t="s">
        <v>4</v>
      </c>
      <c r="D1335" s="9" t="s">
        <v>5</v>
      </c>
      <c r="E1335" s="1" t="s">
        <v>10</v>
      </c>
      <c r="F1335" s="9" t="s">
        <v>6</v>
      </c>
      <c r="G1335" s="66">
        <f>+AH1315</f>
        <v>150</v>
      </c>
      <c r="H1335" s="66"/>
      <c r="I1335" s="9" t="s">
        <v>6</v>
      </c>
      <c r="J1335" s="66">
        <f>+AR1317</f>
        <v>55</v>
      </c>
      <c r="K1335" s="66"/>
      <c r="L1335" s="9" t="s">
        <v>5</v>
      </c>
      <c r="M1335" s="66">
        <f>+AS1325</f>
        <v>3</v>
      </c>
      <c r="N1335" s="66"/>
      <c r="O1335" s="9" t="s">
        <v>7</v>
      </c>
      <c r="P1335" s="9">
        <v>0</v>
      </c>
      <c r="CC1335" s="7"/>
    </row>
    <row r="1336" spans="2:81">
      <c r="B1336" s="6"/>
      <c r="C1336" s="1" t="s">
        <v>11</v>
      </c>
      <c r="E1336" s="66">
        <f>+G1335+J1335*M1335-E1334</f>
        <v>199.6875</v>
      </c>
      <c r="F1336" s="66"/>
      <c r="G1336" s="66"/>
      <c r="H1336" s="1" t="s">
        <v>0</v>
      </c>
      <c r="CC1336" s="7"/>
    </row>
    <row r="1337" spans="2:81">
      <c r="B1337" s="6"/>
      <c r="C1337" s="23" t="s">
        <v>222</v>
      </c>
      <c r="D1337" s="9"/>
      <c r="E1337" s="9"/>
      <c r="F1337" s="9"/>
      <c r="G1337" s="9"/>
      <c r="AX1337" s="9"/>
      <c r="CC1337" s="7"/>
    </row>
    <row r="1338" spans="2:81">
      <c r="B1338" s="6"/>
      <c r="C1338" s="1" t="s">
        <v>27</v>
      </c>
      <c r="D1338" s="67">
        <v>6</v>
      </c>
      <c r="E1338" s="67"/>
      <c r="F1338" s="67"/>
      <c r="G1338" s="1" t="s">
        <v>213</v>
      </c>
      <c r="H1338" s="9"/>
      <c r="I1338" s="9"/>
      <c r="J1338" s="9"/>
      <c r="M1338" s="9"/>
      <c r="N1338" s="21"/>
      <c r="P1338" s="9"/>
      <c r="Q1338" s="9"/>
      <c r="U1338" s="8" t="str">
        <f>IF(D1338&lt;=AN1327,"","azalt.")</f>
        <v/>
      </c>
      <c r="AX1338" s="9"/>
      <c r="BM1338" s="9"/>
      <c r="CC1338" s="7"/>
    </row>
    <row r="1339" spans="2:81">
      <c r="B1339" s="6"/>
      <c r="C1339" s="1" t="s">
        <v>12</v>
      </c>
      <c r="D1339" s="9"/>
      <c r="E1339" s="66">
        <f>+AB1324</f>
        <v>115.3125</v>
      </c>
      <c r="F1339" s="66"/>
      <c r="G1339" s="66"/>
      <c r="H1339" s="9" t="s">
        <v>5</v>
      </c>
      <c r="I1339" s="66">
        <f>+D1338</f>
        <v>6</v>
      </c>
      <c r="J1339" s="66"/>
      <c r="K1339" s="9" t="s">
        <v>6</v>
      </c>
      <c r="L1339" s="66">
        <f>IF((O1339-R1339)&lt;0,0,AH1315)</f>
        <v>150</v>
      </c>
      <c r="M1339" s="66"/>
      <c r="N1339" s="1" t="s">
        <v>14</v>
      </c>
      <c r="O1339" s="66">
        <f>+D1338</f>
        <v>6</v>
      </c>
      <c r="P1339" s="66"/>
      <c r="Q1339" s="9" t="s">
        <v>6</v>
      </c>
      <c r="R1339" s="66">
        <f>+AE1325</f>
        <v>3.5</v>
      </c>
      <c r="S1339" s="66"/>
      <c r="T1339" s="1" t="s">
        <v>16</v>
      </c>
      <c r="U1339" s="66">
        <f>IF((X1339-AA1339)&lt;0,0,AR1317)</f>
        <v>55</v>
      </c>
      <c r="V1339" s="66"/>
      <c r="W1339" s="1" t="s">
        <v>14</v>
      </c>
      <c r="X1339" s="66">
        <f>+O1339</f>
        <v>6</v>
      </c>
      <c r="Y1339" s="66"/>
      <c r="Z1339" s="9" t="s">
        <v>6</v>
      </c>
      <c r="AA1339" s="66">
        <f>+AE1325+AK1325</f>
        <v>5</v>
      </c>
      <c r="AB1339" s="66"/>
      <c r="AC1339" s="1" t="s">
        <v>200</v>
      </c>
      <c r="AD1339" s="1" t="s">
        <v>173</v>
      </c>
      <c r="AE1339" s="1">
        <v>2</v>
      </c>
      <c r="AF1339" s="9" t="s">
        <v>7</v>
      </c>
      <c r="AG1339" s="66">
        <f>E1339*I1339-L1339*(O1339-R1339)-U1339*(X1339-AA1339)^2/AE1339</f>
        <v>289.375</v>
      </c>
      <c r="AH1339" s="66"/>
      <c r="AI1339" s="66"/>
      <c r="AJ1339" s="1" t="s">
        <v>191</v>
      </c>
      <c r="AO1339" s="9"/>
      <c r="AP1339" s="9"/>
      <c r="AQ1339" s="9"/>
      <c r="AR1339" s="9"/>
      <c r="AS1339" s="9"/>
      <c r="AT1339" s="9"/>
      <c r="AU1339" s="9"/>
      <c r="CC1339" s="7"/>
    </row>
    <row r="1340" spans="2:81">
      <c r="B1340" s="6"/>
      <c r="C1340" s="1" t="s">
        <v>220</v>
      </c>
      <c r="D1340" s="9"/>
      <c r="E1340" s="66">
        <f>+E1339</f>
        <v>115.3125</v>
      </c>
      <c r="F1340" s="66"/>
      <c r="G1340" s="66"/>
      <c r="H1340" s="9" t="s">
        <v>6</v>
      </c>
      <c r="I1340" s="66">
        <f>+L1339</f>
        <v>150</v>
      </c>
      <c r="J1340" s="66"/>
      <c r="K1340" s="9" t="s">
        <v>6</v>
      </c>
      <c r="L1340" s="66">
        <f>+U1339</f>
        <v>55</v>
      </c>
      <c r="M1340" s="66"/>
      <c r="N1340" s="9" t="s">
        <v>14</v>
      </c>
      <c r="O1340" s="66">
        <f>+D1338</f>
        <v>6</v>
      </c>
      <c r="P1340" s="66"/>
      <c r="Q1340" s="9" t="s">
        <v>6</v>
      </c>
      <c r="R1340" s="66">
        <f>+AE1325+AK1325</f>
        <v>5</v>
      </c>
      <c r="S1340" s="66"/>
      <c r="T1340" s="9" t="s">
        <v>201</v>
      </c>
      <c r="U1340" s="66">
        <f>+E1340-I1340-L1340*(O1340-R1340)</f>
        <v>-89.6875</v>
      </c>
      <c r="V1340" s="66"/>
      <c r="W1340" s="66"/>
      <c r="X1340" s="1" t="s">
        <v>191</v>
      </c>
      <c r="CC1340" s="7"/>
    </row>
    <row r="1341" spans="2:81">
      <c r="B1341" s="6"/>
      <c r="C1341" s="23" t="s">
        <v>253</v>
      </c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CC1341" s="7"/>
    </row>
    <row r="1342" spans="2:81">
      <c r="B1342" s="6"/>
      <c r="C1342" s="1" t="s">
        <v>27</v>
      </c>
      <c r="D1342" s="66">
        <f>+BA1342</f>
        <v>3.5</v>
      </c>
      <c r="E1342" s="66"/>
      <c r="F1342" s="66"/>
      <c r="G1342" s="1" t="s">
        <v>257</v>
      </c>
      <c r="H1342" s="9"/>
      <c r="I1342" s="9"/>
      <c r="J1342" s="9"/>
      <c r="M1342" s="9"/>
      <c r="P1342" s="42"/>
      <c r="Q1342" s="2"/>
      <c r="R1342" s="2"/>
      <c r="S1342" s="2"/>
      <c r="T1342" s="2"/>
      <c r="U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76">
        <f>+AE1325</f>
        <v>3.5</v>
      </c>
      <c r="AV1342" s="76"/>
      <c r="AW1342" s="76">
        <f>AU1342*AB1324</f>
        <v>403.59375</v>
      </c>
      <c r="AX1342" s="76"/>
      <c r="AY1342" s="76">
        <f>MAX(AW1342:AX1344)</f>
        <v>403.59375</v>
      </c>
      <c r="AZ1342" s="76"/>
      <c r="BA1342" s="76" cm="1">
        <f t="array" ref="BA1342">INDEX(AU1342:AU1344,MATCH(AY1342,AW1342:AW1344,0),0)</f>
        <v>3.5</v>
      </c>
      <c r="BB1342" s="76"/>
      <c r="BC1342" s="2"/>
      <c r="BD1342" s="2"/>
      <c r="BE1342" s="2"/>
      <c r="CC1342" s="7"/>
    </row>
    <row r="1343" spans="2:81">
      <c r="B1343" s="6"/>
      <c r="C1343" s="1" t="s">
        <v>260</v>
      </c>
      <c r="D1343" s="9"/>
      <c r="E1343" s="9"/>
      <c r="F1343" s="66">
        <f>+AB1324</f>
        <v>115.3125</v>
      </c>
      <c r="G1343" s="66"/>
      <c r="H1343" s="66"/>
      <c r="I1343" s="9" t="s">
        <v>5</v>
      </c>
      <c r="J1343" s="66">
        <f>+D1342</f>
        <v>3.5</v>
      </c>
      <c r="K1343" s="66"/>
      <c r="L1343" s="9" t="s">
        <v>6</v>
      </c>
      <c r="M1343" s="66">
        <f>IF((P1343-S1343)&lt;0,0,AH1315)</f>
        <v>150</v>
      </c>
      <c r="N1343" s="66"/>
      <c r="O1343" s="1" t="s">
        <v>14</v>
      </c>
      <c r="P1343" s="66">
        <f>+D1342</f>
        <v>3.5</v>
      </c>
      <c r="Q1343" s="66"/>
      <c r="R1343" s="9" t="s">
        <v>6</v>
      </c>
      <c r="S1343" s="66">
        <f>+AE1325</f>
        <v>3.5</v>
      </c>
      <c r="T1343" s="66"/>
      <c r="U1343" s="1" t="s">
        <v>16</v>
      </c>
      <c r="V1343" s="66">
        <f>IF((Y1343-AB1343)&lt;0,0,AR1317)</f>
        <v>0</v>
      </c>
      <c r="W1343" s="66"/>
      <c r="X1343" s="1" t="s">
        <v>14</v>
      </c>
      <c r="Y1343" s="66">
        <f>+P1343</f>
        <v>3.5</v>
      </c>
      <c r="Z1343" s="66"/>
      <c r="AA1343" s="9" t="s">
        <v>6</v>
      </c>
      <c r="AB1343" s="66">
        <f>+AE1325+AK1325</f>
        <v>5</v>
      </c>
      <c r="AC1343" s="66"/>
      <c r="AD1343" s="1" t="s">
        <v>200</v>
      </c>
      <c r="AE1343" s="1" t="s">
        <v>173</v>
      </c>
      <c r="AF1343" s="1">
        <v>2</v>
      </c>
      <c r="AG1343" s="9" t="s">
        <v>7</v>
      </c>
      <c r="AH1343" s="66">
        <f>F1343*J1343-M1343*(P1343-S1343)-V1343*(Y1343-AB1343)^2/AF1343</f>
        <v>403.59375</v>
      </c>
      <c r="AI1343" s="66"/>
      <c r="AJ1343" s="66"/>
      <c r="AK1343" s="1" t="s">
        <v>191</v>
      </c>
      <c r="AR1343" s="9"/>
      <c r="AU1343" s="76">
        <f>+AE1325+AK1325</f>
        <v>5</v>
      </c>
      <c r="AV1343" s="76"/>
      <c r="AW1343" s="76">
        <f>AB1324*AU1343-AH1315*AK1325</f>
        <v>351.5625</v>
      </c>
      <c r="AX1343" s="76"/>
      <c r="AY1343" s="40"/>
      <c r="AZ1343" s="40"/>
      <c r="BA1343" s="40"/>
      <c r="BB1343" s="40"/>
      <c r="CC1343" s="7"/>
    </row>
    <row r="1344" spans="2:81">
      <c r="B1344" s="6"/>
      <c r="C1344" s="1" t="s">
        <v>247</v>
      </c>
      <c r="E1344" s="66">
        <f>+AN1327/2</f>
        <v>4</v>
      </c>
      <c r="F1344" s="66"/>
      <c r="G1344" s="66"/>
      <c r="H1344" s="1" t="s">
        <v>252</v>
      </c>
      <c r="I1344" s="9"/>
      <c r="J1344" s="9"/>
      <c r="M1344" s="9"/>
      <c r="N1344" s="21"/>
      <c r="P1344" s="9"/>
      <c r="Q1344" s="9"/>
      <c r="S1344" s="9"/>
      <c r="T1344" s="8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U1344" s="76">
        <f>(AB1324-AH1315+AR1317*(AE1325+AK1325))/AR1317</f>
        <v>4.3693181818181817</v>
      </c>
      <c r="AV1344" s="76"/>
      <c r="AW1344" s="76">
        <f>E1353*AU1344-IF((AU1344-P1353)&lt;0,0,K1353)*(AU1344-P1353)-IF((AU1344-X1353)&lt;0,0,S1353)*(AU1344-X1353)^2/AB1353</f>
        <v>373.43927556818181</v>
      </c>
      <c r="AX1344" s="76"/>
      <c r="AY1344" s="40"/>
      <c r="AZ1344" s="40"/>
      <c r="BA1344" s="40"/>
      <c r="BB1344" s="40"/>
      <c r="CC1344" s="7"/>
    </row>
    <row r="1345" spans="2:81">
      <c r="B1345" s="6"/>
      <c r="C1345" s="1" t="s">
        <v>261</v>
      </c>
      <c r="D1345" s="9"/>
      <c r="E1345" s="66">
        <f>+F1343</f>
        <v>115.3125</v>
      </c>
      <c r="F1345" s="66"/>
      <c r="G1345" s="66"/>
      <c r="H1345" s="9" t="s">
        <v>5</v>
      </c>
      <c r="I1345" s="66">
        <f>+E1344</f>
        <v>4</v>
      </c>
      <c r="J1345" s="66"/>
      <c r="K1345" s="9" t="s">
        <v>6</v>
      </c>
      <c r="L1345" s="66">
        <f>IF((O1345-R1345)&lt;0,0,AH1315)</f>
        <v>150</v>
      </c>
      <c r="M1345" s="66"/>
      <c r="N1345" s="1" t="s">
        <v>14</v>
      </c>
      <c r="O1345" s="66">
        <f>+E1344</f>
        <v>4</v>
      </c>
      <c r="P1345" s="66"/>
      <c r="Q1345" s="9" t="s">
        <v>6</v>
      </c>
      <c r="R1345" s="66">
        <f>+S1343</f>
        <v>3.5</v>
      </c>
      <c r="S1345" s="66"/>
      <c r="T1345" s="1" t="s">
        <v>16</v>
      </c>
      <c r="U1345" s="66">
        <f>IF((X1345-AA1345)&lt;0,0,AR1317)</f>
        <v>0</v>
      </c>
      <c r="V1345" s="66"/>
      <c r="W1345" s="1" t="s">
        <v>14</v>
      </c>
      <c r="X1345" s="66">
        <f>+O1345</f>
        <v>4</v>
      </c>
      <c r="Y1345" s="66"/>
      <c r="Z1345" s="9" t="s">
        <v>6</v>
      </c>
      <c r="AA1345" s="66">
        <f>+AB1343</f>
        <v>5</v>
      </c>
      <c r="AB1345" s="66"/>
      <c r="AC1345" s="1" t="s">
        <v>200</v>
      </c>
      <c r="AD1345" s="1" t="s">
        <v>173</v>
      </c>
      <c r="AE1345" s="1">
        <v>2</v>
      </c>
      <c r="AF1345" s="9" t="s">
        <v>7</v>
      </c>
      <c r="AG1345" s="66">
        <f>E1345*I1345-L1345*(O1345-R1345)-U1345*(X1345-AA1345)^2/AE1345</f>
        <v>386.25</v>
      </c>
      <c r="AH1345" s="66"/>
      <c r="AI1345" s="66"/>
      <c r="AJ1345" s="1" t="s">
        <v>191</v>
      </c>
      <c r="AQ1345" s="9"/>
      <c r="CC1345" s="7"/>
    </row>
    <row r="1346" spans="2:81">
      <c r="B1346" s="6"/>
      <c r="C1346" s="1" t="s">
        <v>248</v>
      </c>
      <c r="E1346" s="66">
        <f>+AN1327/4</f>
        <v>2</v>
      </c>
      <c r="F1346" s="66"/>
      <c r="G1346" s="66"/>
      <c r="H1346" s="1" t="s">
        <v>252</v>
      </c>
      <c r="I1346" s="9"/>
      <c r="J1346" s="9"/>
      <c r="M1346" s="9"/>
      <c r="N1346" s="21"/>
      <c r="P1346" s="9"/>
      <c r="Q1346" s="9"/>
      <c r="S1346" s="9"/>
      <c r="T1346" s="8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CC1346" s="7"/>
    </row>
    <row r="1347" spans="2:81">
      <c r="B1347" s="6"/>
      <c r="C1347" s="1" t="s">
        <v>249</v>
      </c>
      <c r="E1347" s="66">
        <f>+E1345</f>
        <v>115.3125</v>
      </c>
      <c r="F1347" s="66"/>
      <c r="G1347" s="66"/>
      <c r="H1347" s="9" t="s">
        <v>5</v>
      </c>
      <c r="I1347" s="66">
        <f>+E1346</f>
        <v>2</v>
      </c>
      <c r="J1347" s="66"/>
      <c r="K1347" s="9" t="s">
        <v>6</v>
      </c>
      <c r="L1347" s="66">
        <f>IF((O1347-R1347)&lt;0,0,AH1315)</f>
        <v>0</v>
      </c>
      <c r="M1347" s="66"/>
      <c r="N1347" s="1" t="s">
        <v>14</v>
      </c>
      <c r="O1347" s="66">
        <f>+E1346</f>
        <v>2</v>
      </c>
      <c r="P1347" s="66"/>
      <c r="Q1347" s="9" t="s">
        <v>6</v>
      </c>
      <c r="R1347" s="66">
        <f>+R1345</f>
        <v>3.5</v>
      </c>
      <c r="S1347" s="66"/>
      <c r="T1347" s="1" t="s">
        <v>16</v>
      </c>
      <c r="U1347" s="66">
        <f>IF((X1347-AA1347)&lt;0,0,AR1317)</f>
        <v>0</v>
      </c>
      <c r="V1347" s="66"/>
      <c r="W1347" s="1" t="s">
        <v>14</v>
      </c>
      <c r="X1347" s="66">
        <f>+O1347</f>
        <v>2</v>
      </c>
      <c r="Y1347" s="66"/>
      <c r="Z1347" s="9" t="s">
        <v>6</v>
      </c>
      <c r="AA1347" s="66">
        <f>+AA1345</f>
        <v>5</v>
      </c>
      <c r="AB1347" s="66"/>
      <c r="AC1347" s="1" t="s">
        <v>200</v>
      </c>
      <c r="AD1347" s="1" t="s">
        <v>173</v>
      </c>
      <c r="AE1347" s="1">
        <v>2</v>
      </c>
      <c r="AF1347" s="9" t="s">
        <v>7</v>
      </c>
      <c r="AG1347" s="66">
        <f>E1347*I1347-L1347*(O1347-R1347)-U1347*(X1347-AA1347)^2/AE1347</f>
        <v>230.625</v>
      </c>
      <c r="AH1347" s="66"/>
      <c r="AI1347" s="66"/>
      <c r="AJ1347" s="1" t="s">
        <v>191</v>
      </c>
      <c r="AQ1347" s="9"/>
      <c r="CC1347" s="7"/>
    </row>
    <row r="1348" spans="2:81">
      <c r="B1348" s="6"/>
      <c r="C1348" s="1" t="s">
        <v>250</v>
      </c>
      <c r="F1348" s="66">
        <f>+AN1327*3/4</f>
        <v>6</v>
      </c>
      <c r="G1348" s="66"/>
      <c r="H1348" s="66"/>
      <c r="I1348" s="1" t="s">
        <v>252</v>
      </c>
      <c r="J1348" s="9"/>
      <c r="M1348" s="9"/>
      <c r="N1348" s="21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CC1348" s="7"/>
    </row>
    <row r="1349" spans="2:81">
      <c r="B1349" s="6"/>
      <c r="C1349" s="1" t="s">
        <v>251</v>
      </c>
      <c r="E1349" s="66">
        <f>+E1347</f>
        <v>115.3125</v>
      </c>
      <c r="F1349" s="66"/>
      <c r="G1349" s="66"/>
      <c r="H1349" s="9" t="s">
        <v>5</v>
      </c>
      <c r="I1349" s="66">
        <f>+F1348</f>
        <v>6</v>
      </c>
      <c r="J1349" s="66"/>
      <c r="K1349" s="9" t="s">
        <v>6</v>
      </c>
      <c r="L1349" s="66">
        <f>IF((O1349-R1349)&lt;0,0,AH1315)</f>
        <v>150</v>
      </c>
      <c r="M1349" s="66"/>
      <c r="N1349" s="1" t="s">
        <v>14</v>
      </c>
      <c r="O1349" s="66">
        <f>+F1348</f>
        <v>6</v>
      </c>
      <c r="P1349" s="66"/>
      <c r="Q1349" s="9" t="s">
        <v>6</v>
      </c>
      <c r="R1349" s="66">
        <f>+R1347</f>
        <v>3.5</v>
      </c>
      <c r="S1349" s="66"/>
      <c r="T1349" s="1" t="s">
        <v>16</v>
      </c>
      <c r="U1349" s="66">
        <f>IF((X1349-AA1349)&lt;0,0,AR1317)</f>
        <v>55</v>
      </c>
      <c r="V1349" s="66"/>
      <c r="W1349" s="1" t="s">
        <v>14</v>
      </c>
      <c r="X1349" s="66">
        <f>+O1349</f>
        <v>6</v>
      </c>
      <c r="Y1349" s="66"/>
      <c r="Z1349" s="9" t="s">
        <v>6</v>
      </c>
      <c r="AA1349" s="66">
        <f>+AA1347</f>
        <v>5</v>
      </c>
      <c r="AB1349" s="66"/>
      <c r="AC1349" s="1" t="s">
        <v>200</v>
      </c>
      <c r="AD1349" s="1" t="s">
        <v>173</v>
      </c>
      <c r="AE1349" s="1">
        <v>2</v>
      </c>
      <c r="AF1349" s="9" t="s">
        <v>7</v>
      </c>
      <c r="AG1349" s="66">
        <f>E1349*I1349-L1349*(O1349-R1349)-U1349*(X1349-AA1349)^2/AE1349</f>
        <v>289.375</v>
      </c>
      <c r="AH1349" s="66"/>
      <c r="AI1349" s="66"/>
      <c r="AJ1349" s="1" t="s">
        <v>191</v>
      </c>
      <c r="AL1349" s="9"/>
      <c r="AW1349" s="9"/>
      <c r="CC1349" s="7"/>
    </row>
    <row r="1350" spans="2:81">
      <c r="B1350" s="6"/>
      <c r="C1350" s="1" t="s">
        <v>300</v>
      </c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U1350" s="9"/>
      <c r="V1350" s="9"/>
      <c r="W1350" s="9"/>
      <c r="X1350" s="9"/>
      <c r="Y1350" s="9"/>
      <c r="Z1350" s="9"/>
      <c r="AA1350" s="9"/>
      <c r="AB1350" s="9"/>
      <c r="AD1350" s="9"/>
      <c r="AE1350" s="9"/>
      <c r="AF1350" s="9"/>
      <c r="AG1350" s="9"/>
      <c r="AH1350" s="9"/>
      <c r="AI1350" s="9"/>
      <c r="AJ1350" s="9"/>
      <c r="AK1350" s="9"/>
      <c r="AM1350" s="9"/>
      <c r="AN1350" s="9"/>
      <c r="AO1350" s="9"/>
      <c r="AP1350" s="9"/>
      <c r="AQ1350" s="9"/>
      <c r="AR1350" s="9"/>
      <c r="CC1350" s="7"/>
    </row>
    <row r="1351" spans="2:81">
      <c r="B1351" s="6"/>
      <c r="C1351" s="1" t="s">
        <v>301</v>
      </c>
      <c r="E1351" s="66">
        <v>12.5</v>
      </c>
      <c r="F1351" s="66"/>
      <c r="G1351" s="9" t="s">
        <v>5</v>
      </c>
      <c r="H1351" s="66">
        <f>ABS(AH1343)</f>
        <v>403.59375</v>
      </c>
      <c r="I1351" s="66"/>
      <c r="J1351" s="66"/>
      <c r="K1351" s="9" t="s">
        <v>275</v>
      </c>
      <c r="L1351" s="66">
        <v>2.5</v>
      </c>
      <c r="M1351" s="66"/>
      <c r="N1351" s="9" t="s">
        <v>5</v>
      </c>
      <c r="O1351" s="66">
        <f>+H1351</f>
        <v>403.59375</v>
      </c>
      <c r="P1351" s="66"/>
      <c r="Q1351" s="66"/>
      <c r="R1351" s="9" t="s">
        <v>9</v>
      </c>
      <c r="S1351" s="9">
        <v>3</v>
      </c>
      <c r="T1351" s="9" t="s">
        <v>5</v>
      </c>
      <c r="U1351" s="66">
        <f>ABS(AG1347)</f>
        <v>230.625</v>
      </c>
      <c r="V1351" s="66"/>
      <c r="W1351" s="66"/>
      <c r="X1351" s="9" t="s">
        <v>9</v>
      </c>
      <c r="Y1351" s="9">
        <v>4</v>
      </c>
      <c r="Z1351" s="9" t="s">
        <v>5</v>
      </c>
      <c r="AA1351" s="66">
        <f>ABS(AG1345)</f>
        <v>386.25</v>
      </c>
      <c r="AB1351" s="66"/>
      <c r="AC1351" s="66"/>
      <c r="AD1351" s="9" t="s">
        <v>9</v>
      </c>
      <c r="AE1351" s="9">
        <v>3</v>
      </c>
      <c r="AF1351" s="9" t="s">
        <v>5</v>
      </c>
      <c r="AG1351" s="66">
        <f>ABS(AG1349)</f>
        <v>289.375</v>
      </c>
      <c r="AH1351" s="66"/>
      <c r="AI1351" s="66"/>
      <c r="AJ1351" s="9" t="s">
        <v>201</v>
      </c>
      <c r="AK1351" s="66">
        <f>E1351*H1351/(L1351*O1351+S1351*U1351+Y1351*AA1351+AE1351*AG1351)</f>
        <v>1.2262861049393265</v>
      </c>
      <c r="AL1351" s="66"/>
      <c r="AM1351" s="66"/>
      <c r="AN1351" s="9"/>
      <c r="AO1351" s="9"/>
      <c r="AP1351" s="9"/>
      <c r="AQ1351" s="9"/>
      <c r="AR1351" s="9"/>
      <c r="CC1351" s="7"/>
    </row>
    <row r="1352" spans="2:81">
      <c r="B1352" s="6"/>
      <c r="C1352" s="23" t="s">
        <v>223</v>
      </c>
      <c r="CC1352" s="7"/>
    </row>
    <row r="1353" spans="2:81">
      <c r="B1353" s="6"/>
      <c r="C1353" s="1" t="s">
        <v>404</v>
      </c>
      <c r="E1353" s="66">
        <f>+AB1324</f>
        <v>115.3125</v>
      </c>
      <c r="F1353" s="66"/>
      <c r="G1353" s="66"/>
      <c r="H1353" s="9" t="s">
        <v>5</v>
      </c>
      <c r="I1353" s="9" t="s">
        <v>13</v>
      </c>
      <c r="J1353" s="9" t="s">
        <v>6</v>
      </c>
      <c r="K1353" s="66">
        <f>+AH1315</f>
        <v>150</v>
      </c>
      <c r="L1353" s="66"/>
      <c r="M1353" s="1" t="s">
        <v>14</v>
      </c>
      <c r="N1353" s="9" t="s">
        <v>13</v>
      </c>
      <c r="O1353" s="9" t="s">
        <v>6</v>
      </c>
      <c r="P1353" s="66">
        <f>+AE1325</f>
        <v>3.5</v>
      </c>
      <c r="Q1353" s="66"/>
      <c r="R1353" s="1" t="s">
        <v>16</v>
      </c>
      <c r="S1353" s="66">
        <f>+AR1317</f>
        <v>55</v>
      </c>
      <c r="T1353" s="66"/>
      <c r="U1353" s="1" t="s">
        <v>14</v>
      </c>
      <c r="V1353" s="9" t="s">
        <v>13</v>
      </c>
      <c r="W1353" s="9" t="s">
        <v>6</v>
      </c>
      <c r="X1353" s="66">
        <f>+AE1325+AK1325</f>
        <v>5</v>
      </c>
      <c r="Y1353" s="66"/>
      <c r="Z1353" s="1" t="s">
        <v>200</v>
      </c>
      <c r="AA1353" s="1" t="s">
        <v>173</v>
      </c>
      <c r="AB1353" s="1">
        <v>2</v>
      </c>
      <c r="CC1353" s="7"/>
    </row>
    <row r="1354" spans="2:81">
      <c r="B1354" s="6"/>
      <c r="C1354" s="1" t="s">
        <v>408</v>
      </c>
      <c r="E1354" s="66">
        <f>+E1353</f>
        <v>115.3125</v>
      </c>
      <c r="F1354" s="66"/>
      <c r="G1354" s="66"/>
      <c r="H1354" s="9" t="s">
        <v>5</v>
      </c>
      <c r="I1354" s="1" t="s">
        <v>183</v>
      </c>
      <c r="J1354" s="1" t="s">
        <v>173</v>
      </c>
      <c r="K1354" s="1">
        <v>2</v>
      </c>
      <c r="L1354" s="9" t="s">
        <v>6</v>
      </c>
      <c r="M1354" s="66">
        <f>+K1353</f>
        <v>150</v>
      </c>
      <c r="N1354" s="66"/>
      <c r="O1354" s="1" t="s">
        <v>14</v>
      </c>
      <c r="P1354" s="9" t="s">
        <v>13</v>
      </c>
      <c r="Q1354" s="9" t="s">
        <v>6</v>
      </c>
      <c r="R1354" s="66">
        <f>+P1353</f>
        <v>3.5</v>
      </c>
      <c r="S1354" s="66"/>
      <c r="T1354" s="1" t="s">
        <v>200</v>
      </c>
      <c r="U1354" s="1" t="s">
        <v>173</v>
      </c>
      <c r="V1354" s="1">
        <v>2</v>
      </c>
      <c r="W1354" s="9" t="s">
        <v>6</v>
      </c>
      <c r="X1354" s="66">
        <f>+S1353</f>
        <v>55</v>
      </c>
      <c r="Y1354" s="66"/>
      <c r="Z1354" s="1" t="s">
        <v>14</v>
      </c>
      <c r="AA1354" s="9" t="s">
        <v>13</v>
      </c>
      <c r="AB1354" s="9" t="s">
        <v>6</v>
      </c>
      <c r="AC1354" s="66">
        <f>+X1353</f>
        <v>5</v>
      </c>
      <c r="AD1354" s="66"/>
      <c r="AE1354" s="1" t="s">
        <v>311</v>
      </c>
      <c r="AF1354" s="1" t="s">
        <v>173</v>
      </c>
      <c r="AG1354" s="1">
        <v>6</v>
      </c>
      <c r="AH1354" s="9" t="s">
        <v>9</v>
      </c>
      <c r="AI1354" s="1" t="s">
        <v>24</v>
      </c>
      <c r="CC1354" s="7"/>
    </row>
    <row r="1355" spans="2:81">
      <c r="B1355" s="6"/>
      <c r="C1355" s="1" t="s">
        <v>409</v>
      </c>
      <c r="E1355" s="66">
        <f>+E1354</f>
        <v>115.3125</v>
      </c>
      <c r="F1355" s="66"/>
      <c r="G1355" s="66"/>
      <c r="H1355" s="9" t="s">
        <v>5</v>
      </c>
      <c r="I1355" s="1" t="s">
        <v>184</v>
      </c>
      <c r="J1355" s="1" t="s">
        <v>173</v>
      </c>
      <c r="K1355" s="1">
        <v>6</v>
      </c>
      <c r="L1355" s="9" t="s">
        <v>6</v>
      </c>
      <c r="M1355" s="66">
        <f>+M1354</f>
        <v>150</v>
      </c>
      <c r="N1355" s="66"/>
      <c r="O1355" s="1" t="s">
        <v>14</v>
      </c>
      <c r="P1355" s="9" t="s">
        <v>13</v>
      </c>
      <c r="Q1355" s="9" t="s">
        <v>6</v>
      </c>
      <c r="R1355" s="66">
        <f>+R1354</f>
        <v>3.5</v>
      </c>
      <c r="S1355" s="66"/>
      <c r="T1355" s="1" t="s">
        <v>311</v>
      </c>
      <c r="U1355" s="1" t="s">
        <v>173</v>
      </c>
      <c r="V1355" s="1">
        <v>6</v>
      </c>
      <c r="W1355" s="9" t="s">
        <v>6</v>
      </c>
      <c r="X1355" s="66">
        <f>+X1354</f>
        <v>55</v>
      </c>
      <c r="Y1355" s="66"/>
      <c r="Z1355" s="1" t="s">
        <v>14</v>
      </c>
      <c r="AA1355" s="9" t="s">
        <v>13</v>
      </c>
      <c r="AB1355" s="9" t="s">
        <v>6</v>
      </c>
      <c r="AC1355" s="66">
        <f>+AC1354</f>
        <v>5</v>
      </c>
      <c r="AD1355" s="66"/>
      <c r="AE1355" s="1" t="s">
        <v>342</v>
      </c>
      <c r="AF1355" s="1" t="s">
        <v>173</v>
      </c>
      <c r="AG1355" s="66">
        <v>24</v>
      </c>
      <c r="AH1355" s="66"/>
      <c r="AI1355" s="9" t="s">
        <v>9</v>
      </c>
      <c r="AJ1355" s="1" t="s">
        <v>24</v>
      </c>
      <c r="AK1355" s="9" t="s">
        <v>5</v>
      </c>
      <c r="AL1355" s="9" t="s">
        <v>13</v>
      </c>
      <c r="AM1355" s="9" t="s">
        <v>9</v>
      </c>
      <c r="AN1355" s="1" t="s">
        <v>307</v>
      </c>
      <c r="CC1355" s="7"/>
    </row>
    <row r="1356" spans="2:81">
      <c r="B1356" s="6"/>
      <c r="C1356" s="24" t="s">
        <v>318</v>
      </c>
      <c r="E1356" s="9"/>
      <c r="F1356" s="9"/>
      <c r="G1356" s="9"/>
      <c r="H1356" s="9"/>
      <c r="L1356" s="9"/>
      <c r="M1356" s="9"/>
      <c r="N1356" s="9"/>
      <c r="P1356" s="9"/>
      <c r="Q1356" s="9"/>
      <c r="R1356" s="9"/>
      <c r="S1356" s="9"/>
      <c r="W1356" s="9"/>
      <c r="X1356" s="9"/>
      <c r="Y1356" s="9"/>
      <c r="AA1356" s="9"/>
      <c r="AB1356" s="9"/>
      <c r="AC1356" s="9"/>
      <c r="AD1356" s="9"/>
      <c r="AG1356" s="9"/>
      <c r="AH1356" s="9"/>
      <c r="AI1356" s="9"/>
      <c r="AK1356" s="9"/>
      <c r="AL1356" s="9"/>
      <c r="AM1356" s="9"/>
      <c r="CC1356" s="7"/>
    </row>
    <row r="1357" spans="2:81">
      <c r="B1357" s="6"/>
      <c r="C1357" s="1" t="s">
        <v>410</v>
      </c>
      <c r="I1357" s="1" t="s">
        <v>411</v>
      </c>
      <c r="CC1357" s="7"/>
    </row>
    <row r="1358" spans="2:81">
      <c r="B1358" s="6"/>
      <c r="C1358" s="1" t="s">
        <v>401</v>
      </c>
      <c r="I1358" s="66">
        <f>+E1355</f>
        <v>115.3125</v>
      </c>
      <c r="J1358" s="66"/>
      <c r="K1358" s="66"/>
      <c r="L1358" s="9" t="s">
        <v>5</v>
      </c>
      <c r="M1358" s="66">
        <f>+AN1327</f>
        <v>8</v>
      </c>
      <c r="N1358" s="66"/>
      <c r="O1358" s="1" t="s">
        <v>321</v>
      </c>
      <c r="P1358" s="1">
        <v>6</v>
      </c>
      <c r="Q1358" s="9" t="s">
        <v>6</v>
      </c>
      <c r="R1358" s="66">
        <f>+M1355</f>
        <v>150</v>
      </c>
      <c r="S1358" s="66"/>
      <c r="T1358" s="1" t="s">
        <v>14</v>
      </c>
      <c r="U1358" s="66">
        <f>+AN1327</f>
        <v>8</v>
      </c>
      <c r="V1358" s="66"/>
      <c r="W1358" s="9" t="s">
        <v>6</v>
      </c>
      <c r="X1358" s="66">
        <f>+R1355</f>
        <v>3.5</v>
      </c>
      <c r="Y1358" s="66"/>
      <c r="Z1358" s="1" t="s">
        <v>311</v>
      </c>
      <c r="AA1358" s="1" t="s">
        <v>173</v>
      </c>
      <c r="AB1358" s="1">
        <v>6</v>
      </c>
      <c r="AC1358" s="9" t="s">
        <v>6</v>
      </c>
      <c r="AD1358" s="66">
        <f>+X1355</f>
        <v>55</v>
      </c>
      <c r="AE1358" s="66"/>
      <c r="AF1358" s="1" t="s">
        <v>14</v>
      </c>
      <c r="AG1358" s="66">
        <f>+U1358</f>
        <v>8</v>
      </c>
      <c r="AH1358" s="66"/>
      <c r="AI1358" s="9" t="s">
        <v>6</v>
      </c>
      <c r="AJ1358" s="66">
        <f>+AC1355</f>
        <v>5</v>
      </c>
      <c r="AK1358" s="66"/>
      <c r="AL1358" s="1" t="s">
        <v>342</v>
      </c>
      <c r="AM1358" s="1" t="s">
        <v>173</v>
      </c>
      <c r="AN1358" s="66">
        <v>24</v>
      </c>
      <c r="AO1358" s="66"/>
      <c r="AP1358" s="9" t="s">
        <v>9</v>
      </c>
      <c r="AQ1358" s="1" t="s">
        <v>24</v>
      </c>
      <c r="AR1358" s="9" t="s">
        <v>5</v>
      </c>
      <c r="AS1358" s="66">
        <f>+AN1327</f>
        <v>8</v>
      </c>
      <c r="AT1358" s="66"/>
      <c r="AU1358" s="9" t="s">
        <v>7</v>
      </c>
      <c r="AV1358" s="1">
        <v>0</v>
      </c>
      <c r="AY1358" s="1" t="s">
        <v>32</v>
      </c>
      <c r="BA1358" s="66">
        <f>-(I1358*M1358^3/P1358-R1358*(U1358-X1358)^3/AB1358-AD1358*(AG1358-AJ1358)^4/AN1358)/AS1358</f>
        <v>-922.03125</v>
      </c>
      <c r="BB1358" s="66"/>
      <c r="BC1358" s="66"/>
      <c r="CC1358" s="7"/>
    </row>
    <row r="1359" spans="2:81">
      <c r="B1359" s="6"/>
      <c r="C1359" s="1" t="s">
        <v>195</v>
      </c>
      <c r="H1359" s="66">
        <f>+E1355</f>
        <v>115.3125</v>
      </c>
      <c r="I1359" s="66"/>
      <c r="J1359" s="66"/>
      <c r="K1359" s="9" t="s">
        <v>5</v>
      </c>
      <c r="L1359" s="1" t="s">
        <v>184</v>
      </c>
      <c r="M1359" s="1" t="s">
        <v>173</v>
      </c>
      <c r="N1359" s="1">
        <v>6</v>
      </c>
      <c r="O1359" s="9" t="s">
        <v>6</v>
      </c>
      <c r="P1359" s="66">
        <f>+M1355</f>
        <v>150</v>
      </c>
      <c r="Q1359" s="66"/>
      <c r="R1359" s="1" t="s">
        <v>14</v>
      </c>
      <c r="S1359" s="9" t="s">
        <v>13</v>
      </c>
      <c r="T1359" s="9" t="s">
        <v>6</v>
      </c>
      <c r="U1359" s="66">
        <f>+R1355</f>
        <v>3.5</v>
      </c>
      <c r="V1359" s="66"/>
      <c r="W1359" s="1" t="s">
        <v>311</v>
      </c>
      <c r="X1359" s="1" t="s">
        <v>173</v>
      </c>
      <c r="Y1359" s="1">
        <v>6</v>
      </c>
      <c r="Z1359" s="9" t="s">
        <v>6</v>
      </c>
      <c r="AA1359" s="66">
        <f>+X1355</f>
        <v>55</v>
      </c>
      <c r="AB1359" s="66"/>
      <c r="AC1359" s="1" t="s">
        <v>14</v>
      </c>
      <c r="AD1359" s="9" t="s">
        <v>13</v>
      </c>
      <c r="AE1359" s="9" t="s">
        <v>6</v>
      </c>
      <c r="AF1359" s="66">
        <f>+AC1355</f>
        <v>5</v>
      </c>
      <c r="AG1359" s="66"/>
      <c r="AH1359" s="1" t="s">
        <v>342</v>
      </c>
      <c r="AI1359" s="1" t="s">
        <v>173</v>
      </c>
      <c r="AJ1359" s="66">
        <v>24</v>
      </c>
      <c r="AK1359" s="66"/>
      <c r="AL1359" s="9" t="s">
        <v>9</v>
      </c>
      <c r="AM1359" s="1" t="s">
        <v>24</v>
      </c>
      <c r="AN1359" s="9" t="s">
        <v>5</v>
      </c>
      <c r="AO1359" s="9" t="s">
        <v>13</v>
      </c>
      <c r="AP1359" s="9" t="s">
        <v>9</v>
      </c>
      <c r="AQ1359" s="1" t="s">
        <v>307</v>
      </c>
      <c r="CC1359" s="7"/>
    </row>
    <row r="1360" spans="2:81">
      <c r="B1360" s="6"/>
      <c r="C1360" s="1" t="s">
        <v>35</v>
      </c>
      <c r="E1360" s="66">
        <f>+H1359</f>
        <v>115.3125</v>
      </c>
      <c r="F1360" s="66"/>
      <c r="G1360" s="66"/>
      <c r="H1360" s="9" t="s">
        <v>5</v>
      </c>
      <c r="I1360" s="1" t="s">
        <v>184</v>
      </c>
      <c r="J1360" s="1" t="s">
        <v>173</v>
      </c>
      <c r="K1360" s="1">
        <v>6</v>
      </c>
      <c r="L1360" s="9" t="s">
        <v>6</v>
      </c>
      <c r="M1360" s="66">
        <f>+P1359</f>
        <v>150</v>
      </c>
      <c r="N1360" s="66"/>
      <c r="O1360" s="1" t="s">
        <v>14</v>
      </c>
      <c r="P1360" s="9" t="s">
        <v>13</v>
      </c>
      <c r="Q1360" s="9" t="s">
        <v>6</v>
      </c>
      <c r="R1360" s="66">
        <f>+U1359</f>
        <v>3.5</v>
      </c>
      <c r="S1360" s="66"/>
      <c r="T1360" s="1" t="s">
        <v>311</v>
      </c>
      <c r="U1360" s="1" t="s">
        <v>173</v>
      </c>
      <c r="V1360" s="1">
        <v>6</v>
      </c>
      <c r="W1360" s="9" t="s">
        <v>6</v>
      </c>
      <c r="X1360" s="66">
        <f>+AA1359</f>
        <v>55</v>
      </c>
      <c r="Y1360" s="66"/>
      <c r="Z1360" s="1" t="s">
        <v>14</v>
      </c>
      <c r="AA1360" s="9" t="s">
        <v>13</v>
      </c>
      <c r="AB1360" s="9" t="s">
        <v>6</v>
      </c>
      <c r="AC1360" s="66">
        <f>+AF1359</f>
        <v>5</v>
      </c>
      <c r="AD1360" s="66"/>
      <c r="AE1360" s="1" t="s">
        <v>342</v>
      </c>
      <c r="AF1360" s="1" t="s">
        <v>173</v>
      </c>
      <c r="AG1360" s="66">
        <v>24</v>
      </c>
      <c r="AH1360" s="66"/>
      <c r="AI1360" s="9" t="s">
        <v>9</v>
      </c>
      <c r="AJ1360" s="66">
        <f>+BA1358</f>
        <v>-922.03125</v>
      </c>
      <c r="AK1360" s="66"/>
      <c r="AL1360" s="66"/>
      <c r="AM1360" s="9" t="s">
        <v>5</v>
      </c>
      <c r="AN1360" s="9" t="s">
        <v>13</v>
      </c>
      <c r="AO1360" s="1" t="s">
        <v>322</v>
      </c>
      <c r="CC1360" s="7"/>
    </row>
    <row r="1361" spans="2:81">
      <c r="B1361" s="6"/>
      <c r="C1361" s="1" t="s">
        <v>27</v>
      </c>
      <c r="D1361" s="67">
        <v>4</v>
      </c>
      <c r="E1361" s="67"/>
      <c r="F1361" s="67"/>
      <c r="G1361" s="1" t="s">
        <v>42</v>
      </c>
      <c r="P1361" s="8" t="str">
        <f>IF(D1361&lt;=AN1327,"","azalt.")</f>
        <v/>
      </c>
      <c r="CC1361" s="7"/>
    </row>
    <row r="1362" spans="2:81">
      <c r="B1362" s="6"/>
      <c r="C1362" s="1" t="s">
        <v>35</v>
      </c>
      <c r="E1362" s="66">
        <f>+E1360</f>
        <v>115.3125</v>
      </c>
      <c r="F1362" s="66"/>
      <c r="G1362" s="66"/>
      <c r="H1362" s="9" t="s">
        <v>5</v>
      </c>
      <c r="I1362" s="66">
        <f>+D1361</f>
        <v>4</v>
      </c>
      <c r="J1362" s="66"/>
      <c r="K1362" s="1" t="s">
        <v>321</v>
      </c>
      <c r="L1362" s="1">
        <v>6</v>
      </c>
      <c r="M1362" s="9" t="s">
        <v>6</v>
      </c>
      <c r="N1362" s="66">
        <f>IF((Q1362-T1362)&lt;0,0,AH1315)</f>
        <v>150</v>
      </c>
      <c r="O1362" s="66"/>
      <c r="P1362" s="1" t="s">
        <v>14</v>
      </c>
      <c r="Q1362" s="66">
        <f>+I1362</f>
        <v>4</v>
      </c>
      <c r="R1362" s="66"/>
      <c r="S1362" s="9" t="s">
        <v>6</v>
      </c>
      <c r="T1362" s="66">
        <f>+R1360</f>
        <v>3.5</v>
      </c>
      <c r="U1362" s="66"/>
      <c r="V1362" s="1" t="s">
        <v>311</v>
      </c>
      <c r="W1362" s="1" t="s">
        <v>173</v>
      </c>
      <c r="X1362" s="1">
        <v>6</v>
      </c>
      <c r="Y1362" s="9" t="s">
        <v>6</v>
      </c>
      <c r="Z1362" s="66">
        <f>IF((AC1362-AF1362)&lt;0,0,AR1317)</f>
        <v>0</v>
      </c>
      <c r="AA1362" s="66"/>
      <c r="AB1362" s="1" t="s">
        <v>14</v>
      </c>
      <c r="AC1362" s="66">
        <f>+Q1362</f>
        <v>4</v>
      </c>
      <c r="AD1362" s="66"/>
      <c r="AE1362" s="9" t="s">
        <v>6</v>
      </c>
      <c r="AF1362" s="66">
        <f>+AC1360</f>
        <v>5</v>
      </c>
      <c r="AG1362" s="66"/>
      <c r="AH1362" s="1" t="s">
        <v>342</v>
      </c>
      <c r="AI1362" s="1" t="s">
        <v>173</v>
      </c>
      <c r="AJ1362" s="66">
        <v>24</v>
      </c>
      <c r="AK1362" s="66"/>
      <c r="AL1362" s="9" t="s">
        <v>9</v>
      </c>
      <c r="AM1362" s="66">
        <f>+AJ1360</f>
        <v>-922.03125</v>
      </c>
      <c r="AN1362" s="66"/>
      <c r="AO1362" s="66"/>
      <c r="AP1362" s="9" t="s">
        <v>5</v>
      </c>
      <c r="AQ1362" s="66">
        <f>+AC1362</f>
        <v>4</v>
      </c>
      <c r="AR1362" s="66"/>
      <c r="AS1362" s="1" t="s">
        <v>193</v>
      </c>
      <c r="AV1362" s="66">
        <f>+F1330</f>
        <v>200000</v>
      </c>
      <c r="AW1362" s="66"/>
      <c r="AX1362" s="66"/>
      <c r="AY1362" s="9" t="s">
        <v>5</v>
      </c>
      <c r="AZ1362" s="66">
        <f>+F1329</f>
        <v>92080</v>
      </c>
      <c r="BA1362" s="66"/>
      <c r="BB1362" s="66"/>
      <c r="BC1362" s="1" t="s">
        <v>40</v>
      </c>
      <c r="CC1362" s="7"/>
    </row>
    <row r="1363" spans="2:81">
      <c r="B1363" s="6"/>
      <c r="C1363" s="1" t="s">
        <v>33</v>
      </c>
      <c r="E1363" s="66">
        <f>(E1362*I1362^3/L1362-N1362*(Q1362-T1362)^3/X1362-Z1362*(AC1362-AF1362)^4/AJ1362+AM1362*AQ1362)*100000000/(AV1362*AZ1362)</f>
        <v>-13.364737185056473</v>
      </c>
      <c r="F1363" s="66"/>
      <c r="G1363" s="66"/>
      <c r="H1363" s="1" t="s">
        <v>41</v>
      </c>
      <c r="CC1363" s="7"/>
    </row>
    <row r="1364" spans="2:81">
      <c r="B1364" s="6"/>
      <c r="C1364" s="1" t="s">
        <v>172</v>
      </c>
      <c r="H1364" s="66">
        <f>AN1327*1000</f>
        <v>8000</v>
      </c>
      <c r="I1364" s="66"/>
      <c r="J1364" s="66"/>
      <c r="K1364" s="1" t="s">
        <v>173</v>
      </c>
      <c r="L1364" s="66">
        <v>300</v>
      </c>
      <c r="M1364" s="66"/>
      <c r="N1364" s="9" t="s">
        <v>7</v>
      </c>
      <c r="O1364" s="66">
        <f>+H1364/L1364</f>
        <v>26.666666666666668</v>
      </c>
      <c r="P1364" s="66"/>
      <c r="Q1364" s="66"/>
      <c r="R1364" s="1" t="s">
        <v>41</v>
      </c>
      <c r="U1364" s="1" t="s">
        <v>192</v>
      </c>
      <c r="CC1364" s="7"/>
    </row>
    <row r="1365" spans="2:81">
      <c r="B1365" s="6"/>
      <c r="C1365" s="1" t="s">
        <v>34</v>
      </c>
      <c r="D1365" s="66">
        <f>+E1363</f>
        <v>-13.364737185056473</v>
      </c>
      <c r="E1365" s="66"/>
      <c r="F1365" s="66"/>
      <c r="G1365" s="1" t="s">
        <v>41</v>
      </c>
      <c r="I1365" s="1" t="str">
        <f>IF(ABS(D1365)&lt;ABS(M1365),"&lt;","&gt;")</f>
        <v>&lt;</v>
      </c>
      <c r="J1365" s="1" t="s">
        <v>174</v>
      </c>
      <c r="M1365" s="66">
        <f>+O1364</f>
        <v>26.666666666666668</v>
      </c>
      <c r="N1365" s="66"/>
      <c r="O1365" s="66"/>
      <c r="P1365" s="1" t="s">
        <v>41</v>
      </c>
      <c r="R1365" s="8" t="str">
        <f>IF(ABS(D1365)&lt;ABS(M1365),"uygun.","uygun değil.")</f>
        <v>uygun.</v>
      </c>
      <c r="CC1365" s="7"/>
    </row>
    <row r="1366" spans="2:81" ht="12" thickBot="1">
      <c r="B1366" s="12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  <c r="AK1366" s="13"/>
      <c r="AL1366" s="13"/>
      <c r="AM1366" s="13"/>
      <c r="AN1366" s="13"/>
      <c r="AO1366" s="13"/>
      <c r="AP1366" s="13"/>
      <c r="AQ1366" s="13"/>
      <c r="AR1366" s="13"/>
      <c r="AS1366" s="13"/>
      <c r="AT1366" s="13"/>
      <c r="AU1366" s="13"/>
      <c r="AV1366" s="13"/>
      <c r="AW1366" s="13"/>
      <c r="AX1366" s="13"/>
      <c r="AY1366" s="13"/>
      <c r="AZ1366" s="13"/>
      <c r="BA1366" s="13"/>
      <c r="BB1366" s="13"/>
      <c r="BC1366" s="13"/>
      <c r="BD1366" s="13"/>
      <c r="BE1366" s="13"/>
      <c r="BF1366" s="13"/>
      <c r="BG1366" s="13"/>
      <c r="BH1366" s="13"/>
      <c r="BI1366" s="13"/>
      <c r="BJ1366" s="13"/>
      <c r="BK1366" s="13"/>
      <c r="BL1366" s="13"/>
      <c r="BM1366" s="13"/>
      <c r="BN1366" s="13"/>
      <c r="BO1366" s="13"/>
      <c r="BP1366" s="13"/>
      <c r="BQ1366" s="13"/>
      <c r="BR1366" s="13"/>
      <c r="BS1366" s="13"/>
      <c r="BT1366" s="13"/>
      <c r="BU1366" s="13"/>
      <c r="BV1366" s="13"/>
      <c r="BW1366" s="13"/>
      <c r="BX1366" s="13"/>
      <c r="BY1366" s="13"/>
      <c r="BZ1366" s="13"/>
      <c r="CA1366" s="13"/>
      <c r="CB1366" s="13"/>
      <c r="CC1366" s="14"/>
    </row>
    <row r="1367" spans="2:81" ht="12" thickBot="1"/>
    <row r="1368" spans="2:81" ht="48" customHeight="1">
      <c r="B1368" s="73" t="s">
        <v>501</v>
      </c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Q1368" s="74"/>
      <c r="R1368" s="74"/>
      <c r="S1368" s="74"/>
      <c r="T1368" s="74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/>
      <c r="AE1368" s="74"/>
      <c r="AF1368" s="74"/>
      <c r="AG1368" s="74"/>
      <c r="AH1368" s="74"/>
      <c r="AI1368" s="74"/>
      <c r="AJ1368" s="74"/>
      <c r="AK1368" s="74"/>
      <c r="AL1368" s="74"/>
      <c r="AM1368" s="74"/>
      <c r="AN1368" s="74"/>
      <c r="AO1368" s="74"/>
      <c r="AP1368" s="74"/>
      <c r="AQ1368" s="74"/>
      <c r="AR1368" s="74"/>
      <c r="AS1368" s="74"/>
      <c r="AT1368" s="74"/>
      <c r="AU1368" s="74"/>
      <c r="AV1368" s="74"/>
      <c r="AW1368" s="74"/>
      <c r="AX1368" s="74"/>
      <c r="AY1368" s="74"/>
      <c r="AZ1368" s="74"/>
      <c r="BA1368" s="74"/>
      <c r="BB1368" s="74"/>
      <c r="BC1368" s="74"/>
      <c r="BD1368" s="74"/>
      <c r="BE1368" s="74"/>
      <c r="BF1368" s="74"/>
      <c r="BG1368" s="74"/>
      <c r="BH1368" s="74"/>
      <c r="BI1368" s="74"/>
      <c r="BJ1368" s="74"/>
      <c r="BK1368" s="74"/>
      <c r="BL1368" s="74"/>
      <c r="BM1368" s="74"/>
      <c r="BN1368" s="74"/>
      <c r="BO1368" s="74"/>
      <c r="BP1368" s="74"/>
      <c r="BQ1368" s="74"/>
      <c r="BR1368" s="74"/>
      <c r="BS1368" s="74"/>
      <c r="BT1368" s="74"/>
      <c r="BU1368" s="74"/>
      <c r="BV1368" s="74"/>
      <c r="BW1368" s="74"/>
      <c r="BX1368" s="74"/>
      <c r="BY1368" s="74"/>
      <c r="BZ1368" s="74"/>
      <c r="CA1368" s="74"/>
      <c r="CB1368" s="74"/>
      <c r="CC1368" s="75"/>
    </row>
    <row r="1369" spans="2:81">
      <c r="B1369" s="6"/>
      <c r="S1369" s="8" t="s">
        <v>176</v>
      </c>
      <c r="AP1369" s="1" t="s">
        <v>290</v>
      </c>
      <c r="CC1369" s="7"/>
    </row>
    <row r="1370" spans="2:81">
      <c r="B1370" s="6"/>
      <c r="AI1370" s="1" t="s">
        <v>505</v>
      </c>
      <c r="CC1370" s="7"/>
    </row>
    <row r="1371" spans="2:81">
      <c r="B1371" s="6"/>
      <c r="O1371" s="67" t="s">
        <v>171</v>
      </c>
      <c r="P1371" s="67"/>
      <c r="Q1371" s="67"/>
      <c r="R1371" s="67"/>
      <c r="S1371" s="67"/>
      <c r="T1371" s="67"/>
      <c r="AJ1371" s="67">
        <v>150</v>
      </c>
      <c r="AK1371" s="67"/>
      <c r="AL1371" s="1" t="s">
        <v>0</v>
      </c>
      <c r="AU1371" s="1" t="s">
        <v>504</v>
      </c>
      <c r="AY1371" s="67">
        <v>95</v>
      </c>
      <c r="AZ1371" s="67"/>
      <c r="BA1371" s="1" t="s">
        <v>0</v>
      </c>
      <c r="CC1371" s="7"/>
    </row>
    <row r="1372" spans="2:81">
      <c r="B1372" s="6"/>
      <c r="AE1372" s="67">
        <v>75</v>
      </c>
      <c r="AF1372" s="67"/>
      <c r="AG1372" s="1" t="s">
        <v>187</v>
      </c>
      <c r="BD1372" s="23" t="s">
        <v>341</v>
      </c>
      <c r="CC1372" s="7"/>
    </row>
    <row r="1373" spans="2:81">
      <c r="B1373" s="6"/>
      <c r="AV1373" s="67">
        <v>55</v>
      </c>
      <c r="AW1373" s="67"/>
      <c r="AX1373" s="1" t="s">
        <v>187</v>
      </c>
      <c r="BD1373" s="1" t="s">
        <v>301</v>
      </c>
      <c r="BF1373" s="66">
        <f>+AK1454</f>
        <v>2.1647196058289953</v>
      </c>
      <c r="BG1373" s="66"/>
      <c r="BH1373" s="66"/>
      <c r="BI1373" s="1" t="s">
        <v>516</v>
      </c>
      <c r="BQ1373" s="1" t="s">
        <v>517</v>
      </c>
      <c r="CC1373" s="7"/>
    </row>
    <row r="1374" spans="2:81">
      <c r="B1374" s="6"/>
      <c r="BD1374" s="1" t="s">
        <v>297</v>
      </c>
      <c r="BF1374" s="66">
        <f>ABS(AH1446)</f>
        <v>728.525390625</v>
      </c>
      <c r="BG1374" s="66"/>
      <c r="BH1374" s="66"/>
      <c r="BI1374" s="1" t="s">
        <v>191</v>
      </c>
      <c r="BK1374" s="1" t="s">
        <v>329</v>
      </c>
      <c r="CC1374" s="7"/>
    </row>
    <row r="1375" spans="2:81">
      <c r="B1375" s="6"/>
      <c r="C1375" s="71">
        <f>INDEX($CI$24:$CI$138,MATCH(O1371,$CG$24:$CG$138,0),0)</f>
        <v>600</v>
      </c>
      <c r="U1375" s="1" t="s">
        <v>405</v>
      </c>
      <c r="W1375" s="66">
        <f>+E1415</f>
        <v>-728.525390625</v>
      </c>
      <c r="X1375" s="66"/>
      <c r="Y1375" s="1" t="s">
        <v>191</v>
      </c>
      <c r="BD1375" s="1" t="s">
        <v>330</v>
      </c>
      <c r="BG1375" s="66">
        <f>MAX(ABS(BG1376),ABS(BH1376),ABS(BI1376),ABS(BJ1376),ABS(BK1376),ABS(BL1376),ABS(BM1376))</f>
        <v>449.893798828125</v>
      </c>
      <c r="BH1375" s="66"/>
      <c r="BI1375" s="66"/>
      <c r="BJ1375" s="1" t="s">
        <v>0</v>
      </c>
      <c r="BL1375" s="1" t="s">
        <v>331</v>
      </c>
      <c r="CC1375" s="7"/>
    </row>
    <row r="1376" spans="2:81">
      <c r="B1376" s="6"/>
      <c r="C1376" s="71"/>
      <c r="BD1376" s="2"/>
      <c r="BE1376" s="2"/>
      <c r="BF1376" s="2"/>
      <c r="BG1376" s="40">
        <f>AB1380</f>
        <v>449.893798828125</v>
      </c>
      <c r="BH1376" s="40">
        <f>+BG1376-AE1372*AF1381</f>
        <v>187.393798828125</v>
      </c>
      <c r="BI1376" s="40">
        <f>+BH1376-AJ1371</f>
        <v>37.393798828125</v>
      </c>
      <c r="BJ1376" s="40">
        <f>+BI1376-AE1372*AN1381</f>
        <v>-300.106201171875</v>
      </c>
      <c r="BK1376" s="40">
        <f>+BJ1376+AS1380</f>
        <v>177.5</v>
      </c>
      <c r="BL1376" s="40">
        <f>+BK1376-AV1373*AV1381</f>
        <v>95</v>
      </c>
      <c r="BM1376" s="40">
        <f>+BL1376-AY1371</f>
        <v>0</v>
      </c>
      <c r="BN1376" s="2"/>
      <c r="BO1376" s="2"/>
      <c r="BP1376" s="2"/>
      <c r="BQ1376" s="2"/>
      <c r="BR1376" s="46"/>
      <c r="BS1376" s="46"/>
      <c r="CC1376" s="7"/>
    </row>
    <row r="1377" spans="2:81">
      <c r="B1377" s="6"/>
      <c r="C1377" s="71"/>
      <c r="J1377" s="66">
        <f>INDEX($CK$24:$CK$138,MATCH(O1371,$CG$24:$CG$138,0),0)</f>
        <v>12</v>
      </c>
      <c r="K1377" s="66"/>
      <c r="BH1377" s="2"/>
      <c r="BY1377" s="46"/>
      <c r="BZ1377" s="46"/>
      <c r="CC1377" s="7"/>
    </row>
    <row r="1378" spans="2:81">
      <c r="B1378" s="6"/>
      <c r="AF1378" s="1" t="s">
        <v>13</v>
      </c>
      <c r="CC1378" s="7"/>
    </row>
    <row r="1379" spans="2:81">
      <c r="B1379" s="6"/>
      <c r="CC1379" s="7"/>
    </row>
    <row r="1380" spans="2:81">
      <c r="B1380" s="6"/>
      <c r="K1380" s="66">
        <f>INDEX($CL$24:$CL$138,MATCH(O1371,$CG$24:$CG$138,0),0)</f>
        <v>19</v>
      </c>
      <c r="L1380" s="66"/>
      <c r="AA1380" s="1" t="s">
        <v>2</v>
      </c>
      <c r="AB1380" s="66">
        <f>+E1413</f>
        <v>449.893798828125</v>
      </c>
      <c r="AC1380" s="66"/>
      <c r="AD1380" s="1" t="s">
        <v>0</v>
      </c>
      <c r="AR1380" s="1" t="s">
        <v>3</v>
      </c>
      <c r="AS1380" s="66">
        <f>+E1414</f>
        <v>477.606201171875</v>
      </c>
      <c r="AT1380" s="66"/>
      <c r="AU1380" s="1" t="s">
        <v>0</v>
      </c>
      <c r="CC1380" s="7"/>
    </row>
    <row r="1381" spans="2:81">
      <c r="B1381" s="6"/>
      <c r="AF1381" s="67">
        <v>3.5</v>
      </c>
      <c r="AG1381" s="67"/>
      <c r="AH1381" s="9" t="s">
        <v>1</v>
      </c>
      <c r="AN1381" s="66">
        <f>+AJ1383-AF1381</f>
        <v>4.5</v>
      </c>
      <c r="AO1381" s="66"/>
      <c r="AP1381" s="1" t="s">
        <v>1</v>
      </c>
      <c r="AV1381" s="67">
        <v>1.5</v>
      </c>
      <c r="AW1381" s="67"/>
      <c r="AX1381" s="9" t="s">
        <v>1</v>
      </c>
      <c r="CC1381" s="7"/>
    </row>
    <row r="1382" spans="2:81">
      <c r="B1382" s="6"/>
      <c r="CC1382" s="7"/>
    </row>
    <row r="1383" spans="2:81">
      <c r="B1383" s="6"/>
      <c r="I1383" s="66">
        <f>INDEX($CJ$24:$CJ$138,MATCH(O1371,$CG$24:$CG$138,0),0)</f>
        <v>220</v>
      </c>
      <c r="J1383" s="66"/>
      <c r="AJ1383" s="67">
        <v>8</v>
      </c>
      <c r="AK1383" s="67"/>
      <c r="AL1383" s="9" t="s">
        <v>1</v>
      </c>
      <c r="BC1383" s="23" t="s">
        <v>266</v>
      </c>
      <c r="CC1383" s="7"/>
    </row>
    <row r="1384" spans="2:81">
      <c r="B1384" s="6"/>
      <c r="BC1384" s="11" t="s">
        <v>265</v>
      </c>
      <c r="CC1384" s="7"/>
    </row>
    <row r="1385" spans="2:81">
      <c r="B1385" s="6"/>
      <c r="D1385" s="10" t="s">
        <v>36</v>
      </c>
      <c r="F1385" s="66">
        <f>INDEX($CM$24:$CM$138,MATCH(O1371,$CG$24:$CG$138,0),0)</f>
        <v>92080</v>
      </c>
      <c r="G1385" s="66"/>
      <c r="H1385" s="66"/>
      <c r="I1385" s="66"/>
      <c r="J1385" s="1" t="s">
        <v>37</v>
      </c>
      <c r="M1385" s="1" t="s">
        <v>175</v>
      </c>
      <c r="AA1385" s="1" t="s">
        <v>436</v>
      </c>
      <c r="AG1385" s="23" t="s">
        <v>317</v>
      </c>
      <c r="AP1385" s="1" t="s">
        <v>510</v>
      </c>
      <c r="BC1385" s="11" t="s">
        <v>263</v>
      </c>
      <c r="CC1385" s="7"/>
    </row>
    <row r="1386" spans="2:81">
      <c r="B1386" s="6"/>
      <c r="D1386" s="1" t="s">
        <v>38</v>
      </c>
      <c r="F1386" s="67">
        <v>200000</v>
      </c>
      <c r="G1386" s="67"/>
      <c r="H1386" s="67"/>
      <c r="I1386" s="67"/>
      <c r="J1386" s="1" t="s">
        <v>39</v>
      </c>
      <c r="M1386" s="1" t="s">
        <v>302</v>
      </c>
      <c r="AE1386" s="9"/>
      <c r="AH1386" s="9"/>
      <c r="BC1386" s="11" t="s">
        <v>264</v>
      </c>
      <c r="CC1386" s="7"/>
    </row>
    <row r="1387" spans="2:81">
      <c r="B1387" s="6"/>
      <c r="CC1387" s="7"/>
    </row>
    <row r="1388" spans="2:81">
      <c r="B1388" s="6"/>
      <c r="C1388" s="23" t="s">
        <v>223</v>
      </c>
      <c r="D1388" s="9"/>
      <c r="E1388" s="9"/>
      <c r="F1388" s="9"/>
      <c r="G1388" s="9"/>
      <c r="AA1388" s="1" t="s">
        <v>319</v>
      </c>
      <c r="AR1388" s="1" t="s">
        <v>324</v>
      </c>
      <c r="CC1388" s="7"/>
    </row>
    <row r="1389" spans="2:81">
      <c r="B1389" s="6"/>
      <c r="C1389" s="1" t="s">
        <v>4</v>
      </c>
      <c r="D1389" s="9" t="s">
        <v>9</v>
      </c>
      <c r="E1389" s="1" t="s">
        <v>10</v>
      </c>
      <c r="F1389" s="9" t="s">
        <v>6</v>
      </c>
      <c r="G1389" s="66">
        <f>+AJ1371</f>
        <v>150</v>
      </c>
      <c r="H1389" s="66"/>
      <c r="I1389" s="9" t="s">
        <v>6</v>
      </c>
      <c r="J1389" s="66">
        <f>+AY1371</f>
        <v>95</v>
      </c>
      <c r="K1389" s="66"/>
      <c r="L1389" s="9" t="s">
        <v>6</v>
      </c>
      <c r="M1389" s="66">
        <f>+AE1372</f>
        <v>75</v>
      </c>
      <c r="N1389" s="66"/>
      <c r="O1389" s="9" t="s">
        <v>5</v>
      </c>
      <c r="P1389" s="66">
        <f>+AJ1383</f>
        <v>8</v>
      </c>
      <c r="Q1389" s="66"/>
      <c r="R1389" s="9" t="s">
        <v>6</v>
      </c>
      <c r="S1389" s="66">
        <f>+AV1373</f>
        <v>55</v>
      </c>
      <c r="T1389" s="66"/>
      <c r="U1389" s="9" t="s">
        <v>5</v>
      </c>
      <c r="V1389" s="66">
        <f>+AV1381</f>
        <v>1.5</v>
      </c>
      <c r="W1389" s="66"/>
      <c r="X1389" s="9" t="s">
        <v>7</v>
      </c>
      <c r="Y1389" s="9">
        <v>0</v>
      </c>
      <c r="AR1389" s="1" t="s">
        <v>345</v>
      </c>
      <c r="CC1389" s="7"/>
    </row>
    <row r="1390" spans="2:81">
      <c r="B1390" s="6"/>
      <c r="C1390" s="1" t="s">
        <v>4</v>
      </c>
      <c r="D1390" s="9" t="s">
        <v>9</v>
      </c>
      <c r="E1390" s="1" t="s">
        <v>10</v>
      </c>
      <c r="F1390" s="9" t="s">
        <v>6</v>
      </c>
      <c r="G1390" s="66">
        <f>G1389+J1389+M1389*P1389+S1389*V1389</f>
        <v>927.5</v>
      </c>
      <c r="H1390" s="66"/>
      <c r="I1390" s="66"/>
      <c r="J1390" s="9" t="s">
        <v>7</v>
      </c>
      <c r="K1390" s="9">
        <v>0</v>
      </c>
      <c r="M1390" s="1" t="s">
        <v>438</v>
      </c>
      <c r="R1390" s="24" t="s">
        <v>502</v>
      </c>
      <c r="CC1390" s="7"/>
    </row>
    <row r="1391" spans="2:81">
      <c r="B1391" s="6"/>
      <c r="C1391" s="1" t="s">
        <v>407</v>
      </c>
      <c r="E1391" s="1" t="s">
        <v>4</v>
      </c>
      <c r="F1391" s="9" t="s">
        <v>5</v>
      </c>
      <c r="G1391" s="66">
        <f>+AJ1383</f>
        <v>8</v>
      </c>
      <c r="H1391" s="66"/>
      <c r="I1391" s="9" t="s">
        <v>6</v>
      </c>
      <c r="J1391" s="66">
        <f>+AJ1371</f>
        <v>150</v>
      </c>
      <c r="K1391" s="66"/>
      <c r="L1391" s="9" t="s">
        <v>5</v>
      </c>
      <c r="M1391" s="66">
        <f>+AN1381</f>
        <v>4.5</v>
      </c>
      <c r="N1391" s="66"/>
      <c r="O1391" s="9" t="s">
        <v>6</v>
      </c>
      <c r="P1391" s="66">
        <f>+AE1372</f>
        <v>75</v>
      </c>
      <c r="Q1391" s="66"/>
      <c r="R1391" s="9" t="s">
        <v>5</v>
      </c>
      <c r="S1391" s="66">
        <f>+AJ1383</f>
        <v>8</v>
      </c>
      <c r="T1391" s="66"/>
      <c r="U1391" s="9" t="s">
        <v>5</v>
      </c>
      <c r="V1391" s="66">
        <f>+S1391/2</f>
        <v>4</v>
      </c>
      <c r="W1391" s="66"/>
      <c r="X1391" s="9" t="s">
        <v>9</v>
      </c>
      <c r="Y1391" s="66">
        <f>+AV1373</f>
        <v>55</v>
      </c>
      <c r="Z1391" s="66"/>
      <c r="AA1391" s="9" t="s">
        <v>5</v>
      </c>
      <c r="AB1391" s="66">
        <f>+AV1381</f>
        <v>1.5</v>
      </c>
      <c r="AC1391" s="66"/>
      <c r="AD1391" s="9" t="s">
        <v>5</v>
      </c>
      <c r="AE1391" s="66">
        <f>+AB1391/2</f>
        <v>0.75</v>
      </c>
      <c r="AF1391" s="66"/>
      <c r="AG1391" s="9" t="s">
        <v>9</v>
      </c>
      <c r="AH1391" s="66">
        <f>+AY1371</f>
        <v>95</v>
      </c>
      <c r="AI1391" s="66"/>
      <c r="AJ1391" s="9" t="s">
        <v>5</v>
      </c>
      <c r="AK1391" s="66">
        <f>+AV1381</f>
        <v>1.5</v>
      </c>
      <c r="AL1391" s="66"/>
      <c r="AM1391" s="9" t="s">
        <v>7</v>
      </c>
      <c r="AN1391" s="9">
        <v>0</v>
      </c>
      <c r="CC1391" s="7"/>
    </row>
    <row r="1392" spans="2:81">
      <c r="B1392" s="6"/>
      <c r="C1392" s="1" t="s">
        <v>407</v>
      </c>
      <c r="E1392" s="1" t="s">
        <v>4</v>
      </c>
      <c r="F1392" s="9" t="s">
        <v>5</v>
      </c>
      <c r="G1392" s="66">
        <f>+G1391</f>
        <v>8</v>
      </c>
      <c r="H1392" s="66"/>
      <c r="I1392" s="9" t="s">
        <v>9</v>
      </c>
      <c r="J1392" s="66">
        <f>-J1391*M1391-P1391*S1391*V1391+Y1391*AB1391*AE1391+AH1391*AK1391</f>
        <v>-2870.625</v>
      </c>
      <c r="K1392" s="66"/>
      <c r="L1392" s="66"/>
      <c r="M1392" s="9" t="s">
        <v>7</v>
      </c>
      <c r="N1392" s="9">
        <v>0</v>
      </c>
      <c r="P1392" s="1" t="s">
        <v>439</v>
      </c>
      <c r="U1392" s="24" t="s">
        <v>503</v>
      </c>
      <c r="CC1392" s="7"/>
    </row>
    <row r="1393" spans="2:81">
      <c r="B1393" s="6"/>
      <c r="C1393" s="24" t="s">
        <v>303</v>
      </c>
      <c r="CC1393" s="7"/>
    </row>
    <row r="1394" spans="2:81">
      <c r="B1394" s="6"/>
      <c r="C1394" s="1" t="s">
        <v>429</v>
      </c>
      <c r="E1394" s="1" t="s">
        <v>407</v>
      </c>
      <c r="G1394" s="1" t="s">
        <v>4</v>
      </c>
      <c r="H1394" s="9" t="s">
        <v>5</v>
      </c>
      <c r="I1394" s="9" t="s">
        <v>13</v>
      </c>
      <c r="J1394" s="9" t="s">
        <v>6</v>
      </c>
      <c r="K1394" s="66">
        <f>+AE1372</f>
        <v>75</v>
      </c>
      <c r="L1394" s="66"/>
      <c r="M1394" s="9" t="s">
        <v>5</v>
      </c>
      <c r="N1394" s="1" t="s">
        <v>183</v>
      </c>
      <c r="O1394" s="1" t="s">
        <v>173</v>
      </c>
      <c r="P1394" s="1">
        <v>2</v>
      </c>
      <c r="Q1394" s="9" t="s">
        <v>6</v>
      </c>
      <c r="R1394" s="66">
        <f>+AJ1371</f>
        <v>150</v>
      </c>
      <c r="S1394" s="66"/>
      <c r="T1394" s="1" t="s">
        <v>14</v>
      </c>
      <c r="U1394" s="1" t="s">
        <v>13</v>
      </c>
      <c r="V1394" s="9" t="s">
        <v>6</v>
      </c>
      <c r="W1394" s="66">
        <f>+AF1381</f>
        <v>3.5</v>
      </c>
      <c r="X1394" s="66"/>
      <c r="Y1394" s="1" t="s">
        <v>40</v>
      </c>
      <c r="CC1394" s="7"/>
    </row>
    <row r="1395" spans="2:81">
      <c r="B1395" s="6"/>
      <c r="C1395" s="1" t="s">
        <v>432</v>
      </c>
      <c r="E1395" s="1" t="s">
        <v>508</v>
      </c>
      <c r="G1395" s="9" t="s">
        <v>13</v>
      </c>
      <c r="H1395" s="9" t="s">
        <v>9</v>
      </c>
      <c r="I1395" s="1" t="s">
        <v>4</v>
      </c>
      <c r="J1395" s="9" t="s">
        <v>5</v>
      </c>
      <c r="K1395" s="9" t="s">
        <v>183</v>
      </c>
      <c r="L1395" s="1" t="s">
        <v>173</v>
      </c>
      <c r="M1395" s="1">
        <v>2</v>
      </c>
      <c r="N1395" s="9" t="s">
        <v>6</v>
      </c>
      <c r="O1395" s="66">
        <f>+K1394</f>
        <v>75</v>
      </c>
      <c r="P1395" s="66"/>
      <c r="Q1395" s="9" t="s">
        <v>5</v>
      </c>
      <c r="R1395" s="1" t="s">
        <v>184</v>
      </c>
      <c r="S1395" s="1" t="s">
        <v>173</v>
      </c>
      <c r="T1395" s="1">
        <v>6</v>
      </c>
      <c r="U1395" s="9" t="s">
        <v>6</v>
      </c>
      <c r="V1395" s="66">
        <f>+R1394</f>
        <v>150</v>
      </c>
      <c r="W1395" s="66"/>
      <c r="X1395" s="1" t="s">
        <v>14</v>
      </c>
      <c r="Y1395" s="1" t="s">
        <v>13</v>
      </c>
      <c r="Z1395" s="9" t="s">
        <v>6</v>
      </c>
      <c r="AA1395" s="66">
        <f>+W1394</f>
        <v>3.5</v>
      </c>
      <c r="AB1395" s="66"/>
      <c r="AC1395" s="1" t="s">
        <v>200</v>
      </c>
      <c r="AD1395" s="1" t="s">
        <v>173</v>
      </c>
      <c r="AE1395" s="1">
        <v>2</v>
      </c>
      <c r="AF1395" s="9" t="s">
        <v>9</v>
      </c>
      <c r="AG1395" s="1" t="s">
        <v>24</v>
      </c>
      <c r="CC1395" s="7"/>
    </row>
    <row r="1396" spans="2:81">
      <c r="B1396" s="6"/>
      <c r="C1396" s="1" t="s">
        <v>431</v>
      </c>
      <c r="E1396" s="1" t="s">
        <v>508</v>
      </c>
      <c r="G1396" s="9" t="s">
        <v>183</v>
      </c>
      <c r="H1396" s="1" t="s">
        <v>173</v>
      </c>
      <c r="I1396" s="1">
        <v>2</v>
      </c>
      <c r="J1396" s="9" t="s">
        <v>9</v>
      </c>
      <c r="K1396" s="1" t="s">
        <v>4</v>
      </c>
      <c r="L1396" s="9" t="s">
        <v>5</v>
      </c>
      <c r="M1396" s="9" t="s">
        <v>184</v>
      </c>
      <c r="N1396" s="1" t="s">
        <v>173</v>
      </c>
      <c r="O1396" s="1">
        <v>6</v>
      </c>
      <c r="P1396" s="9" t="s">
        <v>6</v>
      </c>
      <c r="Q1396" s="66">
        <f>+O1395</f>
        <v>75</v>
      </c>
      <c r="R1396" s="66"/>
      <c r="S1396" s="9" t="s">
        <v>5</v>
      </c>
      <c r="T1396" s="1" t="s">
        <v>185</v>
      </c>
      <c r="U1396" s="1" t="s">
        <v>173</v>
      </c>
      <c r="V1396" s="66">
        <v>24</v>
      </c>
      <c r="W1396" s="66"/>
      <c r="X1396" s="9" t="s">
        <v>6</v>
      </c>
      <c r="Y1396" s="66">
        <f>+V1395</f>
        <v>150</v>
      </c>
      <c r="Z1396" s="66"/>
      <c r="AA1396" s="1" t="s">
        <v>14</v>
      </c>
      <c r="AB1396" s="1" t="s">
        <v>13</v>
      </c>
      <c r="AC1396" s="9" t="s">
        <v>6</v>
      </c>
      <c r="AD1396" s="66">
        <f>+AA1395</f>
        <v>3.5</v>
      </c>
      <c r="AE1396" s="66"/>
      <c r="AF1396" s="1" t="s">
        <v>311</v>
      </c>
      <c r="AG1396" s="1" t="s">
        <v>173</v>
      </c>
      <c r="AH1396" s="1">
        <v>6</v>
      </c>
      <c r="AI1396" s="9" t="s">
        <v>9</v>
      </c>
      <c r="AJ1396" s="1" t="s">
        <v>24</v>
      </c>
      <c r="AK1396" s="9" t="s">
        <v>5</v>
      </c>
      <c r="AL1396" s="9" t="s">
        <v>13</v>
      </c>
      <c r="AM1396" s="9" t="s">
        <v>9</v>
      </c>
      <c r="AN1396" s="1" t="s">
        <v>307</v>
      </c>
      <c r="CC1396" s="7"/>
    </row>
    <row r="1397" spans="2:81">
      <c r="B1397" s="6"/>
      <c r="C1397" s="24" t="s">
        <v>308</v>
      </c>
      <c r="CC1397" s="7"/>
    </row>
    <row r="1398" spans="2:81">
      <c r="B1398" s="6"/>
      <c r="C1398" s="1" t="s">
        <v>433</v>
      </c>
      <c r="E1398" s="1" t="s">
        <v>407</v>
      </c>
      <c r="G1398" s="1" t="s">
        <v>4</v>
      </c>
      <c r="H1398" s="9" t="s">
        <v>5</v>
      </c>
      <c r="I1398" s="9" t="s">
        <v>13</v>
      </c>
      <c r="J1398" s="9" t="s">
        <v>6</v>
      </c>
      <c r="K1398" s="66">
        <f>+AE1372</f>
        <v>75</v>
      </c>
      <c r="L1398" s="66"/>
      <c r="M1398" s="9" t="s">
        <v>5</v>
      </c>
      <c r="N1398" s="66">
        <f>+AJ1383</f>
        <v>8</v>
      </c>
      <c r="O1398" s="66"/>
      <c r="P1398" s="1" t="s">
        <v>14</v>
      </c>
      <c r="Q1398" s="9" t="s">
        <v>13</v>
      </c>
      <c r="R1398" s="9" t="s">
        <v>6</v>
      </c>
      <c r="S1398" s="66">
        <f>+AJ1383/2</f>
        <v>4</v>
      </c>
      <c r="T1398" s="66"/>
      <c r="U1398" s="1" t="s">
        <v>16</v>
      </c>
      <c r="V1398" s="66">
        <f>+AJ1371</f>
        <v>150</v>
      </c>
      <c r="W1398" s="66"/>
      <c r="X1398" s="1" t="s">
        <v>14</v>
      </c>
      <c r="Y1398" s="9" t="s">
        <v>13</v>
      </c>
      <c r="Z1398" s="9" t="s">
        <v>6</v>
      </c>
      <c r="AA1398" s="66">
        <f>+AF1381</f>
        <v>3.5</v>
      </c>
      <c r="AB1398" s="66"/>
      <c r="AC1398" s="1" t="s">
        <v>306</v>
      </c>
      <c r="AD1398" s="9" t="s">
        <v>10</v>
      </c>
      <c r="AE1398" s="9" t="s">
        <v>14</v>
      </c>
      <c r="AF1398" s="9" t="s">
        <v>13</v>
      </c>
      <c r="AG1398" s="9" t="s">
        <v>6</v>
      </c>
      <c r="AH1398" s="66">
        <f>+AJ1383</f>
        <v>8</v>
      </c>
      <c r="AI1398" s="66"/>
      <c r="AJ1398" s="1" t="s">
        <v>16</v>
      </c>
      <c r="AK1398" s="66">
        <f>+AV1373</f>
        <v>55</v>
      </c>
      <c r="AL1398" s="66"/>
      <c r="AM1398" s="1" t="s">
        <v>14</v>
      </c>
      <c r="AN1398" s="9" t="s">
        <v>13</v>
      </c>
      <c r="AO1398" s="9" t="s">
        <v>6</v>
      </c>
      <c r="AP1398" s="66">
        <f>+AJ1383</f>
        <v>8</v>
      </c>
      <c r="AQ1398" s="66"/>
      <c r="AR1398" s="1" t="s">
        <v>200</v>
      </c>
      <c r="AS1398" s="1" t="s">
        <v>173</v>
      </c>
      <c r="AT1398" s="1">
        <v>2</v>
      </c>
      <c r="CC1398" s="7"/>
    </row>
    <row r="1399" spans="2:81">
      <c r="B1399" s="6"/>
      <c r="C1399" s="1" t="s">
        <v>430</v>
      </c>
      <c r="E1399" s="1" t="s">
        <v>508</v>
      </c>
      <c r="G1399" s="9" t="s">
        <v>13</v>
      </c>
      <c r="H1399" s="9" t="s">
        <v>9</v>
      </c>
      <c r="I1399" s="1" t="s">
        <v>4</v>
      </c>
      <c r="J1399" s="9" t="s">
        <v>5</v>
      </c>
      <c r="K1399" s="9" t="s">
        <v>183</v>
      </c>
      <c r="L1399" s="1" t="s">
        <v>173</v>
      </c>
      <c r="M1399" s="1">
        <v>2</v>
      </c>
      <c r="N1399" s="9" t="s">
        <v>6</v>
      </c>
      <c r="O1399" s="66">
        <f>+K1398*N1398</f>
        <v>600</v>
      </c>
      <c r="P1399" s="66"/>
      <c r="Q1399" s="1" t="s">
        <v>14</v>
      </c>
      <c r="R1399" s="9" t="s">
        <v>13</v>
      </c>
      <c r="S1399" s="9" t="s">
        <v>6</v>
      </c>
      <c r="T1399" s="66">
        <f>+S1398</f>
        <v>4</v>
      </c>
      <c r="U1399" s="66"/>
      <c r="V1399" s="1" t="s">
        <v>200</v>
      </c>
      <c r="W1399" s="1" t="s">
        <v>173</v>
      </c>
      <c r="X1399" s="1">
        <v>2</v>
      </c>
      <c r="Y1399" s="9" t="s">
        <v>6</v>
      </c>
      <c r="Z1399" s="66">
        <f>+V1398</f>
        <v>150</v>
      </c>
      <c r="AA1399" s="66"/>
      <c r="AB1399" s="1" t="s">
        <v>14</v>
      </c>
      <c r="AC1399" s="9" t="s">
        <v>13</v>
      </c>
      <c r="AD1399" s="9" t="s">
        <v>6</v>
      </c>
      <c r="AE1399" s="66">
        <f>+AA1398</f>
        <v>3.5</v>
      </c>
      <c r="AF1399" s="66"/>
      <c r="AG1399" s="1" t="s">
        <v>200</v>
      </c>
      <c r="AH1399" s="1" t="s">
        <v>173</v>
      </c>
      <c r="AI1399" s="1">
        <v>2</v>
      </c>
      <c r="AJ1399" s="9" t="s">
        <v>9</v>
      </c>
      <c r="AK1399" s="9" t="s">
        <v>10</v>
      </c>
      <c r="AL1399" s="9" t="s">
        <v>14</v>
      </c>
      <c r="AM1399" s="9" t="s">
        <v>13</v>
      </c>
      <c r="AN1399" s="9" t="s">
        <v>6</v>
      </c>
      <c r="AO1399" s="66">
        <f>+AH1398</f>
        <v>8</v>
      </c>
      <c r="AP1399" s="66"/>
      <c r="AQ1399" s="1" t="s">
        <v>200</v>
      </c>
      <c r="AR1399" s="1" t="s">
        <v>173</v>
      </c>
      <c r="AS1399" s="1">
        <v>2</v>
      </c>
      <c r="AT1399" s="9" t="s">
        <v>6</v>
      </c>
      <c r="AU1399" s="66">
        <f>+AK1398</f>
        <v>55</v>
      </c>
      <c r="AV1399" s="66"/>
      <c r="AW1399" s="1" t="s">
        <v>14</v>
      </c>
      <c r="AX1399" s="9" t="s">
        <v>13</v>
      </c>
      <c r="AY1399" s="9" t="s">
        <v>6</v>
      </c>
      <c r="AZ1399" s="66">
        <f>+AP1398</f>
        <v>8</v>
      </c>
      <c r="BA1399" s="66"/>
      <c r="BB1399" s="1" t="s">
        <v>311</v>
      </c>
      <c r="BC1399" s="1" t="s">
        <v>173</v>
      </c>
      <c r="BD1399" s="1">
        <v>6</v>
      </c>
      <c r="BE1399" s="9" t="s">
        <v>9</v>
      </c>
      <c r="BF1399" s="9" t="s">
        <v>313</v>
      </c>
      <c r="CC1399" s="7"/>
    </row>
    <row r="1400" spans="2:81">
      <c r="B1400" s="6"/>
      <c r="C1400" s="1" t="s">
        <v>435</v>
      </c>
      <c r="E1400" s="1" t="s">
        <v>508</v>
      </c>
      <c r="G1400" s="9" t="s">
        <v>183</v>
      </c>
      <c r="H1400" s="1" t="s">
        <v>173</v>
      </c>
      <c r="I1400" s="1">
        <v>2</v>
      </c>
      <c r="J1400" s="9" t="s">
        <v>9</v>
      </c>
      <c r="K1400" s="1" t="s">
        <v>4</v>
      </c>
      <c r="L1400" s="9" t="s">
        <v>5</v>
      </c>
      <c r="M1400" s="9" t="s">
        <v>184</v>
      </c>
      <c r="N1400" s="1" t="s">
        <v>173</v>
      </c>
      <c r="O1400" s="1">
        <v>6</v>
      </c>
      <c r="P1400" s="9" t="s">
        <v>6</v>
      </c>
      <c r="Q1400" s="66">
        <f>+O1399</f>
        <v>600</v>
      </c>
      <c r="R1400" s="66"/>
      <c r="S1400" s="1" t="s">
        <v>14</v>
      </c>
      <c r="T1400" s="9" t="s">
        <v>13</v>
      </c>
      <c r="U1400" s="9" t="s">
        <v>6</v>
      </c>
      <c r="V1400" s="66">
        <f>+T1399</f>
        <v>4</v>
      </c>
      <c r="W1400" s="66"/>
      <c r="X1400" s="1" t="s">
        <v>311</v>
      </c>
      <c r="Y1400" s="1" t="s">
        <v>173</v>
      </c>
      <c r="Z1400" s="1">
        <v>6</v>
      </c>
      <c r="AA1400" s="9" t="s">
        <v>6</v>
      </c>
      <c r="AB1400" s="66">
        <f>+Z1399</f>
        <v>150</v>
      </c>
      <c r="AC1400" s="66"/>
      <c r="AD1400" s="1" t="s">
        <v>14</v>
      </c>
      <c r="AE1400" s="9" t="s">
        <v>13</v>
      </c>
      <c r="AF1400" s="9" t="s">
        <v>6</v>
      </c>
      <c r="AG1400" s="66">
        <f>+AE1399</f>
        <v>3.5</v>
      </c>
      <c r="AH1400" s="66"/>
      <c r="AI1400" s="1" t="s">
        <v>311</v>
      </c>
      <c r="AJ1400" s="1" t="s">
        <v>173</v>
      </c>
      <c r="AK1400" s="1">
        <v>6</v>
      </c>
      <c r="AL1400" s="9" t="s">
        <v>9</v>
      </c>
      <c r="AM1400" s="9" t="s">
        <v>10</v>
      </c>
      <c r="AN1400" s="9" t="s">
        <v>14</v>
      </c>
      <c r="AO1400" s="9" t="s">
        <v>13</v>
      </c>
      <c r="AP1400" s="9" t="s">
        <v>6</v>
      </c>
      <c r="AQ1400" s="66">
        <f>+AO1399</f>
        <v>8</v>
      </c>
      <c r="AR1400" s="66"/>
      <c r="AS1400" s="1" t="s">
        <v>311</v>
      </c>
      <c r="AT1400" s="1" t="s">
        <v>173</v>
      </c>
      <c r="AU1400" s="1">
        <v>6</v>
      </c>
      <c r="AV1400" s="9" t="s">
        <v>6</v>
      </c>
      <c r="AW1400" s="66">
        <f>+AU1399</f>
        <v>55</v>
      </c>
      <c r="AX1400" s="66"/>
      <c r="AY1400" s="1" t="s">
        <v>14</v>
      </c>
      <c r="AZ1400" s="9" t="s">
        <v>13</v>
      </c>
      <c r="BA1400" s="9" t="s">
        <v>6</v>
      </c>
      <c r="BB1400" s="66">
        <f>+AZ1399</f>
        <v>8</v>
      </c>
      <c r="BC1400" s="66"/>
      <c r="BD1400" s="1" t="s">
        <v>342</v>
      </c>
      <c r="BE1400" s="1" t="s">
        <v>173</v>
      </c>
      <c r="BF1400" s="66">
        <v>24</v>
      </c>
      <c r="BG1400" s="66"/>
      <c r="BH1400" s="9" t="s">
        <v>9</v>
      </c>
      <c r="BI1400" s="9" t="s">
        <v>313</v>
      </c>
      <c r="BJ1400" s="9" t="s">
        <v>5</v>
      </c>
      <c r="BK1400" s="9" t="s">
        <v>13</v>
      </c>
      <c r="BL1400" s="9" t="s">
        <v>9</v>
      </c>
      <c r="BM1400" s="1" t="s">
        <v>315</v>
      </c>
      <c r="CC1400" s="7"/>
    </row>
    <row r="1401" spans="2:81">
      <c r="B1401" s="6"/>
      <c r="C1401" s="24" t="s">
        <v>318</v>
      </c>
      <c r="CC1401" s="7"/>
    </row>
    <row r="1402" spans="2:81">
      <c r="B1402" s="6"/>
      <c r="C1402" s="1" t="s">
        <v>319</v>
      </c>
      <c r="I1402" s="1" t="s">
        <v>411</v>
      </c>
      <c r="CC1402" s="7"/>
    </row>
    <row r="1403" spans="2:81">
      <c r="B1403" s="6"/>
      <c r="C1403" s="1" t="s">
        <v>436</v>
      </c>
      <c r="I1403" s="1" t="s">
        <v>416</v>
      </c>
      <c r="CC1403" s="7"/>
    </row>
    <row r="1404" spans="2:81">
      <c r="B1404" s="6"/>
      <c r="C1404" s="1" t="s">
        <v>324</v>
      </c>
      <c r="I1404" s="1" t="s">
        <v>508</v>
      </c>
      <c r="K1404" s="66">
        <f>+AJ1383</f>
        <v>8</v>
      </c>
      <c r="L1404" s="66"/>
      <c r="M1404" s="1" t="s">
        <v>254</v>
      </c>
      <c r="N1404" s="1">
        <v>2</v>
      </c>
      <c r="O1404" s="9" t="s">
        <v>9</v>
      </c>
      <c r="P1404" s="1" t="s">
        <v>4</v>
      </c>
      <c r="Q1404" s="9" t="s">
        <v>5</v>
      </c>
      <c r="R1404" s="66">
        <f>+K1404</f>
        <v>8</v>
      </c>
      <c r="S1404" s="66"/>
      <c r="T1404" s="1" t="s">
        <v>321</v>
      </c>
      <c r="U1404" s="1">
        <v>6</v>
      </c>
      <c r="V1404" s="9" t="s">
        <v>6</v>
      </c>
      <c r="W1404" s="66">
        <f>+Q1396</f>
        <v>75</v>
      </c>
      <c r="X1404" s="66"/>
      <c r="Y1404" s="9" t="s">
        <v>5</v>
      </c>
      <c r="Z1404" s="66">
        <f>+R1404</f>
        <v>8</v>
      </c>
      <c r="AA1404" s="66"/>
      <c r="AB1404" s="1" t="s">
        <v>509</v>
      </c>
      <c r="AC1404" s="66">
        <v>24</v>
      </c>
      <c r="AD1404" s="66"/>
      <c r="AE1404" s="9" t="s">
        <v>6</v>
      </c>
      <c r="AF1404" s="66">
        <f>+Y1396</f>
        <v>150</v>
      </c>
      <c r="AG1404" s="66"/>
      <c r="AH1404" s="1" t="s">
        <v>14</v>
      </c>
      <c r="AI1404" s="66">
        <f>+Z1404</f>
        <v>8</v>
      </c>
      <c r="AJ1404" s="66"/>
      <c r="AK1404" s="9" t="s">
        <v>6</v>
      </c>
      <c r="AL1404" s="66">
        <f>+AD1396</f>
        <v>3.5</v>
      </c>
      <c r="AM1404" s="66"/>
      <c r="AN1404" s="1" t="s">
        <v>311</v>
      </c>
      <c r="AO1404" s="1" t="s">
        <v>173</v>
      </c>
      <c r="AP1404" s="1">
        <v>6</v>
      </c>
      <c r="AQ1404" s="9" t="s">
        <v>7</v>
      </c>
      <c r="AR1404" s="1">
        <v>0</v>
      </c>
      <c r="AS1404" s="9"/>
      <c r="CC1404" s="7"/>
    </row>
    <row r="1405" spans="2:81">
      <c r="B1405" s="6"/>
      <c r="I1405" s="1" t="s">
        <v>508</v>
      </c>
      <c r="K1405" s="66">
        <f>K1404^2/N1404</f>
        <v>32</v>
      </c>
      <c r="L1405" s="66"/>
      <c r="M1405" s="9" t="s">
        <v>9</v>
      </c>
      <c r="N1405" s="1" t="s">
        <v>4</v>
      </c>
      <c r="O1405" s="9" t="s">
        <v>5</v>
      </c>
      <c r="P1405" s="66">
        <f>R1404^3/U1404</f>
        <v>85.333333333333329</v>
      </c>
      <c r="Q1405" s="66"/>
      <c r="R1405" s="9" t="s">
        <v>6</v>
      </c>
      <c r="S1405" s="66">
        <f>+W1404*Z1404^4/AC1404+AF1404*(AI1404-AL1404)^3/AP1404</f>
        <v>15078.125</v>
      </c>
      <c r="T1405" s="66"/>
      <c r="U1405" s="66"/>
      <c r="V1405" s="9" t="s">
        <v>7</v>
      </c>
      <c r="W1405" s="1">
        <v>0</v>
      </c>
      <c r="Y1405" s="1" t="s">
        <v>513</v>
      </c>
      <c r="CC1405" s="7"/>
    </row>
    <row r="1406" spans="2:81">
      <c r="B1406" s="6"/>
      <c r="C1406" s="1" t="s">
        <v>345</v>
      </c>
      <c r="I1406" s="1" t="s">
        <v>508</v>
      </c>
      <c r="K1406" s="66">
        <f>+AJ1383</f>
        <v>8</v>
      </c>
      <c r="L1406" s="66"/>
      <c r="M1406" s="1" t="s">
        <v>254</v>
      </c>
      <c r="N1406" s="1">
        <v>2</v>
      </c>
      <c r="O1406" s="9" t="s">
        <v>9</v>
      </c>
      <c r="P1406" s="1" t="s">
        <v>4</v>
      </c>
      <c r="Q1406" s="9" t="s">
        <v>5</v>
      </c>
      <c r="R1406" s="66">
        <f>+K1406</f>
        <v>8</v>
      </c>
      <c r="S1406" s="66"/>
      <c r="T1406" s="1" t="s">
        <v>321</v>
      </c>
      <c r="U1406" s="1">
        <v>6</v>
      </c>
      <c r="V1406" s="9" t="s">
        <v>6</v>
      </c>
      <c r="W1406" s="66">
        <f>+Q1400</f>
        <v>600</v>
      </c>
      <c r="X1406" s="66"/>
      <c r="Y1406" s="1" t="s">
        <v>14</v>
      </c>
      <c r="Z1406" s="66">
        <f>+R1406</f>
        <v>8</v>
      </c>
      <c r="AA1406" s="66"/>
      <c r="AB1406" s="9" t="s">
        <v>6</v>
      </c>
      <c r="AC1406" s="66">
        <f>+V1400</f>
        <v>4</v>
      </c>
      <c r="AD1406" s="66"/>
      <c r="AE1406" s="1" t="s">
        <v>311</v>
      </c>
      <c r="AF1406" s="1" t="s">
        <v>173</v>
      </c>
      <c r="AG1406" s="1">
        <v>6</v>
      </c>
      <c r="AH1406" s="9" t="s">
        <v>6</v>
      </c>
      <c r="AI1406" s="66">
        <f>+AB1400</f>
        <v>150</v>
      </c>
      <c r="AJ1406" s="66"/>
      <c r="AK1406" s="1" t="s">
        <v>14</v>
      </c>
      <c r="AL1406" s="66">
        <f>+Z1406</f>
        <v>8</v>
      </c>
      <c r="AM1406" s="66"/>
      <c r="AN1406" s="9" t="s">
        <v>6</v>
      </c>
      <c r="AO1406" s="66">
        <f>+AG1400</f>
        <v>3.5</v>
      </c>
      <c r="AP1406" s="66"/>
      <c r="AQ1406" s="1" t="s">
        <v>311</v>
      </c>
      <c r="AR1406" s="1" t="s">
        <v>173</v>
      </c>
      <c r="AS1406" s="1">
        <v>6</v>
      </c>
      <c r="AT1406" s="9" t="s">
        <v>9</v>
      </c>
      <c r="AU1406" s="9" t="s">
        <v>10</v>
      </c>
      <c r="AV1406" s="9" t="s">
        <v>14</v>
      </c>
      <c r="AW1406" s="66">
        <f>+AL1406</f>
        <v>8</v>
      </c>
      <c r="AX1406" s="66"/>
      <c r="AY1406" s="9" t="s">
        <v>6</v>
      </c>
      <c r="AZ1406" s="66">
        <f>+AQ1400</f>
        <v>8</v>
      </c>
      <c r="BA1406" s="66"/>
      <c r="BB1406" s="1" t="s">
        <v>311</v>
      </c>
      <c r="BC1406" s="1" t="s">
        <v>173</v>
      </c>
      <c r="BD1406" s="1">
        <v>6</v>
      </c>
      <c r="BE1406" s="9" t="s">
        <v>6</v>
      </c>
      <c r="BF1406" s="66">
        <f>+AW1400</f>
        <v>55</v>
      </c>
      <c r="BG1406" s="66"/>
      <c r="BH1406" s="1" t="s">
        <v>14</v>
      </c>
      <c r="BI1406" s="66">
        <f>+AW1406</f>
        <v>8</v>
      </c>
      <c r="BJ1406" s="66"/>
      <c r="BK1406" s="9" t="s">
        <v>6</v>
      </c>
      <c r="BL1406" s="66">
        <f>+BB1400</f>
        <v>8</v>
      </c>
      <c r="BM1406" s="66"/>
      <c r="BN1406" s="1" t="s">
        <v>342</v>
      </c>
      <c r="BO1406" s="1" t="s">
        <v>173</v>
      </c>
      <c r="BP1406" s="66">
        <v>24</v>
      </c>
      <c r="BQ1406" s="66"/>
      <c r="BR1406" s="9" t="s">
        <v>9</v>
      </c>
      <c r="BS1406" s="66">
        <f>+AU1411</f>
        <v>-1600</v>
      </c>
      <c r="BT1406" s="66"/>
      <c r="BU1406" s="66"/>
      <c r="BV1406" s="9" t="s">
        <v>5</v>
      </c>
      <c r="BW1406" s="66">
        <f>+BI1406</f>
        <v>8</v>
      </c>
      <c r="BX1406" s="66"/>
      <c r="BY1406" s="9" t="s">
        <v>9</v>
      </c>
      <c r="BZ1406" s="1" t="s">
        <v>315</v>
      </c>
      <c r="CA1406" s="9" t="s">
        <v>7</v>
      </c>
      <c r="CB1406" s="1">
        <v>0</v>
      </c>
      <c r="CC1406" s="7"/>
    </row>
    <row r="1407" spans="2:81">
      <c r="B1407" s="6"/>
      <c r="I1407" s="1" t="s">
        <v>508</v>
      </c>
      <c r="K1407" s="66">
        <f>+K1406^2/N1406</f>
        <v>32</v>
      </c>
      <c r="L1407" s="66"/>
      <c r="M1407" s="9" t="s">
        <v>9</v>
      </c>
      <c r="N1407" s="1" t="s">
        <v>4</v>
      </c>
      <c r="O1407" s="9" t="s">
        <v>5</v>
      </c>
      <c r="P1407" s="66">
        <f>+R1406^3/U1406</f>
        <v>85.333333333333329</v>
      </c>
      <c r="Q1407" s="66"/>
      <c r="R1407" s="9" t="s">
        <v>9</v>
      </c>
      <c r="S1407" s="1" t="s">
        <v>315</v>
      </c>
      <c r="T1407" s="9" t="s">
        <v>9</v>
      </c>
      <c r="U1407" s="66">
        <f>-W1406*(Z1406-AC1406)^3/AG1406-AI1406*(AL1406-AO1406)^3/AS1406-BF1406*(BI1406-BL1406)^4/BP1406+BS1406*BW1406</f>
        <v>-21478.125</v>
      </c>
      <c r="V1407" s="66"/>
      <c r="W1407" s="66"/>
      <c r="X1407" s="9" t="s">
        <v>7</v>
      </c>
      <c r="Y1407" s="9">
        <v>0</v>
      </c>
      <c r="AA1407" s="1" t="s">
        <v>514</v>
      </c>
      <c r="CC1407" s="7"/>
    </row>
    <row r="1408" spans="2:81">
      <c r="B1408" s="6"/>
      <c r="C1408" s="1" t="s">
        <v>511</v>
      </c>
      <c r="H1408" s="1" t="s">
        <v>508</v>
      </c>
      <c r="J1408" s="66">
        <f>+AJ1383</f>
        <v>8</v>
      </c>
      <c r="K1408" s="66"/>
      <c r="L1408" s="9" t="s">
        <v>9</v>
      </c>
      <c r="M1408" s="1" t="s">
        <v>4</v>
      </c>
      <c r="N1408" s="9" t="s">
        <v>5</v>
      </c>
      <c r="O1408" s="66">
        <f>+J1408</f>
        <v>8</v>
      </c>
      <c r="P1408" s="66"/>
      <c r="Q1408" s="9" t="s">
        <v>254</v>
      </c>
      <c r="R1408" s="9">
        <v>2</v>
      </c>
      <c r="S1408" s="9" t="s">
        <v>6</v>
      </c>
      <c r="T1408" s="66">
        <f>+O1395</f>
        <v>75</v>
      </c>
      <c r="U1408" s="66"/>
      <c r="V1408" s="9" t="s">
        <v>5</v>
      </c>
      <c r="W1408" s="66">
        <f>+O1408</f>
        <v>8</v>
      </c>
      <c r="X1408" s="66"/>
      <c r="Y1408" s="9" t="s">
        <v>455</v>
      </c>
      <c r="Z1408" s="9">
        <v>6</v>
      </c>
      <c r="AA1408" s="9" t="s">
        <v>6</v>
      </c>
      <c r="AB1408" s="66">
        <f>+V1395</f>
        <v>150</v>
      </c>
      <c r="AC1408" s="66"/>
      <c r="AD1408" s="1" t="s">
        <v>14</v>
      </c>
      <c r="AE1408" s="66">
        <f>+W1408</f>
        <v>8</v>
      </c>
      <c r="AF1408" s="66"/>
      <c r="AG1408" s="9" t="s">
        <v>6</v>
      </c>
      <c r="AH1408" s="66">
        <f>+AA1395</f>
        <v>3.5</v>
      </c>
      <c r="AI1408" s="66"/>
      <c r="AJ1408" s="1" t="s">
        <v>200</v>
      </c>
      <c r="AK1408" s="1" t="s">
        <v>173</v>
      </c>
      <c r="AL1408" s="1">
        <v>2</v>
      </c>
      <c r="AO1408" s="1" t="s">
        <v>508</v>
      </c>
      <c r="AQ1408" s="66">
        <f>+J1408</f>
        <v>8</v>
      </c>
      <c r="AR1408" s="66"/>
      <c r="AS1408" s="9" t="s">
        <v>9</v>
      </c>
      <c r="AT1408" s="1" t="s">
        <v>4</v>
      </c>
      <c r="AU1408" s="9" t="s">
        <v>5</v>
      </c>
      <c r="AV1408" s="66">
        <f>+O1408^2/R1408</f>
        <v>32</v>
      </c>
      <c r="AW1408" s="66"/>
      <c r="AX1408" s="9" t="s">
        <v>6</v>
      </c>
      <c r="AY1408" s="66">
        <f>T1408*W1408^3/Z1408+AB1408*(AE1408-AH1408)^2/AL1408</f>
        <v>7918.75</v>
      </c>
      <c r="AZ1408" s="66"/>
      <c r="BA1408" s="66"/>
      <c r="CC1408" s="7"/>
    </row>
    <row r="1409" spans="2:81">
      <c r="B1409" s="6"/>
      <c r="C1409" s="1" t="s">
        <v>512</v>
      </c>
      <c r="H1409" s="1" t="s">
        <v>508</v>
      </c>
      <c r="J1409" s="66">
        <f>+AJ1383</f>
        <v>8</v>
      </c>
      <c r="K1409" s="66"/>
      <c r="L1409" s="9" t="s">
        <v>9</v>
      </c>
      <c r="M1409" s="1" t="s">
        <v>4</v>
      </c>
      <c r="N1409" s="9" t="s">
        <v>5</v>
      </c>
      <c r="O1409" s="66">
        <f>+J1409</f>
        <v>8</v>
      </c>
      <c r="P1409" s="66"/>
      <c r="Q1409" s="9" t="s">
        <v>254</v>
      </c>
      <c r="R1409" s="9">
        <v>2</v>
      </c>
      <c r="S1409" s="9" t="s">
        <v>6</v>
      </c>
      <c r="T1409" s="66">
        <f>+O1399</f>
        <v>600</v>
      </c>
      <c r="U1409" s="66"/>
      <c r="V1409" s="1" t="s">
        <v>14</v>
      </c>
      <c r="W1409" s="66">
        <f>+O1409</f>
        <v>8</v>
      </c>
      <c r="X1409" s="66"/>
      <c r="Y1409" s="9" t="s">
        <v>6</v>
      </c>
      <c r="Z1409" s="66">
        <f>+T1399</f>
        <v>4</v>
      </c>
      <c r="AA1409" s="66"/>
      <c r="AB1409" s="1" t="s">
        <v>200</v>
      </c>
      <c r="AC1409" s="1" t="s">
        <v>173</v>
      </c>
      <c r="AD1409" s="1">
        <v>2</v>
      </c>
      <c r="AE1409" s="9" t="s">
        <v>6</v>
      </c>
      <c r="AF1409" s="66">
        <f>+Z1399</f>
        <v>150</v>
      </c>
      <c r="AG1409" s="66"/>
      <c r="AH1409" s="1" t="s">
        <v>14</v>
      </c>
      <c r="AI1409" s="66">
        <f>+W1409</f>
        <v>8</v>
      </c>
      <c r="AJ1409" s="66"/>
      <c r="AK1409" s="9" t="s">
        <v>6</v>
      </c>
      <c r="AL1409" s="66">
        <f>+AE1399</f>
        <v>3.5</v>
      </c>
      <c r="AM1409" s="66"/>
      <c r="AN1409" s="1" t="s">
        <v>200</v>
      </c>
      <c r="AO1409" s="1" t="s">
        <v>173</v>
      </c>
      <c r="AP1409" s="1">
        <v>2</v>
      </c>
      <c r="AQ1409" s="9" t="s">
        <v>9</v>
      </c>
      <c r="AR1409" s="9" t="s">
        <v>10</v>
      </c>
      <c r="AS1409" s="9" t="s">
        <v>14</v>
      </c>
      <c r="AT1409" s="66">
        <f>+AI1409</f>
        <v>8</v>
      </c>
      <c r="AU1409" s="66"/>
      <c r="AV1409" s="9" t="s">
        <v>6</v>
      </c>
      <c r="AW1409" s="66">
        <f>+AO1399</f>
        <v>8</v>
      </c>
      <c r="AX1409" s="66"/>
      <c r="AY1409" s="1" t="s">
        <v>200</v>
      </c>
      <c r="AZ1409" s="1" t="s">
        <v>173</v>
      </c>
      <c r="BA1409" s="1">
        <v>2</v>
      </c>
      <c r="BB1409" s="9" t="s">
        <v>6</v>
      </c>
      <c r="BC1409" s="66">
        <f>+AU1399</f>
        <v>55</v>
      </c>
      <c r="BD1409" s="66"/>
      <c r="BE1409" s="1" t="s">
        <v>14</v>
      </c>
      <c r="BF1409" s="66">
        <f>+AT1409</f>
        <v>8</v>
      </c>
      <c r="BG1409" s="66"/>
      <c r="BH1409" s="9" t="s">
        <v>6</v>
      </c>
      <c r="BI1409" s="66">
        <f>+AZ1399</f>
        <v>8</v>
      </c>
      <c r="BJ1409" s="66"/>
      <c r="BK1409" s="1" t="s">
        <v>311</v>
      </c>
      <c r="BL1409" s="1" t="s">
        <v>173</v>
      </c>
      <c r="BM1409" s="1">
        <v>6</v>
      </c>
      <c r="BN1409" s="9" t="s">
        <v>9</v>
      </c>
      <c r="BO1409" s="9" t="s">
        <v>313</v>
      </c>
      <c r="CC1409" s="7"/>
    </row>
    <row r="1410" spans="2:81">
      <c r="B1410" s="6"/>
      <c r="H1410" s="1" t="s">
        <v>508</v>
      </c>
      <c r="J1410" s="66">
        <f>+J1409</f>
        <v>8</v>
      </c>
      <c r="K1410" s="66"/>
      <c r="L1410" s="9" t="s">
        <v>9</v>
      </c>
      <c r="M1410" s="1" t="s">
        <v>4</v>
      </c>
      <c r="N1410" s="9" t="s">
        <v>5</v>
      </c>
      <c r="O1410" s="66">
        <f>+O1409^2/R1409</f>
        <v>32</v>
      </c>
      <c r="P1410" s="66"/>
      <c r="Q1410" s="9" t="s">
        <v>9</v>
      </c>
      <c r="R1410" s="9" t="s">
        <v>313</v>
      </c>
      <c r="S1410" s="9" t="s">
        <v>6</v>
      </c>
      <c r="T1410" s="66">
        <f>T1409*(W1409-Z1409)^2/AD1409+AF1409*(AI1409-AL1409)^2/AP1409+BC1409*(BF1409-BI1409)^3/BM1409</f>
        <v>6318.75</v>
      </c>
      <c r="U1410" s="66"/>
      <c r="V1410" s="66"/>
      <c r="CC1410" s="7"/>
    </row>
    <row r="1411" spans="2:81">
      <c r="B1411" s="6"/>
      <c r="C1411" s="1" t="s">
        <v>510</v>
      </c>
      <c r="J1411" s="9"/>
      <c r="K1411" s="9"/>
      <c r="N1411" s="1" t="s">
        <v>508</v>
      </c>
      <c r="P1411" s="66">
        <f>+AQ1408</f>
        <v>8</v>
      </c>
      <c r="Q1411" s="66"/>
      <c r="R1411" s="9" t="s">
        <v>9</v>
      </c>
      <c r="S1411" s="1" t="s">
        <v>4</v>
      </c>
      <c r="T1411" s="9" t="s">
        <v>5</v>
      </c>
      <c r="U1411" s="66">
        <f>+AV1408</f>
        <v>32</v>
      </c>
      <c r="V1411" s="66"/>
      <c r="W1411" s="9" t="s">
        <v>6</v>
      </c>
      <c r="X1411" s="66">
        <f>+AY1408</f>
        <v>7918.75</v>
      </c>
      <c r="Y1411" s="66"/>
      <c r="Z1411" s="66"/>
      <c r="AA1411" s="9" t="s">
        <v>7</v>
      </c>
      <c r="AB1411" s="1" t="s">
        <v>508</v>
      </c>
      <c r="AD1411" s="66">
        <f>+J1410</f>
        <v>8</v>
      </c>
      <c r="AE1411" s="66"/>
      <c r="AF1411" s="9" t="s">
        <v>9</v>
      </c>
      <c r="AG1411" s="1" t="s">
        <v>4</v>
      </c>
      <c r="AH1411" s="9" t="s">
        <v>5</v>
      </c>
      <c r="AI1411" s="66">
        <f>+O1410</f>
        <v>32</v>
      </c>
      <c r="AJ1411" s="66"/>
      <c r="AK1411" s="9" t="s">
        <v>9</v>
      </c>
      <c r="AL1411" s="9" t="s">
        <v>313</v>
      </c>
      <c r="AM1411" s="9" t="s">
        <v>6</v>
      </c>
      <c r="AN1411" s="66">
        <f>+T1410</f>
        <v>6318.75</v>
      </c>
      <c r="AO1411" s="66"/>
      <c r="AP1411" s="66"/>
      <c r="AS1411" s="9" t="s">
        <v>313</v>
      </c>
      <c r="AT1411" s="9" t="s">
        <v>7</v>
      </c>
      <c r="AU1411" s="66">
        <f>+AN1411-X1411</f>
        <v>-1600</v>
      </c>
      <c r="AV1411" s="66"/>
      <c r="AW1411" s="66"/>
      <c r="CC1411" s="7"/>
    </row>
    <row r="1412" spans="2:81">
      <c r="B1412" s="6"/>
      <c r="C1412" s="24" t="s">
        <v>515</v>
      </c>
      <c r="K1412" s="9"/>
      <c r="L1412" s="9"/>
      <c r="M1412" s="9"/>
      <c r="O1412" s="9"/>
      <c r="P1412" s="9"/>
      <c r="Q1412" s="9"/>
      <c r="R1412" s="9"/>
      <c r="S1412" s="9"/>
      <c r="T1412" s="9"/>
      <c r="U1412" s="9"/>
      <c r="V1412" s="9"/>
      <c r="CC1412" s="7"/>
    </row>
    <row r="1413" spans="2:81">
      <c r="B1413" s="6"/>
      <c r="C1413" s="1" t="s">
        <v>8</v>
      </c>
      <c r="E1413" s="66">
        <f>+S1413</f>
        <v>449.893798828125</v>
      </c>
      <c r="F1413" s="66"/>
      <c r="G1413" s="66"/>
      <c r="I1413" s="40">
        <v>1</v>
      </c>
      <c r="J1413" s="40">
        <v>1</v>
      </c>
      <c r="K1413" s="40">
        <v>0</v>
      </c>
      <c r="L1413" s="40">
        <v>0</v>
      </c>
      <c r="M1413" s="40">
        <f>G1390</f>
        <v>927.5</v>
      </c>
      <c r="N1413" s="40"/>
      <c r="O1413" s="40" cm="1">
        <f t="array" ref="O1413:R1416">MINVERSE(I1413:L1416)</f>
        <v>0</v>
      </c>
      <c r="P1413" s="40">
        <v>0.1875</v>
      </c>
      <c r="Q1413" s="40">
        <v>-5.859375E-3</v>
      </c>
      <c r="R1413" s="40">
        <v>0</v>
      </c>
      <c r="S1413" s="40" cm="1">
        <f t="array" ref="S1413:S1416">MMULT(O1413:R1416,M1413:M1416)</f>
        <v>449.893798828125</v>
      </c>
      <c r="CC1413" s="7"/>
    </row>
    <row r="1414" spans="2:81">
      <c r="B1414" s="6"/>
      <c r="C1414" s="1" t="s">
        <v>11</v>
      </c>
      <c r="E1414" s="66">
        <f t="shared" ref="E1414:E1416" si="10">+S1414</f>
        <v>477.606201171875</v>
      </c>
      <c r="F1414" s="66"/>
      <c r="G1414" s="66"/>
      <c r="I1414" s="40">
        <f>+G1392</f>
        <v>8</v>
      </c>
      <c r="J1414" s="40">
        <v>0</v>
      </c>
      <c r="K1414" s="40">
        <v>1</v>
      </c>
      <c r="L1414" s="40">
        <v>0</v>
      </c>
      <c r="M1414" s="40">
        <f>-J1392</f>
        <v>2870.625</v>
      </c>
      <c r="N1414" s="40"/>
      <c r="O1414" s="40">
        <v>1</v>
      </c>
      <c r="P1414" s="40">
        <v>-0.1875</v>
      </c>
      <c r="Q1414" s="40">
        <v>5.859375E-3</v>
      </c>
      <c r="R1414" s="40">
        <v>0</v>
      </c>
      <c r="S1414" s="40">
        <v>477.606201171875</v>
      </c>
      <c r="CC1414" s="7"/>
    </row>
    <row r="1415" spans="2:81">
      <c r="B1415" s="6"/>
      <c r="C1415" s="1" t="s">
        <v>405</v>
      </c>
      <c r="E1415" s="66">
        <f t="shared" si="10"/>
        <v>-728.525390625</v>
      </c>
      <c r="F1415" s="66"/>
      <c r="G1415" s="66"/>
      <c r="I1415" s="40">
        <f>+P1405</f>
        <v>85.333333333333329</v>
      </c>
      <c r="J1415" s="40">
        <v>0</v>
      </c>
      <c r="K1415" s="40">
        <f>+K1405</f>
        <v>32</v>
      </c>
      <c r="L1415" s="40">
        <v>0</v>
      </c>
      <c r="M1415" s="40">
        <f>+S1405</f>
        <v>15078.125</v>
      </c>
      <c r="N1415" s="40"/>
      <c r="O1415" s="40">
        <v>0</v>
      </c>
      <c r="P1415" s="40">
        <v>-0.5</v>
      </c>
      <c r="Q1415" s="40">
        <v>4.6875E-2</v>
      </c>
      <c r="R1415" s="40">
        <v>0</v>
      </c>
      <c r="S1415" s="40">
        <v>-728.525390625</v>
      </c>
      <c r="CC1415" s="7"/>
    </row>
    <row r="1416" spans="2:81">
      <c r="B1416" s="6"/>
      <c r="C1416" s="1" t="s">
        <v>355</v>
      </c>
      <c r="E1416" s="66">
        <f t="shared" si="10"/>
        <v>6400</v>
      </c>
      <c r="F1416" s="66"/>
      <c r="G1416" s="66"/>
      <c r="I1416" s="40">
        <f>+P1407</f>
        <v>85.333333333333329</v>
      </c>
      <c r="J1416" s="40">
        <v>0</v>
      </c>
      <c r="K1416" s="40">
        <f>+K1407</f>
        <v>32</v>
      </c>
      <c r="L1416" s="40">
        <v>1</v>
      </c>
      <c r="M1416" s="40">
        <f>-U1407</f>
        <v>21478.125</v>
      </c>
      <c r="N1416" s="40"/>
      <c r="O1416" s="40">
        <v>0</v>
      </c>
      <c r="P1416" s="40">
        <v>0</v>
      </c>
      <c r="Q1416" s="40">
        <v>-1</v>
      </c>
      <c r="R1416" s="40">
        <v>1</v>
      </c>
      <c r="S1416" s="40">
        <v>6400</v>
      </c>
      <c r="CC1416" s="7"/>
    </row>
    <row r="1417" spans="2:81">
      <c r="B1417" s="6"/>
      <c r="C1417" s="24" t="s">
        <v>303</v>
      </c>
      <c r="CC1417" s="7"/>
    </row>
    <row r="1418" spans="2:81">
      <c r="B1418" s="6"/>
      <c r="C1418" s="1" t="s">
        <v>195</v>
      </c>
      <c r="H1418" s="1" t="s">
        <v>508</v>
      </c>
      <c r="J1418" s="9" t="s">
        <v>183</v>
      </c>
      <c r="K1418" s="1" t="s">
        <v>173</v>
      </c>
      <c r="L1418" s="1">
        <v>2</v>
      </c>
      <c r="M1418" s="9" t="s">
        <v>9</v>
      </c>
      <c r="N1418" s="1" t="s">
        <v>4</v>
      </c>
      <c r="O1418" s="9" t="s">
        <v>5</v>
      </c>
      <c r="P1418" s="9" t="s">
        <v>184</v>
      </c>
      <c r="Q1418" s="1" t="s">
        <v>173</v>
      </c>
      <c r="R1418" s="1">
        <v>6</v>
      </c>
      <c r="S1418" s="9" t="s">
        <v>6</v>
      </c>
      <c r="T1418" s="66">
        <f>+Q1396</f>
        <v>75</v>
      </c>
      <c r="U1418" s="66"/>
      <c r="V1418" s="9" t="s">
        <v>5</v>
      </c>
      <c r="W1418" s="1" t="s">
        <v>185</v>
      </c>
      <c r="X1418" s="1" t="s">
        <v>173</v>
      </c>
      <c r="Y1418" s="66">
        <v>24</v>
      </c>
      <c r="Z1418" s="66"/>
      <c r="AA1418" s="9" t="s">
        <v>6</v>
      </c>
      <c r="AB1418" s="66">
        <f>+Y1396</f>
        <v>150</v>
      </c>
      <c r="AC1418" s="66"/>
      <c r="AD1418" s="1" t="s">
        <v>14</v>
      </c>
      <c r="AE1418" s="1" t="s">
        <v>13</v>
      </c>
      <c r="AF1418" s="9" t="s">
        <v>6</v>
      </c>
      <c r="AG1418" s="66">
        <f>+AD1396</f>
        <v>3.5</v>
      </c>
      <c r="AH1418" s="66"/>
      <c r="AI1418" s="1" t="s">
        <v>311</v>
      </c>
      <c r="AJ1418" s="1" t="s">
        <v>173</v>
      </c>
      <c r="AK1418" s="1">
        <v>6</v>
      </c>
      <c r="AL1418" s="9" t="s">
        <v>9</v>
      </c>
      <c r="AM1418" s="1" t="s">
        <v>24</v>
      </c>
      <c r="AN1418" s="9" t="s">
        <v>5</v>
      </c>
      <c r="AO1418" s="9" t="s">
        <v>13</v>
      </c>
      <c r="AP1418" s="9" t="s">
        <v>9</v>
      </c>
      <c r="AQ1418" s="1" t="s">
        <v>307</v>
      </c>
      <c r="CC1418" s="7"/>
    </row>
    <row r="1419" spans="2:81">
      <c r="B1419" s="6"/>
      <c r="C1419" s="1" t="s">
        <v>35</v>
      </c>
      <c r="E1419" s="1" t="s">
        <v>508</v>
      </c>
      <c r="G1419" s="9" t="s">
        <v>183</v>
      </c>
      <c r="H1419" s="1" t="s">
        <v>173</v>
      </c>
      <c r="I1419" s="1">
        <v>2</v>
      </c>
      <c r="J1419" s="9" t="s">
        <v>9</v>
      </c>
      <c r="K1419" s="1" t="s">
        <v>4</v>
      </c>
      <c r="L1419" s="9" t="s">
        <v>5</v>
      </c>
      <c r="M1419" s="9" t="s">
        <v>184</v>
      </c>
      <c r="N1419" s="1" t="s">
        <v>173</v>
      </c>
      <c r="O1419" s="1">
        <v>6</v>
      </c>
      <c r="P1419" s="9" t="s">
        <v>6</v>
      </c>
      <c r="Q1419" s="66">
        <f>+T1418</f>
        <v>75</v>
      </c>
      <c r="R1419" s="66"/>
      <c r="S1419" s="9" t="s">
        <v>5</v>
      </c>
      <c r="T1419" s="1" t="s">
        <v>185</v>
      </c>
      <c r="U1419" s="1" t="s">
        <v>173</v>
      </c>
      <c r="V1419" s="66">
        <v>24</v>
      </c>
      <c r="W1419" s="66"/>
      <c r="X1419" s="9" t="s">
        <v>6</v>
      </c>
      <c r="Y1419" s="66">
        <f>+AB1418</f>
        <v>150</v>
      </c>
      <c r="Z1419" s="66"/>
      <c r="AA1419" s="1" t="s">
        <v>14</v>
      </c>
      <c r="AB1419" s="1" t="s">
        <v>13</v>
      </c>
      <c r="AC1419" s="9" t="s">
        <v>6</v>
      </c>
      <c r="AD1419" s="66">
        <f>+AG1418</f>
        <v>3.5</v>
      </c>
      <c r="AE1419" s="66"/>
      <c r="AF1419" s="1" t="s">
        <v>311</v>
      </c>
      <c r="AG1419" s="1" t="s">
        <v>173</v>
      </c>
      <c r="AH1419" s="1">
        <v>6</v>
      </c>
      <c r="AI1419" s="1" t="s">
        <v>322</v>
      </c>
      <c r="CC1419" s="7"/>
    </row>
    <row r="1420" spans="2:81">
      <c r="B1420" s="6"/>
      <c r="C1420" s="1" t="s">
        <v>27</v>
      </c>
      <c r="D1420" s="67">
        <v>5.5</v>
      </c>
      <c r="E1420" s="67"/>
      <c r="F1420" s="67"/>
      <c r="G1420" s="1" t="s">
        <v>42</v>
      </c>
      <c r="P1420" s="8" t="str">
        <f>IF(D1420&lt;=AJ1383,"","azalt.")</f>
        <v/>
      </c>
      <c r="CC1420" s="7"/>
    </row>
    <row r="1421" spans="2:81">
      <c r="B1421" s="6"/>
      <c r="C1421" s="1" t="s">
        <v>35</v>
      </c>
      <c r="E1421" s="66">
        <f>+E1415</f>
        <v>-728.525390625</v>
      </c>
      <c r="F1421" s="66"/>
      <c r="G1421" s="66"/>
      <c r="H1421" s="9" t="s">
        <v>5</v>
      </c>
      <c r="I1421" s="66">
        <f>+D1420</f>
        <v>5.5</v>
      </c>
      <c r="J1421" s="66"/>
      <c r="K1421" s="1" t="s">
        <v>254</v>
      </c>
      <c r="L1421" s="1">
        <v>2</v>
      </c>
      <c r="M1421" s="9" t="s">
        <v>9</v>
      </c>
      <c r="N1421" s="66">
        <f>+E1413</f>
        <v>449.893798828125</v>
      </c>
      <c r="O1421" s="66"/>
      <c r="P1421" s="66"/>
      <c r="Q1421" s="9" t="s">
        <v>5</v>
      </c>
      <c r="R1421" s="66">
        <f>+I1421</f>
        <v>5.5</v>
      </c>
      <c r="S1421" s="66"/>
      <c r="T1421" s="1" t="s">
        <v>455</v>
      </c>
      <c r="U1421" s="1">
        <v>6</v>
      </c>
      <c r="V1421" s="9" t="s">
        <v>6</v>
      </c>
      <c r="W1421" s="66">
        <f>+Q1419</f>
        <v>75</v>
      </c>
      <c r="X1421" s="66"/>
      <c r="Y1421" s="9" t="s">
        <v>5</v>
      </c>
      <c r="Z1421" s="66">
        <f>+R1421</f>
        <v>5.5</v>
      </c>
      <c r="AA1421" s="66"/>
      <c r="AB1421" s="1" t="s">
        <v>403</v>
      </c>
      <c r="AC1421" s="66">
        <v>24</v>
      </c>
      <c r="AD1421" s="66"/>
      <c r="AE1421" s="9" t="s">
        <v>6</v>
      </c>
      <c r="AF1421" s="66">
        <f>IF((AI1421-AL1421)&lt;0,0,Y1419)</f>
        <v>150</v>
      </c>
      <c r="AG1421" s="66"/>
      <c r="AH1421" s="1" t="s">
        <v>14</v>
      </c>
      <c r="AI1421" s="66">
        <f>+Z1421</f>
        <v>5.5</v>
      </c>
      <c r="AJ1421" s="66"/>
      <c r="AK1421" s="9" t="s">
        <v>6</v>
      </c>
      <c r="AL1421" s="66">
        <f>+AD1419</f>
        <v>3.5</v>
      </c>
      <c r="AM1421" s="66"/>
      <c r="AN1421" s="1" t="s">
        <v>311</v>
      </c>
      <c r="AO1421" s="1" t="s">
        <v>173</v>
      </c>
      <c r="AP1421" s="1">
        <v>6</v>
      </c>
      <c r="AQ1421" s="1" t="s">
        <v>193</v>
      </c>
      <c r="AT1421" s="66">
        <f>+F1386</f>
        <v>200000</v>
      </c>
      <c r="AU1421" s="66"/>
      <c r="AV1421" s="66"/>
      <c r="AW1421" s="9" t="s">
        <v>5</v>
      </c>
      <c r="AX1421" s="66">
        <f>+F1385</f>
        <v>92080</v>
      </c>
      <c r="AY1421" s="66"/>
      <c r="AZ1421" s="66"/>
      <c r="BA1421" s="1" t="s">
        <v>40</v>
      </c>
      <c r="CC1421" s="7"/>
    </row>
    <row r="1422" spans="2:81">
      <c r="B1422" s="6"/>
      <c r="C1422" s="1" t="s">
        <v>33</v>
      </c>
      <c r="E1422" s="66">
        <f>(E1421*I1421^2/L1421+N1421*R1421^3/U1421-W1421*Z1421^4/AC1421-AF1421*(AI1421-AL1421)^3/AP1421)*100000000/(AT1421*AX1421)</f>
        <v>-8.7062158758592645</v>
      </c>
      <c r="F1422" s="66"/>
      <c r="G1422" s="66"/>
      <c r="H1422" s="1" t="s">
        <v>41</v>
      </c>
      <c r="CC1422" s="7"/>
    </row>
    <row r="1423" spans="2:81">
      <c r="B1423" s="6"/>
      <c r="C1423" s="1" t="s">
        <v>172</v>
      </c>
      <c r="H1423" s="66">
        <f>AJ1383*1000</f>
        <v>8000</v>
      </c>
      <c r="I1423" s="66"/>
      <c r="J1423" s="66"/>
      <c r="K1423" s="1" t="s">
        <v>173</v>
      </c>
      <c r="L1423" s="66">
        <v>300</v>
      </c>
      <c r="M1423" s="66"/>
      <c r="N1423" s="9" t="s">
        <v>7</v>
      </c>
      <c r="O1423" s="66">
        <f>+H1423/L1423</f>
        <v>26.666666666666668</v>
      </c>
      <c r="P1423" s="66"/>
      <c r="Q1423" s="66"/>
      <c r="R1423" s="1" t="s">
        <v>41</v>
      </c>
      <c r="U1423" s="1" t="s">
        <v>192</v>
      </c>
      <c r="CC1423" s="7"/>
    </row>
    <row r="1424" spans="2:81">
      <c r="B1424" s="6"/>
      <c r="C1424" s="1" t="s">
        <v>34</v>
      </c>
      <c r="D1424" s="66">
        <f>+E1422</f>
        <v>-8.7062158758592645</v>
      </c>
      <c r="E1424" s="66"/>
      <c r="F1424" s="66"/>
      <c r="G1424" s="1" t="s">
        <v>41</v>
      </c>
      <c r="I1424" s="1" t="str">
        <f>IF(ABS(D1424)&lt;ABS(M1424),"&lt;","&gt;")</f>
        <v>&lt;</v>
      </c>
      <c r="J1424" s="1" t="s">
        <v>174</v>
      </c>
      <c r="M1424" s="66">
        <f>+O1423</f>
        <v>26.666666666666668</v>
      </c>
      <c r="N1424" s="66"/>
      <c r="O1424" s="66"/>
      <c r="P1424" s="1" t="s">
        <v>41</v>
      </c>
      <c r="R1424" s="8" t="str">
        <f>IF(ABS(D1424)&lt;ABS(M1424),"uygun.","uygun değil.")</f>
        <v>uygun.</v>
      </c>
      <c r="CC1424" s="7"/>
    </row>
    <row r="1425" spans="2:81">
      <c r="B1425" s="6"/>
      <c r="C1425" s="24" t="s">
        <v>308</v>
      </c>
      <c r="CC1425" s="7"/>
    </row>
    <row r="1426" spans="2:81">
      <c r="B1426" s="6"/>
      <c r="C1426" s="1" t="s">
        <v>195</v>
      </c>
      <c r="H1426" s="1" t="s">
        <v>508</v>
      </c>
      <c r="J1426" s="9" t="s">
        <v>183</v>
      </c>
      <c r="K1426" s="1" t="s">
        <v>173</v>
      </c>
      <c r="L1426" s="1">
        <v>2</v>
      </c>
      <c r="M1426" s="9" t="s">
        <v>9</v>
      </c>
      <c r="N1426" s="1" t="s">
        <v>4</v>
      </c>
      <c r="O1426" s="9" t="s">
        <v>5</v>
      </c>
      <c r="P1426" s="9" t="s">
        <v>184</v>
      </c>
      <c r="Q1426" s="1" t="s">
        <v>173</v>
      </c>
      <c r="R1426" s="1">
        <v>6</v>
      </c>
      <c r="S1426" s="9" t="s">
        <v>6</v>
      </c>
      <c r="T1426" s="66">
        <f>+Q1400</f>
        <v>600</v>
      </c>
      <c r="U1426" s="66"/>
      <c r="V1426" s="1" t="s">
        <v>14</v>
      </c>
      <c r="W1426" s="9" t="s">
        <v>13</v>
      </c>
      <c r="X1426" s="9" t="s">
        <v>6</v>
      </c>
      <c r="Y1426" s="66">
        <f>+V1400</f>
        <v>4</v>
      </c>
      <c r="Z1426" s="66"/>
      <c r="AA1426" s="1" t="s">
        <v>311</v>
      </c>
      <c r="AB1426" s="1" t="s">
        <v>173</v>
      </c>
      <c r="AC1426" s="1">
        <v>6</v>
      </c>
      <c r="AD1426" s="9" t="s">
        <v>6</v>
      </c>
      <c r="AE1426" s="66">
        <f>+AB1400</f>
        <v>150</v>
      </c>
      <c r="AF1426" s="66"/>
      <c r="AG1426" s="1" t="s">
        <v>14</v>
      </c>
      <c r="AH1426" s="9" t="s">
        <v>13</v>
      </c>
      <c r="AI1426" s="9" t="s">
        <v>6</v>
      </c>
      <c r="AJ1426" s="66">
        <f>+AG1400</f>
        <v>3.5</v>
      </c>
      <c r="AK1426" s="66"/>
      <c r="AL1426" s="1" t="s">
        <v>311</v>
      </c>
      <c r="AM1426" s="1" t="s">
        <v>173</v>
      </c>
      <c r="AN1426" s="1">
        <v>6</v>
      </c>
      <c r="AO1426" s="9" t="s">
        <v>9</v>
      </c>
      <c r="AP1426" s="9" t="s">
        <v>10</v>
      </c>
      <c r="AQ1426" s="9" t="s">
        <v>14</v>
      </c>
      <c r="AR1426" s="9" t="s">
        <v>13</v>
      </c>
      <c r="AS1426" s="9" t="s">
        <v>6</v>
      </c>
      <c r="AT1426" s="66">
        <f>+AQ1400</f>
        <v>8</v>
      </c>
      <c r="AU1426" s="66"/>
      <c r="AV1426" s="1" t="s">
        <v>311</v>
      </c>
      <c r="AW1426" s="1" t="s">
        <v>173</v>
      </c>
      <c r="AX1426" s="1">
        <v>6</v>
      </c>
      <c r="AY1426" s="9" t="s">
        <v>6</v>
      </c>
      <c r="AZ1426" s="66">
        <f>+AW1400</f>
        <v>55</v>
      </c>
      <c r="BA1426" s="66"/>
      <c r="BB1426" s="1" t="s">
        <v>14</v>
      </c>
      <c r="BC1426" s="9" t="s">
        <v>13</v>
      </c>
      <c r="BD1426" s="9" t="s">
        <v>6</v>
      </c>
      <c r="BE1426" s="66">
        <f>+BB1400</f>
        <v>8</v>
      </c>
      <c r="BF1426" s="66"/>
      <c r="BG1426" s="1" t="s">
        <v>342</v>
      </c>
      <c r="BH1426" s="1" t="s">
        <v>173</v>
      </c>
      <c r="BI1426" s="66">
        <v>24</v>
      </c>
      <c r="BJ1426" s="66"/>
      <c r="BK1426" s="9" t="s">
        <v>9</v>
      </c>
      <c r="BL1426" s="9" t="s">
        <v>313</v>
      </c>
      <c r="BM1426" s="9" t="s">
        <v>5</v>
      </c>
      <c r="BN1426" s="9" t="s">
        <v>13</v>
      </c>
      <c r="BO1426" s="9" t="s">
        <v>9</v>
      </c>
      <c r="BP1426" s="1" t="s">
        <v>315</v>
      </c>
      <c r="CC1426" s="7"/>
    </row>
    <row r="1427" spans="2:81">
      <c r="B1427" s="6"/>
      <c r="C1427" s="1" t="s">
        <v>35</v>
      </c>
      <c r="E1427" s="1" t="s">
        <v>508</v>
      </c>
      <c r="G1427" s="9" t="s">
        <v>183</v>
      </c>
      <c r="H1427" s="1" t="s">
        <v>173</v>
      </c>
      <c r="I1427" s="1">
        <v>2</v>
      </c>
      <c r="J1427" s="9" t="s">
        <v>9</v>
      </c>
      <c r="K1427" s="1" t="s">
        <v>4</v>
      </c>
      <c r="L1427" s="9" t="s">
        <v>5</v>
      </c>
      <c r="M1427" s="9" t="s">
        <v>184</v>
      </c>
      <c r="N1427" s="1" t="s">
        <v>173</v>
      </c>
      <c r="O1427" s="1">
        <v>6</v>
      </c>
      <c r="P1427" s="9" t="s">
        <v>6</v>
      </c>
      <c r="Q1427" s="66">
        <f>+T1426</f>
        <v>600</v>
      </c>
      <c r="R1427" s="66"/>
      <c r="S1427" s="1" t="s">
        <v>14</v>
      </c>
      <c r="T1427" s="9" t="s">
        <v>13</v>
      </c>
      <c r="U1427" s="9" t="s">
        <v>6</v>
      </c>
      <c r="V1427" s="66">
        <f>+Y1426</f>
        <v>4</v>
      </c>
      <c r="W1427" s="66"/>
      <c r="X1427" s="1" t="s">
        <v>311</v>
      </c>
      <c r="Y1427" s="1" t="s">
        <v>173</v>
      </c>
      <c r="Z1427" s="1">
        <v>6</v>
      </c>
      <c r="AA1427" s="9" t="s">
        <v>6</v>
      </c>
      <c r="AB1427" s="66">
        <f>+AE1426</f>
        <v>150</v>
      </c>
      <c r="AC1427" s="66"/>
      <c r="AD1427" s="1" t="s">
        <v>14</v>
      </c>
      <c r="AE1427" s="9" t="s">
        <v>13</v>
      </c>
      <c r="AF1427" s="9" t="s">
        <v>6</v>
      </c>
      <c r="AG1427" s="66">
        <f>+AJ1426</f>
        <v>3.5</v>
      </c>
      <c r="AH1427" s="66"/>
      <c r="AI1427" s="1" t="s">
        <v>311</v>
      </c>
      <c r="AJ1427" s="1" t="s">
        <v>173</v>
      </c>
      <c r="AK1427" s="1">
        <v>6</v>
      </c>
      <c r="AL1427" s="9" t="s">
        <v>9</v>
      </c>
      <c r="AM1427" s="9" t="s">
        <v>10</v>
      </c>
      <c r="AN1427" s="9" t="s">
        <v>14</v>
      </c>
      <c r="AO1427" s="9" t="s">
        <v>13</v>
      </c>
      <c r="AP1427" s="9" t="s">
        <v>6</v>
      </c>
      <c r="AQ1427" s="66">
        <f>+AT1426</f>
        <v>8</v>
      </c>
      <c r="AR1427" s="66"/>
      <c r="AS1427" s="1" t="s">
        <v>311</v>
      </c>
      <c r="AT1427" s="1" t="s">
        <v>173</v>
      </c>
      <c r="AU1427" s="1">
        <v>6</v>
      </c>
      <c r="AV1427" s="9" t="s">
        <v>6</v>
      </c>
      <c r="AW1427" s="66">
        <f>+AZ1426</f>
        <v>55</v>
      </c>
      <c r="AX1427" s="66"/>
      <c r="AY1427" s="1" t="s">
        <v>14</v>
      </c>
      <c r="AZ1427" s="9" t="s">
        <v>13</v>
      </c>
      <c r="BA1427" s="9" t="s">
        <v>6</v>
      </c>
      <c r="BB1427" s="66">
        <f>+BE1426</f>
        <v>8</v>
      </c>
      <c r="BC1427" s="66"/>
      <c r="BD1427" s="1" t="s">
        <v>342</v>
      </c>
      <c r="BE1427" s="1" t="s">
        <v>173</v>
      </c>
      <c r="BF1427" s="66">
        <v>24</v>
      </c>
      <c r="BG1427" s="66"/>
      <c r="BH1427" s="9" t="s">
        <v>9</v>
      </c>
      <c r="BI1427" s="66">
        <f>+AU1411</f>
        <v>-1600</v>
      </c>
      <c r="BJ1427" s="66"/>
      <c r="BK1427" s="66"/>
      <c r="BL1427" s="9" t="s">
        <v>5</v>
      </c>
      <c r="BM1427" s="9" t="s">
        <v>13</v>
      </c>
      <c r="BN1427" s="9" t="s">
        <v>9</v>
      </c>
      <c r="BO1427" s="66">
        <f>+E1416</f>
        <v>6400</v>
      </c>
      <c r="BP1427" s="66"/>
      <c r="BQ1427" s="66"/>
      <c r="BR1427" s="1" t="s">
        <v>322</v>
      </c>
      <c r="CC1427" s="7"/>
    </row>
    <row r="1428" spans="2:81">
      <c r="B1428" s="6"/>
      <c r="C1428" s="1" t="s">
        <v>27</v>
      </c>
      <c r="D1428" s="67">
        <v>9.5</v>
      </c>
      <c r="E1428" s="67"/>
      <c r="F1428" s="67"/>
      <c r="G1428" s="1" t="s">
        <v>42</v>
      </c>
      <c r="P1428" s="8" t="str">
        <f>IF(D1428&lt;AJ1383,"artır.",IF(D1428&gt;(AJ1383+AV1381),"azalt.",""))</f>
        <v/>
      </c>
      <c r="CC1428" s="7"/>
    </row>
    <row r="1429" spans="2:81">
      <c r="B1429" s="6"/>
      <c r="C1429" s="1" t="s">
        <v>35</v>
      </c>
      <c r="E1429" s="66">
        <f>+E1415</f>
        <v>-728.525390625</v>
      </c>
      <c r="F1429" s="66"/>
      <c r="G1429" s="66"/>
      <c r="H1429" s="9" t="s">
        <v>5</v>
      </c>
      <c r="I1429" s="66">
        <f>+D1428</f>
        <v>9.5</v>
      </c>
      <c r="J1429" s="66"/>
      <c r="K1429" s="1" t="s">
        <v>254</v>
      </c>
      <c r="L1429" s="1">
        <v>2</v>
      </c>
      <c r="M1429" s="9" t="s">
        <v>9</v>
      </c>
      <c r="N1429" s="66">
        <f>+E1413</f>
        <v>449.893798828125</v>
      </c>
      <c r="O1429" s="66"/>
      <c r="P1429" s="66"/>
      <c r="Q1429" s="9" t="s">
        <v>5</v>
      </c>
      <c r="R1429" s="66">
        <f>+I1429</f>
        <v>9.5</v>
      </c>
      <c r="S1429" s="66"/>
      <c r="T1429" s="1" t="s">
        <v>455</v>
      </c>
      <c r="U1429" s="1">
        <v>6</v>
      </c>
      <c r="V1429" s="9" t="s">
        <v>6</v>
      </c>
      <c r="W1429" s="66">
        <f>+Q1427</f>
        <v>600</v>
      </c>
      <c r="X1429" s="66"/>
      <c r="Y1429" s="1" t="s">
        <v>14</v>
      </c>
      <c r="Z1429" s="66">
        <f>+D1428</f>
        <v>9.5</v>
      </c>
      <c r="AA1429" s="66"/>
      <c r="AB1429" s="9" t="s">
        <v>6</v>
      </c>
      <c r="AC1429" s="66">
        <f>+V1427</f>
        <v>4</v>
      </c>
      <c r="AD1429" s="66"/>
      <c r="AE1429" s="1" t="s">
        <v>311</v>
      </c>
      <c r="AF1429" s="1" t="s">
        <v>173</v>
      </c>
      <c r="AG1429" s="1">
        <v>6</v>
      </c>
      <c r="AH1429" s="9" t="s">
        <v>6</v>
      </c>
      <c r="AI1429" s="66">
        <f>+AB1427</f>
        <v>150</v>
      </c>
      <c r="AJ1429" s="66"/>
      <c r="AK1429" s="1" t="s">
        <v>14</v>
      </c>
      <c r="AL1429" s="66">
        <f>+Z1429</f>
        <v>9.5</v>
      </c>
      <c r="AM1429" s="66"/>
      <c r="AN1429" s="9" t="s">
        <v>6</v>
      </c>
      <c r="AO1429" s="66">
        <f>+AG1427</f>
        <v>3.5</v>
      </c>
      <c r="AP1429" s="66"/>
      <c r="AQ1429" s="1" t="s">
        <v>311</v>
      </c>
      <c r="AR1429" s="1" t="s">
        <v>173</v>
      </c>
      <c r="AS1429" s="1">
        <v>6</v>
      </c>
      <c r="AT1429" s="9" t="s">
        <v>9</v>
      </c>
      <c r="AU1429" s="66">
        <f>+E1414</f>
        <v>477.606201171875</v>
      </c>
      <c r="AV1429" s="66"/>
      <c r="AW1429" s="66"/>
      <c r="AX1429" s="1" t="s">
        <v>14</v>
      </c>
      <c r="AY1429" s="66">
        <f>+AL1429</f>
        <v>9.5</v>
      </c>
      <c r="AZ1429" s="66"/>
      <c r="BA1429" s="9" t="s">
        <v>6</v>
      </c>
      <c r="BB1429" s="66">
        <f>+AQ1427</f>
        <v>8</v>
      </c>
      <c r="BC1429" s="66"/>
      <c r="BD1429" s="1" t="s">
        <v>311</v>
      </c>
      <c r="BE1429" s="1" t="s">
        <v>173</v>
      </c>
      <c r="BF1429" s="1">
        <v>6</v>
      </c>
      <c r="BG1429" s="9" t="s">
        <v>6</v>
      </c>
      <c r="BH1429" s="66">
        <f>+AW1427</f>
        <v>55</v>
      </c>
      <c r="BI1429" s="66"/>
      <c r="BJ1429" s="1" t="s">
        <v>14</v>
      </c>
      <c r="BK1429" s="66">
        <f>+AY1429</f>
        <v>9.5</v>
      </c>
      <c r="BL1429" s="66"/>
      <c r="BM1429" s="9" t="s">
        <v>6</v>
      </c>
      <c r="BN1429" s="66">
        <f>+BB1427</f>
        <v>8</v>
      </c>
      <c r="BO1429" s="66"/>
      <c r="BP1429" s="1" t="s">
        <v>342</v>
      </c>
      <c r="BQ1429" s="1" t="s">
        <v>173</v>
      </c>
      <c r="BR1429" s="66">
        <v>24</v>
      </c>
      <c r="BS1429" s="66"/>
      <c r="BT1429" s="9" t="s">
        <v>9</v>
      </c>
      <c r="BU1429" s="66">
        <f>+BI1427</f>
        <v>-1600</v>
      </c>
      <c r="BV1429" s="66"/>
      <c r="BW1429" s="66"/>
      <c r="BX1429" s="9" t="s">
        <v>5</v>
      </c>
      <c r="BY1429" s="66">
        <f>+BK1429</f>
        <v>9.5</v>
      </c>
      <c r="BZ1429" s="66"/>
      <c r="CA1429" s="9" t="s">
        <v>9</v>
      </c>
      <c r="CC1429" s="7"/>
    </row>
    <row r="1430" spans="2:81">
      <c r="B1430" s="6"/>
      <c r="D1430" s="9" t="s">
        <v>9</v>
      </c>
      <c r="E1430" s="66">
        <f>+BO1427</f>
        <v>6400</v>
      </c>
      <c r="F1430" s="66"/>
      <c r="G1430" s="66"/>
      <c r="H1430" s="1" t="s">
        <v>193</v>
      </c>
      <c r="K1430" s="66">
        <f>+AT1421</f>
        <v>200000</v>
      </c>
      <c r="L1430" s="66"/>
      <c r="M1430" s="66"/>
      <c r="N1430" s="9" t="s">
        <v>5</v>
      </c>
      <c r="O1430" s="66">
        <f>+AX1421</f>
        <v>92080</v>
      </c>
      <c r="P1430" s="66"/>
      <c r="Q1430" s="66"/>
      <c r="R1430" s="1" t="s">
        <v>40</v>
      </c>
      <c r="CC1430" s="7"/>
    </row>
    <row r="1431" spans="2:81">
      <c r="B1431" s="6"/>
      <c r="C1431" s="1" t="s">
        <v>33</v>
      </c>
      <c r="E1431" s="66">
        <f>(E1429*I1429^2/L1429+N1429*R1429^3/U1429-W1429*(Z1429-AC1429)^3/AG1429-AI1429*(AL1429-AO1429)^3/AS1429+AU1429*(AY1429-BB1429)^3/BF1429-BH1429*(BK1429-BN1429)^4/BR1429+BU1429*BY1429+E1430)*100000000/(K1430*O1430)</f>
        <v>4.5221164680169421</v>
      </c>
      <c r="F1431" s="66"/>
      <c r="G1431" s="66"/>
      <c r="H1431" s="1" t="s">
        <v>41</v>
      </c>
      <c r="CC1431" s="7"/>
    </row>
    <row r="1432" spans="2:81">
      <c r="B1432" s="6"/>
      <c r="C1432" s="1" t="s">
        <v>202</v>
      </c>
      <c r="H1432" s="66">
        <f>AV1381*1000</f>
        <v>1500</v>
      </c>
      <c r="I1432" s="66"/>
      <c r="J1432" s="66"/>
      <c r="K1432" s="1" t="s">
        <v>173</v>
      </c>
      <c r="L1432" s="66">
        <v>200</v>
      </c>
      <c r="M1432" s="66"/>
      <c r="N1432" s="9" t="s">
        <v>7</v>
      </c>
      <c r="O1432" s="66">
        <f>+H1432/L1432</f>
        <v>7.5</v>
      </c>
      <c r="P1432" s="66"/>
      <c r="Q1432" s="66"/>
      <c r="R1432" s="1" t="s">
        <v>41</v>
      </c>
      <c r="U1432" s="1" t="s">
        <v>192</v>
      </c>
      <c r="CC1432" s="7"/>
    </row>
    <row r="1433" spans="2:81">
      <c r="B1433" s="6"/>
      <c r="C1433" s="1" t="s">
        <v>34</v>
      </c>
      <c r="D1433" s="66">
        <f>+E1431</f>
        <v>4.5221164680169421</v>
      </c>
      <c r="E1433" s="66"/>
      <c r="F1433" s="66"/>
      <c r="G1433" s="1" t="s">
        <v>41</v>
      </c>
      <c r="I1433" s="1" t="str">
        <f>IF(ABS(D1433)&lt;ABS(M1433),"&lt;","&gt;")</f>
        <v>&lt;</v>
      </c>
      <c r="J1433" s="1" t="s">
        <v>174</v>
      </c>
      <c r="M1433" s="66">
        <f>+O1432</f>
        <v>7.5</v>
      </c>
      <c r="N1433" s="66"/>
      <c r="O1433" s="66"/>
      <c r="P1433" s="1" t="s">
        <v>41</v>
      </c>
      <c r="R1433" s="8" t="str">
        <f>IF(ABS(D1433)&lt;ABS(M1433),"uygun.","uygun değil.")</f>
        <v>uygun.</v>
      </c>
      <c r="CC1433" s="7"/>
    </row>
    <row r="1434" spans="2:81">
      <c r="B1434" s="6"/>
      <c r="C1434" s="23" t="s">
        <v>222</v>
      </c>
      <c r="CC1434" s="7"/>
    </row>
    <row r="1435" spans="2:81">
      <c r="B1435" s="6"/>
      <c r="C1435" s="24" t="s">
        <v>303</v>
      </c>
      <c r="CC1435" s="7"/>
    </row>
    <row r="1436" spans="2:81">
      <c r="B1436" s="6"/>
      <c r="C1436" s="1" t="s">
        <v>27</v>
      </c>
      <c r="D1436" s="67">
        <v>5</v>
      </c>
      <c r="E1436" s="67"/>
      <c r="F1436" s="67"/>
      <c r="G1436" s="1" t="s">
        <v>213</v>
      </c>
      <c r="H1436" s="9"/>
      <c r="I1436" s="9"/>
      <c r="J1436" s="9"/>
      <c r="M1436" s="9"/>
      <c r="N1436" s="21"/>
      <c r="P1436" s="9"/>
      <c r="Q1436" s="9"/>
      <c r="U1436" s="8" t="str">
        <f>IF(D1436&lt;=AJ1383,"","azalt.")</f>
        <v/>
      </c>
      <c r="CC1436" s="7"/>
    </row>
    <row r="1437" spans="2:81">
      <c r="B1437" s="6"/>
      <c r="C1437" s="1" t="s">
        <v>12</v>
      </c>
      <c r="D1437" s="9"/>
      <c r="E1437" s="66">
        <f>+E1415</f>
        <v>-728.525390625</v>
      </c>
      <c r="F1437" s="66"/>
      <c r="G1437" s="66"/>
      <c r="H1437" s="9" t="s">
        <v>9</v>
      </c>
      <c r="I1437" s="66">
        <f>+E1413</f>
        <v>449.893798828125</v>
      </c>
      <c r="J1437" s="66"/>
      <c r="K1437" s="66"/>
      <c r="L1437" s="9" t="s">
        <v>5</v>
      </c>
      <c r="M1437" s="66">
        <f>+D1436</f>
        <v>5</v>
      </c>
      <c r="N1437" s="66"/>
      <c r="O1437" s="9" t="s">
        <v>6</v>
      </c>
      <c r="P1437" s="66">
        <f>+K1394</f>
        <v>75</v>
      </c>
      <c r="Q1437" s="66"/>
      <c r="R1437" s="9" t="s">
        <v>5</v>
      </c>
      <c r="S1437" s="66">
        <f>+D1436</f>
        <v>5</v>
      </c>
      <c r="T1437" s="66"/>
      <c r="U1437" s="9" t="s">
        <v>254</v>
      </c>
      <c r="V1437" s="1">
        <v>2</v>
      </c>
      <c r="W1437" s="9" t="s">
        <v>6</v>
      </c>
      <c r="X1437" s="66">
        <f>IF((AA1437-AD1437)&lt;0,0,R1394)</f>
        <v>150</v>
      </c>
      <c r="Y1437" s="66"/>
      <c r="Z1437" s="1" t="s">
        <v>14</v>
      </c>
      <c r="AA1437" s="66">
        <f>+S1437</f>
        <v>5</v>
      </c>
      <c r="AB1437" s="66"/>
      <c r="AC1437" s="9" t="s">
        <v>6</v>
      </c>
      <c r="AD1437" s="66">
        <f>+W1394</f>
        <v>3.5</v>
      </c>
      <c r="AE1437" s="66"/>
      <c r="AF1437" s="1" t="s">
        <v>201</v>
      </c>
      <c r="AG1437" s="66">
        <f>+E1437+I1437*M1437-P1437*S1437^2/V1437-X1437*(AA1437-AD1437)</f>
        <v>358.443603515625</v>
      </c>
      <c r="AH1437" s="66"/>
      <c r="AI1437" s="66"/>
      <c r="AJ1437" s="1" t="s">
        <v>191</v>
      </c>
      <c r="AO1437" s="9"/>
      <c r="AP1437" s="9"/>
      <c r="AQ1437" s="9"/>
      <c r="AR1437" s="9"/>
      <c r="AS1437" s="9"/>
      <c r="AT1437" s="9"/>
      <c r="AU1437" s="9"/>
      <c r="AV1437" s="9"/>
      <c r="BD1437" s="9"/>
      <c r="CC1437" s="7"/>
    </row>
    <row r="1438" spans="2:81">
      <c r="B1438" s="6"/>
      <c r="C1438" s="1" t="s">
        <v>220</v>
      </c>
      <c r="D1438" s="9"/>
      <c r="E1438" s="66">
        <f>+I1437</f>
        <v>449.893798828125</v>
      </c>
      <c r="F1438" s="66"/>
      <c r="G1438" s="66"/>
      <c r="H1438" s="9" t="s">
        <v>6</v>
      </c>
      <c r="I1438" s="66">
        <f>+P1437</f>
        <v>75</v>
      </c>
      <c r="J1438" s="66"/>
      <c r="K1438" s="9" t="s">
        <v>5</v>
      </c>
      <c r="L1438" s="66">
        <f>+D1436</f>
        <v>5</v>
      </c>
      <c r="M1438" s="66"/>
      <c r="N1438" s="9" t="s">
        <v>6</v>
      </c>
      <c r="O1438" s="66">
        <f>IF(D1436&lt;AF1381,0,+R1394)</f>
        <v>150</v>
      </c>
      <c r="P1438" s="66"/>
      <c r="Q1438" s="9" t="s">
        <v>7</v>
      </c>
      <c r="R1438" s="66">
        <f>+E1438-I1438*L1438-O1438</f>
        <v>-75.106201171875</v>
      </c>
      <c r="S1438" s="66"/>
      <c r="T1438" s="66"/>
      <c r="U1438" s="1" t="s">
        <v>191</v>
      </c>
      <c r="AD1438" s="9"/>
      <c r="AG1438" s="9"/>
      <c r="AJ1438" s="9"/>
      <c r="AM1438" s="9"/>
      <c r="CC1438" s="7"/>
    </row>
    <row r="1439" spans="2:81">
      <c r="B1439" s="6"/>
      <c r="C1439" s="24" t="s">
        <v>308</v>
      </c>
      <c r="CC1439" s="7"/>
    </row>
    <row r="1440" spans="2:81">
      <c r="B1440" s="6"/>
      <c r="C1440" s="1" t="s">
        <v>27</v>
      </c>
      <c r="D1440" s="67">
        <v>9</v>
      </c>
      <c r="E1440" s="67"/>
      <c r="F1440" s="67"/>
      <c r="G1440" s="1" t="s">
        <v>213</v>
      </c>
      <c r="H1440" s="9"/>
      <c r="I1440" s="9"/>
      <c r="J1440" s="9"/>
      <c r="M1440" s="9"/>
      <c r="N1440" s="21"/>
      <c r="P1440" s="9"/>
      <c r="Q1440" s="9"/>
      <c r="U1440" s="8" t="str">
        <f>IF(D1440&lt;AJ1383,"artır.",IF(D1440&gt;(AJ1383+AV1381),"azalt.",""))</f>
        <v/>
      </c>
      <c r="CC1440" s="7"/>
    </row>
    <row r="1441" spans="2:81">
      <c r="B1441" s="6"/>
      <c r="C1441" s="1" t="s">
        <v>12</v>
      </c>
      <c r="D1441" s="9"/>
      <c r="E1441" s="66">
        <f>+E1415</f>
        <v>-728.525390625</v>
      </c>
      <c r="F1441" s="66"/>
      <c r="G1441" s="66"/>
      <c r="H1441" s="9" t="s">
        <v>9</v>
      </c>
      <c r="I1441" s="66">
        <f>+E1413</f>
        <v>449.893798828125</v>
      </c>
      <c r="J1441" s="66"/>
      <c r="K1441" s="66"/>
      <c r="L1441" s="9" t="s">
        <v>5</v>
      </c>
      <c r="M1441" s="66">
        <f>+D1440</f>
        <v>9</v>
      </c>
      <c r="N1441" s="66"/>
      <c r="O1441" s="9" t="s">
        <v>6</v>
      </c>
      <c r="P1441" s="66">
        <f>+K1398*N1398</f>
        <v>600</v>
      </c>
      <c r="Q1441" s="66"/>
      <c r="R1441" s="9" t="s">
        <v>14</v>
      </c>
      <c r="S1441" s="66">
        <f>+D1440</f>
        <v>9</v>
      </c>
      <c r="T1441" s="66"/>
      <c r="U1441" s="9" t="s">
        <v>6</v>
      </c>
      <c r="V1441" s="66">
        <f>+S1398</f>
        <v>4</v>
      </c>
      <c r="W1441" s="66"/>
      <c r="X1441" s="1" t="s">
        <v>16</v>
      </c>
      <c r="Y1441" s="66">
        <f>IF((AB1441-AE1441)&lt;0,0,V1398)</f>
        <v>150</v>
      </c>
      <c r="Z1441" s="66"/>
      <c r="AA1441" s="1" t="s">
        <v>14</v>
      </c>
      <c r="AB1441" s="66">
        <f>+S1441</f>
        <v>9</v>
      </c>
      <c r="AC1441" s="66"/>
      <c r="AD1441" s="9" t="s">
        <v>6</v>
      </c>
      <c r="AE1441" s="66">
        <f>+AA1398</f>
        <v>3.5</v>
      </c>
      <c r="AF1441" s="66"/>
      <c r="AG1441" s="1" t="s">
        <v>306</v>
      </c>
      <c r="AH1441" s="66">
        <f>+E1414</f>
        <v>477.606201171875</v>
      </c>
      <c r="AI1441" s="66"/>
      <c r="AJ1441" s="66"/>
      <c r="AK1441" s="1" t="s">
        <v>14</v>
      </c>
      <c r="AL1441" s="66">
        <f>+AB1441</f>
        <v>9</v>
      </c>
      <c r="AM1441" s="66"/>
      <c r="AN1441" s="9" t="s">
        <v>6</v>
      </c>
      <c r="AO1441" s="66">
        <f>+AH1398</f>
        <v>8</v>
      </c>
      <c r="AP1441" s="66"/>
      <c r="AQ1441" s="9" t="s">
        <v>16</v>
      </c>
      <c r="AR1441" s="66">
        <f>+AK1398</f>
        <v>55</v>
      </c>
      <c r="AS1441" s="66"/>
      <c r="AT1441" s="1" t="s">
        <v>14</v>
      </c>
      <c r="AU1441" s="66">
        <f>+AL1441</f>
        <v>9</v>
      </c>
      <c r="AV1441" s="66"/>
      <c r="AW1441" s="9" t="s">
        <v>6</v>
      </c>
      <c r="AX1441" s="66">
        <f>+AP1398</f>
        <v>8</v>
      </c>
      <c r="AY1441" s="66"/>
      <c r="AZ1441" s="1" t="s">
        <v>200</v>
      </c>
      <c r="BA1441" s="1" t="s">
        <v>173</v>
      </c>
      <c r="BB1441" s="1">
        <v>2</v>
      </c>
      <c r="BC1441" s="9" t="s">
        <v>7</v>
      </c>
      <c r="BD1441" s="66">
        <f>E1441+I1441*M1441-P1441*(S1441-V1441)-Y1441*(AB1441-AE1441)+AH1441*(AL1441-AO1441)-AR1441*(AU1441-AX1441)^2/BB1441</f>
        <v>-54.375</v>
      </c>
      <c r="BE1441" s="66"/>
      <c r="BF1441" s="66"/>
      <c r="BG1441" s="1" t="s">
        <v>191</v>
      </c>
      <c r="CC1441" s="7"/>
    </row>
    <row r="1442" spans="2:81">
      <c r="B1442" s="6"/>
      <c r="C1442" s="1" t="s">
        <v>220</v>
      </c>
      <c r="D1442" s="9"/>
      <c r="E1442" s="66">
        <f>+I1441</f>
        <v>449.893798828125</v>
      </c>
      <c r="F1442" s="66"/>
      <c r="G1442" s="66"/>
      <c r="H1442" s="9" t="s">
        <v>6</v>
      </c>
      <c r="I1442" s="66">
        <f>+K1398</f>
        <v>75</v>
      </c>
      <c r="J1442" s="66"/>
      <c r="K1442" s="9" t="s">
        <v>5</v>
      </c>
      <c r="L1442" s="66">
        <f>+N1398</f>
        <v>8</v>
      </c>
      <c r="M1442" s="66"/>
      <c r="N1442" s="9" t="s">
        <v>6</v>
      </c>
      <c r="O1442" s="66">
        <f>+Y1441</f>
        <v>150</v>
      </c>
      <c r="P1442" s="66"/>
      <c r="Q1442" s="1" t="s">
        <v>9</v>
      </c>
      <c r="R1442" s="66">
        <f>+AH1441</f>
        <v>477.606201171875</v>
      </c>
      <c r="S1442" s="66"/>
      <c r="T1442" s="66"/>
      <c r="U1442" s="9" t="s">
        <v>6</v>
      </c>
      <c r="V1442" s="66">
        <f>+AR1441</f>
        <v>55</v>
      </c>
      <c r="W1442" s="66"/>
      <c r="X1442" s="1" t="s">
        <v>14</v>
      </c>
      <c r="Y1442" s="66">
        <f>+D1440</f>
        <v>9</v>
      </c>
      <c r="Z1442" s="66"/>
      <c r="AA1442" s="9" t="s">
        <v>6</v>
      </c>
      <c r="AB1442" s="66">
        <f>+AP1398</f>
        <v>8</v>
      </c>
      <c r="AC1442" s="66"/>
      <c r="AD1442" s="9" t="s">
        <v>201</v>
      </c>
      <c r="AE1442" s="66">
        <f>E1442-I1442*L1442-O1442+R1442-V1442*(Y1442-AB1442)</f>
        <v>122.5</v>
      </c>
      <c r="AF1442" s="66"/>
      <c r="AG1442" s="66"/>
      <c r="AH1442" s="1" t="s">
        <v>191</v>
      </c>
      <c r="AJ1442" s="9"/>
      <c r="AM1442" s="9"/>
      <c r="BC1442" s="9"/>
      <c r="CC1442" s="7"/>
    </row>
    <row r="1443" spans="2:81">
      <c r="B1443" s="6"/>
      <c r="C1443" s="23" t="s">
        <v>253</v>
      </c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CC1443" s="7"/>
    </row>
    <row r="1444" spans="2:81">
      <c r="B1444" s="6"/>
      <c r="C1444" s="24" t="s">
        <v>303</v>
      </c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CC1444" s="7"/>
    </row>
    <row r="1445" spans="2:81">
      <c r="B1445" s="6"/>
      <c r="C1445" s="1" t="s">
        <v>27</v>
      </c>
      <c r="D1445" s="66">
        <f>+AU1446</f>
        <v>0</v>
      </c>
      <c r="E1445" s="66"/>
      <c r="F1445" s="66"/>
      <c r="G1445" s="1" t="s">
        <v>257</v>
      </c>
      <c r="H1445" s="9"/>
      <c r="I1445" s="9"/>
      <c r="J1445" s="9"/>
      <c r="M1445" s="9"/>
      <c r="P1445" s="4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BC1445" s="2"/>
      <c r="CC1445" s="7"/>
    </row>
    <row r="1446" spans="2:81">
      <c r="B1446" s="6"/>
      <c r="C1446" s="1" t="s">
        <v>260</v>
      </c>
      <c r="D1446" s="9"/>
      <c r="E1446" s="9"/>
      <c r="F1446" s="66">
        <f>+E1437</f>
        <v>-728.525390625</v>
      </c>
      <c r="G1446" s="66"/>
      <c r="H1446" s="66"/>
      <c r="I1446" s="9" t="s">
        <v>9</v>
      </c>
      <c r="J1446" s="66">
        <f>+I1437</f>
        <v>449.893798828125</v>
      </c>
      <c r="K1446" s="66"/>
      <c r="L1446" s="66"/>
      <c r="M1446" s="9" t="s">
        <v>5</v>
      </c>
      <c r="N1446" s="66">
        <f>+D1445</f>
        <v>0</v>
      </c>
      <c r="O1446" s="66"/>
      <c r="P1446" s="9" t="s">
        <v>6</v>
      </c>
      <c r="Q1446" s="66">
        <f>+P1437</f>
        <v>75</v>
      </c>
      <c r="R1446" s="66"/>
      <c r="S1446" s="9" t="s">
        <v>5</v>
      </c>
      <c r="T1446" s="66">
        <f>+D1445</f>
        <v>0</v>
      </c>
      <c r="U1446" s="66"/>
      <c r="V1446" s="9" t="s">
        <v>254</v>
      </c>
      <c r="W1446" s="1">
        <v>2</v>
      </c>
      <c r="X1446" s="9" t="s">
        <v>6</v>
      </c>
      <c r="Y1446" s="66">
        <f>IF((AB1446-AE1446)&lt;0,0,R1394)</f>
        <v>0</v>
      </c>
      <c r="Z1446" s="66"/>
      <c r="AA1446" s="1" t="s">
        <v>14</v>
      </c>
      <c r="AB1446" s="66">
        <f>+T1446</f>
        <v>0</v>
      </c>
      <c r="AC1446" s="66"/>
      <c r="AD1446" s="9" t="s">
        <v>6</v>
      </c>
      <c r="AE1446" s="66">
        <f>+AD1437</f>
        <v>3.5</v>
      </c>
      <c r="AF1446" s="66"/>
      <c r="AG1446" s="1" t="s">
        <v>201</v>
      </c>
      <c r="AH1446" s="66">
        <f>F1446+J1446*N1446-Q1446*T1446^2/W1446-Y1446*(AB1446-AE1446)</f>
        <v>-728.525390625</v>
      </c>
      <c r="AI1446" s="66"/>
      <c r="AJ1446" s="66"/>
      <c r="AK1446" s="1" t="s">
        <v>191</v>
      </c>
      <c r="AO1446" s="76">
        <v>0</v>
      </c>
      <c r="AP1446" s="76"/>
      <c r="AQ1446" s="76">
        <f>ABS(+W1375)</f>
        <v>728.525390625</v>
      </c>
      <c r="AR1446" s="76"/>
      <c r="AS1446" s="76">
        <f>MAX(AQ1446,AQ1447,AQ1448,AQ1449)</f>
        <v>728.525390625</v>
      </c>
      <c r="AT1446" s="76"/>
      <c r="AU1446" s="76" cm="1">
        <f t="array" ref="AU1446">INDEX(AO1446:AO1449,MATCH(AS1446,AQ1446:AQ1449,0),0)</f>
        <v>0</v>
      </c>
      <c r="AV1446" s="76"/>
      <c r="BC1446" s="2"/>
      <c r="BQ1446" s="9"/>
      <c r="CC1446" s="7"/>
    </row>
    <row r="1447" spans="2:81">
      <c r="B1447" s="6"/>
      <c r="C1447" s="1" t="s">
        <v>247</v>
      </c>
      <c r="E1447" s="66">
        <f>+AJ1383/2</f>
        <v>4</v>
      </c>
      <c r="F1447" s="66"/>
      <c r="G1447" s="66"/>
      <c r="H1447" s="1" t="s">
        <v>252</v>
      </c>
      <c r="I1447" s="9"/>
      <c r="J1447" s="9"/>
      <c r="M1447" s="9"/>
      <c r="N1447" s="21"/>
      <c r="P1447" s="9"/>
      <c r="Q1447" s="9"/>
      <c r="S1447" s="9"/>
      <c r="T1447" s="8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O1447" s="76">
        <f>AF1381</f>
        <v>3.5</v>
      </c>
      <c r="AP1447" s="76"/>
      <c r="AQ1447" s="76">
        <f>ABS(W1375+AB1380*AO1447-AE1372*AO1447*AO1447/2)</f>
        <v>386.7279052734375</v>
      </c>
      <c r="AR1447" s="76"/>
      <c r="AS1447" s="40"/>
      <c r="AT1447" s="40"/>
      <c r="AU1447" s="40"/>
      <c r="AV1447" s="40"/>
      <c r="BC1447" s="2"/>
      <c r="CC1447" s="7"/>
    </row>
    <row r="1448" spans="2:81">
      <c r="B1448" s="6"/>
      <c r="C1448" s="1" t="s">
        <v>261</v>
      </c>
      <c r="D1448" s="9"/>
      <c r="E1448" s="66">
        <f>+F1446</f>
        <v>-728.525390625</v>
      </c>
      <c r="F1448" s="66"/>
      <c r="G1448" s="66"/>
      <c r="H1448" s="9" t="s">
        <v>9</v>
      </c>
      <c r="I1448" s="66">
        <f>+J1446</f>
        <v>449.893798828125</v>
      </c>
      <c r="J1448" s="66"/>
      <c r="K1448" s="66"/>
      <c r="L1448" s="9" t="s">
        <v>5</v>
      </c>
      <c r="M1448" s="66">
        <f>+E1447</f>
        <v>4</v>
      </c>
      <c r="N1448" s="66"/>
      <c r="O1448" s="9" t="s">
        <v>6</v>
      </c>
      <c r="P1448" s="66">
        <f>+Q1446</f>
        <v>75</v>
      </c>
      <c r="Q1448" s="66"/>
      <c r="R1448" s="9" t="s">
        <v>5</v>
      </c>
      <c r="S1448" s="66">
        <f>+E1447</f>
        <v>4</v>
      </c>
      <c r="T1448" s="66"/>
      <c r="U1448" s="9" t="s">
        <v>254</v>
      </c>
      <c r="V1448" s="1">
        <v>2</v>
      </c>
      <c r="W1448" s="9" t="s">
        <v>6</v>
      </c>
      <c r="X1448" s="66">
        <f>IF((AA1448-AD1448)&lt;0,0,R1394)</f>
        <v>150</v>
      </c>
      <c r="Y1448" s="66"/>
      <c r="Z1448" s="1" t="s">
        <v>14</v>
      </c>
      <c r="AA1448" s="66">
        <f>+S1448</f>
        <v>4</v>
      </c>
      <c r="AB1448" s="66"/>
      <c r="AC1448" s="9" t="s">
        <v>6</v>
      </c>
      <c r="AD1448" s="66">
        <f>+AE1446</f>
        <v>3.5</v>
      </c>
      <c r="AE1448" s="66"/>
      <c r="AF1448" s="1" t="s">
        <v>201</v>
      </c>
      <c r="AG1448" s="66">
        <f>E1448+I1448*M1448-P1448*S1448^2/V1448-X1448*(AA1448-AD1448)</f>
        <v>396.0498046875</v>
      </c>
      <c r="AH1448" s="66"/>
      <c r="AI1448" s="66"/>
      <c r="AJ1448" s="1" t="s">
        <v>191</v>
      </c>
      <c r="AO1448" s="76">
        <f>(AB1380-AJ1371)/AE1372</f>
        <v>3.9985839843750002</v>
      </c>
      <c r="AP1448" s="76"/>
      <c r="AQ1448" s="76">
        <f>ABS(W1375+AB1380*AO1448-AE1372*AO1448*AO1448/2-IF((AO1448-AF1381)&lt;0,0,AJ1371)*(AO1448-AF1381))</f>
        <v>396.04987987875938</v>
      </c>
      <c r="AR1448" s="76"/>
      <c r="AS1448" s="40"/>
      <c r="AT1448" s="40"/>
      <c r="AU1448" s="40"/>
      <c r="AV1448" s="40"/>
      <c r="BC1448" s="2"/>
      <c r="BQ1448" s="9"/>
      <c r="CC1448" s="7"/>
    </row>
    <row r="1449" spans="2:81">
      <c r="B1449" s="6"/>
      <c r="C1449" s="1" t="s">
        <v>248</v>
      </c>
      <c r="E1449" s="66">
        <f>+AJ1383/4</f>
        <v>2</v>
      </c>
      <c r="F1449" s="66"/>
      <c r="G1449" s="66"/>
      <c r="H1449" s="1" t="s">
        <v>252</v>
      </c>
      <c r="I1449" s="9"/>
      <c r="J1449" s="9"/>
      <c r="M1449" s="9"/>
      <c r="N1449" s="21"/>
      <c r="P1449" s="9"/>
      <c r="Q1449" s="9"/>
      <c r="S1449" s="9"/>
      <c r="T1449" s="8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O1449" s="76">
        <f>+AJ1383</f>
        <v>8</v>
      </c>
      <c r="AP1449" s="76"/>
      <c r="AQ1449" s="76">
        <f>ABS(W1375+AB1380*AJ1383-AE1372*AJ1383*AJ1383/2-AJ1371*AN1381)</f>
        <v>204.375</v>
      </c>
      <c r="AR1449" s="76"/>
      <c r="AS1449" s="40"/>
      <c r="AT1449" s="40"/>
      <c r="AU1449" s="40"/>
      <c r="AV1449" s="40"/>
      <c r="AW1449" s="2"/>
      <c r="AX1449" s="2"/>
      <c r="AY1449" s="2"/>
      <c r="AZ1449" s="2"/>
      <c r="BA1449" s="2"/>
      <c r="BB1449" s="2"/>
      <c r="BC1449" s="2"/>
      <c r="CC1449" s="7"/>
    </row>
    <row r="1450" spans="2:81">
      <c r="B1450" s="6"/>
      <c r="C1450" s="1" t="s">
        <v>249</v>
      </c>
      <c r="E1450" s="66">
        <f>+E1448</f>
        <v>-728.525390625</v>
      </c>
      <c r="F1450" s="66"/>
      <c r="G1450" s="66"/>
      <c r="H1450" s="9" t="s">
        <v>9</v>
      </c>
      <c r="I1450" s="66">
        <f>+I1448</f>
        <v>449.893798828125</v>
      </c>
      <c r="J1450" s="66"/>
      <c r="K1450" s="66"/>
      <c r="L1450" s="9" t="s">
        <v>5</v>
      </c>
      <c r="M1450" s="66">
        <f>+E1449</f>
        <v>2</v>
      </c>
      <c r="N1450" s="66"/>
      <c r="O1450" s="9" t="s">
        <v>6</v>
      </c>
      <c r="P1450" s="66">
        <f>+P1448</f>
        <v>75</v>
      </c>
      <c r="Q1450" s="66"/>
      <c r="R1450" s="9" t="s">
        <v>5</v>
      </c>
      <c r="S1450" s="66">
        <f>+E1449</f>
        <v>2</v>
      </c>
      <c r="T1450" s="66"/>
      <c r="U1450" s="9" t="s">
        <v>254</v>
      </c>
      <c r="V1450" s="1">
        <v>2</v>
      </c>
      <c r="W1450" s="9" t="s">
        <v>6</v>
      </c>
      <c r="X1450" s="66">
        <f>IF((AA1450-AD1450)&lt;0,0,R1394)</f>
        <v>0</v>
      </c>
      <c r="Y1450" s="66"/>
      <c r="Z1450" s="1" t="s">
        <v>14</v>
      </c>
      <c r="AA1450" s="66">
        <f>+S1450</f>
        <v>2</v>
      </c>
      <c r="AB1450" s="66"/>
      <c r="AC1450" s="9" t="s">
        <v>6</v>
      </c>
      <c r="AD1450" s="66">
        <f>+AD1448</f>
        <v>3.5</v>
      </c>
      <c r="AE1450" s="66"/>
      <c r="AF1450" s="1" t="s">
        <v>201</v>
      </c>
      <c r="AG1450" s="66">
        <f>E1450+I1450*M1450-P1450*S1450^2/V1450-X1450*(AA1450-AD1450)</f>
        <v>21.26220703125</v>
      </c>
      <c r="AH1450" s="66"/>
      <c r="AI1450" s="66"/>
      <c r="AJ1450" s="1" t="s">
        <v>191</v>
      </c>
      <c r="AQ1450" s="9"/>
      <c r="AW1450" s="9"/>
      <c r="BQ1450" s="9"/>
      <c r="CC1450" s="7"/>
    </row>
    <row r="1451" spans="2:81">
      <c r="B1451" s="6"/>
      <c r="C1451" s="1" t="s">
        <v>250</v>
      </c>
      <c r="F1451" s="66">
        <f>+AJ1383*3/4</f>
        <v>6</v>
      </c>
      <c r="G1451" s="66"/>
      <c r="H1451" s="66"/>
      <c r="I1451" s="1" t="s">
        <v>252</v>
      </c>
      <c r="J1451" s="9"/>
      <c r="M1451" s="9"/>
      <c r="N1451" s="21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CC1451" s="7"/>
    </row>
    <row r="1452" spans="2:81">
      <c r="B1452" s="6"/>
      <c r="C1452" s="1" t="s">
        <v>251</v>
      </c>
      <c r="E1452" s="66">
        <f>+E1450</f>
        <v>-728.525390625</v>
      </c>
      <c r="F1452" s="66"/>
      <c r="G1452" s="66"/>
      <c r="H1452" s="9" t="s">
        <v>9</v>
      </c>
      <c r="I1452" s="66">
        <f>+I1450</f>
        <v>449.893798828125</v>
      </c>
      <c r="J1452" s="66"/>
      <c r="K1452" s="66"/>
      <c r="L1452" s="9" t="s">
        <v>5</v>
      </c>
      <c r="M1452" s="66">
        <f>+F1451</f>
        <v>6</v>
      </c>
      <c r="N1452" s="66"/>
      <c r="O1452" s="9" t="s">
        <v>6</v>
      </c>
      <c r="P1452" s="66">
        <f>+P1450</f>
        <v>75</v>
      </c>
      <c r="Q1452" s="66"/>
      <c r="R1452" s="9" t="s">
        <v>5</v>
      </c>
      <c r="S1452" s="66">
        <f>+F1451</f>
        <v>6</v>
      </c>
      <c r="T1452" s="66"/>
      <c r="U1452" s="9" t="s">
        <v>254</v>
      </c>
      <c r="V1452" s="1">
        <v>2</v>
      </c>
      <c r="W1452" s="9" t="s">
        <v>6</v>
      </c>
      <c r="X1452" s="66">
        <f>IF((AA1452-AD1452)&lt;0,0,R1394)</f>
        <v>150</v>
      </c>
      <c r="Y1452" s="66"/>
      <c r="Z1452" s="1" t="s">
        <v>14</v>
      </c>
      <c r="AA1452" s="66">
        <f>+S1452</f>
        <v>6</v>
      </c>
      <c r="AB1452" s="66"/>
      <c r="AC1452" s="9" t="s">
        <v>6</v>
      </c>
      <c r="AD1452" s="66">
        <f>+AD1450</f>
        <v>3.5</v>
      </c>
      <c r="AE1452" s="66"/>
      <c r="AF1452" s="1" t="s">
        <v>201</v>
      </c>
      <c r="AG1452" s="66">
        <f>E1452+I1452*M1452-P1452*S1452^2/V1452-X1452*(AA1452-AD1452)</f>
        <v>245.83740234375</v>
      </c>
      <c r="AH1452" s="66"/>
      <c r="AI1452" s="66"/>
      <c r="AJ1452" s="1" t="s">
        <v>191</v>
      </c>
      <c r="AQ1452" s="9"/>
      <c r="AW1452" s="9"/>
      <c r="BQ1452" s="9"/>
      <c r="CC1452" s="7"/>
    </row>
    <row r="1453" spans="2:81">
      <c r="B1453" s="6"/>
      <c r="C1453" s="1" t="s">
        <v>300</v>
      </c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U1453" s="9"/>
      <c r="V1453" s="9"/>
      <c r="W1453" s="9"/>
      <c r="X1453" s="9"/>
      <c r="Y1453" s="9"/>
      <c r="Z1453" s="9"/>
      <c r="AA1453" s="9"/>
      <c r="AB1453" s="9"/>
      <c r="AD1453" s="9"/>
      <c r="AE1453" s="9"/>
      <c r="AF1453" s="9"/>
      <c r="AG1453" s="9"/>
      <c r="AH1453" s="9"/>
      <c r="AI1453" s="9"/>
      <c r="AJ1453" s="9"/>
      <c r="AK1453" s="9"/>
      <c r="AM1453" s="9"/>
      <c r="AN1453" s="9"/>
      <c r="AO1453" s="9"/>
      <c r="AP1453" s="9"/>
      <c r="AQ1453" s="9"/>
      <c r="AR1453" s="9"/>
      <c r="CC1453" s="7"/>
    </row>
    <row r="1454" spans="2:81">
      <c r="B1454" s="6"/>
      <c r="C1454" s="1" t="s">
        <v>301</v>
      </c>
      <c r="E1454" s="66">
        <v>12.5</v>
      </c>
      <c r="F1454" s="66"/>
      <c r="G1454" s="9" t="s">
        <v>5</v>
      </c>
      <c r="H1454" s="66">
        <f>ABS(AH1446)</f>
        <v>728.525390625</v>
      </c>
      <c r="I1454" s="66"/>
      <c r="J1454" s="66"/>
      <c r="K1454" s="9" t="s">
        <v>275</v>
      </c>
      <c r="L1454" s="66">
        <v>2.5</v>
      </c>
      <c r="M1454" s="66"/>
      <c r="N1454" s="9" t="s">
        <v>5</v>
      </c>
      <c r="O1454" s="66">
        <f>+H1454</f>
        <v>728.525390625</v>
      </c>
      <c r="P1454" s="66"/>
      <c r="Q1454" s="66"/>
      <c r="R1454" s="9" t="s">
        <v>9</v>
      </c>
      <c r="S1454" s="9">
        <v>3</v>
      </c>
      <c r="T1454" s="9" t="s">
        <v>5</v>
      </c>
      <c r="U1454" s="66">
        <f>ABS(AG1450)</f>
        <v>21.26220703125</v>
      </c>
      <c r="V1454" s="66"/>
      <c r="W1454" s="66"/>
      <c r="X1454" s="9" t="s">
        <v>9</v>
      </c>
      <c r="Y1454" s="9">
        <v>4</v>
      </c>
      <c r="Z1454" s="9" t="s">
        <v>5</v>
      </c>
      <c r="AA1454" s="66">
        <f>ABS(AG1448)</f>
        <v>396.0498046875</v>
      </c>
      <c r="AB1454" s="66"/>
      <c r="AC1454" s="66"/>
      <c r="AD1454" s="9" t="s">
        <v>9</v>
      </c>
      <c r="AE1454" s="9">
        <v>3</v>
      </c>
      <c r="AF1454" s="9" t="s">
        <v>5</v>
      </c>
      <c r="AG1454" s="66">
        <f>ABS(AG1452)</f>
        <v>245.83740234375</v>
      </c>
      <c r="AH1454" s="66"/>
      <c r="AI1454" s="66"/>
      <c r="AJ1454" s="9" t="s">
        <v>201</v>
      </c>
      <c r="AK1454" s="66">
        <f>E1454*H1454/(L1454*O1454+S1454*U1454+Y1454*AA1454+AE1454*AG1454)</f>
        <v>2.1647196058289953</v>
      </c>
      <c r="AL1454" s="66"/>
      <c r="AM1454" s="66"/>
      <c r="AN1454" s="9"/>
      <c r="AO1454" s="9"/>
      <c r="AP1454" s="9"/>
      <c r="AQ1454" s="9"/>
      <c r="AR1454" s="9"/>
      <c r="CC1454" s="7"/>
    </row>
    <row r="1455" spans="2:81" ht="12" thickBot="1">
      <c r="B1455" s="12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  <c r="AK1455" s="13"/>
      <c r="AL1455" s="13"/>
      <c r="AM1455" s="13"/>
      <c r="AN1455" s="13"/>
      <c r="AO1455" s="13"/>
      <c r="AP1455" s="13"/>
      <c r="AQ1455" s="13"/>
      <c r="AR1455" s="13"/>
      <c r="AS1455" s="13"/>
      <c r="AT1455" s="13"/>
      <c r="AU1455" s="13"/>
      <c r="AV1455" s="13"/>
      <c r="AW1455" s="13"/>
      <c r="AX1455" s="13"/>
      <c r="AY1455" s="13"/>
      <c r="AZ1455" s="13"/>
      <c r="BA1455" s="13"/>
      <c r="BB1455" s="13"/>
      <c r="BC1455" s="13"/>
      <c r="BD1455" s="13"/>
      <c r="BE1455" s="13"/>
      <c r="BF1455" s="13"/>
      <c r="BG1455" s="13"/>
      <c r="BH1455" s="13"/>
      <c r="BI1455" s="13"/>
      <c r="BJ1455" s="13"/>
      <c r="BK1455" s="13"/>
      <c r="BL1455" s="13"/>
      <c r="BM1455" s="13"/>
      <c r="BN1455" s="13"/>
      <c r="BO1455" s="13"/>
      <c r="BP1455" s="13"/>
      <c r="BQ1455" s="13"/>
      <c r="BR1455" s="13"/>
      <c r="BS1455" s="13"/>
      <c r="BT1455" s="13"/>
      <c r="BU1455" s="13"/>
      <c r="BV1455" s="13"/>
      <c r="BW1455" s="13"/>
      <c r="BX1455" s="13"/>
      <c r="BY1455" s="13"/>
      <c r="BZ1455" s="13"/>
      <c r="CA1455" s="13"/>
      <c r="CB1455" s="13"/>
      <c r="CC1455" s="14"/>
    </row>
    <row r="1456" spans="2:81" ht="12" thickBot="1"/>
    <row r="1457" spans="2:81" ht="48" customHeight="1">
      <c r="B1457" s="73" t="s">
        <v>580</v>
      </c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Q1457" s="74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  <c r="AG1457" s="74"/>
      <c r="AH1457" s="74"/>
      <c r="AI1457" s="74"/>
      <c r="AJ1457" s="74"/>
      <c r="AK1457" s="74"/>
      <c r="AL1457" s="74"/>
      <c r="AM1457" s="74"/>
      <c r="AN1457" s="74"/>
      <c r="AO1457" s="74"/>
      <c r="AP1457" s="74"/>
      <c r="AQ1457" s="74"/>
      <c r="AR1457" s="74"/>
      <c r="AS1457" s="74"/>
      <c r="AT1457" s="74"/>
      <c r="AU1457" s="74"/>
      <c r="AV1457" s="74"/>
      <c r="AW1457" s="74"/>
      <c r="AX1457" s="74"/>
      <c r="AY1457" s="74"/>
      <c r="AZ1457" s="74"/>
      <c r="BA1457" s="74"/>
      <c r="BB1457" s="74"/>
      <c r="BC1457" s="74"/>
      <c r="BD1457" s="74"/>
      <c r="BE1457" s="74"/>
      <c r="BF1457" s="74"/>
      <c r="BG1457" s="74"/>
      <c r="BH1457" s="74"/>
      <c r="BI1457" s="74"/>
      <c r="BJ1457" s="74"/>
      <c r="BK1457" s="74"/>
      <c r="BL1457" s="74"/>
      <c r="BM1457" s="74"/>
      <c r="BN1457" s="74"/>
      <c r="BO1457" s="74"/>
      <c r="BP1457" s="74"/>
      <c r="BQ1457" s="74"/>
      <c r="BR1457" s="74"/>
      <c r="BS1457" s="74"/>
      <c r="BT1457" s="74"/>
      <c r="BU1457" s="74"/>
      <c r="BV1457" s="74"/>
      <c r="BW1457" s="74"/>
      <c r="BX1457" s="74"/>
      <c r="BY1457" s="74"/>
      <c r="BZ1457" s="74"/>
      <c r="CA1457" s="74"/>
      <c r="CB1457" s="74"/>
      <c r="CC1457" s="75"/>
    </row>
    <row r="1458" spans="2:81">
      <c r="B1458" s="6"/>
      <c r="S1458" s="8" t="s">
        <v>176</v>
      </c>
      <c r="CC1458" s="7"/>
    </row>
    <row r="1459" spans="2:81">
      <c r="B1459" s="6"/>
      <c r="AE1459" s="47"/>
      <c r="CC1459" s="7"/>
    </row>
    <row r="1460" spans="2:81">
      <c r="B1460" s="6"/>
      <c r="J1460" s="1" t="s">
        <v>290</v>
      </c>
      <c r="AC1460" s="23" t="s">
        <v>498</v>
      </c>
      <c r="AO1460" s="23" t="s">
        <v>562</v>
      </c>
      <c r="BD1460" s="66">
        <f>+AE1467</f>
        <v>100</v>
      </c>
      <c r="BE1460" s="66"/>
      <c r="BF1460" s="1" t="s">
        <v>41</v>
      </c>
      <c r="CC1460" s="7"/>
    </row>
    <row r="1461" spans="2:81">
      <c r="B1461" s="6"/>
      <c r="F1461" s="67">
        <v>150</v>
      </c>
      <c r="G1461" s="67"/>
      <c r="H1461" s="1" t="s">
        <v>0</v>
      </c>
      <c r="AH1461" s="71" t="s">
        <v>41</v>
      </c>
      <c r="CC1461" s="7"/>
    </row>
    <row r="1462" spans="2:81">
      <c r="B1462" s="6"/>
      <c r="K1462" s="1" t="s">
        <v>209</v>
      </c>
      <c r="M1462" s="67">
        <v>75</v>
      </c>
      <c r="N1462" s="67"/>
      <c r="O1462" s="1" t="s">
        <v>187</v>
      </c>
      <c r="AH1462" s="71"/>
      <c r="BE1462" s="66">
        <f>+AH1463</f>
        <v>500</v>
      </c>
      <c r="BF1462" s="66"/>
      <c r="BG1462" s="79" t="s">
        <v>41</v>
      </c>
      <c r="BH1462" s="79"/>
      <c r="CC1462" s="7"/>
    </row>
    <row r="1463" spans="2:81">
      <c r="B1463" s="6"/>
      <c r="AH1463" s="77">
        <v>500</v>
      </c>
      <c r="BE1463" s="66"/>
      <c r="BF1463" s="66"/>
      <c r="BG1463" s="79"/>
      <c r="BH1463" s="79"/>
      <c r="CC1463" s="7"/>
    </row>
    <row r="1464" spans="2:81">
      <c r="B1464" s="6"/>
      <c r="AH1464" s="77"/>
      <c r="CC1464" s="7"/>
    </row>
    <row r="1465" spans="2:81">
      <c r="B1465" s="6"/>
      <c r="Y1465" s="66">
        <f>-U1476</f>
        <v>309.375</v>
      </c>
      <c r="Z1465" s="66"/>
      <c r="AA1465" s="66"/>
      <c r="AB1465" s="1" t="s">
        <v>191</v>
      </c>
      <c r="AH1465" s="77"/>
      <c r="CC1465" s="7"/>
    </row>
    <row r="1466" spans="2:81">
      <c r="B1466" s="6"/>
      <c r="CC1466" s="7"/>
    </row>
    <row r="1467" spans="2:81">
      <c r="B1467" s="6"/>
      <c r="J1467" s="1" t="s">
        <v>13</v>
      </c>
      <c r="AE1467" s="67">
        <v>100</v>
      </c>
      <c r="AF1467" s="67"/>
      <c r="AG1467" s="1" t="s">
        <v>41</v>
      </c>
      <c r="AL1467" s="66">
        <f>+BE1462</f>
        <v>500</v>
      </c>
      <c r="AM1467" s="66"/>
      <c r="AN1467" s="79" t="s">
        <v>41</v>
      </c>
      <c r="AO1467" s="79"/>
      <c r="CC1467" s="7"/>
    </row>
    <row r="1468" spans="2:81">
      <c r="B1468" s="6"/>
      <c r="T1468" s="1" t="s">
        <v>8</v>
      </c>
      <c r="V1468" s="66">
        <f>+F1461</f>
        <v>150</v>
      </c>
      <c r="W1468" s="66"/>
      <c r="X1468" s="1" t="s">
        <v>0</v>
      </c>
      <c r="AL1468" s="66"/>
      <c r="AM1468" s="66"/>
      <c r="AN1468" s="79"/>
      <c r="AO1468" s="79"/>
      <c r="CC1468" s="7"/>
    </row>
    <row r="1469" spans="2:81">
      <c r="B1469" s="6"/>
      <c r="N1469" s="67">
        <v>1.5</v>
      </c>
      <c r="O1469" s="67"/>
      <c r="P1469" s="1" t="s">
        <v>1</v>
      </c>
      <c r="AC1469" s="10" t="s">
        <v>522</v>
      </c>
      <c r="AE1469" s="66">
        <f>AE1467*AH1463^3/12</f>
        <v>1041666666.6666666</v>
      </c>
      <c r="AF1469" s="66"/>
      <c r="AG1469" s="66"/>
      <c r="AH1469" s="66"/>
      <c r="AI1469" s="66"/>
      <c r="AJ1469" s="1" t="s">
        <v>270</v>
      </c>
      <c r="AZ1469" s="66">
        <f>+N1469*1000</f>
        <v>1500</v>
      </c>
      <c r="BA1469" s="66"/>
      <c r="BB1469" s="66"/>
      <c r="BC1469" s="1" t="s">
        <v>41</v>
      </c>
      <c r="CC1469" s="7"/>
    </row>
    <row r="1470" spans="2:81">
      <c r="B1470" s="6"/>
      <c r="CC1470" s="7"/>
    </row>
    <row r="1471" spans="2:81">
      <c r="B1471" s="6"/>
      <c r="K1471" s="1" t="s">
        <v>38</v>
      </c>
      <c r="M1471" s="67">
        <v>200000</v>
      </c>
      <c r="N1471" s="67"/>
      <c r="O1471" s="67"/>
      <c r="P1471" s="67"/>
      <c r="Q1471" s="1" t="s">
        <v>39</v>
      </c>
      <c r="T1471" s="1" t="s">
        <v>302</v>
      </c>
      <c r="CC1471" s="7"/>
    </row>
    <row r="1472" spans="2:81">
      <c r="B1472" s="6"/>
      <c r="D1472" s="23" t="s">
        <v>221</v>
      </c>
      <c r="CC1472" s="7"/>
    </row>
    <row r="1473" spans="2:81">
      <c r="B1473" s="6"/>
      <c r="D1473" s="1" t="s">
        <v>189</v>
      </c>
      <c r="CC1473" s="7"/>
    </row>
    <row r="1474" spans="2:81">
      <c r="B1474" s="6"/>
      <c r="D1474" s="1" t="s">
        <v>4</v>
      </c>
      <c r="E1474" s="9" t="s">
        <v>6</v>
      </c>
      <c r="F1474" s="66">
        <f>+M1462</f>
        <v>75</v>
      </c>
      <c r="G1474" s="66"/>
      <c r="H1474" s="9" t="s">
        <v>5</v>
      </c>
      <c r="I1474" s="66">
        <f>+N1469</f>
        <v>1.5</v>
      </c>
      <c r="J1474" s="66"/>
      <c r="K1474" s="9" t="s">
        <v>6</v>
      </c>
      <c r="L1474" s="66">
        <f>+F1461</f>
        <v>150</v>
      </c>
      <c r="M1474" s="66"/>
      <c r="N1474" s="9" t="s">
        <v>7</v>
      </c>
      <c r="O1474" s="9">
        <v>0</v>
      </c>
      <c r="CC1474" s="7"/>
    </row>
    <row r="1475" spans="2:81">
      <c r="B1475" s="6"/>
      <c r="D1475" s="1" t="s">
        <v>8</v>
      </c>
      <c r="E1475" s="9"/>
      <c r="F1475" s="66">
        <f>F1474*I1474+L1474</f>
        <v>262.5</v>
      </c>
      <c r="G1475" s="66"/>
      <c r="H1475" s="66"/>
      <c r="I1475" s="1" t="s">
        <v>0</v>
      </c>
      <c r="CC1475" s="7"/>
    </row>
    <row r="1476" spans="2:81">
      <c r="B1476" s="6"/>
      <c r="D1476" s="1" t="s">
        <v>198</v>
      </c>
      <c r="F1476" s="66">
        <f>-M1462</f>
        <v>-75</v>
      </c>
      <c r="G1476" s="66"/>
      <c r="H1476" s="9" t="s">
        <v>5</v>
      </c>
      <c r="I1476" s="66">
        <f>+N1469</f>
        <v>1.5</v>
      </c>
      <c r="J1476" s="66"/>
      <c r="K1476" s="9" t="s">
        <v>5</v>
      </c>
      <c r="L1476" s="66">
        <f>+N1469/2</f>
        <v>0.75</v>
      </c>
      <c r="M1476" s="66"/>
      <c r="N1476" s="9" t="s">
        <v>6</v>
      </c>
      <c r="O1476" s="66">
        <f>+F1461</f>
        <v>150</v>
      </c>
      <c r="P1476" s="66"/>
      <c r="Q1476" s="9" t="s">
        <v>5</v>
      </c>
      <c r="R1476" s="66">
        <f>+N1469</f>
        <v>1.5</v>
      </c>
      <c r="S1476" s="66"/>
      <c r="T1476" s="9" t="s">
        <v>7</v>
      </c>
      <c r="U1476" s="66">
        <f>+F1476*I1476*L1476-O1476*R1476</f>
        <v>-309.375</v>
      </c>
      <c r="V1476" s="66"/>
      <c r="W1476" s="66"/>
      <c r="X1476" s="1" t="s">
        <v>191</v>
      </c>
      <c r="CC1476" s="7"/>
    </row>
    <row r="1477" spans="2:81">
      <c r="B1477" s="6"/>
      <c r="D1477" s="23" t="s">
        <v>222</v>
      </c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CC1477" s="7"/>
    </row>
    <row r="1478" spans="2:81">
      <c r="B1478" s="6"/>
      <c r="D1478" s="1" t="s">
        <v>400</v>
      </c>
      <c r="AG1478" s="23" t="s">
        <v>298</v>
      </c>
      <c r="CC1478" s="7"/>
    </row>
    <row r="1479" spans="2:81">
      <c r="B1479" s="6"/>
      <c r="D1479" s="1" t="s">
        <v>27</v>
      </c>
      <c r="E1479" s="67">
        <v>1</v>
      </c>
      <c r="F1479" s="67"/>
      <c r="G1479" s="1" t="s">
        <v>213</v>
      </c>
      <c r="I1479" s="9"/>
      <c r="J1479" s="9"/>
      <c r="K1479" s="9"/>
      <c r="U1479" s="8" t="str">
        <f>IF(E1479&lt;=N1469,"","azalt.")</f>
        <v/>
      </c>
      <c r="V1479" s="8"/>
      <c r="CC1479" s="7"/>
    </row>
    <row r="1480" spans="2:81">
      <c r="B1480" s="6"/>
      <c r="D1480" s="1" t="s">
        <v>12</v>
      </c>
      <c r="F1480" s="66">
        <f>-F1461</f>
        <v>-150</v>
      </c>
      <c r="G1480" s="66"/>
      <c r="H1480" s="9" t="s">
        <v>5</v>
      </c>
      <c r="I1480" s="66">
        <f>+E1479</f>
        <v>1</v>
      </c>
      <c r="J1480" s="66"/>
      <c r="K1480" s="9" t="s">
        <v>6</v>
      </c>
      <c r="L1480" s="66">
        <f>+M1462</f>
        <v>75</v>
      </c>
      <c r="M1480" s="66"/>
      <c r="N1480" s="9" t="s">
        <v>5</v>
      </c>
      <c r="O1480" s="66">
        <f>+E1479</f>
        <v>1</v>
      </c>
      <c r="P1480" s="66"/>
      <c r="Q1480" s="9" t="s">
        <v>254</v>
      </c>
      <c r="R1480" s="1">
        <v>2</v>
      </c>
      <c r="S1480" s="9" t="s">
        <v>7</v>
      </c>
      <c r="T1480" s="66">
        <f>+F1480*I1480-L1480*O1480^2/R1480</f>
        <v>-187.5</v>
      </c>
      <c r="U1480" s="66"/>
      <c r="V1480" s="66"/>
      <c r="W1480" s="1" t="s">
        <v>191</v>
      </c>
      <c r="CC1480" s="7"/>
    </row>
    <row r="1481" spans="2:81">
      <c r="B1481" s="6"/>
      <c r="D1481" s="1" t="s">
        <v>220</v>
      </c>
      <c r="F1481" s="66">
        <f>-F1480</f>
        <v>150</v>
      </c>
      <c r="G1481" s="66"/>
      <c r="H1481" s="9" t="s">
        <v>9</v>
      </c>
      <c r="I1481" s="66">
        <f>+L1480</f>
        <v>75</v>
      </c>
      <c r="J1481" s="66"/>
      <c r="K1481" s="9" t="s">
        <v>5</v>
      </c>
      <c r="L1481" s="66">
        <f>+O1480</f>
        <v>1</v>
      </c>
      <c r="M1481" s="66"/>
      <c r="N1481" s="9" t="s">
        <v>7</v>
      </c>
      <c r="O1481" s="66">
        <f>+F1481+I1481*L1481</f>
        <v>225</v>
      </c>
      <c r="P1481" s="66"/>
      <c r="Q1481" s="66"/>
      <c r="R1481" s="9" t="s">
        <v>0</v>
      </c>
      <c r="V1481" s="9"/>
      <c r="W1481" s="9"/>
      <c r="X1481" s="9"/>
      <c r="Y1481" s="9"/>
      <c r="CC1481" s="7"/>
    </row>
    <row r="1482" spans="2:81">
      <c r="B1482" s="6"/>
      <c r="D1482" s="23" t="s">
        <v>223</v>
      </c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X1482" s="9"/>
      <c r="Y1482" s="9"/>
      <c r="Z1482" s="9"/>
      <c r="AA1482" s="9"/>
      <c r="CC1482" s="7"/>
    </row>
    <row r="1483" spans="2:81">
      <c r="B1483" s="6"/>
      <c r="D1483" s="1" t="s">
        <v>520</v>
      </c>
      <c r="CC1483" s="7"/>
    </row>
    <row r="1484" spans="2:81">
      <c r="B1484" s="6"/>
      <c r="D1484" s="10" t="s">
        <v>521</v>
      </c>
      <c r="N1484" s="10"/>
      <c r="CC1484" s="7"/>
    </row>
    <row r="1485" spans="2:81">
      <c r="B1485" s="6"/>
      <c r="D1485" s="1" t="s">
        <v>525</v>
      </c>
      <c r="CC1485" s="7"/>
    </row>
    <row r="1486" spans="2:81">
      <c r="B1486" s="6"/>
      <c r="D1486" s="1" t="s">
        <v>523</v>
      </c>
      <c r="CC1486" s="7"/>
    </row>
    <row r="1487" spans="2:81">
      <c r="B1487" s="6"/>
      <c r="D1487" s="1" t="s">
        <v>531</v>
      </c>
      <c r="CC1487" s="7"/>
    </row>
    <row r="1488" spans="2:81">
      <c r="B1488" s="6"/>
      <c r="D1488" s="1" t="s">
        <v>528</v>
      </c>
      <c r="N1488" s="66">
        <f>-M1462</f>
        <v>-75</v>
      </c>
      <c r="O1488" s="66"/>
      <c r="P1488" s="9" t="s">
        <v>5</v>
      </c>
      <c r="Q1488" s="66">
        <f>+N1469</f>
        <v>1.5</v>
      </c>
      <c r="R1488" s="66"/>
      <c r="S1488" s="9" t="s">
        <v>5</v>
      </c>
      <c r="T1488" s="9" t="s">
        <v>13</v>
      </c>
      <c r="U1488" s="1" t="s">
        <v>173</v>
      </c>
      <c r="V1488" s="1">
        <v>2</v>
      </c>
      <c r="W1488" s="9" t="s">
        <v>6</v>
      </c>
      <c r="X1488" s="66">
        <f>+F1461</f>
        <v>150</v>
      </c>
      <c r="Y1488" s="66"/>
      <c r="Z1488" s="9" t="s">
        <v>5</v>
      </c>
      <c r="AA1488" s="66">
        <f>+N1469</f>
        <v>1.5</v>
      </c>
      <c r="AB1488" s="66"/>
      <c r="AC1488" s="9" t="s">
        <v>7</v>
      </c>
      <c r="AD1488" s="66">
        <f>+N1488*Q1488/V1488</f>
        <v>-56.25</v>
      </c>
      <c r="AE1488" s="66"/>
      <c r="AF1488" s="9" t="s">
        <v>5</v>
      </c>
      <c r="AG1488" s="9" t="s">
        <v>13</v>
      </c>
      <c r="AH1488" s="9" t="s">
        <v>6</v>
      </c>
      <c r="AI1488" s="66">
        <f>+X1488*AA1488</f>
        <v>225</v>
      </c>
      <c r="AJ1488" s="66"/>
      <c r="AK1488" s="66"/>
      <c r="CC1488" s="7"/>
    </row>
    <row r="1489" spans="2:81">
      <c r="B1489" s="6"/>
      <c r="D1489" s="1" t="s">
        <v>529</v>
      </c>
      <c r="Q1489" s="66">
        <f>-M1462</f>
        <v>-75</v>
      </c>
      <c r="R1489" s="66"/>
      <c r="S1489" s="9" t="s">
        <v>5</v>
      </c>
      <c r="T1489" s="66">
        <f>+N1469</f>
        <v>1.5</v>
      </c>
      <c r="U1489" s="66"/>
      <c r="V1489" s="9" t="s">
        <v>5</v>
      </c>
      <c r="W1489" s="9" t="s">
        <v>183</v>
      </c>
      <c r="X1489" s="1" t="s">
        <v>173</v>
      </c>
      <c r="Y1489" s="1">
        <v>4</v>
      </c>
      <c r="Z1489" s="9" t="s">
        <v>6</v>
      </c>
      <c r="AA1489" s="66">
        <f>+F1461</f>
        <v>150</v>
      </c>
      <c r="AB1489" s="66"/>
      <c r="AC1489" s="9" t="s">
        <v>5</v>
      </c>
      <c r="AD1489" s="66">
        <f>+N1469</f>
        <v>1.5</v>
      </c>
      <c r="AE1489" s="66"/>
      <c r="AF1489" s="9" t="s">
        <v>5</v>
      </c>
      <c r="AG1489" s="9" t="s">
        <v>13</v>
      </c>
      <c r="AH1489" s="9" t="s">
        <v>9</v>
      </c>
      <c r="AI1489" s="1" t="s">
        <v>24</v>
      </c>
      <c r="AJ1489" s="9" t="s">
        <v>7</v>
      </c>
      <c r="AK1489" s="66">
        <f>+Q1489*T1489/Y1489</f>
        <v>-28.125</v>
      </c>
      <c r="AL1489" s="66"/>
      <c r="AM1489" s="9" t="s">
        <v>5</v>
      </c>
      <c r="AN1489" s="9" t="s">
        <v>183</v>
      </c>
      <c r="AO1489" s="9" t="s">
        <v>6</v>
      </c>
      <c r="AP1489" s="66">
        <f>+AA1489*AD1489</f>
        <v>225</v>
      </c>
      <c r="AQ1489" s="66"/>
      <c r="AR1489" s="66"/>
      <c r="AS1489" s="9" t="s">
        <v>5</v>
      </c>
      <c r="AT1489" s="9" t="s">
        <v>13</v>
      </c>
      <c r="AU1489" s="9" t="s">
        <v>9</v>
      </c>
      <c r="AV1489" s="1" t="s">
        <v>24</v>
      </c>
      <c r="CC1489" s="7"/>
    </row>
    <row r="1490" spans="2:81">
      <c r="B1490" s="6"/>
      <c r="D1490" s="1" t="s">
        <v>530</v>
      </c>
      <c r="U1490" s="66">
        <f>-M1462</f>
        <v>-75</v>
      </c>
      <c r="V1490" s="66"/>
      <c r="W1490" s="9" t="s">
        <v>5</v>
      </c>
      <c r="X1490" s="66">
        <f>+N1469</f>
        <v>1.5</v>
      </c>
      <c r="Y1490" s="66"/>
      <c r="Z1490" s="9" t="s">
        <v>5</v>
      </c>
      <c r="AA1490" s="9" t="s">
        <v>184</v>
      </c>
      <c r="AB1490" s="1" t="s">
        <v>173</v>
      </c>
      <c r="AC1490" s="66">
        <v>12</v>
      </c>
      <c r="AD1490" s="66"/>
      <c r="AE1490" s="9" t="s">
        <v>6</v>
      </c>
      <c r="AF1490" s="66">
        <f>+F1461</f>
        <v>150</v>
      </c>
      <c r="AG1490" s="66"/>
      <c r="AH1490" s="9" t="s">
        <v>5</v>
      </c>
      <c r="AI1490" s="66">
        <f>+N1469</f>
        <v>1.5</v>
      </c>
      <c r="AJ1490" s="66"/>
      <c r="AK1490" s="9" t="s">
        <v>5</v>
      </c>
      <c r="AL1490" s="9" t="s">
        <v>183</v>
      </c>
      <c r="AM1490" s="1" t="s">
        <v>173</v>
      </c>
      <c r="AN1490" s="1">
        <v>2</v>
      </c>
      <c r="AO1490" s="9" t="s">
        <v>9</v>
      </c>
      <c r="AP1490" s="1" t="s">
        <v>24</v>
      </c>
      <c r="AQ1490" s="9" t="s">
        <v>5</v>
      </c>
      <c r="AR1490" s="9" t="s">
        <v>13</v>
      </c>
      <c r="AS1490" s="9" t="s">
        <v>9</v>
      </c>
      <c r="AT1490" s="1" t="s">
        <v>307</v>
      </c>
      <c r="AU1490" s="9" t="s">
        <v>7</v>
      </c>
      <c r="AV1490" s="66">
        <f>+U1490*X1490/AC1490</f>
        <v>-9.375</v>
      </c>
      <c r="AW1490" s="66"/>
      <c r="AX1490" s="9" t="s">
        <v>5</v>
      </c>
      <c r="AY1490" s="9" t="s">
        <v>184</v>
      </c>
      <c r="AZ1490" s="9" t="s">
        <v>6</v>
      </c>
      <c r="BA1490" s="66">
        <f>+AF1490*AI1490/AN1490</f>
        <v>112.5</v>
      </c>
      <c r="BB1490" s="66"/>
      <c r="BC1490" s="9" t="s">
        <v>5</v>
      </c>
      <c r="BD1490" s="9" t="s">
        <v>183</v>
      </c>
      <c r="BE1490" s="9" t="s">
        <v>9</v>
      </c>
      <c r="BF1490" s="1" t="s">
        <v>24</v>
      </c>
      <c r="BG1490" s="9" t="s">
        <v>5</v>
      </c>
      <c r="BH1490" s="9" t="s">
        <v>13</v>
      </c>
      <c r="BI1490" s="9" t="s">
        <v>9</v>
      </c>
      <c r="BJ1490" s="1" t="s">
        <v>307</v>
      </c>
      <c r="CC1490" s="7"/>
    </row>
    <row r="1491" spans="2:81">
      <c r="B1491" s="6"/>
      <c r="D1491" s="24" t="s">
        <v>318</v>
      </c>
      <c r="CC1491" s="7"/>
    </row>
    <row r="1492" spans="2:81">
      <c r="B1492" s="6"/>
      <c r="D1492" s="1" t="s">
        <v>402</v>
      </c>
      <c r="J1492" s="66">
        <f>+AK1489</f>
        <v>-28.125</v>
      </c>
      <c r="K1492" s="66"/>
      <c r="L1492" s="9" t="s">
        <v>5</v>
      </c>
      <c r="M1492" s="66">
        <f>+N1469</f>
        <v>1.5</v>
      </c>
      <c r="N1492" s="66"/>
      <c r="O1492" s="1" t="s">
        <v>211</v>
      </c>
      <c r="P1492" s="66">
        <f>+AP1489</f>
        <v>225</v>
      </c>
      <c r="Q1492" s="66"/>
      <c r="R1492" s="66"/>
      <c r="S1492" s="9" t="s">
        <v>5</v>
      </c>
      <c r="T1492" s="66">
        <f>+M1492</f>
        <v>1.5</v>
      </c>
      <c r="U1492" s="66"/>
      <c r="V1492" s="9" t="s">
        <v>9</v>
      </c>
      <c r="W1492" s="1" t="s">
        <v>24</v>
      </c>
      <c r="X1492" s="9" t="s">
        <v>7</v>
      </c>
      <c r="Y1492" s="9">
        <v>0</v>
      </c>
      <c r="AB1492" s="1" t="s">
        <v>24</v>
      </c>
      <c r="AC1492" s="9" t="s">
        <v>7</v>
      </c>
      <c r="AD1492" s="66">
        <f>-(J1492*M1492^2-P1492*T1492)</f>
        <v>400.78125</v>
      </c>
      <c r="AE1492" s="66"/>
      <c r="AF1492" s="66"/>
      <c r="CC1492" s="7"/>
    </row>
    <row r="1493" spans="2:81">
      <c r="B1493" s="6"/>
      <c r="D1493" s="1" t="s">
        <v>401</v>
      </c>
      <c r="J1493" s="66">
        <f>+AV1490</f>
        <v>-9.375</v>
      </c>
      <c r="K1493" s="66"/>
      <c r="L1493" s="9" t="s">
        <v>5</v>
      </c>
      <c r="M1493" s="66">
        <f>+N1469</f>
        <v>1.5</v>
      </c>
      <c r="N1493" s="66"/>
      <c r="O1493" s="1" t="s">
        <v>524</v>
      </c>
      <c r="P1493" s="66">
        <f>+BA1490</f>
        <v>112.5</v>
      </c>
      <c r="Q1493" s="66"/>
      <c r="R1493" s="9" t="s">
        <v>5</v>
      </c>
      <c r="S1493" s="66">
        <f>+M1493</f>
        <v>1.5</v>
      </c>
      <c r="T1493" s="66"/>
      <c r="U1493" s="1" t="s">
        <v>288</v>
      </c>
      <c r="V1493" s="66">
        <f>+AD1492</f>
        <v>400.78125</v>
      </c>
      <c r="W1493" s="66"/>
      <c r="X1493" s="66"/>
      <c r="Y1493" s="9" t="s">
        <v>5</v>
      </c>
      <c r="Z1493" s="66">
        <f>+S1493</f>
        <v>1.5</v>
      </c>
      <c r="AA1493" s="66"/>
      <c r="AB1493" s="9" t="s">
        <v>9</v>
      </c>
      <c r="AC1493" s="1" t="s">
        <v>307</v>
      </c>
      <c r="AD1493" s="9" t="s">
        <v>7</v>
      </c>
      <c r="AE1493" s="9">
        <v>0</v>
      </c>
      <c r="AH1493" s="1" t="s">
        <v>307</v>
      </c>
      <c r="AI1493" s="9" t="s">
        <v>7</v>
      </c>
      <c r="AJ1493" s="66">
        <f>-(J1493*M1493^3-P1493*S1493^2+V1493*Z1493)</f>
        <v>-316.40625</v>
      </c>
      <c r="AK1493" s="66"/>
      <c r="AL1493" s="66"/>
      <c r="CC1493" s="7"/>
    </row>
    <row r="1494" spans="2:81">
      <c r="B1494" s="6"/>
      <c r="D1494" s="1" t="s">
        <v>537</v>
      </c>
      <c r="I1494" s="66">
        <f>+AV1490</f>
        <v>-9.375</v>
      </c>
      <c r="J1494" s="66"/>
      <c r="K1494" s="9" t="s">
        <v>5</v>
      </c>
      <c r="L1494" s="9" t="s">
        <v>184</v>
      </c>
      <c r="M1494" s="9" t="s">
        <v>6</v>
      </c>
      <c r="N1494" s="66">
        <f>+BA1490</f>
        <v>112.5</v>
      </c>
      <c r="O1494" s="66"/>
      <c r="P1494" s="9" t="s">
        <v>5</v>
      </c>
      <c r="Q1494" s="9" t="s">
        <v>183</v>
      </c>
      <c r="R1494" s="9" t="s">
        <v>9</v>
      </c>
      <c r="S1494" s="1" t="s">
        <v>24</v>
      </c>
      <c r="T1494" s="9" t="s">
        <v>5</v>
      </c>
      <c r="U1494" s="9" t="s">
        <v>13</v>
      </c>
      <c r="V1494" s="9" t="s">
        <v>9</v>
      </c>
      <c r="W1494" s="1" t="s">
        <v>307</v>
      </c>
      <c r="CC1494" s="7"/>
    </row>
    <row r="1495" spans="2:81">
      <c r="B1495" s="6"/>
      <c r="D1495" s="1" t="s">
        <v>35</v>
      </c>
      <c r="F1495" s="66">
        <f>+I1494</f>
        <v>-9.375</v>
      </c>
      <c r="G1495" s="66"/>
      <c r="H1495" s="9" t="s">
        <v>5</v>
      </c>
      <c r="I1495" s="9" t="s">
        <v>184</v>
      </c>
      <c r="J1495" s="9" t="s">
        <v>6</v>
      </c>
      <c r="K1495" s="66">
        <f>+N1494</f>
        <v>112.5</v>
      </c>
      <c r="L1495" s="66"/>
      <c r="M1495" s="9" t="s">
        <v>5</v>
      </c>
      <c r="N1495" s="9" t="s">
        <v>183</v>
      </c>
      <c r="O1495" s="9" t="s">
        <v>9</v>
      </c>
      <c r="P1495" s="66">
        <f>+AD1492</f>
        <v>400.78125</v>
      </c>
      <c r="Q1495" s="66"/>
      <c r="R1495" s="66"/>
      <c r="S1495" s="9" t="s">
        <v>5</v>
      </c>
      <c r="T1495" s="9" t="s">
        <v>13</v>
      </c>
      <c r="U1495" s="9" t="s">
        <v>9</v>
      </c>
      <c r="V1495" s="66">
        <f>+AJ1493</f>
        <v>-316.40625</v>
      </c>
      <c r="W1495" s="66"/>
      <c r="X1495" s="66"/>
      <c r="Y1495" s="1" t="s">
        <v>538</v>
      </c>
      <c r="CC1495" s="7"/>
    </row>
    <row r="1496" spans="2:81">
      <c r="B1496" s="6"/>
      <c r="D1496" s="1" t="s">
        <v>27</v>
      </c>
      <c r="E1496" s="67">
        <v>0</v>
      </c>
      <c r="F1496" s="67"/>
      <c r="G1496" s="67"/>
      <c r="H1496" s="1" t="s">
        <v>42</v>
      </c>
      <c r="Q1496" s="8"/>
      <c r="R1496" s="8" t="str">
        <f>IF(E1496&lt;=N1469,"","azalt.")</f>
        <v/>
      </c>
      <c r="V1496" s="24" t="s">
        <v>561</v>
      </c>
      <c r="CC1496" s="7"/>
    </row>
    <row r="1497" spans="2:81">
      <c r="B1497" s="6"/>
      <c r="D1497" s="1" t="s">
        <v>35</v>
      </c>
      <c r="F1497" s="66">
        <f>+F1495</f>
        <v>-9.375</v>
      </c>
      <c r="G1497" s="66"/>
      <c r="H1497" s="9" t="s">
        <v>5</v>
      </c>
      <c r="I1497" s="66">
        <f>+E1496</f>
        <v>0</v>
      </c>
      <c r="J1497" s="66"/>
      <c r="K1497" s="1" t="s">
        <v>524</v>
      </c>
      <c r="L1497" s="66">
        <f>+K1495</f>
        <v>112.5</v>
      </c>
      <c r="M1497" s="66"/>
      <c r="N1497" s="9" t="s">
        <v>5</v>
      </c>
      <c r="O1497" s="66">
        <f>+I1497</f>
        <v>0</v>
      </c>
      <c r="P1497" s="66"/>
      <c r="Q1497" s="1" t="s">
        <v>288</v>
      </c>
      <c r="R1497" s="66">
        <f>+P1495</f>
        <v>400.78125</v>
      </c>
      <c r="S1497" s="66"/>
      <c r="T1497" s="66"/>
      <c r="U1497" s="9" t="s">
        <v>5</v>
      </c>
      <c r="V1497" s="66">
        <f>+O1497</f>
        <v>0</v>
      </c>
      <c r="W1497" s="66"/>
      <c r="X1497" s="9" t="s">
        <v>9</v>
      </c>
      <c r="Y1497" s="66">
        <f>+V1495</f>
        <v>-316.40625</v>
      </c>
      <c r="Z1497" s="66"/>
      <c r="AA1497" s="66"/>
      <c r="AB1497" s="1" t="s">
        <v>193</v>
      </c>
      <c r="AE1497" s="66">
        <f>+M1471</f>
        <v>200000</v>
      </c>
      <c r="AF1497" s="66"/>
      <c r="AG1497" s="66"/>
      <c r="AH1497" s="9" t="s">
        <v>5</v>
      </c>
      <c r="AI1497" s="66">
        <f>+AE1469/10000</f>
        <v>104166.66666666666</v>
      </c>
      <c r="AJ1497" s="66"/>
      <c r="AK1497" s="66"/>
      <c r="AL1497" s="1" t="s">
        <v>40</v>
      </c>
      <c r="CC1497" s="7"/>
    </row>
    <row r="1498" spans="2:81">
      <c r="B1498" s="6"/>
      <c r="D1498" s="1" t="s">
        <v>33</v>
      </c>
      <c r="F1498" s="66">
        <f>(F1497*I1497^3-L1497*O1497^2+R1497*V1497+Y1497)*100000000/(AE1497*AI1497)</f>
        <v>-1.51875</v>
      </c>
      <c r="G1498" s="66"/>
      <c r="H1498" s="66"/>
      <c r="I1498" s="1" t="s">
        <v>41</v>
      </c>
      <c r="CC1498" s="7"/>
    </row>
    <row r="1499" spans="2:81">
      <c r="B1499" s="6"/>
      <c r="D1499" s="1" t="s">
        <v>202</v>
      </c>
      <c r="I1499" s="66">
        <f>N1469*1000</f>
        <v>1500</v>
      </c>
      <c r="J1499" s="66"/>
      <c r="K1499" s="66"/>
      <c r="L1499" s="1" t="s">
        <v>173</v>
      </c>
      <c r="M1499" s="66">
        <v>200</v>
      </c>
      <c r="N1499" s="66"/>
      <c r="O1499" s="9" t="s">
        <v>7</v>
      </c>
      <c r="P1499" s="66">
        <f>+I1499/M1499</f>
        <v>7.5</v>
      </c>
      <c r="Q1499" s="66"/>
      <c r="R1499" s="66"/>
      <c r="S1499" s="1" t="s">
        <v>41</v>
      </c>
      <c r="V1499" s="1" t="s">
        <v>192</v>
      </c>
      <c r="CC1499" s="7"/>
    </row>
    <row r="1500" spans="2:81">
      <c r="B1500" s="6"/>
      <c r="D1500" s="1" t="s">
        <v>34</v>
      </c>
      <c r="E1500" s="66">
        <f>+F1498</f>
        <v>-1.51875</v>
      </c>
      <c r="F1500" s="66"/>
      <c r="G1500" s="66"/>
      <c r="H1500" s="1" t="s">
        <v>41</v>
      </c>
      <c r="J1500" s="1" t="str">
        <f>IF(ABS(E1500)&lt;ABS(N1500),"&lt;","&gt;")</f>
        <v>&lt;</v>
      </c>
      <c r="K1500" s="1" t="s">
        <v>174</v>
      </c>
      <c r="N1500" s="66">
        <f>+P1499</f>
        <v>7.5</v>
      </c>
      <c r="O1500" s="66"/>
      <c r="P1500" s="66"/>
      <c r="Q1500" s="1" t="s">
        <v>41</v>
      </c>
      <c r="S1500" s="8" t="str">
        <f>IF(ABS(E1500)&lt;ABS(N1500),"uygun.","uygun değil.")</f>
        <v>uygun.</v>
      </c>
      <c r="CC1500" s="7"/>
    </row>
    <row r="1501" spans="2:81" ht="12" thickBot="1">
      <c r="B1501" s="12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  <c r="AK1501" s="13"/>
      <c r="AL1501" s="13"/>
      <c r="AM1501" s="13"/>
      <c r="AN1501" s="13"/>
      <c r="AO1501" s="13"/>
      <c r="AP1501" s="13"/>
      <c r="AQ1501" s="13"/>
      <c r="AR1501" s="13"/>
      <c r="AS1501" s="13"/>
      <c r="AT1501" s="13"/>
      <c r="AU1501" s="13"/>
      <c r="AV1501" s="13"/>
      <c r="AW1501" s="13"/>
      <c r="AX1501" s="13"/>
      <c r="AY1501" s="13"/>
      <c r="AZ1501" s="13"/>
      <c r="BA1501" s="13"/>
      <c r="BB1501" s="13"/>
      <c r="BC1501" s="13"/>
      <c r="BD1501" s="13"/>
      <c r="BE1501" s="13"/>
      <c r="BF1501" s="13"/>
      <c r="BG1501" s="13"/>
      <c r="BH1501" s="13"/>
      <c r="BI1501" s="13"/>
      <c r="BJ1501" s="13"/>
      <c r="BK1501" s="13"/>
      <c r="BL1501" s="13"/>
      <c r="BM1501" s="13"/>
      <c r="BN1501" s="13"/>
      <c r="BO1501" s="13"/>
      <c r="BP1501" s="13"/>
      <c r="BQ1501" s="13"/>
      <c r="BR1501" s="13"/>
      <c r="BS1501" s="13"/>
      <c r="BT1501" s="13"/>
      <c r="BU1501" s="13"/>
      <c r="BV1501" s="13"/>
      <c r="BW1501" s="13"/>
      <c r="BX1501" s="13"/>
      <c r="BY1501" s="13"/>
      <c r="BZ1501" s="13"/>
      <c r="CA1501" s="13"/>
      <c r="CB1501" s="13"/>
      <c r="CC1501" s="14"/>
    </row>
    <row r="1502" spans="2:81" ht="12" thickBot="1"/>
    <row r="1503" spans="2:81" ht="48" customHeight="1">
      <c r="B1503" s="73" t="s">
        <v>579</v>
      </c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Q1503" s="74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  <c r="AG1503" s="74"/>
      <c r="AH1503" s="74"/>
      <c r="AI1503" s="74"/>
      <c r="AJ1503" s="74"/>
      <c r="AK1503" s="74"/>
      <c r="AL1503" s="74"/>
      <c r="AM1503" s="74"/>
      <c r="AN1503" s="74"/>
      <c r="AO1503" s="74"/>
      <c r="AP1503" s="74"/>
      <c r="AQ1503" s="74"/>
      <c r="AR1503" s="74"/>
      <c r="AS1503" s="74"/>
      <c r="AT1503" s="74"/>
      <c r="AU1503" s="74"/>
      <c r="AV1503" s="74"/>
      <c r="AW1503" s="74"/>
      <c r="AX1503" s="74"/>
      <c r="AY1503" s="74"/>
      <c r="AZ1503" s="74"/>
      <c r="BA1503" s="74"/>
      <c r="BB1503" s="74"/>
      <c r="BC1503" s="74"/>
      <c r="BD1503" s="74"/>
      <c r="BE1503" s="74"/>
      <c r="BF1503" s="74"/>
      <c r="BG1503" s="74"/>
      <c r="BH1503" s="74"/>
      <c r="BI1503" s="74"/>
      <c r="BJ1503" s="74"/>
      <c r="BK1503" s="74"/>
      <c r="BL1503" s="74"/>
      <c r="BM1503" s="74"/>
      <c r="BN1503" s="74"/>
      <c r="BO1503" s="74"/>
      <c r="BP1503" s="74"/>
      <c r="BQ1503" s="74"/>
      <c r="BR1503" s="74"/>
      <c r="BS1503" s="74"/>
      <c r="BT1503" s="74"/>
      <c r="BU1503" s="74"/>
      <c r="BV1503" s="74"/>
      <c r="BW1503" s="74"/>
      <c r="BX1503" s="74"/>
      <c r="BY1503" s="74"/>
      <c r="BZ1503" s="74"/>
      <c r="CA1503" s="74"/>
      <c r="CB1503" s="74"/>
      <c r="CC1503" s="75"/>
    </row>
    <row r="1504" spans="2:81">
      <c r="B1504" s="6"/>
      <c r="S1504" s="8" t="s">
        <v>176</v>
      </c>
      <c r="CC1504" s="7"/>
    </row>
    <row r="1505" spans="2:81">
      <c r="B1505" s="6"/>
      <c r="AA1505" s="67">
        <v>150</v>
      </c>
      <c r="AB1505" s="67"/>
      <c r="AC1505" s="1" t="s">
        <v>0</v>
      </c>
      <c r="AF1505" s="1" t="s">
        <v>290</v>
      </c>
      <c r="AZ1505" s="23" t="s">
        <v>497</v>
      </c>
      <c r="BH1505" s="23" t="s">
        <v>498</v>
      </c>
      <c r="CC1505" s="7"/>
    </row>
    <row r="1506" spans="2:81">
      <c r="B1506" s="6"/>
      <c r="BD1506" s="71" t="s">
        <v>41</v>
      </c>
      <c r="CC1506" s="7"/>
    </row>
    <row r="1507" spans="2:81">
      <c r="B1507" s="6"/>
      <c r="BD1507" s="71"/>
      <c r="BL1507" s="71" t="s">
        <v>41</v>
      </c>
      <c r="CC1507" s="7"/>
    </row>
    <row r="1508" spans="2:81">
      <c r="B1508" s="6"/>
      <c r="BD1508" s="77">
        <v>300</v>
      </c>
      <c r="BL1508" s="71"/>
      <c r="CC1508" s="7"/>
    </row>
    <row r="1509" spans="2:81">
      <c r="B1509" s="6"/>
      <c r="AT1509" s="66">
        <f>+AA1505*AI1516</f>
        <v>225</v>
      </c>
      <c r="AU1509" s="66"/>
      <c r="AV1509" s="1" t="s">
        <v>191</v>
      </c>
      <c r="BD1509" s="77"/>
      <c r="BL1509" s="77">
        <v>500</v>
      </c>
      <c r="CC1509" s="7"/>
    </row>
    <row r="1510" spans="2:81">
      <c r="B1510" s="6"/>
      <c r="AT1510" s="9"/>
      <c r="AU1510" s="9"/>
      <c r="BD1510" s="77"/>
      <c r="BL1510" s="77"/>
      <c r="BM1510" s="8" t="str">
        <f>IF(BD1508&lt;BL1509,"","artır.")</f>
        <v/>
      </c>
      <c r="CC1510" s="7"/>
    </row>
    <row r="1511" spans="2:81">
      <c r="B1511" s="6"/>
      <c r="AT1511" s="9"/>
      <c r="AU1511" s="9"/>
      <c r="BL1511" s="77"/>
      <c r="CC1511" s="7"/>
    </row>
    <row r="1512" spans="2:81">
      <c r="B1512" s="6"/>
      <c r="AT1512" s="9"/>
      <c r="AU1512" s="9"/>
      <c r="BA1512" s="67">
        <v>200</v>
      </c>
      <c r="BB1512" s="67"/>
      <c r="BC1512" s="1" t="s">
        <v>41</v>
      </c>
      <c r="CC1512" s="7"/>
    </row>
    <row r="1513" spans="2:81">
      <c r="B1513" s="6"/>
      <c r="AE1513" s="1" t="s">
        <v>13</v>
      </c>
      <c r="CC1513" s="7"/>
    </row>
    <row r="1514" spans="2:81">
      <c r="B1514" s="6"/>
      <c r="AY1514" s="10" t="s">
        <v>522</v>
      </c>
      <c r="BA1514" s="66">
        <f>BA1512*BD1508^3/12</f>
        <v>450000000</v>
      </c>
      <c r="BB1514" s="66"/>
      <c r="BC1514" s="66"/>
      <c r="BD1514" s="66"/>
      <c r="BE1514" s="66"/>
      <c r="BF1514" s="1" t="s">
        <v>270</v>
      </c>
      <c r="BI1514" s="66">
        <f>+BA1512</f>
        <v>200</v>
      </c>
      <c r="BJ1514" s="66"/>
      <c r="BK1514" s="1" t="s">
        <v>41</v>
      </c>
      <c r="CC1514" s="7"/>
    </row>
    <row r="1515" spans="2:81">
      <c r="B1515" s="6"/>
      <c r="E1515" s="23" t="s">
        <v>298</v>
      </c>
      <c r="AQ1515" s="66">
        <f>+AA1505</f>
        <v>150</v>
      </c>
      <c r="AR1515" s="66"/>
      <c r="AS1515" s="1" t="s">
        <v>0</v>
      </c>
      <c r="CC1515" s="7"/>
    </row>
    <row r="1516" spans="2:81">
      <c r="B1516" s="6"/>
      <c r="AI1516" s="67">
        <v>1.5</v>
      </c>
      <c r="AJ1516" s="67"/>
      <c r="AK1516" s="1" t="s">
        <v>1</v>
      </c>
      <c r="BG1516" s="10" t="s">
        <v>36</v>
      </c>
      <c r="BI1516" s="66">
        <f>BI1514*BL1509^3/12</f>
        <v>2083333333.3333333</v>
      </c>
      <c r="BJ1516" s="66"/>
      <c r="BK1516" s="66"/>
      <c r="BL1516" s="66"/>
      <c r="BM1516" s="66"/>
      <c r="BN1516" s="1" t="s">
        <v>270</v>
      </c>
      <c r="CC1516" s="7"/>
    </row>
    <row r="1517" spans="2:81">
      <c r="B1517" s="6"/>
      <c r="CC1517" s="7"/>
    </row>
    <row r="1518" spans="2:81">
      <c r="B1518" s="6"/>
      <c r="AF1518" s="1" t="s">
        <v>38</v>
      </c>
      <c r="AH1518" s="67">
        <v>200000</v>
      </c>
      <c r="AI1518" s="67"/>
      <c r="AJ1518" s="67"/>
      <c r="AK1518" s="67"/>
      <c r="AL1518" s="1" t="s">
        <v>39</v>
      </c>
      <c r="AO1518" s="1" t="s">
        <v>302</v>
      </c>
      <c r="CC1518" s="7"/>
    </row>
    <row r="1519" spans="2:81">
      <c r="B1519" s="6"/>
      <c r="AA1519" s="9"/>
      <c r="AB1519" s="9"/>
      <c r="CC1519" s="7"/>
    </row>
    <row r="1520" spans="2:81">
      <c r="B1520" s="6"/>
      <c r="AA1520" s="9"/>
      <c r="AB1520" s="9"/>
      <c r="AE1520" s="1" t="s">
        <v>559</v>
      </c>
      <c r="AQ1520" s="66">
        <f>+AT1509</f>
        <v>225</v>
      </c>
      <c r="AR1520" s="66"/>
      <c r="AS1520" s="1" t="s">
        <v>191</v>
      </c>
      <c r="BA1520" s="23" t="s">
        <v>562</v>
      </c>
      <c r="CC1520" s="7"/>
    </row>
    <row r="1521" spans="2:81">
      <c r="B1521" s="6"/>
      <c r="AA1521" s="9"/>
      <c r="AB1521" s="9"/>
      <c r="CC1521" s="7"/>
    </row>
    <row r="1522" spans="2:81">
      <c r="B1522" s="6"/>
      <c r="AA1522" s="9"/>
      <c r="AB1522" s="9"/>
      <c r="AO1522" s="1" t="s">
        <v>6</v>
      </c>
      <c r="BP1522" s="66">
        <f>+BI1514</f>
        <v>200</v>
      </c>
      <c r="BQ1522" s="66"/>
      <c r="BR1522" s="1" t="s">
        <v>41</v>
      </c>
      <c r="CC1522" s="7"/>
    </row>
    <row r="1523" spans="2:81">
      <c r="B1523" s="6"/>
      <c r="D1523" s="23" t="s">
        <v>223</v>
      </c>
      <c r="Z1523" s="9"/>
      <c r="AA1523" s="9"/>
      <c r="AB1523" s="9"/>
      <c r="CC1523" s="7"/>
    </row>
    <row r="1524" spans="2:81">
      <c r="B1524" s="6"/>
      <c r="D1524" s="1" t="s">
        <v>499</v>
      </c>
      <c r="G1524" s="66">
        <f>+BD1508/1000</f>
        <v>0.3</v>
      </c>
      <c r="H1524" s="66"/>
      <c r="I1524" s="9" t="s">
        <v>9</v>
      </c>
      <c r="J1524" s="66">
        <f>(BL1509-BD1508)/BD1508</f>
        <v>0.66666666666666663</v>
      </c>
      <c r="K1524" s="66"/>
      <c r="L1524" s="9" t="s">
        <v>5</v>
      </c>
      <c r="M1524" s="66">
        <f>+G1524</f>
        <v>0.3</v>
      </c>
      <c r="N1524" s="66"/>
      <c r="O1524" s="9" t="s">
        <v>5</v>
      </c>
      <c r="P1524" s="9" t="s">
        <v>13</v>
      </c>
      <c r="Q1524" s="1" t="s">
        <v>173</v>
      </c>
      <c r="R1524" s="66">
        <f>+AI1516</f>
        <v>1.5</v>
      </c>
      <c r="S1524" s="66"/>
      <c r="Z1524" s="9"/>
      <c r="AA1524" s="9"/>
      <c r="AB1524" s="9"/>
      <c r="CC1524" s="7"/>
    </row>
    <row r="1525" spans="2:81">
      <c r="B1525" s="6"/>
      <c r="D1525" s="1" t="s">
        <v>499</v>
      </c>
      <c r="G1525" s="66">
        <f>+G1524</f>
        <v>0.3</v>
      </c>
      <c r="H1525" s="66"/>
      <c r="I1525" s="1" t="s">
        <v>14</v>
      </c>
      <c r="J1525" s="1">
        <v>1</v>
      </c>
      <c r="K1525" s="9" t="s">
        <v>9</v>
      </c>
      <c r="L1525" s="66">
        <f>+J1524</f>
        <v>0.66666666666666663</v>
      </c>
      <c r="M1525" s="66"/>
      <c r="N1525" s="9" t="s">
        <v>5</v>
      </c>
      <c r="O1525" s="9" t="s">
        <v>13</v>
      </c>
      <c r="P1525" s="1" t="s">
        <v>173</v>
      </c>
      <c r="Q1525" s="66">
        <f>+R1524</f>
        <v>1.5</v>
      </c>
      <c r="R1525" s="66"/>
      <c r="S1525" s="1" t="s">
        <v>40</v>
      </c>
      <c r="Z1525" s="9"/>
      <c r="AA1525" s="9"/>
      <c r="AB1525" s="9"/>
      <c r="CC1525" s="7"/>
    </row>
    <row r="1526" spans="2:81">
      <c r="B1526" s="6"/>
      <c r="D1526" s="10" t="s">
        <v>36</v>
      </c>
      <c r="F1526" s="66">
        <f>+BA1512/1000</f>
        <v>0.2</v>
      </c>
      <c r="G1526" s="66"/>
      <c r="H1526" s="1" t="s">
        <v>14</v>
      </c>
      <c r="I1526" s="66">
        <f>+G1525</f>
        <v>0.3</v>
      </c>
      <c r="J1526" s="66"/>
      <c r="K1526" s="1" t="s">
        <v>14</v>
      </c>
      <c r="L1526" s="1">
        <v>1</v>
      </c>
      <c r="M1526" s="9" t="s">
        <v>9</v>
      </c>
      <c r="N1526" s="66">
        <f>+L1525</f>
        <v>0.66666666666666663</v>
      </c>
      <c r="O1526" s="66"/>
      <c r="P1526" s="9" t="s">
        <v>5</v>
      </c>
      <c r="Q1526" s="9" t="s">
        <v>13</v>
      </c>
      <c r="R1526" s="1" t="s">
        <v>173</v>
      </c>
      <c r="S1526" s="66">
        <f>+Q1525</f>
        <v>1.5</v>
      </c>
      <c r="T1526" s="66"/>
      <c r="U1526" s="1" t="s">
        <v>534</v>
      </c>
      <c r="W1526" s="66">
        <v>12</v>
      </c>
      <c r="X1526" s="66"/>
      <c r="Z1526" s="9"/>
      <c r="AA1526" s="9"/>
      <c r="AB1526" s="9"/>
      <c r="AF1526" s="1" t="s">
        <v>560</v>
      </c>
      <c r="BQ1526" s="66">
        <f>+BL1509</f>
        <v>500</v>
      </c>
      <c r="BR1526" s="66"/>
      <c r="BS1526" s="1" t="s">
        <v>41</v>
      </c>
      <c r="CC1526" s="7"/>
    </row>
    <row r="1527" spans="2:81">
      <c r="B1527" s="6"/>
      <c r="D1527" s="10" t="s">
        <v>36</v>
      </c>
      <c r="F1527" s="66">
        <f>+F1526</f>
        <v>0.2</v>
      </c>
      <c r="G1527" s="66"/>
      <c r="H1527" s="9" t="s">
        <v>5</v>
      </c>
      <c r="I1527" s="66">
        <f>+I1526</f>
        <v>0.3</v>
      </c>
      <c r="J1527" s="66"/>
      <c r="K1527" s="1" t="s">
        <v>30</v>
      </c>
      <c r="L1527" s="66">
        <v>12</v>
      </c>
      <c r="M1527" s="66"/>
      <c r="N1527" s="1" t="s">
        <v>14</v>
      </c>
      <c r="O1527" s="1">
        <v>1</v>
      </c>
      <c r="P1527" s="9" t="s">
        <v>9</v>
      </c>
      <c r="Q1527" s="66">
        <f>+N1526</f>
        <v>0.66666666666666663</v>
      </c>
      <c r="R1527" s="66"/>
      <c r="S1527" s="9" t="s">
        <v>5</v>
      </c>
      <c r="T1527" s="9" t="s">
        <v>13</v>
      </c>
      <c r="U1527" s="1" t="s">
        <v>173</v>
      </c>
      <c r="V1527" s="66">
        <f>+S1526</f>
        <v>1.5</v>
      </c>
      <c r="W1527" s="66"/>
      <c r="X1527" s="1" t="s">
        <v>311</v>
      </c>
      <c r="Z1527" s="9"/>
      <c r="AA1527" s="66">
        <f>+AQ1515</f>
        <v>150</v>
      </c>
      <c r="AB1527" s="66"/>
      <c r="AC1527" s="1" t="s">
        <v>0</v>
      </c>
      <c r="AQ1527" s="66">
        <f>+AQ1515</f>
        <v>150</v>
      </c>
      <c r="AR1527" s="66"/>
      <c r="AS1527" s="1" t="s">
        <v>0</v>
      </c>
      <c r="AU1527" s="66">
        <f>+BD1508</f>
        <v>300</v>
      </c>
      <c r="AV1527" s="66"/>
      <c r="AW1527" s="1" t="s">
        <v>41</v>
      </c>
      <c r="CC1527" s="7"/>
    </row>
    <row r="1528" spans="2:81">
      <c r="B1528" s="6"/>
      <c r="D1528" s="10" t="s">
        <v>541</v>
      </c>
      <c r="F1528" s="9"/>
      <c r="G1528" s="1">
        <v>1</v>
      </c>
      <c r="H1528" s="9" t="s">
        <v>9</v>
      </c>
      <c r="I1528" s="66">
        <f>+Q1527</f>
        <v>0.66666666666666663</v>
      </c>
      <c r="J1528" s="66"/>
      <c r="K1528" s="9" t="s">
        <v>5</v>
      </c>
      <c r="L1528" s="9" t="s">
        <v>13</v>
      </c>
      <c r="M1528" s="1" t="s">
        <v>173</v>
      </c>
      <c r="N1528" s="66">
        <f>+V1527</f>
        <v>1.5</v>
      </c>
      <c r="O1528" s="66"/>
      <c r="P1528" s="1" t="s">
        <v>311</v>
      </c>
      <c r="R1528" s="9"/>
      <c r="S1528" s="9"/>
      <c r="T1528" s="9"/>
      <c r="V1528" s="9"/>
      <c r="W1528" s="9"/>
      <c r="Z1528" s="9"/>
      <c r="AA1528" s="9"/>
      <c r="AB1528" s="9"/>
      <c r="CC1528" s="7"/>
    </row>
    <row r="1529" spans="2:81">
      <c r="B1529" s="6"/>
      <c r="D1529" s="1" t="s">
        <v>526</v>
      </c>
      <c r="I1529" s="1">
        <v>1</v>
      </c>
      <c r="J1529" s="9" t="s">
        <v>9</v>
      </c>
      <c r="K1529" s="66">
        <f>+N1526</f>
        <v>0.66666666666666663</v>
      </c>
      <c r="L1529" s="66"/>
      <c r="M1529" s="9" t="s">
        <v>5</v>
      </c>
      <c r="N1529" s="9" t="s">
        <v>13</v>
      </c>
      <c r="O1529" s="1" t="s">
        <v>173</v>
      </c>
      <c r="P1529" s="66">
        <f>+S1526</f>
        <v>1.5</v>
      </c>
      <c r="Q1529" s="66"/>
      <c r="R1529" s="1" t="s">
        <v>311</v>
      </c>
      <c r="S1529" s="9"/>
      <c r="T1529" s="9"/>
      <c r="W1529" s="9"/>
      <c r="Z1529" s="9"/>
      <c r="AA1529" s="9"/>
      <c r="AB1529" s="9"/>
      <c r="AJ1529" s="1" t="s">
        <v>9</v>
      </c>
      <c r="AV1529" s="66">
        <f>+BA1512</f>
        <v>200</v>
      </c>
      <c r="AW1529" s="66"/>
      <c r="AX1529" s="79" t="s">
        <v>41</v>
      </c>
      <c r="AY1529" s="79"/>
      <c r="CC1529" s="7"/>
    </row>
    <row r="1530" spans="2:81">
      <c r="B1530" s="6"/>
      <c r="D1530" s="1" t="s">
        <v>527</v>
      </c>
      <c r="M1530" s="9"/>
      <c r="S1530" s="9"/>
      <c r="W1530" s="9"/>
      <c r="Z1530" s="9"/>
      <c r="AA1530" s="9"/>
      <c r="AB1530" s="9"/>
      <c r="AV1530" s="66"/>
      <c r="AW1530" s="66"/>
      <c r="AX1530" s="79"/>
      <c r="AY1530" s="79"/>
      <c r="CC1530" s="7"/>
    </row>
    <row r="1531" spans="2:81">
      <c r="B1531" s="6"/>
      <c r="D1531" s="1" t="s">
        <v>532</v>
      </c>
      <c r="G1531" s="1">
        <v>1</v>
      </c>
      <c r="H1531" s="9" t="s">
        <v>9</v>
      </c>
      <c r="I1531" s="66">
        <f>+K1529</f>
        <v>0.66666666666666663</v>
      </c>
      <c r="J1531" s="66"/>
      <c r="K1531" s="9" t="s">
        <v>5</v>
      </c>
      <c r="L1531" s="9" t="s">
        <v>13</v>
      </c>
      <c r="M1531" s="1" t="s">
        <v>173</v>
      </c>
      <c r="N1531" s="66">
        <f>+P1529</f>
        <v>1.5</v>
      </c>
      <c r="O1531" s="66"/>
      <c r="P1531" s="1" t="s">
        <v>533</v>
      </c>
      <c r="AA1531" s="9"/>
      <c r="AB1531" s="9"/>
      <c r="CC1531" s="7"/>
    </row>
    <row r="1532" spans="2:81">
      <c r="B1532" s="6"/>
      <c r="D1532" s="1" t="s">
        <v>539</v>
      </c>
      <c r="K1532" s="1">
        <v>1</v>
      </c>
      <c r="L1532" s="9" t="s">
        <v>9</v>
      </c>
      <c r="M1532" s="66">
        <f>+I1531</f>
        <v>0.66666666666666663</v>
      </c>
      <c r="N1532" s="66"/>
      <c r="O1532" s="9" t="s">
        <v>5</v>
      </c>
      <c r="P1532" s="9" t="s">
        <v>13</v>
      </c>
      <c r="Q1532" s="1" t="s">
        <v>173</v>
      </c>
      <c r="R1532" s="66">
        <f>+N1531</f>
        <v>1.5</v>
      </c>
      <c r="S1532" s="66"/>
      <c r="T1532" s="1" t="s">
        <v>540</v>
      </c>
      <c r="V1532" s="66">
        <f>-AA1505</f>
        <v>-150</v>
      </c>
      <c r="W1532" s="66"/>
      <c r="X1532" s="9" t="s">
        <v>5</v>
      </c>
      <c r="Y1532" s="9" t="s">
        <v>13</v>
      </c>
      <c r="Z1532" s="1" t="s">
        <v>275</v>
      </c>
      <c r="AA1532" s="1">
        <v>1</v>
      </c>
      <c r="AB1532" s="9" t="s">
        <v>9</v>
      </c>
      <c r="AC1532" s="66">
        <f>M1532/R1532</f>
        <v>0.44444444444444442</v>
      </c>
      <c r="AD1532" s="66"/>
      <c r="AE1532" s="9" t="s">
        <v>5</v>
      </c>
      <c r="AF1532" s="9" t="s">
        <v>13</v>
      </c>
      <c r="AG1532" s="1" t="s">
        <v>311</v>
      </c>
      <c r="BH1532" s="66">
        <f>+AI1516*1000</f>
        <v>1500</v>
      </c>
      <c r="BI1532" s="66"/>
      <c r="BJ1532" s="66"/>
      <c r="BK1532" s="1" t="s">
        <v>41</v>
      </c>
      <c r="CC1532" s="7"/>
    </row>
    <row r="1533" spans="2:81">
      <c r="B1533" s="6"/>
      <c r="D1533" s="24" t="s">
        <v>591</v>
      </c>
      <c r="L1533" s="9"/>
      <c r="M1533" s="9"/>
      <c r="N1533" s="9"/>
      <c r="O1533" s="9"/>
      <c r="P1533" s="9"/>
      <c r="R1533" s="9"/>
      <c r="S1533" s="9"/>
      <c r="V1533" s="9"/>
      <c r="W1533" s="9"/>
      <c r="X1533" s="9"/>
      <c r="Y1533" s="9"/>
      <c r="AB1533" s="9"/>
      <c r="AC1533" s="9"/>
      <c r="AD1533" s="9"/>
      <c r="AE1533" s="9"/>
      <c r="AF1533" s="9"/>
      <c r="AJ1533" s="51"/>
      <c r="AK1533" s="51"/>
      <c r="AL1533" s="51"/>
      <c r="AM1533" s="51"/>
      <c r="AN1533" s="51"/>
      <c r="CC1533" s="7"/>
    </row>
    <row r="1534" spans="2:81">
      <c r="B1534" s="6"/>
      <c r="D1534" s="9" t="s">
        <v>542</v>
      </c>
      <c r="E1534" s="9" t="s">
        <v>7</v>
      </c>
      <c r="F1534" s="66">
        <f>+AC1532</f>
        <v>0.44444444444444442</v>
      </c>
      <c r="G1534" s="66"/>
      <c r="H1534" s="9" t="s">
        <v>5</v>
      </c>
      <c r="I1534" s="9" t="s">
        <v>13</v>
      </c>
      <c r="J1534" s="9" t="s">
        <v>9</v>
      </c>
      <c r="K1534" s="1">
        <v>1</v>
      </c>
      <c r="L1534" s="9"/>
      <c r="M1534" s="9"/>
      <c r="N1534" s="9" t="s">
        <v>13</v>
      </c>
      <c r="O1534" s="1" t="s">
        <v>543</v>
      </c>
      <c r="P1534" s="9" t="s">
        <v>518</v>
      </c>
      <c r="Q1534" s="9" t="s">
        <v>542</v>
      </c>
      <c r="R1534" s="9" t="s">
        <v>6</v>
      </c>
      <c r="S1534" s="9">
        <v>1</v>
      </c>
      <c r="T1534" s="1" t="s">
        <v>287</v>
      </c>
      <c r="U1534" s="66">
        <f>+F1534</f>
        <v>0.44444444444444442</v>
      </c>
      <c r="V1534" s="66"/>
      <c r="W1534" s="9"/>
      <c r="X1534" s="9"/>
      <c r="Y1534" s="9" t="s">
        <v>544</v>
      </c>
      <c r="Z1534" s="1" t="s">
        <v>7</v>
      </c>
      <c r="AA1534" s="1" t="s">
        <v>545</v>
      </c>
      <c r="AB1534" s="9" t="s">
        <v>173</v>
      </c>
      <c r="AC1534" s="66">
        <f>+U1534</f>
        <v>0.44444444444444442</v>
      </c>
      <c r="AD1534" s="66"/>
      <c r="AE1534" s="9"/>
      <c r="AF1534" s="9"/>
      <c r="CC1534" s="7"/>
    </row>
    <row r="1535" spans="2:81">
      <c r="B1535" s="6"/>
      <c r="D1535" s="66">
        <f>V1532</f>
        <v>-150</v>
      </c>
      <c r="E1535" s="66"/>
      <c r="F1535" s="9" t="s">
        <v>546</v>
      </c>
      <c r="G1535" s="9" t="s">
        <v>518</v>
      </c>
      <c r="H1535" s="9" t="s">
        <v>542</v>
      </c>
      <c r="I1535" s="9" t="s">
        <v>6</v>
      </c>
      <c r="J1535" s="1">
        <v>1</v>
      </c>
      <c r="K1535" s="1" t="s">
        <v>287</v>
      </c>
      <c r="L1535" s="66">
        <f>+U1534</f>
        <v>0.44444444444444442</v>
      </c>
      <c r="M1535" s="66"/>
      <c r="N1535" s="9" t="s">
        <v>173</v>
      </c>
      <c r="O1535" s="9" t="s">
        <v>547</v>
      </c>
      <c r="P1535" s="9" t="s">
        <v>5</v>
      </c>
      <c r="Q1535" s="1">
        <v>1</v>
      </c>
      <c r="R1535" s="1" t="s">
        <v>173</v>
      </c>
      <c r="S1535" s="66">
        <f>+AC1534</f>
        <v>0.44444444444444442</v>
      </c>
      <c r="T1535" s="66"/>
      <c r="U1535" s="9" t="s">
        <v>5</v>
      </c>
      <c r="V1535" s="1" t="s">
        <v>545</v>
      </c>
      <c r="W1535" s="9" t="s">
        <v>7</v>
      </c>
      <c r="X1535" s="66">
        <f>+D1535</f>
        <v>-150</v>
      </c>
      <c r="Y1535" s="66"/>
      <c r="Z1535" s="9" t="s">
        <v>546</v>
      </c>
      <c r="AA1535" s="9" t="s">
        <v>518</v>
      </c>
      <c r="AB1535" s="9" t="s">
        <v>542</v>
      </c>
      <c r="AC1535" s="9" t="s">
        <v>6</v>
      </c>
      <c r="AD1535" s="1">
        <v>1</v>
      </c>
      <c r="AE1535" s="1" t="s">
        <v>255</v>
      </c>
      <c r="AF1535" s="66">
        <f>+L1535*S1535</f>
        <v>0.19753086419753085</v>
      </c>
      <c r="AG1535" s="66"/>
      <c r="AH1535" s="1" t="s">
        <v>5</v>
      </c>
      <c r="AI1535" s="9" t="s">
        <v>547</v>
      </c>
      <c r="AJ1535" s="9" t="s">
        <v>519</v>
      </c>
      <c r="AK1535" s="1" t="s">
        <v>545</v>
      </c>
      <c r="AL1535" s="1" t="s">
        <v>7</v>
      </c>
      <c r="AM1535" s="66">
        <f>+X1535</f>
        <v>-150</v>
      </c>
      <c r="AN1535" s="66"/>
      <c r="AO1535" s="9" t="s">
        <v>546</v>
      </c>
      <c r="AP1535" s="1">
        <v>1</v>
      </c>
      <c r="AQ1535" s="1" t="s">
        <v>275</v>
      </c>
      <c r="AR1535" s="66">
        <f>+AF1535</f>
        <v>0.19753086419753085</v>
      </c>
      <c r="AS1535" s="66"/>
      <c r="AT1535" s="66"/>
      <c r="AU1535" s="9" t="s">
        <v>5</v>
      </c>
      <c r="AV1535" s="1" t="s">
        <v>548</v>
      </c>
      <c r="AW1535" s="9" t="s">
        <v>16</v>
      </c>
      <c r="AX1535" s="1">
        <v>1</v>
      </c>
      <c r="AY1535" s="1" t="s">
        <v>275</v>
      </c>
      <c r="AZ1535" s="66">
        <f>+AR1535</f>
        <v>0.19753086419753085</v>
      </c>
      <c r="BA1535" s="66"/>
      <c r="BB1535" s="66"/>
      <c r="BC1535" s="9" t="s">
        <v>5</v>
      </c>
      <c r="BD1535" s="1" t="s">
        <v>547</v>
      </c>
      <c r="BE1535" s="9" t="s">
        <v>549</v>
      </c>
      <c r="BF1535" s="1" t="s">
        <v>545</v>
      </c>
      <c r="BG1535" s="9" t="s">
        <v>7</v>
      </c>
      <c r="BH1535" s="66">
        <f>+AM1535</f>
        <v>-150</v>
      </c>
      <c r="BI1535" s="66"/>
      <c r="BJ1535" s="1" t="s">
        <v>173</v>
      </c>
      <c r="BK1535" s="66">
        <f>+AR1535</f>
        <v>0.19753086419753085</v>
      </c>
      <c r="BL1535" s="66"/>
      <c r="BM1535" s="66"/>
      <c r="BN1535" s="9" t="s">
        <v>546</v>
      </c>
      <c r="BO1535" s="1" t="s">
        <v>518</v>
      </c>
      <c r="BP1535" s="1">
        <v>1</v>
      </c>
      <c r="BQ1535" s="1" t="s">
        <v>173</v>
      </c>
      <c r="BR1535" s="1" t="s">
        <v>548</v>
      </c>
      <c r="BS1535" s="9" t="s">
        <v>6</v>
      </c>
      <c r="BT1535" s="1">
        <v>1</v>
      </c>
      <c r="BU1535" s="1" t="s">
        <v>173</v>
      </c>
      <c r="BV1535" s="1" t="s">
        <v>547</v>
      </c>
      <c r="BW1535" s="1" t="s">
        <v>519</v>
      </c>
      <c r="BX1535" s="1" t="s">
        <v>545</v>
      </c>
      <c r="CC1535" s="7"/>
    </row>
    <row r="1536" spans="2:81">
      <c r="B1536" s="6"/>
      <c r="D1536" s="66">
        <f>+BH1535</f>
        <v>-150</v>
      </c>
      <c r="E1536" s="66"/>
      <c r="F1536" s="1" t="s">
        <v>173</v>
      </c>
      <c r="G1536" s="66">
        <f>+BK1535</f>
        <v>0.19753086419753085</v>
      </c>
      <c r="H1536" s="66"/>
      <c r="I1536" s="66"/>
      <c r="J1536" s="1" t="s">
        <v>14</v>
      </c>
      <c r="K1536" s="1">
        <v>1</v>
      </c>
      <c r="L1536" s="9" t="s">
        <v>173</v>
      </c>
      <c r="M1536" s="9" t="s">
        <v>542</v>
      </c>
      <c r="N1536" s="9" t="s">
        <v>9</v>
      </c>
      <c r="O1536" s="9">
        <v>1</v>
      </c>
      <c r="P1536" s="9" t="s">
        <v>275</v>
      </c>
      <c r="Q1536" s="1">
        <v>2</v>
      </c>
      <c r="R1536" s="9" t="s">
        <v>5</v>
      </c>
      <c r="S1536" s="9" t="s">
        <v>548</v>
      </c>
      <c r="T1536" s="1" t="s">
        <v>550</v>
      </c>
      <c r="U1536" s="9" t="s">
        <v>7</v>
      </c>
      <c r="V1536" s="66">
        <f>+D1536</f>
        <v>-150</v>
      </c>
      <c r="W1536" s="66"/>
      <c r="X1536" s="1" t="s">
        <v>173</v>
      </c>
      <c r="Y1536" s="66">
        <f>+G1536</f>
        <v>0.19753086419753085</v>
      </c>
      <c r="Z1536" s="66"/>
      <c r="AA1536" s="66"/>
      <c r="AB1536" s="9" t="s">
        <v>14</v>
      </c>
      <c r="AC1536" s="9">
        <v>-2</v>
      </c>
      <c r="AD1536" s="9" t="s">
        <v>5</v>
      </c>
      <c r="AE1536" s="9" t="s">
        <v>542</v>
      </c>
      <c r="AF1536" s="9" t="s">
        <v>9</v>
      </c>
      <c r="AG1536" s="1">
        <v>1</v>
      </c>
      <c r="AH1536" s="1" t="s">
        <v>255</v>
      </c>
      <c r="AI1536" s="1">
        <v>2</v>
      </c>
      <c r="AJ1536" s="9" t="s">
        <v>5</v>
      </c>
      <c r="AK1536" s="1" t="s">
        <v>548</v>
      </c>
      <c r="AL1536" s="1" t="s">
        <v>201</v>
      </c>
      <c r="AM1536" s="66">
        <f>-V1536</f>
        <v>150</v>
      </c>
      <c r="AN1536" s="66"/>
      <c r="AO1536" s="1" t="s">
        <v>173</v>
      </c>
      <c r="AP1536" s="66">
        <f>+Y1536</f>
        <v>0.19753086419753085</v>
      </c>
      <c r="AQ1536" s="66"/>
      <c r="AR1536" s="66"/>
      <c r="AS1536" s="9" t="s">
        <v>14</v>
      </c>
      <c r="AT1536" s="1">
        <v>2</v>
      </c>
      <c r="AU1536" s="9" t="s">
        <v>5</v>
      </c>
      <c r="AV1536" s="1" t="s">
        <v>542</v>
      </c>
      <c r="AW1536" s="9" t="s">
        <v>6</v>
      </c>
      <c r="AX1536" s="1">
        <v>1</v>
      </c>
      <c r="AY1536" s="1" t="s">
        <v>255</v>
      </c>
      <c r="AZ1536" s="1">
        <v>2</v>
      </c>
      <c r="BA1536" s="9" t="s">
        <v>5</v>
      </c>
      <c r="BB1536" s="1" t="s">
        <v>548</v>
      </c>
      <c r="BC1536" s="1" t="s">
        <v>201</v>
      </c>
      <c r="BD1536" s="66">
        <f>+AM1536/AT1536</f>
        <v>75</v>
      </c>
      <c r="BE1536" s="66"/>
      <c r="BF1536" s="1" t="s">
        <v>173</v>
      </c>
      <c r="BG1536" s="66">
        <f>+AP1536</f>
        <v>0.19753086419753085</v>
      </c>
      <c r="BH1536" s="66"/>
      <c r="BI1536" s="66"/>
      <c r="BJ1536" s="9" t="s">
        <v>14</v>
      </c>
      <c r="BK1536" s="1">
        <v>2</v>
      </c>
      <c r="BL1536" s="9" t="s">
        <v>5</v>
      </c>
      <c r="BM1536" s="9" t="s">
        <v>542</v>
      </c>
      <c r="BN1536" s="9" t="s">
        <v>6</v>
      </c>
      <c r="BO1536" s="1">
        <v>1</v>
      </c>
      <c r="BP1536" s="1" t="s">
        <v>287</v>
      </c>
      <c r="BQ1536" s="1" t="s">
        <v>548</v>
      </c>
      <c r="BT1536" s="1" t="s">
        <v>551</v>
      </c>
      <c r="CC1536" s="7"/>
    </row>
    <row r="1537" spans="2:81">
      <c r="B1537" s="6"/>
      <c r="D1537" s="66">
        <f>+BD1536</f>
        <v>75</v>
      </c>
      <c r="E1537" s="66"/>
      <c r="F1537" s="1" t="s">
        <v>173</v>
      </c>
      <c r="G1537" s="66">
        <f>+BG1536</f>
        <v>0.19753086419753085</v>
      </c>
      <c r="H1537" s="66"/>
      <c r="I1537" s="66"/>
      <c r="J1537" s="1" t="s">
        <v>14</v>
      </c>
      <c r="K1537" s="1">
        <v>2</v>
      </c>
      <c r="L1537" s="9" t="s">
        <v>14</v>
      </c>
      <c r="M1537" s="66">
        <f>+F1534</f>
        <v>0.44444444444444442</v>
      </c>
      <c r="N1537" s="66"/>
      <c r="O1537" s="9" t="s">
        <v>5</v>
      </c>
      <c r="P1537" s="9" t="s">
        <v>13</v>
      </c>
      <c r="Q1537" s="9" t="s">
        <v>9</v>
      </c>
      <c r="R1537" s="1">
        <v>1</v>
      </c>
      <c r="S1537" s="1" t="s">
        <v>16</v>
      </c>
      <c r="T1537" s="1">
        <v>1</v>
      </c>
      <c r="U1537" s="1" t="s">
        <v>255</v>
      </c>
      <c r="V1537" s="66">
        <f>+M1537</f>
        <v>0.44444444444444442</v>
      </c>
      <c r="W1537" s="66"/>
      <c r="X1537" s="9" t="s">
        <v>5</v>
      </c>
      <c r="Y1537" s="9" t="s">
        <v>13</v>
      </c>
      <c r="Z1537" s="9" t="s">
        <v>9</v>
      </c>
      <c r="AA1537" s="1">
        <v>1</v>
      </c>
      <c r="AB1537" s="1" t="s">
        <v>200</v>
      </c>
      <c r="AC1537" s="9" t="s">
        <v>7</v>
      </c>
      <c r="AD1537" s="81">
        <f>+D1537</f>
        <v>75</v>
      </c>
      <c r="AE1537" s="68"/>
      <c r="AF1537" s="48" t="s">
        <v>14</v>
      </c>
      <c r="AG1537" s="68">
        <f>+K1537*M1537</f>
        <v>0.88888888888888884</v>
      </c>
      <c r="AH1537" s="68"/>
      <c r="AI1537" s="48" t="s">
        <v>5</v>
      </c>
      <c r="AJ1537" s="48" t="s">
        <v>13</v>
      </c>
      <c r="AK1537" s="48" t="s">
        <v>9</v>
      </c>
      <c r="AL1537" s="49">
        <v>1</v>
      </c>
      <c r="AM1537" s="49" t="s">
        <v>255</v>
      </c>
      <c r="AN1537" s="68">
        <f>+G1537</f>
        <v>0.19753086419753085</v>
      </c>
      <c r="AO1537" s="68"/>
      <c r="AP1537" s="68"/>
      <c r="AQ1537" s="49" t="s">
        <v>14</v>
      </c>
      <c r="AR1537" s="68">
        <f>+V1537^2</f>
        <v>0.19753086419753085</v>
      </c>
      <c r="AS1537" s="68"/>
      <c r="AT1537" s="68"/>
      <c r="AU1537" s="48" t="s">
        <v>5</v>
      </c>
      <c r="AV1537" s="49" t="s">
        <v>183</v>
      </c>
      <c r="AW1537" s="48" t="s">
        <v>9</v>
      </c>
      <c r="AX1537" s="68">
        <f>2*V1537</f>
        <v>0.88888888888888884</v>
      </c>
      <c r="AY1537" s="68"/>
      <c r="AZ1537" s="48" t="s">
        <v>5</v>
      </c>
      <c r="BA1537" s="48" t="s">
        <v>13</v>
      </c>
      <c r="BB1537" s="48" t="s">
        <v>9</v>
      </c>
      <c r="BC1537" s="49">
        <v>1</v>
      </c>
      <c r="BD1537" s="49" t="s">
        <v>535</v>
      </c>
      <c r="BE1537" s="49"/>
      <c r="BF1537" s="50" t="s">
        <v>24</v>
      </c>
      <c r="CC1537" s="7"/>
    </row>
    <row r="1538" spans="2:81">
      <c r="B1538" s="6"/>
      <c r="D1538" s="24" t="s">
        <v>590</v>
      </c>
      <c r="L1538" s="9"/>
      <c r="M1538" s="9"/>
      <c r="N1538" s="9"/>
      <c r="O1538" s="9"/>
      <c r="P1538" s="9"/>
      <c r="R1538" s="9"/>
      <c r="S1538" s="9"/>
      <c r="V1538" s="9"/>
      <c r="W1538" s="9"/>
      <c r="X1538" s="9"/>
      <c r="Y1538" s="9"/>
      <c r="AB1538" s="9"/>
      <c r="AC1538" s="9"/>
      <c r="AD1538" s="9"/>
      <c r="AE1538" s="9"/>
      <c r="CC1538" s="7"/>
    </row>
    <row r="1539" spans="2:81">
      <c r="B1539" s="6"/>
      <c r="D1539" s="66">
        <f>+D1537</f>
        <v>75</v>
      </c>
      <c r="E1539" s="66"/>
      <c r="F1539" s="1" t="s">
        <v>173</v>
      </c>
      <c r="G1539" s="66">
        <f>+G1537</f>
        <v>0.19753086419753085</v>
      </c>
      <c r="H1539" s="66"/>
      <c r="I1539" s="66"/>
      <c r="J1539" s="9" t="s">
        <v>546</v>
      </c>
      <c r="K1539" s="1" t="s">
        <v>518</v>
      </c>
      <c r="L1539" s="66">
        <f>+AG1537</f>
        <v>0.88888888888888884</v>
      </c>
      <c r="M1539" s="66"/>
      <c r="N1539" s="9" t="s">
        <v>5</v>
      </c>
      <c r="O1539" s="9" t="s">
        <v>13</v>
      </c>
      <c r="P1539" s="9" t="s">
        <v>9</v>
      </c>
      <c r="Q1539" s="1">
        <v>1</v>
      </c>
      <c r="R1539" s="1" t="s">
        <v>255</v>
      </c>
      <c r="S1539" s="66">
        <f>+V1537</f>
        <v>0.44444444444444442</v>
      </c>
      <c r="T1539" s="66"/>
      <c r="U1539" s="9" t="s">
        <v>5</v>
      </c>
      <c r="V1539" s="9" t="s">
        <v>13</v>
      </c>
      <c r="W1539" s="9" t="s">
        <v>9</v>
      </c>
      <c r="X1539" s="1">
        <v>1</v>
      </c>
      <c r="Y1539" s="1" t="s">
        <v>200</v>
      </c>
      <c r="Z1539" s="9" t="s">
        <v>5</v>
      </c>
      <c r="AA1539" s="1" t="s">
        <v>544</v>
      </c>
      <c r="AB1539" s="9"/>
      <c r="AC1539" s="9"/>
      <c r="AD1539" s="1" t="s">
        <v>542</v>
      </c>
      <c r="AE1539" s="9" t="s">
        <v>7</v>
      </c>
      <c r="AF1539" s="66">
        <f>+S1539</f>
        <v>0.44444444444444442</v>
      </c>
      <c r="AG1539" s="66"/>
      <c r="AH1539" s="9" t="s">
        <v>5</v>
      </c>
      <c r="AI1539" s="9" t="s">
        <v>13</v>
      </c>
      <c r="AJ1539" s="9"/>
      <c r="AK1539" s="9"/>
      <c r="AL1539" s="9" t="s">
        <v>13</v>
      </c>
      <c r="AM1539" s="1" t="s">
        <v>543</v>
      </c>
      <c r="AN1539" s="1" t="s">
        <v>542</v>
      </c>
      <c r="AO1539" s="1" t="s">
        <v>173</v>
      </c>
      <c r="AP1539" s="66">
        <f>+AF1539</f>
        <v>0.44444444444444442</v>
      </c>
      <c r="AQ1539" s="66"/>
      <c r="AR1539" s="9"/>
      <c r="AS1539" s="9"/>
      <c r="AT1539" s="9" t="s">
        <v>544</v>
      </c>
      <c r="AU1539" s="1" t="s">
        <v>7</v>
      </c>
      <c r="AV1539" s="1" t="s">
        <v>545</v>
      </c>
      <c r="AW1539" s="9" t="s">
        <v>173</v>
      </c>
      <c r="AX1539" s="66">
        <f>+AP1539</f>
        <v>0.44444444444444442</v>
      </c>
      <c r="AY1539" s="66"/>
      <c r="AZ1539" s="9"/>
      <c r="CC1539" s="7"/>
    </row>
    <row r="1540" spans="2:81">
      <c r="B1540" s="6"/>
      <c r="D1540" s="66">
        <f>+D1539</f>
        <v>75</v>
      </c>
      <c r="E1540" s="66"/>
      <c r="F1540" s="1" t="s">
        <v>173</v>
      </c>
      <c r="G1540" s="66">
        <f>+G1539</f>
        <v>0.19753086419753085</v>
      </c>
      <c r="H1540" s="66"/>
      <c r="I1540" s="66"/>
      <c r="J1540" s="9" t="s">
        <v>546</v>
      </c>
      <c r="K1540" s="1" t="s">
        <v>518</v>
      </c>
      <c r="L1540" s="9">
        <v>2</v>
      </c>
      <c r="M1540" s="9" t="s">
        <v>5</v>
      </c>
      <c r="N1540" s="9" t="s">
        <v>542</v>
      </c>
      <c r="O1540" s="9" t="s">
        <v>9</v>
      </c>
      <c r="P1540" s="9">
        <v>1</v>
      </c>
      <c r="Q1540" s="1" t="s">
        <v>255</v>
      </c>
      <c r="R1540" s="9" t="s">
        <v>542</v>
      </c>
      <c r="S1540" s="9" t="s">
        <v>9</v>
      </c>
      <c r="T1540" s="1">
        <v>1</v>
      </c>
      <c r="U1540" s="1" t="s">
        <v>200</v>
      </c>
      <c r="V1540" s="9" t="s">
        <v>5</v>
      </c>
      <c r="W1540" s="9">
        <v>1</v>
      </c>
      <c r="X1540" s="9" t="s">
        <v>173</v>
      </c>
      <c r="Y1540" s="66">
        <f>+AX1539</f>
        <v>0.44444444444444442</v>
      </c>
      <c r="Z1540" s="66"/>
      <c r="AA1540" s="9" t="s">
        <v>5</v>
      </c>
      <c r="AB1540" s="9" t="s">
        <v>545</v>
      </c>
      <c r="AC1540" s="9" t="s">
        <v>7</v>
      </c>
      <c r="AD1540" s="66">
        <f>+D1540</f>
        <v>75</v>
      </c>
      <c r="AE1540" s="66"/>
      <c r="AF1540" s="1" t="s">
        <v>173</v>
      </c>
      <c r="AG1540" s="66">
        <f>+G1540*Y1540</f>
        <v>8.77914951989026E-2</v>
      </c>
      <c r="AH1540" s="66"/>
      <c r="AI1540" s="66"/>
      <c r="AJ1540" s="9" t="s">
        <v>546</v>
      </c>
      <c r="AK1540" s="1" t="s">
        <v>518</v>
      </c>
      <c r="AL1540" s="9">
        <v>2</v>
      </c>
      <c r="AM1540" s="9" t="s">
        <v>5</v>
      </c>
      <c r="AN1540" s="9" t="s">
        <v>542</v>
      </c>
      <c r="AO1540" s="9" t="s">
        <v>9</v>
      </c>
      <c r="AP1540" s="9">
        <v>1</v>
      </c>
      <c r="AQ1540" s="1" t="s">
        <v>255</v>
      </c>
      <c r="AR1540" s="9" t="s">
        <v>542</v>
      </c>
      <c r="AS1540" s="9" t="s">
        <v>9</v>
      </c>
      <c r="AT1540" s="1">
        <v>1</v>
      </c>
      <c r="AU1540" s="1" t="s">
        <v>200</v>
      </c>
      <c r="AV1540" s="9" t="s">
        <v>5</v>
      </c>
      <c r="AW1540" s="9" t="s">
        <v>545</v>
      </c>
      <c r="AX1540" s="9"/>
      <c r="AY1540" s="9"/>
      <c r="AZ1540" s="9" t="s">
        <v>552</v>
      </c>
      <c r="BA1540" s="1" t="s">
        <v>7</v>
      </c>
      <c r="BB1540" s="1" t="s">
        <v>542</v>
      </c>
      <c r="BC1540" s="9" t="s">
        <v>9</v>
      </c>
      <c r="BD1540" s="9">
        <v>1</v>
      </c>
      <c r="BE1540" s="9"/>
      <c r="BF1540" s="9"/>
      <c r="BG1540" s="1" t="s">
        <v>542</v>
      </c>
      <c r="BH1540" s="1" t="s">
        <v>7</v>
      </c>
      <c r="BI1540" s="1" t="s">
        <v>552</v>
      </c>
      <c r="BJ1540" s="9" t="s">
        <v>6</v>
      </c>
      <c r="BK1540" s="1">
        <v>1</v>
      </c>
      <c r="BL1540" s="9"/>
      <c r="BM1540" s="9"/>
      <c r="BN1540" s="1" t="s">
        <v>545</v>
      </c>
      <c r="BO1540" s="9" t="s">
        <v>7</v>
      </c>
      <c r="BP1540" s="1" t="s">
        <v>553</v>
      </c>
      <c r="CC1540" s="7"/>
    </row>
    <row r="1541" spans="2:81">
      <c r="B1541" s="6"/>
      <c r="D1541" s="66">
        <f>+AD1540</f>
        <v>75</v>
      </c>
      <c r="E1541" s="66"/>
      <c r="F1541" s="1" t="s">
        <v>173</v>
      </c>
      <c r="G1541" s="66">
        <f>+AG1540</f>
        <v>8.77914951989026E-2</v>
      </c>
      <c r="H1541" s="66"/>
      <c r="I1541" s="66"/>
      <c r="J1541" s="9" t="s">
        <v>546</v>
      </c>
      <c r="K1541" s="1" t="s">
        <v>518</v>
      </c>
      <c r="L1541" s="1">
        <v>2</v>
      </c>
      <c r="M1541" s="9" t="s">
        <v>14</v>
      </c>
      <c r="N1541" s="1" t="s">
        <v>552</v>
      </c>
      <c r="O1541" s="9" t="s">
        <v>6</v>
      </c>
      <c r="P1541" s="1">
        <v>1</v>
      </c>
      <c r="Q1541" s="9" t="s">
        <v>306</v>
      </c>
      <c r="R1541" s="1">
        <v>1</v>
      </c>
      <c r="S1541" s="9" t="s">
        <v>255</v>
      </c>
      <c r="T1541" s="1" t="s">
        <v>552</v>
      </c>
      <c r="U1541" s="9" t="s">
        <v>6</v>
      </c>
      <c r="V1541" s="1">
        <v>1</v>
      </c>
      <c r="W1541" s="9" t="s">
        <v>9</v>
      </c>
      <c r="X1541" s="9">
        <v>1</v>
      </c>
      <c r="Y1541" s="9" t="s">
        <v>200</v>
      </c>
      <c r="Z1541" s="9" t="s">
        <v>5</v>
      </c>
      <c r="AA1541" s="1" t="s">
        <v>553</v>
      </c>
      <c r="AB1541" s="9" t="s">
        <v>7</v>
      </c>
      <c r="AC1541" s="66">
        <f>+D1541</f>
        <v>75</v>
      </c>
      <c r="AD1541" s="66"/>
      <c r="AE1541" s="1" t="s">
        <v>173</v>
      </c>
      <c r="AF1541" s="66">
        <f>+G1541</f>
        <v>8.77914951989026E-2</v>
      </c>
      <c r="AG1541" s="66"/>
      <c r="AH1541" s="66"/>
      <c r="AI1541" s="9" t="s">
        <v>546</v>
      </c>
      <c r="AJ1541" s="1" t="s">
        <v>518</v>
      </c>
      <c r="AK1541" s="1">
        <v>2</v>
      </c>
      <c r="AL1541" s="1" t="s">
        <v>5</v>
      </c>
      <c r="AM1541" s="9" t="s">
        <v>552</v>
      </c>
      <c r="AN1541" s="9" t="s">
        <v>6</v>
      </c>
      <c r="AO1541" s="1">
        <v>1</v>
      </c>
      <c r="AP1541" s="1" t="s">
        <v>287</v>
      </c>
      <c r="AQ1541" s="1" t="s">
        <v>554</v>
      </c>
      <c r="AR1541" s="9" t="s">
        <v>5</v>
      </c>
      <c r="AS1541" s="1" t="s">
        <v>553</v>
      </c>
      <c r="AT1541" s="9" t="s">
        <v>7</v>
      </c>
      <c r="AU1541" s="66">
        <f>+AC1541</f>
        <v>75</v>
      </c>
      <c r="AV1541" s="66"/>
      <c r="AW1541" s="1" t="s">
        <v>173</v>
      </c>
      <c r="AX1541" s="66">
        <f>+AF1541</f>
        <v>8.77914951989026E-2</v>
      </c>
      <c r="AY1541" s="66"/>
      <c r="AZ1541" s="66"/>
      <c r="BA1541" s="9" t="s">
        <v>555</v>
      </c>
      <c r="BB1541" s="1">
        <v>2</v>
      </c>
      <c r="BC1541" s="1" t="s">
        <v>5</v>
      </c>
      <c r="BD1541" s="1" t="s">
        <v>552</v>
      </c>
      <c r="BE1541" s="1" t="s">
        <v>173</v>
      </c>
      <c r="BF1541" s="1" t="s">
        <v>554</v>
      </c>
      <c r="BG1541" s="9" t="s">
        <v>5</v>
      </c>
      <c r="BH1541" s="1" t="s">
        <v>553</v>
      </c>
      <c r="BI1541" s="9" t="s">
        <v>6</v>
      </c>
      <c r="BJ1541" s="9" t="s">
        <v>546</v>
      </c>
      <c r="BK1541" s="1">
        <v>1</v>
      </c>
      <c r="BL1541" s="1" t="s">
        <v>173</v>
      </c>
      <c r="BM1541" s="1" t="s">
        <v>554</v>
      </c>
      <c r="BN1541" s="1" t="s">
        <v>5</v>
      </c>
      <c r="BO1541" s="1" t="s">
        <v>553</v>
      </c>
      <c r="BP1541" s="1" t="s">
        <v>40</v>
      </c>
      <c r="CC1541" s="7"/>
    </row>
    <row r="1542" spans="2:81">
      <c r="B1542" s="6"/>
      <c r="D1542" s="66">
        <f>+AU1541</f>
        <v>75</v>
      </c>
      <c r="E1542" s="66"/>
      <c r="F1542" s="1" t="s">
        <v>173</v>
      </c>
      <c r="G1542" s="66">
        <f>+AX1541</f>
        <v>8.77914951989026E-2</v>
      </c>
      <c r="H1542" s="66"/>
      <c r="I1542" s="66"/>
      <c r="J1542" s="1" t="s">
        <v>14</v>
      </c>
      <c r="K1542" s="1">
        <v>2</v>
      </c>
      <c r="L1542" s="9" t="s">
        <v>5</v>
      </c>
      <c r="M1542" s="1" t="s">
        <v>556</v>
      </c>
      <c r="O1542" s="1" t="s">
        <v>9</v>
      </c>
      <c r="P1542" s="1">
        <v>1</v>
      </c>
      <c r="Q1542" s="1" t="s">
        <v>173</v>
      </c>
      <c r="R1542" s="9" t="s">
        <v>552</v>
      </c>
      <c r="S1542" s="9" t="s">
        <v>201</v>
      </c>
      <c r="T1542" s="66">
        <f>+D1542</f>
        <v>75</v>
      </c>
      <c r="U1542" s="66"/>
      <c r="V1542" s="1" t="s">
        <v>173</v>
      </c>
      <c r="W1542" s="66">
        <f>+G1542/2</f>
        <v>4.38957475994513E-2</v>
      </c>
      <c r="X1542" s="66"/>
      <c r="Y1542" s="66"/>
      <c r="Z1542" s="9" t="s">
        <v>5</v>
      </c>
      <c r="AA1542" s="1" t="s">
        <v>556</v>
      </c>
      <c r="AB1542" s="9"/>
      <c r="AC1542" s="9" t="s">
        <v>9</v>
      </c>
      <c r="AD1542" s="66">
        <f>+T1542</f>
        <v>75</v>
      </c>
      <c r="AE1542" s="66"/>
      <c r="AF1542" s="9" t="s">
        <v>275</v>
      </c>
      <c r="AG1542" s="66">
        <f>+G1542</f>
        <v>8.77914951989026E-2</v>
      </c>
      <c r="AH1542" s="66"/>
      <c r="AI1542" s="66"/>
      <c r="AJ1542" s="1" t="s">
        <v>552</v>
      </c>
      <c r="AK1542" s="9" t="s">
        <v>201</v>
      </c>
      <c r="AL1542" s="66">
        <f>+T1542</f>
        <v>75</v>
      </c>
      <c r="AM1542" s="66"/>
      <c r="AN1542" s="1" t="s">
        <v>173</v>
      </c>
      <c r="AO1542" s="66">
        <f>+W1542</f>
        <v>4.38957475994513E-2</v>
      </c>
      <c r="AP1542" s="66"/>
      <c r="AQ1542" s="66"/>
      <c r="AR1542" s="9" t="s">
        <v>5</v>
      </c>
      <c r="AS1542" s="1" t="s">
        <v>536</v>
      </c>
      <c r="AU1542" s="1" t="s">
        <v>542</v>
      </c>
      <c r="AV1542" s="9" t="s">
        <v>9</v>
      </c>
      <c r="AW1542" s="9">
        <v>1</v>
      </c>
      <c r="AX1542" s="1" t="s">
        <v>306</v>
      </c>
      <c r="AY1542" s="66">
        <f>+AD1542</f>
        <v>75</v>
      </c>
      <c r="AZ1542" s="66"/>
      <c r="BA1542" s="1" t="s">
        <v>275</v>
      </c>
      <c r="BB1542" s="66">
        <f>+AG1542</f>
        <v>8.77914951989026E-2</v>
      </c>
      <c r="BC1542" s="66"/>
      <c r="BD1542" s="66"/>
      <c r="BE1542" s="1" t="s">
        <v>14</v>
      </c>
      <c r="BF1542" s="1" t="s">
        <v>542</v>
      </c>
      <c r="BG1542" s="9" t="s">
        <v>9</v>
      </c>
      <c r="BH1542" s="9">
        <v>1</v>
      </c>
      <c r="BI1542" s="1" t="s">
        <v>550</v>
      </c>
      <c r="CC1542" s="7"/>
    </row>
    <row r="1543" spans="2:81" ht="11.25" customHeight="1">
      <c r="B1543" s="6"/>
      <c r="D1543" s="81">
        <f>+AL1542</f>
        <v>75</v>
      </c>
      <c r="E1543" s="68"/>
      <c r="F1543" s="49" t="s">
        <v>173</v>
      </c>
      <c r="G1543" s="68">
        <f>+AO1542</f>
        <v>4.38957475994513E-2</v>
      </c>
      <c r="H1543" s="68"/>
      <c r="I1543" s="68"/>
      <c r="J1543" s="48" t="s">
        <v>5</v>
      </c>
      <c r="K1543" s="49" t="s">
        <v>536</v>
      </c>
      <c r="L1543" s="49"/>
      <c r="M1543" s="68">
        <f>+AF1539</f>
        <v>0.44444444444444442</v>
      </c>
      <c r="N1543" s="68"/>
      <c r="O1543" s="48" t="s">
        <v>5</v>
      </c>
      <c r="P1543" s="48" t="s">
        <v>13</v>
      </c>
      <c r="Q1543" s="48" t="s">
        <v>9</v>
      </c>
      <c r="R1543" s="48">
        <v>1</v>
      </c>
      <c r="S1543" s="48" t="s">
        <v>306</v>
      </c>
      <c r="T1543" s="68">
        <f>+AY1542</f>
        <v>75</v>
      </c>
      <c r="U1543" s="68"/>
      <c r="V1543" s="49" t="s">
        <v>275</v>
      </c>
      <c r="W1543" s="68">
        <f>+BB1542</f>
        <v>8.77914951989026E-2</v>
      </c>
      <c r="X1543" s="68"/>
      <c r="Y1543" s="68"/>
      <c r="Z1543" s="49" t="s">
        <v>14</v>
      </c>
      <c r="AA1543" s="68">
        <f>+M1543</f>
        <v>0.44444444444444442</v>
      </c>
      <c r="AB1543" s="68"/>
      <c r="AC1543" s="48" t="s">
        <v>5</v>
      </c>
      <c r="AD1543" s="48" t="s">
        <v>13</v>
      </c>
      <c r="AE1543" s="48" t="s">
        <v>9</v>
      </c>
      <c r="AF1543" s="48">
        <v>1</v>
      </c>
      <c r="AG1543" s="49" t="s">
        <v>535</v>
      </c>
      <c r="AH1543" s="49"/>
      <c r="AI1543" s="49" t="s">
        <v>24</v>
      </c>
      <c r="AJ1543" s="48" t="s">
        <v>5</v>
      </c>
      <c r="AK1543" s="48" t="s">
        <v>13</v>
      </c>
      <c r="AL1543" s="48" t="s">
        <v>9</v>
      </c>
      <c r="AM1543" s="50" t="s">
        <v>307</v>
      </c>
      <c r="CC1543" s="7"/>
    </row>
    <row r="1544" spans="2:81">
      <c r="B1544" s="6"/>
      <c r="D1544" s="1" t="s">
        <v>557</v>
      </c>
      <c r="H1544" s="66">
        <f>+AD1537</f>
        <v>75</v>
      </c>
      <c r="I1544" s="66"/>
      <c r="J1544" s="9" t="s">
        <v>14</v>
      </c>
      <c r="K1544" s="66">
        <f>+AG1537</f>
        <v>0.88888888888888884</v>
      </c>
      <c r="L1544" s="66"/>
      <c r="M1544" s="9" t="s">
        <v>5</v>
      </c>
      <c r="N1544" s="9" t="s">
        <v>13</v>
      </c>
      <c r="O1544" s="9" t="s">
        <v>9</v>
      </c>
      <c r="P1544" s="1">
        <v>1</v>
      </c>
      <c r="Q1544" s="1" t="s">
        <v>255</v>
      </c>
      <c r="R1544" s="66">
        <f>+AN1537</f>
        <v>0.19753086419753085</v>
      </c>
      <c r="S1544" s="66"/>
      <c r="T1544" s="66"/>
      <c r="U1544" s="1" t="s">
        <v>14</v>
      </c>
      <c r="V1544" s="66">
        <f>+AR1537</f>
        <v>0.19753086419753085</v>
      </c>
      <c r="W1544" s="66"/>
      <c r="X1544" s="66"/>
      <c r="Y1544" s="9" t="s">
        <v>5</v>
      </c>
      <c r="Z1544" s="1" t="s">
        <v>183</v>
      </c>
      <c r="AA1544" s="1" t="s">
        <v>9</v>
      </c>
      <c r="AB1544" s="66">
        <f>+AX1537</f>
        <v>0.88888888888888884</v>
      </c>
      <c r="AC1544" s="66"/>
      <c r="AD1544" s="9" t="s">
        <v>5</v>
      </c>
      <c r="AE1544" s="9" t="s">
        <v>13</v>
      </c>
      <c r="AF1544" s="9" t="s">
        <v>9</v>
      </c>
      <c r="AG1544" s="1">
        <v>1</v>
      </c>
      <c r="AH1544" s="1" t="s">
        <v>535</v>
      </c>
      <c r="AJ1544" s="1" t="s">
        <v>24</v>
      </c>
      <c r="CC1544" s="7"/>
    </row>
    <row r="1545" spans="2:81">
      <c r="B1545" s="6"/>
      <c r="D1545" s="1" t="s">
        <v>558</v>
      </c>
      <c r="H1545" s="66">
        <f>+D1543</f>
        <v>75</v>
      </c>
      <c r="I1545" s="66"/>
      <c r="J1545" s="1" t="s">
        <v>173</v>
      </c>
      <c r="K1545" s="66">
        <f>+G1543</f>
        <v>4.38957475994513E-2</v>
      </c>
      <c r="L1545" s="66"/>
      <c r="M1545" s="66"/>
      <c r="N1545" s="9" t="s">
        <v>5</v>
      </c>
      <c r="O1545" s="1" t="s">
        <v>536</v>
      </c>
      <c r="Q1545" s="66">
        <f>+M1543</f>
        <v>0.44444444444444442</v>
      </c>
      <c r="R1545" s="66"/>
      <c r="S1545" s="9" t="s">
        <v>5</v>
      </c>
      <c r="T1545" s="9" t="s">
        <v>13</v>
      </c>
      <c r="U1545" s="9" t="s">
        <v>9</v>
      </c>
      <c r="V1545" s="9">
        <v>1</v>
      </c>
      <c r="W1545" s="9" t="s">
        <v>306</v>
      </c>
      <c r="X1545" s="66">
        <f>+T1543</f>
        <v>75</v>
      </c>
      <c r="Y1545" s="66"/>
      <c r="Z1545" s="1" t="s">
        <v>275</v>
      </c>
      <c r="AA1545" s="66">
        <f>+W1543</f>
        <v>8.77914951989026E-2</v>
      </c>
      <c r="AB1545" s="66"/>
      <c r="AC1545" s="66"/>
      <c r="AD1545" s="1" t="s">
        <v>14</v>
      </c>
      <c r="AE1545" s="66">
        <f>+Q1545</f>
        <v>0.44444444444444442</v>
      </c>
      <c r="AF1545" s="66"/>
      <c r="AG1545" s="9" t="s">
        <v>5</v>
      </c>
      <c r="AH1545" s="9" t="s">
        <v>13</v>
      </c>
      <c r="AI1545" s="9" t="s">
        <v>9</v>
      </c>
      <c r="AJ1545" s="9">
        <v>1</v>
      </c>
      <c r="AK1545" s="1" t="s">
        <v>535</v>
      </c>
      <c r="AM1545" s="1" t="s">
        <v>24</v>
      </c>
      <c r="AN1545" s="9" t="s">
        <v>5</v>
      </c>
      <c r="AO1545" s="9" t="s">
        <v>13</v>
      </c>
      <c r="AP1545" s="9" t="s">
        <v>9</v>
      </c>
      <c r="AQ1545" s="1" t="s">
        <v>307</v>
      </c>
      <c r="CC1545" s="7"/>
    </row>
    <row r="1546" spans="2:81">
      <c r="B1546" s="6"/>
      <c r="D1546" s="24" t="s">
        <v>318</v>
      </c>
      <c r="CC1546" s="7"/>
    </row>
    <row r="1547" spans="2:81">
      <c r="B1547" s="6"/>
      <c r="D1547" s="1" t="s">
        <v>402</v>
      </c>
      <c r="J1547" s="66">
        <f>+H1544</f>
        <v>75</v>
      </c>
      <c r="K1547" s="66"/>
      <c r="L1547" s="9" t="s">
        <v>14</v>
      </c>
      <c r="M1547" s="66">
        <f>+K1544</f>
        <v>0.88888888888888884</v>
      </c>
      <c r="N1547" s="66"/>
      <c r="O1547" s="9" t="s">
        <v>5</v>
      </c>
      <c r="P1547" s="66">
        <f>+AI1516</f>
        <v>1.5</v>
      </c>
      <c r="Q1547" s="66"/>
      <c r="R1547" s="9" t="s">
        <v>9</v>
      </c>
      <c r="S1547" s="1">
        <v>1</v>
      </c>
      <c r="T1547" s="1" t="s">
        <v>255</v>
      </c>
      <c r="U1547" s="66">
        <f>+R1544</f>
        <v>0.19753086419753085</v>
      </c>
      <c r="V1547" s="66"/>
      <c r="W1547" s="66"/>
      <c r="X1547" s="1" t="s">
        <v>14</v>
      </c>
      <c r="Y1547" s="66">
        <f>+V1544</f>
        <v>0.19753086419753085</v>
      </c>
      <c r="Z1547" s="66"/>
      <c r="AA1547" s="66"/>
      <c r="AB1547" s="9" t="s">
        <v>5</v>
      </c>
      <c r="AC1547" s="66">
        <f>+P1547</f>
        <v>1.5</v>
      </c>
      <c r="AD1547" s="66"/>
      <c r="AE1547" s="1" t="s">
        <v>288</v>
      </c>
      <c r="AF1547" s="66">
        <f>+AB1544</f>
        <v>0.88888888888888884</v>
      </c>
      <c r="AG1547" s="66"/>
      <c r="AH1547" s="9" t="s">
        <v>5</v>
      </c>
      <c r="AI1547" s="66">
        <f>+AC1547</f>
        <v>1.5</v>
      </c>
      <c r="AJ1547" s="66"/>
      <c r="AK1547" s="9" t="s">
        <v>9</v>
      </c>
      <c r="AL1547" s="1">
        <v>1</v>
      </c>
      <c r="AM1547" s="1" t="s">
        <v>535</v>
      </c>
      <c r="AO1547" s="1" t="s">
        <v>24</v>
      </c>
      <c r="AP1547" s="9" t="s">
        <v>7</v>
      </c>
      <c r="AQ1547" s="9">
        <v>0</v>
      </c>
      <c r="AT1547" s="1" t="s">
        <v>24</v>
      </c>
      <c r="AU1547" s="1" t="s">
        <v>7</v>
      </c>
      <c r="AV1547" s="66">
        <f>-(J1547*(M1547*P1547+S1547)/(U1547*(Y1547*AC1547^2+AF1547*AI1547+AL1547)))</f>
        <v>-318.9375</v>
      </c>
      <c r="AW1547" s="66"/>
      <c r="AX1547" s="66"/>
      <c r="CC1547" s="7"/>
    </row>
    <row r="1548" spans="2:81">
      <c r="B1548" s="6"/>
      <c r="D1548" s="1" t="s">
        <v>401</v>
      </c>
      <c r="J1548" s="66">
        <f>+H1545</f>
        <v>75</v>
      </c>
      <c r="K1548" s="66"/>
      <c r="L1548" s="1" t="s">
        <v>173</v>
      </c>
      <c r="M1548" s="66">
        <f>+K1545</f>
        <v>4.38957475994513E-2</v>
      </c>
      <c r="N1548" s="66"/>
      <c r="O1548" s="66"/>
      <c r="P1548" s="9" t="s">
        <v>5</v>
      </c>
      <c r="Q1548" s="1" t="s">
        <v>536</v>
      </c>
      <c r="S1548" s="66">
        <f>+Q1545</f>
        <v>0.44444444444444442</v>
      </c>
      <c r="T1548" s="66"/>
      <c r="U1548" s="9" t="s">
        <v>5</v>
      </c>
      <c r="V1548" s="66">
        <f>+AI1516</f>
        <v>1.5</v>
      </c>
      <c r="W1548" s="66"/>
      <c r="X1548" s="9" t="s">
        <v>9</v>
      </c>
      <c r="Y1548" s="9">
        <v>1</v>
      </c>
      <c r="Z1548" s="9" t="s">
        <v>306</v>
      </c>
      <c r="AA1548" s="66">
        <f>+X1545</f>
        <v>75</v>
      </c>
      <c r="AB1548" s="66"/>
      <c r="AC1548" s="1" t="s">
        <v>275</v>
      </c>
      <c r="AD1548" s="66">
        <f>+AA1545</f>
        <v>8.77914951989026E-2</v>
      </c>
      <c r="AE1548" s="66"/>
      <c r="AF1548" s="66"/>
      <c r="AG1548" s="1" t="s">
        <v>14</v>
      </c>
      <c r="AH1548" s="66">
        <f>+S1548</f>
        <v>0.44444444444444442</v>
      </c>
      <c r="AI1548" s="66"/>
      <c r="AJ1548" s="9" t="s">
        <v>5</v>
      </c>
      <c r="AK1548" s="66">
        <f>+V1548</f>
        <v>1.5</v>
      </c>
      <c r="AL1548" s="66"/>
      <c r="AM1548" s="9" t="s">
        <v>9</v>
      </c>
      <c r="AN1548" s="9">
        <v>1</v>
      </c>
      <c r="AO1548" s="1" t="s">
        <v>535</v>
      </c>
      <c r="AQ1548" s="66">
        <f>+AV1547</f>
        <v>-318.9375</v>
      </c>
      <c r="AR1548" s="66"/>
      <c r="AS1548" s="66"/>
      <c r="AT1548" s="9" t="s">
        <v>5</v>
      </c>
      <c r="AU1548" s="66">
        <f>+AK1548</f>
        <v>1.5</v>
      </c>
      <c r="AV1548" s="66"/>
      <c r="AW1548" s="9" t="s">
        <v>9</v>
      </c>
      <c r="AX1548" s="1" t="s">
        <v>307</v>
      </c>
      <c r="AY1548" s="9" t="s">
        <v>7</v>
      </c>
      <c r="AZ1548" s="9">
        <v>0</v>
      </c>
      <c r="BC1548" s="1" t="s">
        <v>307</v>
      </c>
      <c r="BD1548" s="1" t="s">
        <v>7</v>
      </c>
      <c r="BE1548" s="66">
        <f>-(J1548/M1548*LN(S1548*V1548+Y1548)+AA1548/(AD1548*(AH1548*AK1548+AN1548))+AQ1548*AU1548)</f>
        <v>-906.96534310642301</v>
      </c>
      <c r="BF1548" s="66"/>
      <c r="BG1548" s="66"/>
      <c r="CC1548" s="7"/>
    </row>
    <row r="1549" spans="2:81">
      <c r="B1549" s="6"/>
      <c r="D1549" s="1" t="s">
        <v>537</v>
      </c>
      <c r="I1549" s="66">
        <f>+H1545</f>
        <v>75</v>
      </c>
      <c r="J1549" s="66"/>
      <c r="K1549" s="1" t="s">
        <v>173</v>
      </c>
      <c r="L1549" s="66">
        <f>+K1545</f>
        <v>4.38957475994513E-2</v>
      </c>
      <c r="M1549" s="66"/>
      <c r="N1549" s="66"/>
      <c r="O1549" s="9" t="s">
        <v>5</v>
      </c>
      <c r="P1549" s="1" t="s">
        <v>536</v>
      </c>
      <c r="R1549" s="66">
        <f>+Q1545</f>
        <v>0.44444444444444442</v>
      </c>
      <c r="S1549" s="66"/>
      <c r="T1549" s="9" t="s">
        <v>5</v>
      </c>
      <c r="U1549" s="9" t="s">
        <v>13</v>
      </c>
      <c r="V1549" s="9" t="s">
        <v>9</v>
      </c>
      <c r="W1549" s="9">
        <v>1</v>
      </c>
      <c r="X1549" s="9" t="s">
        <v>306</v>
      </c>
      <c r="Y1549" s="66">
        <f>+X1545</f>
        <v>75</v>
      </c>
      <c r="Z1549" s="66"/>
      <c r="AA1549" s="1" t="s">
        <v>275</v>
      </c>
      <c r="AB1549" s="66">
        <f>+AA1545</f>
        <v>8.77914951989026E-2</v>
      </c>
      <c r="AC1549" s="66"/>
      <c r="AD1549" s="66"/>
      <c r="AE1549" s="1" t="s">
        <v>14</v>
      </c>
      <c r="AF1549" s="66">
        <f>+AE1545</f>
        <v>0.44444444444444442</v>
      </c>
      <c r="AG1549" s="66"/>
      <c r="AH1549" s="9" t="s">
        <v>5</v>
      </c>
      <c r="AI1549" s="9" t="s">
        <v>13</v>
      </c>
      <c r="AJ1549" s="9" t="s">
        <v>9</v>
      </c>
      <c r="AK1549" s="9">
        <v>1</v>
      </c>
      <c r="AL1549" s="1" t="s">
        <v>535</v>
      </c>
      <c r="AN1549" s="1" t="s">
        <v>24</v>
      </c>
      <c r="AO1549" s="9" t="s">
        <v>5</v>
      </c>
      <c r="AP1549" s="9" t="s">
        <v>13</v>
      </c>
      <c r="AQ1549" s="9" t="s">
        <v>9</v>
      </c>
      <c r="AR1549" s="1" t="s">
        <v>307</v>
      </c>
      <c r="AV1549" s="9"/>
      <c r="CC1549" s="7"/>
    </row>
    <row r="1550" spans="2:81">
      <c r="B1550" s="6"/>
      <c r="D1550" s="1" t="s">
        <v>35</v>
      </c>
      <c r="F1550" s="66">
        <f>+I1549</f>
        <v>75</v>
      </c>
      <c r="G1550" s="66"/>
      <c r="H1550" s="1" t="s">
        <v>173</v>
      </c>
      <c r="I1550" s="66">
        <f>+L1549</f>
        <v>4.38957475994513E-2</v>
      </c>
      <c r="J1550" s="66"/>
      <c r="K1550" s="66"/>
      <c r="L1550" s="9" t="s">
        <v>5</v>
      </c>
      <c r="M1550" s="1" t="s">
        <v>536</v>
      </c>
      <c r="O1550" s="66">
        <f>+R1549</f>
        <v>0.44444444444444442</v>
      </c>
      <c r="P1550" s="66"/>
      <c r="Q1550" s="9" t="s">
        <v>5</v>
      </c>
      <c r="R1550" s="9" t="s">
        <v>13</v>
      </c>
      <c r="S1550" s="9" t="s">
        <v>9</v>
      </c>
      <c r="T1550" s="9">
        <v>1</v>
      </c>
      <c r="U1550" s="9" t="s">
        <v>306</v>
      </c>
      <c r="V1550" s="66">
        <f>+Y1549</f>
        <v>75</v>
      </c>
      <c r="W1550" s="66"/>
      <c r="X1550" s="1" t="s">
        <v>275</v>
      </c>
      <c r="Y1550" s="66">
        <f>+AB1549</f>
        <v>8.77914951989026E-2</v>
      </c>
      <c r="Z1550" s="66"/>
      <c r="AA1550" s="66"/>
      <c r="AB1550" s="1" t="s">
        <v>14</v>
      </c>
      <c r="AC1550" s="66">
        <f>+AF1549</f>
        <v>0.44444444444444442</v>
      </c>
      <c r="AD1550" s="66"/>
      <c r="AE1550" s="9" t="s">
        <v>5</v>
      </c>
      <c r="AF1550" s="9" t="s">
        <v>13</v>
      </c>
      <c r="AG1550" s="9" t="s">
        <v>9</v>
      </c>
      <c r="AH1550" s="9">
        <v>1</v>
      </c>
      <c r="AI1550" s="1" t="s">
        <v>535</v>
      </c>
      <c r="AK1550" s="66">
        <f>+AV1547</f>
        <v>-318.9375</v>
      </c>
      <c r="AL1550" s="66"/>
      <c r="AM1550" s="66"/>
      <c r="AN1550" s="9" t="s">
        <v>5</v>
      </c>
      <c r="AO1550" s="9" t="s">
        <v>13</v>
      </c>
      <c r="AP1550" s="9" t="s">
        <v>9</v>
      </c>
      <c r="AQ1550" s="66">
        <f>+BE1548</f>
        <v>-906.96534310642301</v>
      </c>
      <c r="AR1550" s="66"/>
      <c r="AS1550" s="66"/>
      <c r="AT1550" s="1" t="s">
        <v>538</v>
      </c>
      <c r="CC1550" s="7"/>
    </row>
    <row r="1551" spans="2:81">
      <c r="B1551" s="6"/>
      <c r="D1551" s="1" t="s">
        <v>27</v>
      </c>
      <c r="E1551" s="67">
        <v>0</v>
      </c>
      <c r="F1551" s="67"/>
      <c r="G1551" s="67"/>
      <c r="H1551" s="1" t="s">
        <v>42</v>
      </c>
      <c r="Q1551" s="8"/>
      <c r="R1551" s="8" t="str">
        <f>IF(E1551&lt;=AI1516,"","azalt.")</f>
        <v/>
      </c>
      <c r="V1551" s="24" t="s">
        <v>561</v>
      </c>
      <c r="CC1551" s="7"/>
    </row>
    <row r="1552" spans="2:81">
      <c r="B1552" s="6"/>
      <c r="D1552" s="1" t="s">
        <v>35</v>
      </c>
      <c r="F1552" s="66">
        <f>+F1550</f>
        <v>75</v>
      </c>
      <c r="G1552" s="66"/>
      <c r="H1552" s="1" t="s">
        <v>173</v>
      </c>
      <c r="I1552" s="66">
        <f>+I1550</f>
        <v>4.38957475994513E-2</v>
      </c>
      <c r="J1552" s="66"/>
      <c r="K1552" s="66"/>
      <c r="L1552" s="9" t="s">
        <v>5</v>
      </c>
      <c r="M1552" s="1" t="s">
        <v>536</v>
      </c>
      <c r="O1552" s="66">
        <f>+O1550</f>
        <v>0.44444444444444442</v>
      </c>
      <c r="P1552" s="66"/>
      <c r="Q1552" s="9" t="s">
        <v>5</v>
      </c>
      <c r="R1552" s="66">
        <f>+E1551</f>
        <v>0</v>
      </c>
      <c r="S1552" s="66"/>
      <c r="T1552" s="9" t="s">
        <v>9</v>
      </c>
      <c r="U1552" s="9">
        <v>1</v>
      </c>
      <c r="V1552" s="9" t="s">
        <v>306</v>
      </c>
      <c r="W1552" s="66">
        <f>+V1550</f>
        <v>75</v>
      </c>
      <c r="X1552" s="66"/>
      <c r="Y1552" s="1" t="s">
        <v>275</v>
      </c>
      <c r="Z1552" s="66">
        <f>+Y1550</f>
        <v>8.77914951989026E-2</v>
      </c>
      <c r="AA1552" s="66"/>
      <c r="AB1552" s="66"/>
      <c r="AC1552" s="1" t="s">
        <v>14</v>
      </c>
      <c r="AD1552" s="66">
        <f>+AC1550</f>
        <v>0.44444444444444442</v>
      </c>
      <c r="AE1552" s="66"/>
      <c r="AF1552" s="9" t="s">
        <v>5</v>
      </c>
      <c r="AG1552" s="66">
        <f>+R1552</f>
        <v>0</v>
      </c>
      <c r="AH1552" s="66"/>
      <c r="AI1552" s="9" t="s">
        <v>9</v>
      </c>
      <c r="AJ1552" s="9">
        <v>1</v>
      </c>
      <c r="AK1552" s="1" t="s">
        <v>535</v>
      </c>
      <c r="AM1552" s="66">
        <f>+AK1550</f>
        <v>-318.9375</v>
      </c>
      <c r="AN1552" s="66"/>
      <c r="AO1552" s="66"/>
      <c r="AP1552" s="9" t="s">
        <v>5</v>
      </c>
      <c r="AQ1552" s="66">
        <f>+AG1552</f>
        <v>0</v>
      </c>
      <c r="AR1552" s="66"/>
      <c r="AS1552" s="9" t="s">
        <v>9</v>
      </c>
      <c r="AT1552" s="66">
        <f>+AQ1550</f>
        <v>-906.96534310642301</v>
      </c>
      <c r="AU1552" s="66"/>
      <c r="AV1552" s="66"/>
      <c r="AW1552" s="1" t="s">
        <v>193</v>
      </c>
      <c r="AZ1552" s="66">
        <f>+AH1518</f>
        <v>200000</v>
      </c>
      <c r="BA1552" s="66"/>
      <c r="BB1552" s="66"/>
      <c r="BC1552" s="9" t="s">
        <v>5</v>
      </c>
      <c r="BD1552" s="66">
        <f>+BA1514/10000</f>
        <v>45000</v>
      </c>
      <c r="BE1552" s="66"/>
      <c r="BF1552" s="66"/>
      <c r="BG1552" s="1" t="s">
        <v>40</v>
      </c>
      <c r="CC1552" s="7"/>
    </row>
    <row r="1553" spans="2:81">
      <c r="B1553" s="6"/>
      <c r="D1553" s="1" t="s">
        <v>33</v>
      </c>
      <c r="F1553" s="66">
        <f>(F1552/I1552*LN(O1552*R1552+U1552)+W1552/(Z1552*(AD1552*AG1552+AJ1552))+AM1552*AQ1552+AT1552)*100000000/(AZ1552*BD1552)</f>
        <v>-0.58520520118247654</v>
      </c>
      <c r="G1553" s="66"/>
      <c r="H1553" s="66"/>
      <c r="I1553" s="1" t="s">
        <v>41</v>
      </c>
      <c r="CC1553" s="7"/>
    </row>
    <row r="1554" spans="2:81">
      <c r="B1554" s="6"/>
      <c r="D1554" s="1" t="s">
        <v>202</v>
      </c>
      <c r="I1554" s="66">
        <f>AI1516*1000</f>
        <v>1500</v>
      </c>
      <c r="J1554" s="66"/>
      <c r="K1554" s="66"/>
      <c r="L1554" s="1" t="s">
        <v>173</v>
      </c>
      <c r="M1554" s="66">
        <v>200</v>
      </c>
      <c r="N1554" s="66"/>
      <c r="O1554" s="9" t="s">
        <v>7</v>
      </c>
      <c r="P1554" s="66">
        <f>+I1554/M1554</f>
        <v>7.5</v>
      </c>
      <c r="Q1554" s="66"/>
      <c r="R1554" s="66"/>
      <c r="S1554" s="1" t="s">
        <v>41</v>
      </c>
      <c r="V1554" s="1" t="s">
        <v>192</v>
      </c>
      <c r="CC1554" s="7"/>
    </row>
    <row r="1555" spans="2:81">
      <c r="B1555" s="6"/>
      <c r="D1555" s="1" t="s">
        <v>34</v>
      </c>
      <c r="E1555" s="66">
        <f>+F1553</f>
        <v>-0.58520520118247654</v>
      </c>
      <c r="F1555" s="66"/>
      <c r="G1555" s="66"/>
      <c r="H1555" s="1" t="s">
        <v>41</v>
      </c>
      <c r="J1555" s="1" t="str">
        <f>IF(ABS(E1555)&lt;ABS(N1555),"&lt;","&gt;")</f>
        <v>&lt;</v>
      </c>
      <c r="K1555" s="1" t="s">
        <v>174</v>
      </c>
      <c r="N1555" s="66">
        <f>+P1554</f>
        <v>7.5</v>
      </c>
      <c r="O1555" s="66"/>
      <c r="P1555" s="66"/>
      <c r="Q1555" s="1" t="s">
        <v>41</v>
      </c>
      <c r="S1555" s="8" t="str">
        <f>IF(ABS(E1555)&lt;ABS(N1555),"uygun.","uygun değil.")</f>
        <v>uygun.</v>
      </c>
      <c r="CC1555" s="7"/>
    </row>
    <row r="1556" spans="2:81" ht="12" thickBot="1">
      <c r="B1556" s="12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  <c r="AK1556" s="13"/>
      <c r="AL1556" s="13"/>
      <c r="AM1556" s="13"/>
      <c r="AN1556" s="13"/>
      <c r="AO1556" s="13"/>
      <c r="AP1556" s="13"/>
      <c r="AQ1556" s="13"/>
      <c r="AR1556" s="13"/>
      <c r="AS1556" s="13"/>
      <c r="AT1556" s="13"/>
      <c r="AU1556" s="13"/>
      <c r="AV1556" s="13"/>
      <c r="AW1556" s="13"/>
      <c r="AX1556" s="13"/>
      <c r="AY1556" s="13"/>
      <c r="AZ1556" s="13"/>
      <c r="BA1556" s="13"/>
      <c r="BB1556" s="13"/>
      <c r="BC1556" s="13"/>
      <c r="BD1556" s="13"/>
      <c r="BE1556" s="13"/>
      <c r="BF1556" s="13"/>
      <c r="BG1556" s="13"/>
      <c r="BH1556" s="13"/>
      <c r="BI1556" s="13"/>
      <c r="BJ1556" s="13"/>
      <c r="BK1556" s="13"/>
      <c r="BL1556" s="13"/>
      <c r="BM1556" s="13"/>
      <c r="BN1556" s="13"/>
      <c r="BO1556" s="13"/>
      <c r="BP1556" s="13"/>
      <c r="BQ1556" s="13"/>
      <c r="BR1556" s="13"/>
      <c r="BS1556" s="13"/>
      <c r="BT1556" s="13"/>
      <c r="BU1556" s="13"/>
      <c r="BV1556" s="13"/>
      <c r="BW1556" s="13"/>
      <c r="BX1556" s="13"/>
      <c r="BY1556" s="13"/>
      <c r="BZ1556" s="13"/>
      <c r="CA1556" s="13"/>
      <c r="CB1556" s="13"/>
      <c r="CC1556" s="14"/>
    </row>
    <row r="1557" spans="2:81" ht="12" thickBot="1"/>
    <row r="1558" spans="2:81" ht="48" customHeight="1">
      <c r="B1558" s="73" t="s">
        <v>603</v>
      </c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Q1558" s="74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  <c r="AE1558" s="74"/>
      <c r="AF1558" s="74"/>
      <c r="AG1558" s="74"/>
      <c r="AH1558" s="74"/>
      <c r="AI1558" s="74"/>
      <c r="AJ1558" s="74"/>
      <c r="AK1558" s="74"/>
      <c r="AL1558" s="74"/>
      <c r="AM1558" s="74"/>
      <c r="AN1558" s="74"/>
      <c r="AO1558" s="74"/>
      <c r="AP1558" s="74"/>
      <c r="AQ1558" s="74"/>
      <c r="AR1558" s="74"/>
      <c r="AS1558" s="74"/>
      <c r="AT1558" s="74"/>
      <c r="AU1558" s="74"/>
      <c r="AV1558" s="74"/>
      <c r="AW1558" s="74"/>
      <c r="AX1558" s="74"/>
      <c r="AY1558" s="74"/>
      <c r="AZ1558" s="74"/>
      <c r="BA1558" s="74"/>
      <c r="BB1558" s="74"/>
      <c r="BC1558" s="74"/>
      <c r="BD1558" s="74"/>
      <c r="BE1558" s="74"/>
      <c r="BF1558" s="74"/>
      <c r="BG1558" s="74"/>
      <c r="BH1558" s="74"/>
      <c r="BI1558" s="74"/>
      <c r="BJ1558" s="74"/>
      <c r="BK1558" s="74"/>
      <c r="BL1558" s="74"/>
      <c r="BM1558" s="74"/>
      <c r="BN1558" s="74"/>
      <c r="BO1558" s="74"/>
      <c r="BP1558" s="74"/>
      <c r="BQ1558" s="74"/>
      <c r="BR1558" s="74"/>
      <c r="BS1558" s="74"/>
      <c r="BT1558" s="74"/>
      <c r="BU1558" s="74"/>
      <c r="BV1558" s="74"/>
      <c r="BW1558" s="74"/>
      <c r="BX1558" s="74"/>
      <c r="BY1558" s="74"/>
      <c r="BZ1558" s="74"/>
      <c r="CA1558" s="74"/>
      <c r="CB1558" s="74"/>
      <c r="CC1558" s="75"/>
    </row>
    <row r="1559" spans="2:81">
      <c r="B1559" s="6"/>
      <c r="T1559" s="67">
        <v>150</v>
      </c>
      <c r="U1559" s="67"/>
      <c r="V1559" s="1" t="s">
        <v>0</v>
      </c>
      <c r="AN1559" s="8" t="s">
        <v>176</v>
      </c>
      <c r="CC1559" s="7"/>
    </row>
    <row r="1560" spans="2:81">
      <c r="B1560" s="6"/>
      <c r="Y1560" s="1" t="s">
        <v>290</v>
      </c>
      <c r="CC1560" s="7"/>
    </row>
    <row r="1561" spans="2:81">
      <c r="B1561" s="6"/>
      <c r="CC1561" s="7"/>
    </row>
    <row r="1562" spans="2:81">
      <c r="B1562" s="6"/>
      <c r="AO1562" s="23" t="s">
        <v>497</v>
      </c>
      <c r="AW1562" s="23" t="s">
        <v>630</v>
      </c>
      <c r="CC1562" s="7"/>
    </row>
    <row r="1563" spans="2:81">
      <c r="B1563" s="6"/>
      <c r="AJ1563" s="71" t="s">
        <v>41</v>
      </c>
      <c r="AS1563" s="71" t="s">
        <v>41</v>
      </c>
      <c r="CC1563" s="7"/>
    </row>
    <row r="1564" spans="2:81">
      <c r="B1564" s="6"/>
      <c r="AJ1564" s="71"/>
      <c r="AS1564" s="71"/>
      <c r="BA1564" s="71" t="s">
        <v>41</v>
      </c>
      <c r="CC1564" s="7"/>
    </row>
    <row r="1565" spans="2:81">
      <c r="B1565" s="6"/>
      <c r="C1565" s="80">
        <f>+AS1565</f>
        <v>300</v>
      </c>
      <c r="D1565" s="80"/>
      <c r="E1565" s="79" t="s">
        <v>41</v>
      </c>
      <c r="F1565" s="79"/>
      <c r="AJ1565" s="71">
        <f>+BA1566</f>
        <v>500</v>
      </c>
      <c r="AS1565" s="77">
        <v>300</v>
      </c>
      <c r="BA1565" s="71"/>
      <c r="CC1565" s="7"/>
    </row>
    <row r="1566" spans="2:81">
      <c r="B1566" s="6"/>
      <c r="C1566" s="80"/>
      <c r="D1566" s="80"/>
      <c r="E1566" s="79"/>
      <c r="F1566" s="79"/>
      <c r="AJ1566" s="71"/>
      <c r="AS1566" s="77"/>
      <c r="BA1566" s="77">
        <v>500</v>
      </c>
      <c r="CC1566" s="7"/>
    </row>
    <row r="1567" spans="2:81">
      <c r="B1567" s="6"/>
      <c r="AJ1567" s="71"/>
      <c r="AS1567" s="77"/>
      <c r="BA1567" s="77"/>
      <c r="BB1567" s="8" t="str">
        <f>IF(AS1565&lt;BA1566,"","artır.")</f>
        <v/>
      </c>
      <c r="CC1567" s="7"/>
    </row>
    <row r="1568" spans="2:81">
      <c r="B1568" s="6"/>
      <c r="BA1568" s="77"/>
      <c r="CC1568" s="7"/>
    </row>
    <row r="1569" spans="2:81">
      <c r="B1569" s="6"/>
      <c r="J1569" s="1" t="s">
        <v>13</v>
      </c>
      <c r="AP1569" s="67">
        <v>200</v>
      </c>
      <c r="AQ1569" s="67"/>
      <c r="AR1569" s="1" t="s">
        <v>41</v>
      </c>
      <c r="BK1569" s="23" t="s">
        <v>770</v>
      </c>
      <c r="CC1569" s="7"/>
    </row>
    <row r="1570" spans="2:81">
      <c r="B1570" s="6"/>
      <c r="E1570" s="1" t="s">
        <v>2</v>
      </c>
      <c r="F1570" s="66">
        <f>+T1559/2</f>
        <v>75</v>
      </c>
      <c r="G1570" s="66"/>
      <c r="H1570" s="1" t="s">
        <v>0</v>
      </c>
      <c r="AG1570" s="1" t="s">
        <v>3</v>
      </c>
      <c r="AH1570" s="66">
        <f>+T1559/2</f>
        <v>75</v>
      </c>
      <c r="AI1570" s="66"/>
      <c r="AJ1570" s="1" t="s">
        <v>0</v>
      </c>
      <c r="CC1570" s="7"/>
    </row>
    <row r="1571" spans="2:81">
      <c r="B1571" s="6"/>
      <c r="M1571" s="66">
        <f>+T1573/2</f>
        <v>2.5</v>
      </c>
      <c r="N1571" s="66"/>
      <c r="O1571" s="1" t="s">
        <v>1</v>
      </c>
      <c r="AA1571" s="66">
        <f>+T1573/2</f>
        <v>2.5</v>
      </c>
      <c r="AB1571" s="66"/>
      <c r="AC1571" s="1" t="s">
        <v>1</v>
      </c>
      <c r="AN1571" s="10" t="s">
        <v>522</v>
      </c>
      <c r="AP1571" s="66">
        <f>AP1569*AS1565^3/12</f>
        <v>450000000</v>
      </c>
      <c r="AQ1571" s="66"/>
      <c r="AR1571" s="66"/>
      <c r="AS1571" s="66"/>
      <c r="AT1571" s="66"/>
      <c r="AU1571" s="1" t="s">
        <v>270</v>
      </c>
      <c r="AX1571" s="66">
        <f>+AP1569</f>
        <v>200</v>
      </c>
      <c r="AY1571" s="66"/>
      <c r="AZ1571" s="1" t="s">
        <v>41</v>
      </c>
      <c r="CC1571" s="7"/>
    </row>
    <row r="1572" spans="2:81">
      <c r="B1572" s="6"/>
      <c r="CC1572" s="7"/>
    </row>
    <row r="1573" spans="2:81">
      <c r="B1573" s="6"/>
      <c r="T1573" s="67">
        <v>5</v>
      </c>
      <c r="U1573" s="67"/>
      <c r="V1573" s="1" t="s">
        <v>1</v>
      </c>
      <c r="AV1573" s="10" t="s">
        <v>36</v>
      </c>
      <c r="AX1573" s="66">
        <f>AX1571*BA1566^3/12</f>
        <v>2083333333.3333333</v>
      </c>
      <c r="AY1573" s="66"/>
      <c r="AZ1573" s="66"/>
      <c r="BA1573" s="66"/>
      <c r="BB1573" s="66"/>
      <c r="BC1573" s="1" t="s">
        <v>270</v>
      </c>
      <c r="CC1573" s="7"/>
    </row>
    <row r="1574" spans="2:81">
      <c r="B1574" s="6"/>
      <c r="CC1574" s="7"/>
    </row>
    <row r="1575" spans="2:81">
      <c r="B1575" s="6"/>
      <c r="C1575" s="23" t="s">
        <v>223</v>
      </c>
      <c r="J1575" s="1" t="s">
        <v>636</v>
      </c>
      <c r="CC1575" s="7"/>
    </row>
    <row r="1576" spans="2:81">
      <c r="B1576" s="6"/>
      <c r="C1576" s="1" t="s">
        <v>499</v>
      </c>
      <c r="F1576" s="66">
        <f>+AS1565/1000</f>
        <v>0.3</v>
      </c>
      <c r="G1576" s="66"/>
      <c r="H1576" s="9" t="s">
        <v>9</v>
      </c>
      <c r="I1576" s="66">
        <f>(BA1566-AS1565)/AS1565</f>
        <v>0.66666666666666663</v>
      </c>
      <c r="J1576" s="66"/>
      <c r="K1576" s="9" t="s">
        <v>5</v>
      </c>
      <c r="L1576" s="66">
        <f>+F1576</f>
        <v>0.3</v>
      </c>
      <c r="M1576" s="66"/>
      <c r="N1576" s="9" t="s">
        <v>5</v>
      </c>
      <c r="O1576" s="9" t="s">
        <v>13</v>
      </c>
      <c r="P1576" s="1" t="s">
        <v>173</v>
      </c>
      <c r="Q1576" s="66">
        <f>+M1571</f>
        <v>2.5</v>
      </c>
      <c r="R1576" s="66"/>
      <c r="AF1576" s="1" t="s">
        <v>38</v>
      </c>
      <c r="AH1576" s="67">
        <v>200000</v>
      </c>
      <c r="AI1576" s="67"/>
      <c r="AJ1576" s="67"/>
      <c r="AK1576" s="67"/>
      <c r="AL1576" s="1" t="s">
        <v>39</v>
      </c>
      <c r="AO1576" s="1" t="s">
        <v>302</v>
      </c>
      <c r="CC1576" s="7"/>
    </row>
    <row r="1577" spans="2:81">
      <c r="B1577" s="6"/>
      <c r="C1577" s="1" t="s">
        <v>499</v>
      </c>
      <c r="F1577" s="66">
        <f>+F1576</f>
        <v>0.3</v>
      </c>
      <c r="G1577" s="66"/>
      <c r="H1577" s="1" t="s">
        <v>14</v>
      </c>
      <c r="I1577" s="1">
        <v>1</v>
      </c>
      <c r="J1577" s="9" t="s">
        <v>9</v>
      </c>
      <c r="K1577" s="66">
        <f>+I1576</f>
        <v>0.66666666666666663</v>
      </c>
      <c r="L1577" s="66"/>
      <c r="M1577" s="9" t="s">
        <v>5</v>
      </c>
      <c r="N1577" s="9" t="s">
        <v>13</v>
      </c>
      <c r="O1577" s="1" t="s">
        <v>173</v>
      </c>
      <c r="P1577" s="66">
        <f>+Q1576</f>
        <v>2.5</v>
      </c>
      <c r="Q1577" s="66"/>
      <c r="R1577" s="1" t="s">
        <v>40</v>
      </c>
      <c r="CC1577" s="7"/>
    </row>
    <row r="1578" spans="2:81">
      <c r="B1578" s="6"/>
      <c r="C1578" s="10" t="s">
        <v>36</v>
      </c>
      <c r="E1578" s="66">
        <f>+AP1569/1000</f>
        <v>0.2</v>
      </c>
      <c r="F1578" s="66"/>
      <c r="G1578" s="1" t="s">
        <v>14</v>
      </c>
      <c r="H1578" s="66">
        <f>+F1577</f>
        <v>0.3</v>
      </c>
      <c r="I1578" s="66"/>
      <c r="J1578" s="1" t="s">
        <v>14</v>
      </c>
      <c r="K1578" s="1">
        <v>1</v>
      </c>
      <c r="L1578" s="9" t="s">
        <v>9</v>
      </c>
      <c r="M1578" s="66">
        <f>+K1577</f>
        <v>0.66666666666666663</v>
      </c>
      <c r="N1578" s="66"/>
      <c r="O1578" s="9" t="s">
        <v>5</v>
      </c>
      <c r="P1578" s="9" t="s">
        <v>13</v>
      </c>
      <c r="Q1578" s="1" t="s">
        <v>173</v>
      </c>
      <c r="R1578" s="66">
        <f>+P1577</f>
        <v>2.5</v>
      </c>
      <c r="S1578" s="66"/>
      <c r="T1578" s="1" t="s">
        <v>534</v>
      </c>
      <c r="V1578" s="66">
        <v>12</v>
      </c>
      <c r="W1578" s="66"/>
      <c r="CC1578" s="7"/>
    </row>
    <row r="1579" spans="2:81">
      <c r="B1579" s="6"/>
      <c r="C1579" s="10" t="s">
        <v>36</v>
      </c>
      <c r="E1579" s="66">
        <f>+E1578</f>
        <v>0.2</v>
      </c>
      <c r="F1579" s="66"/>
      <c r="G1579" s="9" t="s">
        <v>5</v>
      </c>
      <c r="H1579" s="66">
        <f>+H1578</f>
        <v>0.3</v>
      </c>
      <c r="I1579" s="66"/>
      <c r="J1579" s="1" t="s">
        <v>30</v>
      </c>
      <c r="K1579" s="66">
        <v>12</v>
      </c>
      <c r="L1579" s="66"/>
      <c r="M1579" s="1" t="s">
        <v>14</v>
      </c>
      <c r="N1579" s="1">
        <v>1</v>
      </c>
      <c r="O1579" s="9" t="s">
        <v>9</v>
      </c>
      <c r="P1579" s="66">
        <f>+M1578</f>
        <v>0.66666666666666663</v>
      </c>
      <c r="Q1579" s="66"/>
      <c r="R1579" s="9" t="s">
        <v>5</v>
      </c>
      <c r="S1579" s="9" t="s">
        <v>13</v>
      </c>
      <c r="T1579" s="1" t="s">
        <v>173</v>
      </c>
      <c r="U1579" s="66">
        <f>+R1578</f>
        <v>2.5</v>
      </c>
      <c r="V1579" s="66"/>
      <c r="W1579" s="1" t="s">
        <v>311</v>
      </c>
      <c r="CC1579" s="7"/>
    </row>
    <row r="1580" spans="2:81">
      <c r="B1580" s="6"/>
      <c r="C1580" s="10" t="s">
        <v>541</v>
      </c>
      <c r="E1580" s="9"/>
      <c r="F1580" s="1">
        <v>1</v>
      </c>
      <c r="G1580" s="9" t="s">
        <v>9</v>
      </c>
      <c r="H1580" s="66">
        <f>+P1579</f>
        <v>0.66666666666666663</v>
      </c>
      <c r="I1580" s="66"/>
      <c r="J1580" s="9" t="s">
        <v>5</v>
      </c>
      <c r="K1580" s="9" t="s">
        <v>13</v>
      </c>
      <c r="L1580" s="1" t="s">
        <v>173</v>
      </c>
      <c r="M1580" s="66">
        <f>+U1579</f>
        <v>2.5</v>
      </c>
      <c r="N1580" s="66"/>
      <c r="O1580" s="1" t="s">
        <v>311</v>
      </c>
      <c r="Q1580" s="9"/>
      <c r="R1580" s="9"/>
      <c r="S1580" s="9"/>
      <c r="U1580" s="9"/>
      <c r="V1580" s="9"/>
      <c r="CC1580" s="7"/>
    </row>
    <row r="1581" spans="2:81">
      <c r="B1581" s="6"/>
      <c r="C1581" s="1" t="s">
        <v>526</v>
      </c>
      <c r="H1581" s="1">
        <v>1</v>
      </c>
      <c r="I1581" s="9" t="s">
        <v>9</v>
      </c>
      <c r="J1581" s="66">
        <f>+M1578</f>
        <v>0.66666666666666663</v>
      </c>
      <c r="K1581" s="66"/>
      <c r="L1581" s="9" t="s">
        <v>5</v>
      </c>
      <c r="M1581" s="9" t="s">
        <v>13</v>
      </c>
      <c r="N1581" s="1" t="s">
        <v>173</v>
      </c>
      <c r="O1581" s="66">
        <f>+R1578</f>
        <v>2.5</v>
      </c>
      <c r="P1581" s="66"/>
      <c r="Q1581" s="1" t="s">
        <v>311</v>
      </c>
      <c r="R1581" s="9"/>
      <c r="S1581" s="9"/>
      <c r="V1581" s="9"/>
      <c r="CC1581" s="7"/>
    </row>
    <row r="1582" spans="2:81">
      <c r="B1582" s="6"/>
      <c r="C1582" s="1" t="s">
        <v>604</v>
      </c>
      <c r="L1582" s="9"/>
      <c r="CC1582" s="7"/>
    </row>
    <row r="1583" spans="2:81">
      <c r="B1583" s="6"/>
      <c r="C1583" s="1" t="s">
        <v>532</v>
      </c>
      <c r="F1583" s="1">
        <v>1</v>
      </c>
      <c r="G1583" s="9" t="s">
        <v>9</v>
      </c>
      <c r="H1583" s="66">
        <f>+J1581/O1581</f>
        <v>0.26666666666666666</v>
      </c>
      <c r="I1583" s="66"/>
      <c r="J1583" s="9" t="s">
        <v>5</v>
      </c>
      <c r="K1583" s="9" t="s">
        <v>13</v>
      </c>
      <c r="L1583" s="1" t="s">
        <v>673</v>
      </c>
      <c r="Z1583" s="9"/>
      <c r="AA1583" s="9"/>
      <c r="CC1583" s="7"/>
    </row>
    <row r="1584" spans="2:81">
      <c r="B1584" s="6"/>
      <c r="C1584" s="1" t="s">
        <v>602</v>
      </c>
      <c r="I1584" s="1">
        <v>1</v>
      </c>
      <c r="J1584" s="9" t="s">
        <v>9</v>
      </c>
      <c r="K1584" s="66">
        <f>+H1583</f>
        <v>0.26666666666666666</v>
      </c>
      <c r="L1584" s="66"/>
      <c r="M1584" s="9" t="s">
        <v>5</v>
      </c>
      <c r="N1584" s="9" t="s">
        <v>13</v>
      </c>
      <c r="O1584" s="1" t="s">
        <v>311</v>
      </c>
      <c r="P1584" s="9" t="s">
        <v>7</v>
      </c>
      <c r="Q1584" s="66">
        <f>+F1570</f>
        <v>75</v>
      </c>
      <c r="R1584" s="66"/>
      <c r="S1584" s="9" t="s">
        <v>5</v>
      </c>
      <c r="T1584" s="9" t="s">
        <v>13</v>
      </c>
      <c r="U1584" s="1" t="s">
        <v>275</v>
      </c>
      <c r="V1584" s="1">
        <v>1</v>
      </c>
      <c r="W1584" s="9" t="s">
        <v>9</v>
      </c>
      <c r="X1584" s="66">
        <f>+K1584</f>
        <v>0.26666666666666666</v>
      </c>
      <c r="Y1584" s="66"/>
      <c r="Z1584" s="9" t="s">
        <v>5</v>
      </c>
      <c r="AA1584" s="9" t="s">
        <v>13</v>
      </c>
      <c r="AB1584" s="1" t="s">
        <v>311</v>
      </c>
      <c r="CC1584" s="7"/>
    </row>
    <row r="1585" spans="2:81">
      <c r="B1585" s="6"/>
      <c r="C1585" s="24" t="s">
        <v>591</v>
      </c>
      <c r="CC1585" s="7"/>
    </row>
    <row r="1586" spans="2:81">
      <c r="B1586" s="6"/>
      <c r="C1586" s="9" t="s">
        <v>542</v>
      </c>
      <c r="D1586" s="9" t="s">
        <v>7</v>
      </c>
      <c r="E1586" s="66">
        <f>+X1584</f>
        <v>0.26666666666666666</v>
      </c>
      <c r="F1586" s="66"/>
      <c r="G1586" s="9" t="s">
        <v>5</v>
      </c>
      <c r="H1586" s="9" t="s">
        <v>13</v>
      </c>
      <c r="I1586" s="9" t="s">
        <v>9</v>
      </c>
      <c r="J1586" s="1">
        <v>1</v>
      </c>
      <c r="K1586" s="9"/>
      <c r="L1586" s="9"/>
      <c r="M1586" s="9" t="s">
        <v>13</v>
      </c>
      <c r="N1586" s="1" t="s">
        <v>543</v>
      </c>
      <c r="O1586" s="9" t="s">
        <v>518</v>
      </c>
      <c r="P1586" s="9" t="s">
        <v>542</v>
      </c>
      <c r="Q1586" s="9" t="s">
        <v>6</v>
      </c>
      <c r="R1586" s="9">
        <v>1</v>
      </c>
      <c r="S1586" s="1" t="s">
        <v>287</v>
      </c>
      <c r="T1586" s="66">
        <f>+E1586</f>
        <v>0.26666666666666666</v>
      </c>
      <c r="U1586" s="66"/>
      <c r="V1586" s="9"/>
      <c r="W1586" s="9"/>
      <c r="X1586" s="9" t="s">
        <v>544</v>
      </c>
      <c r="Y1586" s="1" t="s">
        <v>7</v>
      </c>
      <c r="Z1586" s="1" t="s">
        <v>545</v>
      </c>
      <c r="AA1586" s="9" t="s">
        <v>173</v>
      </c>
      <c r="AB1586" s="66">
        <f>+T1586</f>
        <v>0.26666666666666666</v>
      </c>
      <c r="AC1586" s="66"/>
      <c r="AD1586" s="9"/>
      <c r="CC1586" s="7"/>
    </row>
    <row r="1587" spans="2:81">
      <c r="B1587" s="6"/>
      <c r="C1587" s="66">
        <f>Q1584</f>
        <v>75</v>
      </c>
      <c r="D1587" s="66"/>
      <c r="E1587" s="9" t="s">
        <v>546</v>
      </c>
      <c r="F1587" s="9" t="s">
        <v>518</v>
      </c>
      <c r="G1587" s="9" t="s">
        <v>542</v>
      </c>
      <c r="H1587" s="9" t="s">
        <v>6</v>
      </c>
      <c r="I1587" s="1">
        <v>1</v>
      </c>
      <c r="J1587" s="1" t="s">
        <v>287</v>
      </c>
      <c r="K1587" s="66">
        <f>+T1586</f>
        <v>0.26666666666666666</v>
      </c>
      <c r="L1587" s="66"/>
      <c r="M1587" s="9" t="s">
        <v>173</v>
      </c>
      <c r="N1587" s="9" t="s">
        <v>547</v>
      </c>
      <c r="O1587" s="9" t="s">
        <v>5</v>
      </c>
      <c r="P1587" s="1">
        <v>1</v>
      </c>
      <c r="Q1587" s="1" t="s">
        <v>173</v>
      </c>
      <c r="R1587" s="66">
        <f>+AB1586</f>
        <v>0.26666666666666666</v>
      </c>
      <c r="S1587" s="66"/>
      <c r="T1587" s="9" t="s">
        <v>5</v>
      </c>
      <c r="U1587" s="1" t="s">
        <v>545</v>
      </c>
      <c r="V1587" s="9" t="s">
        <v>7</v>
      </c>
      <c r="W1587" s="66">
        <f>+C1587</f>
        <v>75</v>
      </c>
      <c r="X1587" s="66"/>
      <c r="Y1587" s="9" t="s">
        <v>546</v>
      </c>
      <c r="Z1587" s="9" t="s">
        <v>518</v>
      </c>
      <c r="AA1587" s="9" t="s">
        <v>542</v>
      </c>
      <c r="AB1587" s="9" t="s">
        <v>6</v>
      </c>
      <c r="AC1587" s="1">
        <v>1</v>
      </c>
      <c r="AD1587" s="1" t="s">
        <v>255</v>
      </c>
      <c r="AE1587" s="66">
        <f>+K1587*R1587</f>
        <v>7.1111111111111111E-2</v>
      </c>
      <c r="AF1587" s="66"/>
      <c r="AG1587" s="9" t="s">
        <v>5</v>
      </c>
      <c r="AH1587" s="9" t="s">
        <v>547</v>
      </c>
      <c r="AI1587" s="9" t="s">
        <v>519</v>
      </c>
      <c r="AJ1587" s="1" t="s">
        <v>545</v>
      </c>
      <c r="AK1587" s="1" t="s">
        <v>7</v>
      </c>
      <c r="AL1587" s="66">
        <f>+W1587</f>
        <v>75</v>
      </c>
      <c r="AM1587" s="66"/>
      <c r="AN1587" s="9" t="s">
        <v>546</v>
      </c>
      <c r="AO1587" s="1">
        <v>1</v>
      </c>
      <c r="AP1587" s="1" t="s">
        <v>275</v>
      </c>
      <c r="AQ1587" s="66">
        <f>+AE1587</f>
        <v>7.1111111111111111E-2</v>
      </c>
      <c r="AR1587" s="66"/>
      <c r="AS1587" s="66"/>
      <c r="AT1587" s="9" t="s">
        <v>5</v>
      </c>
      <c r="AU1587" s="1" t="s">
        <v>548</v>
      </c>
      <c r="AV1587" s="9" t="s">
        <v>16</v>
      </c>
      <c r="AW1587" s="1">
        <v>1</v>
      </c>
      <c r="AX1587" s="1" t="s">
        <v>275</v>
      </c>
      <c r="AY1587" s="66">
        <f>+AQ1587</f>
        <v>7.1111111111111111E-2</v>
      </c>
      <c r="AZ1587" s="66"/>
      <c r="BA1587" s="66"/>
      <c r="BB1587" s="9" t="s">
        <v>5</v>
      </c>
      <c r="BC1587" s="1" t="s">
        <v>547</v>
      </c>
      <c r="BD1587" s="9" t="s">
        <v>549</v>
      </c>
      <c r="BE1587" s="1" t="s">
        <v>545</v>
      </c>
      <c r="BF1587" s="9" t="s">
        <v>7</v>
      </c>
      <c r="BG1587" s="66">
        <f>+AL1587</f>
        <v>75</v>
      </c>
      <c r="BH1587" s="66"/>
      <c r="BI1587" s="1" t="s">
        <v>173</v>
      </c>
      <c r="BJ1587" s="66">
        <f>+AQ1587</f>
        <v>7.1111111111111111E-2</v>
      </c>
      <c r="BK1587" s="66"/>
      <c r="BL1587" s="66"/>
      <c r="BM1587" s="9" t="s">
        <v>546</v>
      </c>
      <c r="BN1587" s="1" t="s">
        <v>518</v>
      </c>
      <c r="BO1587" s="1">
        <v>1</v>
      </c>
      <c r="BP1587" s="1" t="s">
        <v>173</v>
      </c>
      <c r="BQ1587" s="1" t="s">
        <v>548</v>
      </c>
      <c r="BR1587" s="9" t="s">
        <v>6</v>
      </c>
      <c r="BS1587" s="1">
        <v>1</v>
      </c>
      <c r="BT1587" s="1" t="s">
        <v>173</v>
      </c>
      <c r="BU1587" s="1" t="s">
        <v>547</v>
      </c>
      <c r="BV1587" s="1" t="s">
        <v>519</v>
      </c>
      <c r="BW1587" s="1" t="s">
        <v>545</v>
      </c>
      <c r="CC1587" s="7"/>
    </row>
    <row r="1588" spans="2:81">
      <c r="B1588" s="6"/>
      <c r="C1588" s="66">
        <f>+BG1587</f>
        <v>75</v>
      </c>
      <c r="D1588" s="66"/>
      <c r="E1588" s="1" t="s">
        <v>173</v>
      </c>
      <c r="F1588" s="66">
        <f>+BJ1587</f>
        <v>7.1111111111111111E-2</v>
      </c>
      <c r="G1588" s="66"/>
      <c r="H1588" s="66"/>
      <c r="I1588" s="1" t="s">
        <v>14</v>
      </c>
      <c r="J1588" s="1">
        <v>1</v>
      </c>
      <c r="K1588" s="9" t="s">
        <v>173</v>
      </c>
      <c r="L1588" s="9" t="s">
        <v>542</v>
      </c>
      <c r="M1588" s="9" t="s">
        <v>9</v>
      </c>
      <c r="N1588" s="9">
        <v>1</v>
      </c>
      <c r="O1588" s="9" t="s">
        <v>275</v>
      </c>
      <c r="P1588" s="1">
        <v>2</v>
      </c>
      <c r="Q1588" s="9" t="s">
        <v>5</v>
      </c>
      <c r="R1588" s="9" t="s">
        <v>548</v>
      </c>
      <c r="S1588" s="1" t="s">
        <v>550</v>
      </c>
      <c r="T1588" s="9" t="s">
        <v>7</v>
      </c>
      <c r="U1588" s="66">
        <f>+C1588</f>
        <v>75</v>
      </c>
      <c r="V1588" s="66"/>
      <c r="W1588" s="1" t="s">
        <v>173</v>
      </c>
      <c r="X1588" s="66">
        <f>+F1588</f>
        <v>7.1111111111111111E-2</v>
      </c>
      <c r="Y1588" s="66"/>
      <c r="Z1588" s="66"/>
      <c r="AA1588" s="9" t="s">
        <v>14</v>
      </c>
      <c r="AB1588" s="9">
        <v>-2</v>
      </c>
      <c r="AC1588" s="9" t="s">
        <v>5</v>
      </c>
      <c r="AD1588" s="9" t="s">
        <v>542</v>
      </c>
      <c r="AE1588" s="9" t="s">
        <v>9</v>
      </c>
      <c r="AF1588" s="1">
        <v>1</v>
      </c>
      <c r="AG1588" s="1" t="s">
        <v>255</v>
      </c>
      <c r="AH1588" s="1">
        <v>2</v>
      </c>
      <c r="AI1588" s="9" t="s">
        <v>5</v>
      </c>
      <c r="AJ1588" s="1" t="s">
        <v>548</v>
      </c>
      <c r="AK1588" s="1" t="s">
        <v>201</v>
      </c>
      <c r="AL1588" s="66">
        <f>-U1588</f>
        <v>-75</v>
      </c>
      <c r="AM1588" s="66"/>
      <c r="AN1588" s="1" t="s">
        <v>173</v>
      </c>
      <c r="AO1588" s="66">
        <f>+X1588</f>
        <v>7.1111111111111111E-2</v>
      </c>
      <c r="AP1588" s="66"/>
      <c r="AQ1588" s="66"/>
      <c r="AR1588" s="9" t="s">
        <v>14</v>
      </c>
      <c r="AS1588" s="1">
        <v>2</v>
      </c>
      <c r="AT1588" s="9" t="s">
        <v>5</v>
      </c>
      <c r="AU1588" s="1" t="s">
        <v>542</v>
      </c>
      <c r="AV1588" s="9" t="s">
        <v>6</v>
      </c>
      <c r="AW1588" s="1">
        <v>1</v>
      </c>
      <c r="AX1588" s="1" t="s">
        <v>255</v>
      </c>
      <c r="AY1588" s="1">
        <v>2</v>
      </c>
      <c r="AZ1588" s="9" t="s">
        <v>5</v>
      </c>
      <c r="BA1588" s="1" t="s">
        <v>548</v>
      </c>
      <c r="BB1588" s="1" t="s">
        <v>201</v>
      </c>
      <c r="BC1588" s="66">
        <f>+AL1588/AS1588</f>
        <v>-37.5</v>
      </c>
      <c r="BD1588" s="66"/>
      <c r="BE1588" s="1" t="s">
        <v>173</v>
      </c>
      <c r="BF1588" s="66">
        <f>+AO1588</f>
        <v>7.1111111111111111E-2</v>
      </c>
      <c r="BG1588" s="66"/>
      <c r="BH1588" s="66"/>
      <c r="BI1588" s="9" t="s">
        <v>14</v>
      </c>
      <c r="BJ1588" s="1">
        <v>2</v>
      </c>
      <c r="BK1588" s="9" t="s">
        <v>5</v>
      </c>
      <c r="BL1588" s="9" t="s">
        <v>542</v>
      </c>
      <c r="BM1588" s="9" t="s">
        <v>6</v>
      </c>
      <c r="BN1588" s="1">
        <v>1</v>
      </c>
      <c r="BO1588" s="1" t="s">
        <v>287</v>
      </c>
      <c r="BP1588" s="1" t="s">
        <v>548</v>
      </c>
      <c r="BS1588" s="1" t="s">
        <v>551</v>
      </c>
      <c r="CC1588" s="7"/>
    </row>
    <row r="1589" spans="2:81">
      <c r="B1589" s="6"/>
      <c r="C1589" s="66">
        <f>+BC1588</f>
        <v>-37.5</v>
      </c>
      <c r="D1589" s="66"/>
      <c r="E1589" s="1" t="s">
        <v>173</v>
      </c>
      <c r="F1589" s="66">
        <f>+BF1588</f>
        <v>7.1111111111111111E-2</v>
      </c>
      <c r="G1589" s="66"/>
      <c r="H1589" s="66"/>
      <c r="I1589" s="1" t="s">
        <v>14</v>
      </c>
      <c r="J1589" s="1">
        <v>2</v>
      </c>
      <c r="K1589" s="9" t="s">
        <v>14</v>
      </c>
      <c r="L1589" s="66">
        <f>+E1586</f>
        <v>0.26666666666666666</v>
      </c>
      <c r="M1589" s="66"/>
      <c r="N1589" s="9" t="s">
        <v>5</v>
      </c>
      <c r="O1589" s="9" t="s">
        <v>13</v>
      </c>
      <c r="P1589" s="9" t="s">
        <v>9</v>
      </c>
      <c r="Q1589" s="1">
        <v>1</v>
      </c>
      <c r="R1589" s="1" t="s">
        <v>16</v>
      </c>
      <c r="S1589" s="1">
        <v>1</v>
      </c>
      <c r="T1589" s="1" t="s">
        <v>255</v>
      </c>
      <c r="U1589" s="66">
        <f>+L1589</f>
        <v>0.26666666666666666</v>
      </c>
      <c r="V1589" s="66"/>
      <c r="W1589" s="9" t="s">
        <v>5</v>
      </c>
      <c r="X1589" s="9" t="s">
        <v>13</v>
      </c>
      <c r="Y1589" s="9" t="s">
        <v>9</v>
      </c>
      <c r="Z1589" s="1">
        <v>1</v>
      </c>
      <c r="AA1589" s="1" t="s">
        <v>200</v>
      </c>
      <c r="AB1589" s="9" t="s">
        <v>7</v>
      </c>
      <c r="AC1589" s="81">
        <f>+C1589</f>
        <v>-37.5</v>
      </c>
      <c r="AD1589" s="68"/>
      <c r="AE1589" s="48" t="s">
        <v>14</v>
      </c>
      <c r="AF1589" s="68">
        <f>+J1589*L1589</f>
        <v>0.53333333333333333</v>
      </c>
      <c r="AG1589" s="68"/>
      <c r="AH1589" s="48" t="s">
        <v>5</v>
      </c>
      <c r="AI1589" s="48" t="s">
        <v>13</v>
      </c>
      <c r="AJ1589" s="48" t="s">
        <v>9</v>
      </c>
      <c r="AK1589" s="49">
        <v>1</v>
      </c>
      <c r="AL1589" s="49" t="s">
        <v>255</v>
      </c>
      <c r="AM1589" s="68">
        <f>+F1589</f>
        <v>7.1111111111111111E-2</v>
      </c>
      <c r="AN1589" s="68"/>
      <c r="AO1589" s="68"/>
      <c r="AP1589" s="49" t="s">
        <v>14</v>
      </c>
      <c r="AQ1589" s="68">
        <f>+U1589^2</f>
        <v>7.1111111111111111E-2</v>
      </c>
      <c r="AR1589" s="68"/>
      <c r="AS1589" s="68"/>
      <c r="AT1589" s="48" t="s">
        <v>5</v>
      </c>
      <c r="AU1589" s="49" t="s">
        <v>183</v>
      </c>
      <c r="AV1589" s="48" t="s">
        <v>9</v>
      </c>
      <c r="AW1589" s="68">
        <f>2*U1589</f>
        <v>0.53333333333333333</v>
      </c>
      <c r="AX1589" s="68"/>
      <c r="AY1589" s="48" t="s">
        <v>5</v>
      </c>
      <c r="AZ1589" s="48" t="s">
        <v>13</v>
      </c>
      <c r="BA1589" s="48" t="s">
        <v>9</v>
      </c>
      <c r="BB1589" s="49">
        <v>1</v>
      </c>
      <c r="BC1589" s="49" t="s">
        <v>535</v>
      </c>
      <c r="BD1589" s="49"/>
      <c r="BE1589" s="50" t="s">
        <v>24</v>
      </c>
      <c r="CC1589" s="7"/>
    </row>
    <row r="1590" spans="2:81">
      <c r="B1590" s="6"/>
      <c r="C1590" s="24" t="s">
        <v>590</v>
      </c>
      <c r="K1590" s="9"/>
      <c r="L1590" s="9"/>
      <c r="M1590" s="9"/>
      <c r="N1590" s="9"/>
      <c r="O1590" s="9"/>
      <c r="Q1590" s="9"/>
      <c r="R1590" s="9"/>
      <c r="U1590" s="9"/>
      <c r="V1590" s="9"/>
      <c r="W1590" s="9"/>
      <c r="X1590" s="9"/>
      <c r="AA1590" s="9"/>
      <c r="AB1590" s="9"/>
      <c r="AC1590" s="9"/>
      <c r="AD1590" s="9"/>
      <c r="CC1590" s="7"/>
    </row>
    <row r="1591" spans="2:81">
      <c r="B1591" s="6"/>
      <c r="C1591" s="66">
        <f>+C1589</f>
        <v>-37.5</v>
      </c>
      <c r="D1591" s="66"/>
      <c r="E1591" s="1" t="s">
        <v>173</v>
      </c>
      <c r="F1591" s="66">
        <f>+F1589</f>
        <v>7.1111111111111111E-2</v>
      </c>
      <c r="G1591" s="66"/>
      <c r="H1591" s="66"/>
      <c r="I1591" s="9" t="s">
        <v>546</v>
      </c>
      <c r="J1591" s="1" t="s">
        <v>518</v>
      </c>
      <c r="K1591" s="66">
        <f>+AF1589</f>
        <v>0.53333333333333333</v>
      </c>
      <c r="L1591" s="66"/>
      <c r="M1591" s="9" t="s">
        <v>5</v>
      </c>
      <c r="N1591" s="9" t="s">
        <v>13</v>
      </c>
      <c r="O1591" s="9" t="s">
        <v>9</v>
      </c>
      <c r="P1591" s="1">
        <v>1</v>
      </c>
      <c r="Q1591" s="1" t="s">
        <v>255</v>
      </c>
      <c r="R1591" s="66">
        <f>+U1589</f>
        <v>0.26666666666666666</v>
      </c>
      <c r="S1591" s="66"/>
      <c r="T1591" s="9" t="s">
        <v>5</v>
      </c>
      <c r="U1591" s="9" t="s">
        <v>13</v>
      </c>
      <c r="V1591" s="9" t="s">
        <v>9</v>
      </c>
      <c r="W1591" s="1">
        <v>1</v>
      </c>
      <c r="X1591" s="1" t="s">
        <v>200</v>
      </c>
      <c r="Y1591" s="9" t="s">
        <v>5</v>
      </c>
      <c r="Z1591" s="1" t="s">
        <v>544</v>
      </c>
      <c r="AA1591" s="9"/>
      <c r="AB1591" s="9"/>
      <c r="AC1591" s="1" t="s">
        <v>542</v>
      </c>
      <c r="AD1591" s="9" t="s">
        <v>7</v>
      </c>
      <c r="AE1591" s="66">
        <f>+R1591</f>
        <v>0.26666666666666666</v>
      </c>
      <c r="AF1591" s="66"/>
      <c r="AG1591" s="9" t="s">
        <v>5</v>
      </c>
      <c r="AH1591" s="9" t="s">
        <v>13</v>
      </c>
      <c r="AI1591" s="9"/>
      <c r="AJ1591" s="9"/>
      <c r="AK1591" s="9" t="s">
        <v>13</v>
      </c>
      <c r="AL1591" s="1" t="s">
        <v>543</v>
      </c>
      <c r="AM1591" s="1" t="s">
        <v>542</v>
      </c>
      <c r="AN1591" s="1" t="s">
        <v>173</v>
      </c>
      <c r="AO1591" s="66">
        <f>+AE1591</f>
        <v>0.26666666666666666</v>
      </c>
      <c r="AP1591" s="66"/>
      <c r="AQ1591" s="9"/>
      <c r="AR1591" s="9"/>
      <c r="AS1591" s="9" t="s">
        <v>544</v>
      </c>
      <c r="AT1591" s="1" t="s">
        <v>7</v>
      </c>
      <c r="AU1591" s="1" t="s">
        <v>545</v>
      </c>
      <c r="AV1591" s="9" t="s">
        <v>173</v>
      </c>
      <c r="AW1591" s="66">
        <f>+AO1591</f>
        <v>0.26666666666666666</v>
      </c>
      <c r="AX1591" s="66"/>
      <c r="AY1591" s="9"/>
      <c r="CC1591" s="7"/>
    </row>
    <row r="1592" spans="2:81">
      <c r="B1592" s="6"/>
      <c r="C1592" s="66">
        <f>+C1591</f>
        <v>-37.5</v>
      </c>
      <c r="D1592" s="66"/>
      <c r="E1592" s="1" t="s">
        <v>173</v>
      </c>
      <c r="F1592" s="66">
        <f>+F1591</f>
        <v>7.1111111111111111E-2</v>
      </c>
      <c r="G1592" s="66"/>
      <c r="H1592" s="66"/>
      <c r="I1592" s="9" t="s">
        <v>546</v>
      </c>
      <c r="J1592" s="1" t="s">
        <v>518</v>
      </c>
      <c r="K1592" s="9">
        <v>2</v>
      </c>
      <c r="L1592" s="9" t="s">
        <v>5</v>
      </c>
      <c r="M1592" s="9" t="s">
        <v>542</v>
      </c>
      <c r="N1592" s="9" t="s">
        <v>9</v>
      </c>
      <c r="O1592" s="9">
        <v>1</v>
      </c>
      <c r="P1592" s="1" t="s">
        <v>255</v>
      </c>
      <c r="Q1592" s="9" t="s">
        <v>542</v>
      </c>
      <c r="R1592" s="9" t="s">
        <v>9</v>
      </c>
      <c r="S1592" s="1">
        <v>1</v>
      </c>
      <c r="T1592" s="1" t="s">
        <v>200</v>
      </c>
      <c r="U1592" s="9" t="s">
        <v>5</v>
      </c>
      <c r="V1592" s="9">
        <v>1</v>
      </c>
      <c r="W1592" s="9" t="s">
        <v>173</v>
      </c>
      <c r="X1592" s="66">
        <f>+AW1591</f>
        <v>0.26666666666666666</v>
      </c>
      <c r="Y1592" s="66"/>
      <c r="Z1592" s="9" t="s">
        <v>5</v>
      </c>
      <c r="AA1592" s="9" t="s">
        <v>545</v>
      </c>
      <c r="AB1592" s="9" t="s">
        <v>7</v>
      </c>
      <c r="AC1592" s="66">
        <f>+C1592</f>
        <v>-37.5</v>
      </c>
      <c r="AD1592" s="66"/>
      <c r="AE1592" s="1" t="s">
        <v>173</v>
      </c>
      <c r="AF1592" s="66">
        <f>+F1592*X1592</f>
        <v>1.8962962962962963E-2</v>
      </c>
      <c r="AG1592" s="66"/>
      <c r="AH1592" s="66"/>
      <c r="AI1592" s="9" t="s">
        <v>546</v>
      </c>
      <c r="AJ1592" s="1" t="s">
        <v>518</v>
      </c>
      <c r="AK1592" s="9">
        <v>2</v>
      </c>
      <c r="AL1592" s="9" t="s">
        <v>5</v>
      </c>
      <c r="AM1592" s="9" t="s">
        <v>542</v>
      </c>
      <c r="AN1592" s="9" t="s">
        <v>9</v>
      </c>
      <c r="AO1592" s="9">
        <v>1</v>
      </c>
      <c r="AP1592" s="1" t="s">
        <v>255</v>
      </c>
      <c r="AQ1592" s="9" t="s">
        <v>542</v>
      </c>
      <c r="AR1592" s="9" t="s">
        <v>9</v>
      </c>
      <c r="AS1592" s="1">
        <v>1</v>
      </c>
      <c r="AT1592" s="1" t="s">
        <v>200</v>
      </c>
      <c r="AU1592" s="9" t="s">
        <v>5</v>
      </c>
      <c r="AV1592" s="9" t="s">
        <v>545</v>
      </c>
      <c r="AW1592" s="9"/>
      <c r="AX1592" s="9"/>
      <c r="AY1592" s="9" t="s">
        <v>552</v>
      </c>
      <c r="AZ1592" s="1" t="s">
        <v>7</v>
      </c>
      <c r="BA1592" s="1" t="s">
        <v>542</v>
      </c>
      <c r="BB1592" s="9" t="s">
        <v>9</v>
      </c>
      <c r="BC1592" s="9">
        <v>1</v>
      </c>
      <c r="BD1592" s="9"/>
      <c r="BE1592" s="9"/>
      <c r="BF1592" s="1" t="s">
        <v>542</v>
      </c>
      <c r="BG1592" s="1" t="s">
        <v>7</v>
      </c>
      <c r="BH1592" s="1" t="s">
        <v>552</v>
      </c>
      <c r="BI1592" s="9" t="s">
        <v>6</v>
      </c>
      <c r="BJ1592" s="1">
        <v>1</v>
      </c>
      <c r="BK1592" s="9"/>
      <c r="BL1592" s="9"/>
      <c r="BM1592" s="1" t="s">
        <v>545</v>
      </c>
      <c r="BN1592" s="9" t="s">
        <v>7</v>
      </c>
      <c r="BO1592" s="1" t="s">
        <v>553</v>
      </c>
      <c r="CC1592" s="7"/>
    </row>
    <row r="1593" spans="2:81">
      <c r="B1593" s="6"/>
      <c r="C1593" s="66">
        <f>+AC1592</f>
        <v>-37.5</v>
      </c>
      <c r="D1593" s="66"/>
      <c r="E1593" s="1" t="s">
        <v>173</v>
      </c>
      <c r="F1593" s="66">
        <f>+AF1592</f>
        <v>1.8962962962962963E-2</v>
      </c>
      <c r="G1593" s="66"/>
      <c r="H1593" s="66"/>
      <c r="I1593" s="9" t="s">
        <v>546</v>
      </c>
      <c r="J1593" s="1" t="s">
        <v>518</v>
      </c>
      <c r="K1593" s="1">
        <v>2</v>
      </c>
      <c r="L1593" s="9" t="s">
        <v>14</v>
      </c>
      <c r="M1593" s="1" t="s">
        <v>552</v>
      </c>
      <c r="N1593" s="9" t="s">
        <v>6</v>
      </c>
      <c r="O1593" s="1">
        <v>1</v>
      </c>
      <c r="P1593" s="9" t="s">
        <v>306</v>
      </c>
      <c r="Q1593" s="1">
        <v>1</v>
      </c>
      <c r="R1593" s="9" t="s">
        <v>255</v>
      </c>
      <c r="S1593" s="1" t="s">
        <v>552</v>
      </c>
      <c r="T1593" s="9" t="s">
        <v>6</v>
      </c>
      <c r="U1593" s="1">
        <v>1</v>
      </c>
      <c r="V1593" s="9" t="s">
        <v>9</v>
      </c>
      <c r="W1593" s="9">
        <v>1</v>
      </c>
      <c r="X1593" s="9" t="s">
        <v>200</v>
      </c>
      <c r="Y1593" s="9" t="s">
        <v>5</v>
      </c>
      <c r="Z1593" s="1" t="s">
        <v>553</v>
      </c>
      <c r="AA1593" s="9" t="s">
        <v>7</v>
      </c>
      <c r="AB1593" s="66">
        <f>+C1593</f>
        <v>-37.5</v>
      </c>
      <c r="AC1593" s="66"/>
      <c r="AD1593" s="1" t="s">
        <v>173</v>
      </c>
      <c r="AE1593" s="66">
        <f>+F1593</f>
        <v>1.8962962962962963E-2</v>
      </c>
      <c r="AF1593" s="66"/>
      <c r="AG1593" s="66"/>
      <c r="AH1593" s="9" t="s">
        <v>546</v>
      </c>
      <c r="AI1593" s="1" t="s">
        <v>518</v>
      </c>
      <c r="AJ1593" s="1">
        <v>2</v>
      </c>
      <c r="AK1593" s="1" t="s">
        <v>5</v>
      </c>
      <c r="AL1593" s="9" t="s">
        <v>552</v>
      </c>
      <c r="AM1593" s="9" t="s">
        <v>6</v>
      </c>
      <c r="AN1593" s="1">
        <v>1</v>
      </c>
      <c r="AO1593" s="1" t="s">
        <v>287</v>
      </c>
      <c r="AP1593" s="1" t="s">
        <v>554</v>
      </c>
      <c r="AQ1593" s="9" t="s">
        <v>5</v>
      </c>
      <c r="AR1593" s="1" t="s">
        <v>553</v>
      </c>
      <c r="AS1593" s="9" t="s">
        <v>7</v>
      </c>
      <c r="AT1593" s="66">
        <f>+AB1593</f>
        <v>-37.5</v>
      </c>
      <c r="AU1593" s="66"/>
      <c r="AV1593" s="1" t="s">
        <v>173</v>
      </c>
      <c r="AW1593" s="66">
        <f>+AE1593</f>
        <v>1.8962962962962963E-2</v>
      </c>
      <c r="AX1593" s="66"/>
      <c r="AY1593" s="66"/>
      <c r="AZ1593" s="9" t="s">
        <v>555</v>
      </c>
      <c r="BA1593" s="1">
        <v>2</v>
      </c>
      <c r="BB1593" s="1" t="s">
        <v>5</v>
      </c>
      <c r="BC1593" s="1" t="s">
        <v>552</v>
      </c>
      <c r="BD1593" s="1" t="s">
        <v>173</v>
      </c>
      <c r="BE1593" s="1" t="s">
        <v>554</v>
      </c>
      <c r="BF1593" s="9" t="s">
        <v>5</v>
      </c>
      <c r="BG1593" s="1" t="s">
        <v>553</v>
      </c>
      <c r="BH1593" s="9" t="s">
        <v>6</v>
      </c>
      <c r="BI1593" s="9" t="s">
        <v>546</v>
      </c>
      <c r="BJ1593" s="1">
        <v>1</v>
      </c>
      <c r="BK1593" s="1" t="s">
        <v>173</v>
      </c>
      <c r="BL1593" s="1" t="s">
        <v>554</v>
      </c>
      <c r="BM1593" s="1" t="s">
        <v>5</v>
      </c>
      <c r="BN1593" s="1" t="s">
        <v>553</v>
      </c>
      <c r="BO1593" s="1" t="s">
        <v>40</v>
      </c>
      <c r="CC1593" s="7"/>
    </row>
    <row r="1594" spans="2:81">
      <c r="B1594" s="6"/>
      <c r="C1594" s="66">
        <f>+AT1593</f>
        <v>-37.5</v>
      </c>
      <c r="D1594" s="66"/>
      <c r="E1594" s="1" t="s">
        <v>173</v>
      </c>
      <c r="F1594" s="66">
        <f>+AW1593</f>
        <v>1.8962962962962963E-2</v>
      </c>
      <c r="G1594" s="66"/>
      <c r="H1594" s="66"/>
      <c r="I1594" s="1" t="s">
        <v>14</v>
      </c>
      <c r="J1594" s="1">
        <v>2</v>
      </c>
      <c r="K1594" s="9" t="s">
        <v>5</v>
      </c>
      <c r="L1594" s="1" t="s">
        <v>556</v>
      </c>
      <c r="N1594" s="1" t="s">
        <v>9</v>
      </c>
      <c r="O1594" s="1">
        <v>1</v>
      </c>
      <c r="P1594" s="1" t="s">
        <v>173</v>
      </c>
      <c r="Q1594" s="9" t="s">
        <v>552</v>
      </c>
      <c r="R1594" s="9" t="s">
        <v>201</v>
      </c>
      <c r="S1594" s="66">
        <f>+C1594</f>
        <v>-37.5</v>
      </c>
      <c r="T1594" s="66"/>
      <c r="U1594" s="1" t="s">
        <v>173</v>
      </c>
      <c r="V1594" s="66">
        <f>+F1594/2</f>
        <v>9.4814814814814814E-3</v>
      </c>
      <c r="W1594" s="66"/>
      <c r="X1594" s="66"/>
      <c r="Y1594" s="9" t="s">
        <v>5</v>
      </c>
      <c r="Z1594" s="1" t="s">
        <v>556</v>
      </c>
      <c r="AA1594" s="9"/>
      <c r="AB1594" s="9" t="s">
        <v>9</v>
      </c>
      <c r="AC1594" s="66">
        <f>+S1594</f>
        <v>-37.5</v>
      </c>
      <c r="AD1594" s="66"/>
      <c r="AE1594" s="9" t="s">
        <v>275</v>
      </c>
      <c r="AF1594" s="66">
        <f>+F1594</f>
        <v>1.8962962962962963E-2</v>
      </c>
      <c r="AG1594" s="66"/>
      <c r="AH1594" s="66"/>
      <c r="AI1594" s="1" t="s">
        <v>552</v>
      </c>
      <c r="AJ1594" s="9" t="s">
        <v>201</v>
      </c>
      <c r="AK1594" s="66">
        <f>+S1594</f>
        <v>-37.5</v>
      </c>
      <c r="AL1594" s="66"/>
      <c r="AM1594" s="1" t="s">
        <v>173</v>
      </c>
      <c r="AN1594" s="66">
        <f>+V1594</f>
        <v>9.4814814814814814E-3</v>
      </c>
      <c r="AO1594" s="66"/>
      <c r="AP1594" s="66"/>
      <c r="AQ1594" s="9" t="s">
        <v>5</v>
      </c>
      <c r="AR1594" s="1" t="s">
        <v>536</v>
      </c>
      <c r="AT1594" s="1" t="s">
        <v>542</v>
      </c>
      <c r="AU1594" s="9" t="s">
        <v>9</v>
      </c>
      <c r="AV1594" s="9">
        <v>1</v>
      </c>
      <c r="AW1594" s="1" t="s">
        <v>306</v>
      </c>
      <c r="AX1594" s="66">
        <f>+AC1594</f>
        <v>-37.5</v>
      </c>
      <c r="AY1594" s="66"/>
      <c r="AZ1594" s="1" t="s">
        <v>275</v>
      </c>
      <c r="BA1594" s="66">
        <f>+AF1594</f>
        <v>1.8962962962962963E-2</v>
      </c>
      <c r="BB1594" s="66"/>
      <c r="BC1594" s="66"/>
      <c r="BD1594" s="1" t="s">
        <v>14</v>
      </c>
      <c r="BE1594" s="1" t="s">
        <v>542</v>
      </c>
      <c r="BF1594" s="9" t="s">
        <v>9</v>
      </c>
      <c r="BG1594" s="9">
        <v>1</v>
      </c>
      <c r="BH1594" s="1" t="s">
        <v>550</v>
      </c>
      <c r="CC1594" s="7"/>
    </row>
    <row r="1595" spans="2:81">
      <c r="B1595" s="6"/>
      <c r="C1595" s="81">
        <f>+AK1594</f>
        <v>-37.5</v>
      </c>
      <c r="D1595" s="68"/>
      <c r="E1595" s="49" t="s">
        <v>173</v>
      </c>
      <c r="F1595" s="68">
        <f>+AN1594</f>
        <v>9.4814814814814814E-3</v>
      </c>
      <c r="G1595" s="68"/>
      <c r="H1595" s="68"/>
      <c r="I1595" s="48" t="s">
        <v>5</v>
      </c>
      <c r="J1595" s="49" t="s">
        <v>536</v>
      </c>
      <c r="K1595" s="49"/>
      <c r="L1595" s="68">
        <f>+AE1591</f>
        <v>0.26666666666666666</v>
      </c>
      <c r="M1595" s="68"/>
      <c r="N1595" s="48" t="s">
        <v>5</v>
      </c>
      <c r="O1595" s="48" t="s">
        <v>13</v>
      </c>
      <c r="P1595" s="48" t="s">
        <v>9</v>
      </c>
      <c r="Q1595" s="48">
        <v>1</v>
      </c>
      <c r="R1595" s="48" t="s">
        <v>306</v>
      </c>
      <c r="S1595" s="68">
        <f>+AX1594</f>
        <v>-37.5</v>
      </c>
      <c r="T1595" s="68"/>
      <c r="U1595" s="49" t="s">
        <v>275</v>
      </c>
      <c r="V1595" s="68">
        <f>+BA1594</f>
        <v>1.8962962962962963E-2</v>
      </c>
      <c r="W1595" s="68"/>
      <c r="X1595" s="68"/>
      <c r="Y1595" s="49" t="s">
        <v>14</v>
      </c>
      <c r="Z1595" s="68">
        <f>+L1595</f>
        <v>0.26666666666666666</v>
      </c>
      <c r="AA1595" s="68"/>
      <c r="AB1595" s="48" t="s">
        <v>5</v>
      </c>
      <c r="AC1595" s="48" t="s">
        <v>13</v>
      </c>
      <c r="AD1595" s="48" t="s">
        <v>9</v>
      </c>
      <c r="AE1595" s="48">
        <v>1</v>
      </c>
      <c r="AF1595" s="49" t="s">
        <v>535</v>
      </c>
      <c r="AG1595" s="49"/>
      <c r="AH1595" s="49" t="s">
        <v>24</v>
      </c>
      <c r="AI1595" s="48" t="s">
        <v>5</v>
      </c>
      <c r="AJ1595" s="48" t="s">
        <v>13</v>
      </c>
      <c r="AK1595" s="48" t="s">
        <v>9</v>
      </c>
      <c r="AL1595" s="50" t="s">
        <v>307</v>
      </c>
      <c r="CC1595" s="7"/>
    </row>
    <row r="1596" spans="2:81">
      <c r="B1596" s="6"/>
      <c r="C1596" s="1" t="s">
        <v>557</v>
      </c>
      <c r="G1596" s="66">
        <f>+AC1589</f>
        <v>-37.5</v>
      </c>
      <c r="H1596" s="66"/>
      <c r="I1596" s="9" t="s">
        <v>14</v>
      </c>
      <c r="J1596" s="66">
        <f>+AF1589</f>
        <v>0.53333333333333333</v>
      </c>
      <c r="K1596" s="66"/>
      <c r="L1596" s="9" t="s">
        <v>5</v>
      </c>
      <c r="M1596" s="9" t="s">
        <v>13</v>
      </c>
      <c r="N1596" s="9" t="s">
        <v>9</v>
      </c>
      <c r="O1596" s="1">
        <v>1</v>
      </c>
      <c r="P1596" s="1" t="s">
        <v>255</v>
      </c>
      <c r="Q1596" s="66">
        <f>+AM1589</f>
        <v>7.1111111111111111E-2</v>
      </c>
      <c r="R1596" s="66"/>
      <c r="S1596" s="66"/>
      <c r="T1596" s="1" t="s">
        <v>14</v>
      </c>
      <c r="U1596" s="66">
        <f>+AQ1589</f>
        <v>7.1111111111111111E-2</v>
      </c>
      <c r="V1596" s="66"/>
      <c r="W1596" s="66"/>
      <c r="X1596" s="9" t="s">
        <v>5</v>
      </c>
      <c r="Y1596" s="1" t="s">
        <v>183</v>
      </c>
      <c r="Z1596" s="1" t="s">
        <v>9</v>
      </c>
      <c r="AA1596" s="66">
        <f>+AW1589</f>
        <v>0.53333333333333333</v>
      </c>
      <c r="AB1596" s="66"/>
      <c r="AC1596" s="9" t="s">
        <v>5</v>
      </c>
      <c r="AD1596" s="9" t="s">
        <v>13</v>
      </c>
      <c r="AE1596" s="9" t="s">
        <v>9</v>
      </c>
      <c r="AF1596" s="1">
        <v>1</v>
      </c>
      <c r="AG1596" s="1" t="s">
        <v>535</v>
      </c>
      <c r="AI1596" s="1" t="s">
        <v>24</v>
      </c>
      <c r="CC1596" s="7"/>
    </row>
    <row r="1597" spans="2:81">
      <c r="B1597" s="6"/>
      <c r="C1597" s="1" t="s">
        <v>558</v>
      </c>
      <c r="G1597" s="66">
        <f>+C1595</f>
        <v>-37.5</v>
      </c>
      <c r="H1597" s="66"/>
      <c r="I1597" s="1" t="s">
        <v>173</v>
      </c>
      <c r="J1597" s="66">
        <f>+F1595</f>
        <v>9.4814814814814814E-3</v>
      </c>
      <c r="K1597" s="66"/>
      <c r="L1597" s="66"/>
      <c r="M1597" s="9" t="s">
        <v>5</v>
      </c>
      <c r="N1597" s="1" t="s">
        <v>536</v>
      </c>
      <c r="P1597" s="66">
        <f>+L1595</f>
        <v>0.26666666666666666</v>
      </c>
      <c r="Q1597" s="66"/>
      <c r="R1597" s="9" t="s">
        <v>5</v>
      </c>
      <c r="S1597" s="9" t="s">
        <v>13</v>
      </c>
      <c r="T1597" s="9" t="s">
        <v>9</v>
      </c>
      <c r="U1597" s="9">
        <v>1</v>
      </c>
      <c r="V1597" s="9" t="s">
        <v>306</v>
      </c>
      <c r="W1597" s="66">
        <f>+S1595</f>
        <v>-37.5</v>
      </c>
      <c r="X1597" s="66"/>
      <c r="Y1597" s="1" t="s">
        <v>275</v>
      </c>
      <c r="Z1597" s="66">
        <f>+V1595</f>
        <v>1.8962962962962963E-2</v>
      </c>
      <c r="AA1597" s="66"/>
      <c r="AB1597" s="66"/>
      <c r="AC1597" s="1" t="s">
        <v>14</v>
      </c>
      <c r="AD1597" s="66">
        <f>+P1597</f>
        <v>0.26666666666666666</v>
      </c>
      <c r="AE1597" s="66"/>
      <c r="AF1597" s="9" t="s">
        <v>5</v>
      </c>
      <c r="AG1597" s="9" t="s">
        <v>13</v>
      </c>
      <c r="AH1597" s="9" t="s">
        <v>9</v>
      </c>
      <c r="AI1597" s="9">
        <v>1</v>
      </c>
      <c r="AJ1597" s="1" t="s">
        <v>535</v>
      </c>
      <c r="AL1597" s="1" t="s">
        <v>24</v>
      </c>
      <c r="AM1597" s="9" t="s">
        <v>5</v>
      </c>
      <c r="AN1597" s="9" t="s">
        <v>13</v>
      </c>
      <c r="AO1597" s="9" t="s">
        <v>9</v>
      </c>
      <c r="AP1597" s="1" t="s">
        <v>307</v>
      </c>
      <c r="CC1597" s="7"/>
    </row>
    <row r="1598" spans="2:81">
      <c r="B1598" s="6"/>
      <c r="C1598" s="24" t="s">
        <v>318</v>
      </c>
      <c r="CC1598" s="7"/>
    </row>
    <row r="1599" spans="2:81">
      <c r="B1599" s="6"/>
      <c r="C1599" s="1" t="s">
        <v>599</v>
      </c>
      <c r="J1599" s="66">
        <f>+G1596</f>
        <v>-37.5</v>
      </c>
      <c r="K1599" s="66"/>
      <c r="L1599" s="9" t="s">
        <v>14</v>
      </c>
      <c r="M1599" s="66">
        <f>+J1596</f>
        <v>0.53333333333333333</v>
      </c>
      <c r="N1599" s="66"/>
      <c r="O1599" s="9" t="s">
        <v>5</v>
      </c>
      <c r="P1599" s="66">
        <f>+M1571</f>
        <v>2.5</v>
      </c>
      <c r="Q1599" s="66"/>
      <c r="R1599" s="9" t="s">
        <v>9</v>
      </c>
      <c r="S1599" s="1">
        <v>1</v>
      </c>
      <c r="T1599" s="1" t="s">
        <v>255</v>
      </c>
      <c r="U1599" s="66">
        <f>+Q1596</f>
        <v>7.1111111111111111E-2</v>
      </c>
      <c r="V1599" s="66"/>
      <c r="W1599" s="66"/>
      <c r="X1599" s="1" t="s">
        <v>14</v>
      </c>
      <c r="Y1599" s="66">
        <f>+U1596</f>
        <v>7.1111111111111111E-2</v>
      </c>
      <c r="Z1599" s="66"/>
      <c r="AA1599" s="66"/>
      <c r="AB1599" s="9" t="s">
        <v>5</v>
      </c>
      <c r="AC1599" s="66">
        <f>+P1599</f>
        <v>2.5</v>
      </c>
      <c r="AD1599" s="66"/>
      <c r="AE1599" s="1" t="s">
        <v>288</v>
      </c>
      <c r="AF1599" s="66">
        <f>+AA1596</f>
        <v>0.53333333333333333</v>
      </c>
      <c r="AG1599" s="66"/>
      <c r="AH1599" s="9" t="s">
        <v>5</v>
      </c>
      <c r="AI1599" s="66">
        <f>+AC1599</f>
        <v>2.5</v>
      </c>
      <c r="AJ1599" s="66"/>
      <c r="AK1599" s="9" t="s">
        <v>9</v>
      </c>
      <c r="AL1599" s="1">
        <v>1</v>
      </c>
      <c r="AM1599" s="1" t="s">
        <v>535</v>
      </c>
      <c r="AO1599" s="1" t="s">
        <v>24</v>
      </c>
      <c r="AP1599" s="9" t="s">
        <v>7</v>
      </c>
      <c r="AQ1599" s="9">
        <v>0</v>
      </c>
      <c r="AT1599" s="1" t="s">
        <v>24</v>
      </c>
      <c r="AU1599" s="1" t="s">
        <v>7</v>
      </c>
      <c r="AV1599" s="66">
        <f>-(J1599*(M1599*P1599+S1599)/(U1599*(Y1599*AC1599^2+AF1599*AI1599+AL1599)))</f>
        <v>442.96874999999994</v>
      </c>
      <c r="AW1599" s="66"/>
      <c r="AX1599" s="66"/>
      <c r="BR1599" s="9"/>
      <c r="CC1599" s="7"/>
    </row>
    <row r="1600" spans="2:81">
      <c r="B1600" s="6"/>
      <c r="C1600" s="1" t="s">
        <v>410</v>
      </c>
      <c r="I1600" s="66">
        <f>+G1597</f>
        <v>-37.5</v>
      </c>
      <c r="J1600" s="66"/>
      <c r="K1600" s="1" t="s">
        <v>173</v>
      </c>
      <c r="L1600" s="66">
        <f>+J1597</f>
        <v>9.4814814814814814E-3</v>
      </c>
      <c r="M1600" s="66"/>
      <c r="N1600" s="66"/>
      <c r="O1600" s="9" t="s">
        <v>5</v>
      </c>
      <c r="P1600" s="1" t="s">
        <v>536</v>
      </c>
      <c r="R1600" s="66">
        <f>+P1597</f>
        <v>0.26666666666666666</v>
      </c>
      <c r="S1600" s="66"/>
      <c r="T1600" s="9" t="s">
        <v>5</v>
      </c>
      <c r="U1600" s="66">
        <f>+AH1568</f>
        <v>0</v>
      </c>
      <c r="V1600" s="66"/>
      <c r="W1600" s="9" t="s">
        <v>9</v>
      </c>
      <c r="X1600" s="9">
        <v>1</v>
      </c>
      <c r="Y1600" s="9" t="s">
        <v>306</v>
      </c>
      <c r="Z1600" s="66">
        <f>+W1597</f>
        <v>-37.5</v>
      </c>
      <c r="AA1600" s="66"/>
      <c r="AB1600" s="1" t="s">
        <v>275</v>
      </c>
      <c r="AC1600" s="66">
        <f>+Z1597</f>
        <v>1.8962962962962963E-2</v>
      </c>
      <c r="AD1600" s="66"/>
      <c r="AE1600" s="66"/>
      <c r="AF1600" s="1" t="s">
        <v>14</v>
      </c>
      <c r="AG1600" s="66">
        <f>+R1600</f>
        <v>0.26666666666666666</v>
      </c>
      <c r="AH1600" s="66"/>
      <c r="AI1600" s="9" t="s">
        <v>5</v>
      </c>
      <c r="AJ1600" s="66">
        <f>+U1600</f>
        <v>0</v>
      </c>
      <c r="AK1600" s="66"/>
      <c r="AL1600" s="9" t="s">
        <v>9</v>
      </c>
      <c r="AM1600" s="9">
        <v>1</v>
      </c>
      <c r="AN1600" s="1" t="s">
        <v>535</v>
      </c>
      <c r="AP1600" s="66">
        <f>+AV1599</f>
        <v>442.96874999999994</v>
      </c>
      <c r="AQ1600" s="66"/>
      <c r="AR1600" s="66"/>
      <c r="AS1600" s="9" t="s">
        <v>5</v>
      </c>
      <c r="AT1600" s="66">
        <f>+AJ1600</f>
        <v>0</v>
      </c>
      <c r="AU1600" s="66"/>
      <c r="AV1600" s="9" t="s">
        <v>9</v>
      </c>
      <c r="AW1600" s="1" t="s">
        <v>307</v>
      </c>
      <c r="AX1600" s="9" t="s">
        <v>7</v>
      </c>
      <c r="AY1600" s="9">
        <v>0</v>
      </c>
      <c r="BB1600" s="1" t="s">
        <v>307</v>
      </c>
      <c r="BC1600" s="1" t="s">
        <v>7</v>
      </c>
      <c r="BD1600" s="66">
        <f>-(I1600/L1600*LN(R1600*U1600+X1600)+Z1600/(AC1600*(AG1600*AJ1600+AM1600))+AP1600*AT1600)</f>
        <v>1977.5390625</v>
      </c>
      <c r="BE1600" s="66"/>
      <c r="BF1600" s="66"/>
      <c r="CC1600" s="7"/>
    </row>
    <row r="1601" spans="2:81">
      <c r="B1601" s="6"/>
      <c r="C1601" s="1" t="s">
        <v>537</v>
      </c>
      <c r="H1601" s="66">
        <f>+G1597</f>
        <v>-37.5</v>
      </c>
      <c r="I1601" s="66"/>
      <c r="J1601" s="1" t="s">
        <v>173</v>
      </c>
      <c r="K1601" s="66">
        <f>+J1597</f>
        <v>9.4814814814814814E-3</v>
      </c>
      <c r="L1601" s="66"/>
      <c r="M1601" s="66"/>
      <c r="N1601" s="9" t="s">
        <v>5</v>
      </c>
      <c r="O1601" s="1" t="s">
        <v>536</v>
      </c>
      <c r="Q1601" s="66">
        <f>+P1597</f>
        <v>0.26666666666666666</v>
      </c>
      <c r="R1601" s="66"/>
      <c r="S1601" s="9" t="s">
        <v>5</v>
      </c>
      <c r="T1601" s="9" t="s">
        <v>13</v>
      </c>
      <c r="U1601" s="9" t="s">
        <v>9</v>
      </c>
      <c r="V1601" s="9">
        <v>1</v>
      </c>
      <c r="W1601" s="9" t="s">
        <v>306</v>
      </c>
      <c r="X1601" s="66">
        <f>+W1597</f>
        <v>-37.5</v>
      </c>
      <c r="Y1601" s="66"/>
      <c r="Z1601" s="1" t="s">
        <v>275</v>
      </c>
      <c r="AA1601" s="66">
        <f>+Z1597</f>
        <v>1.8962962962962963E-2</v>
      </c>
      <c r="AB1601" s="66"/>
      <c r="AC1601" s="66"/>
      <c r="AD1601" s="1" t="s">
        <v>14</v>
      </c>
      <c r="AE1601" s="66">
        <f>+AD1597</f>
        <v>0.26666666666666666</v>
      </c>
      <c r="AF1601" s="66"/>
      <c r="AG1601" s="9" t="s">
        <v>5</v>
      </c>
      <c r="AH1601" s="9" t="s">
        <v>13</v>
      </c>
      <c r="AI1601" s="9" t="s">
        <v>9</v>
      </c>
      <c r="AJ1601" s="9">
        <v>1</v>
      </c>
      <c r="AK1601" s="1" t="s">
        <v>535</v>
      </c>
      <c r="AM1601" s="1" t="s">
        <v>24</v>
      </c>
      <c r="AN1601" s="9" t="s">
        <v>5</v>
      </c>
      <c r="AO1601" s="9" t="s">
        <v>13</v>
      </c>
      <c r="AP1601" s="9" t="s">
        <v>9</v>
      </c>
      <c r="AQ1601" s="1" t="s">
        <v>307</v>
      </c>
      <c r="AU1601" s="9"/>
      <c r="CC1601" s="7"/>
    </row>
    <row r="1602" spans="2:81">
      <c r="B1602" s="6"/>
      <c r="C1602" s="1" t="s">
        <v>35</v>
      </c>
      <c r="E1602" s="66">
        <f>+H1601</f>
        <v>-37.5</v>
      </c>
      <c r="F1602" s="66"/>
      <c r="G1602" s="1" t="s">
        <v>173</v>
      </c>
      <c r="H1602" s="66">
        <f>+K1601</f>
        <v>9.4814814814814814E-3</v>
      </c>
      <c r="I1602" s="66"/>
      <c r="J1602" s="66"/>
      <c r="K1602" s="9" t="s">
        <v>5</v>
      </c>
      <c r="L1602" s="1" t="s">
        <v>536</v>
      </c>
      <c r="N1602" s="66">
        <f>+Q1601</f>
        <v>0.26666666666666666</v>
      </c>
      <c r="O1602" s="66"/>
      <c r="P1602" s="9" t="s">
        <v>5</v>
      </c>
      <c r="Q1602" s="9" t="s">
        <v>13</v>
      </c>
      <c r="R1602" s="9" t="s">
        <v>9</v>
      </c>
      <c r="S1602" s="9">
        <v>1</v>
      </c>
      <c r="T1602" s="9" t="s">
        <v>306</v>
      </c>
      <c r="U1602" s="66">
        <f>+X1601</f>
        <v>-37.5</v>
      </c>
      <c r="V1602" s="66"/>
      <c r="W1602" s="1" t="s">
        <v>275</v>
      </c>
      <c r="X1602" s="66">
        <f>+AA1601</f>
        <v>1.8962962962962963E-2</v>
      </c>
      <c r="Y1602" s="66"/>
      <c r="Z1602" s="66"/>
      <c r="AA1602" s="1" t="s">
        <v>14</v>
      </c>
      <c r="AB1602" s="66">
        <f>+AE1601</f>
        <v>0.26666666666666666</v>
      </c>
      <c r="AC1602" s="66"/>
      <c r="AD1602" s="9" t="s">
        <v>5</v>
      </c>
      <c r="AE1602" s="9" t="s">
        <v>13</v>
      </c>
      <c r="AF1602" s="9" t="s">
        <v>9</v>
      </c>
      <c r="AG1602" s="9">
        <v>1</v>
      </c>
      <c r="AH1602" s="1" t="s">
        <v>535</v>
      </c>
      <c r="AJ1602" s="66">
        <f>+AV1599</f>
        <v>442.96874999999994</v>
      </c>
      <c r="AK1602" s="66"/>
      <c r="AL1602" s="66"/>
      <c r="AM1602" s="9" t="s">
        <v>5</v>
      </c>
      <c r="AN1602" s="9" t="s">
        <v>13</v>
      </c>
      <c r="AO1602" s="9" t="s">
        <v>9</v>
      </c>
      <c r="AP1602" s="66">
        <f>+BD1600</f>
        <v>1977.5390625</v>
      </c>
      <c r="AQ1602" s="66"/>
      <c r="AR1602" s="66"/>
      <c r="AS1602" s="1" t="s">
        <v>538</v>
      </c>
      <c r="CC1602" s="7"/>
    </row>
    <row r="1603" spans="2:81">
      <c r="B1603" s="6"/>
      <c r="C1603" s="1" t="s">
        <v>27</v>
      </c>
      <c r="D1603" s="67">
        <v>2.5</v>
      </c>
      <c r="E1603" s="67"/>
      <c r="F1603" s="67"/>
      <c r="G1603" s="1" t="s">
        <v>42</v>
      </c>
      <c r="P1603" s="8"/>
      <c r="Q1603" s="8" t="str">
        <f>IF(D1603&lt;=M1571,"","azalt.")</f>
        <v/>
      </c>
      <c r="U1603" s="24"/>
      <c r="CC1603" s="7"/>
    </row>
    <row r="1604" spans="2:81">
      <c r="B1604" s="6"/>
      <c r="C1604" s="1" t="s">
        <v>35</v>
      </c>
      <c r="E1604" s="66">
        <f>+E1602</f>
        <v>-37.5</v>
      </c>
      <c r="F1604" s="66"/>
      <c r="G1604" s="1" t="s">
        <v>173</v>
      </c>
      <c r="H1604" s="66">
        <f>+H1602</f>
        <v>9.4814814814814814E-3</v>
      </c>
      <c r="I1604" s="66"/>
      <c r="J1604" s="66"/>
      <c r="K1604" s="9" t="s">
        <v>5</v>
      </c>
      <c r="L1604" s="1" t="s">
        <v>536</v>
      </c>
      <c r="N1604" s="66">
        <f>+N1602</f>
        <v>0.26666666666666666</v>
      </c>
      <c r="O1604" s="66"/>
      <c r="P1604" s="9" t="s">
        <v>5</v>
      </c>
      <c r="Q1604" s="66">
        <f>+D1603</f>
        <v>2.5</v>
      </c>
      <c r="R1604" s="66"/>
      <c r="S1604" s="9" t="s">
        <v>9</v>
      </c>
      <c r="T1604" s="9">
        <v>1</v>
      </c>
      <c r="U1604" s="9" t="s">
        <v>306</v>
      </c>
      <c r="V1604" s="66">
        <f>+U1602</f>
        <v>-37.5</v>
      </c>
      <c r="W1604" s="66"/>
      <c r="X1604" s="1" t="s">
        <v>275</v>
      </c>
      <c r="Y1604" s="66">
        <f>+X1602</f>
        <v>1.8962962962962963E-2</v>
      </c>
      <c r="Z1604" s="66"/>
      <c r="AA1604" s="66"/>
      <c r="AB1604" s="1" t="s">
        <v>14</v>
      </c>
      <c r="AC1604" s="66">
        <f>+AB1602</f>
        <v>0.26666666666666666</v>
      </c>
      <c r="AD1604" s="66"/>
      <c r="AE1604" s="9" t="s">
        <v>5</v>
      </c>
      <c r="AF1604" s="66">
        <f>+Q1604</f>
        <v>2.5</v>
      </c>
      <c r="AG1604" s="66"/>
      <c r="AH1604" s="9" t="s">
        <v>9</v>
      </c>
      <c r="AI1604" s="9">
        <v>1</v>
      </c>
      <c r="AJ1604" s="1" t="s">
        <v>535</v>
      </c>
      <c r="AL1604" s="66">
        <f>+AJ1602</f>
        <v>442.96874999999994</v>
      </c>
      <c r="AM1604" s="66"/>
      <c r="AN1604" s="66"/>
      <c r="AO1604" s="9" t="s">
        <v>5</v>
      </c>
      <c r="AP1604" s="66">
        <f>+AF1604</f>
        <v>2.5</v>
      </c>
      <c r="AQ1604" s="66"/>
      <c r="AR1604" s="9" t="s">
        <v>9</v>
      </c>
      <c r="AS1604" s="66">
        <f>+AP1602</f>
        <v>1977.5390625</v>
      </c>
      <c r="AT1604" s="66"/>
      <c r="AU1604" s="66"/>
      <c r="AV1604" s="1" t="s">
        <v>193</v>
      </c>
      <c r="AY1604" s="66">
        <f>+AH1576</f>
        <v>200000</v>
      </c>
      <c r="AZ1604" s="66"/>
      <c r="BA1604" s="66"/>
      <c r="BB1604" s="9" t="s">
        <v>5</v>
      </c>
      <c r="BC1604" s="66">
        <f>+AP1571/10000</f>
        <v>45000</v>
      </c>
      <c r="BD1604" s="66"/>
      <c r="BE1604" s="66"/>
      <c r="BF1604" s="1" t="s">
        <v>40</v>
      </c>
      <c r="CC1604" s="7"/>
    </row>
    <row r="1605" spans="2:81">
      <c r="B1605" s="6"/>
      <c r="C1605" s="1" t="s">
        <v>33</v>
      </c>
      <c r="E1605" s="66">
        <f>(E1604/H1604*LN(N1604*Q1604+T1604)+V1604/(Y1604*(AC1604*AF1604+AI1604))+AL1604*AP1604+AS1604)*100000000/(AY1604*BC1604)</f>
        <v>-1.3546416694038876</v>
      </c>
      <c r="F1605" s="66"/>
      <c r="G1605" s="66"/>
      <c r="H1605" s="1" t="s">
        <v>41</v>
      </c>
      <c r="CC1605" s="7"/>
    </row>
    <row r="1606" spans="2:81">
      <c r="B1606" s="6"/>
      <c r="C1606" s="1" t="s">
        <v>172</v>
      </c>
      <c r="H1606" s="66">
        <f>T1573*1000</f>
        <v>5000</v>
      </c>
      <c r="I1606" s="66"/>
      <c r="J1606" s="66"/>
      <c r="K1606" s="1" t="s">
        <v>173</v>
      </c>
      <c r="L1606" s="66">
        <v>300</v>
      </c>
      <c r="M1606" s="66"/>
      <c r="N1606" s="9" t="s">
        <v>7</v>
      </c>
      <c r="O1606" s="66">
        <f>+H1606/L1606</f>
        <v>16.666666666666668</v>
      </c>
      <c r="P1606" s="66"/>
      <c r="Q1606" s="66"/>
      <c r="R1606" s="1" t="s">
        <v>41</v>
      </c>
      <c r="U1606" s="1" t="s">
        <v>192</v>
      </c>
      <c r="CC1606" s="7"/>
    </row>
    <row r="1607" spans="2:81">
      <c r="B1607" s="6"/>
      <c r="C1607" s="1" t="s">
        <v>34</v>
      </c>
      <c r="D1607" s="66">
        <f>+E1605</f>
        <v>-1.3546416694038876</v>
      </c>
      <c r="E1607" s="66"/>
      <c r="F1607" s="66"/>
      <c r="G1607" s="1" t="s">
        <v>41</v>
      </c>
      <c r="I1607" s="1" t="str">
        <f>IF(ABS(D1607)&lt;ABS(M1607),"&lt;","&gt;")</f>
        <v>&lt;</v>
      </c>
      <c r="J1607" s="1" t="s">
        <v>174</v>
      </c>
      <c r="M1607" s="66">
        <f>+O1606</f>
        <v>16.666666666666668</v>
      </c>
      <c r="N1607" s="66"/>
      <c r="O1607" s="66"/>
      <c r="P1607" s="1" t="s">
        <v>41</v>
      </c>
      <c r="R1607" s="8" t="str">
        <f>IF(ABS(D1607)&lt;ABS(M1607),"uygun.","uygun değil.")</f>
        <v>uygun.</v>
      </c>
      <c r="CC1607" s="7"/>
    </row>
    <row r="1608" spans="2:81" ht="12" thickBot="1">
      <c r="B1608" s="12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  <c r="AK1608" s="13"/>
      <c r="AL1608" s="13"/>
      <c r="AM1608" s="13"/>
      <c r="AN1608" s="13"/>
      <c r="AO1608" s="13"/>
      <c r="AP1608" s="13"/>
      <c r="AQ1608" s="13"/>
      <c r="AR1608" s="13"/>
      <c r="AS1608" s="13"/>
      <c r="AT1608" s="13"/>
      <c r="AU1608" s="13"/>
      <c r="AV1608" s="13"/>
      <c r="AW1608" s="13"/>
      <c r="AX1608" s="13"/>
      <c r="AY1608" s="13"/>
      <c r="AZ1608" s="13"/>
      <c r="BA1608" s="13"/>
      <c r="BB1608" s="13"/>
      <c r="BC1608" s="13"/>
      <c r="BD1608" s="13"/>
      <c r="BE1608" s="13"/>
      <c r="BF1608" s="13"/>
      <c r="BG1608" s="13"/>
      <c r="BH1608" s="13"/>
      <c r="BI1608" s="13"/>
      <c r="BJ1608" s="13"/>
      <c r="BK1608" s="13"/>
      <c r="BL1608" s="13"/>
      <c r="BM1608" s="13"/>
      <c r="BN1608" s="13"/>
      <c r="BO1608" s="13"/>
      <c r="BP1608" s="13"/>
      <c r="BQ1608" s="13"/>
      <c r="BR1608" s="13"/>
      <c r="BS1608" s="13"/>
      <c r="BT1608" s="13"/>
      <c r="BU1608" s="13"/>
      <c r="BV1608" s="13"/>
      <c r="BW1608" s="13"/>
      <c r="BX1608" s="13"/>
      <c r="BY1608" s="13"/>
      <c r="BZ1608" s="13"/>
      <c r="CA1608" s="13"/>
      <c r="CB1608" s="13"/>
      <c r="CC1608" s="14"/>
    </row>
    <row r="1609" spans="2:81" ht="12" thickBot="1"/>
    <row r="1610" spans="2:81" ht="48" customHeight="1">
      <c r="B1610" s="73" t="s">
        <v>603</v>
      </c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Q1610" s="74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/>
      <c r="AE1610" s="74"/>
      <c r="AF1610" s="74"/>
      <c r="AG1610" s="74"/>
      <c r="AH1610" s="74"/>
      <c r="AI1610" s="74"/>
      <c r="AJ1610" s="74"/>
      <c r="AK1610" s="74"/>
      <c r="AL1610" s="74"/>
      <c r="AM1610" s="74"/>
      <c r="AN1610" s="74"/>
      <c r="AO1610" s="74"/>
      <c r="AP1610" s="74"/>
      <c r="AQ1610" s="74"/>
      <c r="AR1610" s="74"/>
      <c r="AS1610" s="74"/>
      <c r="AT1610" s="74"/>
      <c r="AU1610" s="74"/>
      <c r="AV1610" s="74"/>
      <c r="AW1610" s="74"/>
      <c r="AX1610" s="74"/>
      <c r="AY1610" s="74"/>
      <c r="AZ1610" s="74"/>
      <c r="BA1610" s="74"/>
      <c r="BB1610" s="74"/>
      <c r="BC1610" s="74"/>
      <c r="BD1610" s="74"/>
      <c r="BE1610" s="74"/>
      <c r="BF1610" s="74"/>
      <c r="BG1610" s="74"/>
      <c r="BH1610" s="74"/>
      <c r="BI1610" s="74"/>
      <c r="BJ1610" s="74"/>
      <c r="BK1610" s="74"/>
      <c r="BL1610" s="74"/>
      <c r="BM1610" s="74"/>
      <c r="BN1610" s="74"/>
      <c r="BO1610" s="74"/>
      <c r="BP1610" s="74"/>
      <c r="BQ1610" s="74"/>
      <c r="BR1610" s="74"/>
      <c r="BS1610" s="74"/>
      <c r="BT1610" s="74"/>
      <c r="BU1610" s="74"/>
      <c r="BV1610" s="74"/>
      <c r="BW1610" s="74"/>
      <c r="BX1610" s="74"/>
      <c r="BY1610" s="74"/>
      <c r="BZ1610" s="74"/>
      <c r="CA1610" s="74"/>
      <c r="CB1610" s="74"/>
      <c r="CC1610" s="75"/>
    </row>
    <row r="1611" spans="2:81" ht="11.25" customHeight="1">
      <c r="B1611" s="6"/>
      <c r="O1611" s="8" t="s">
        <v>176</v>
      </c>
      <c r="CC1611" s="7"/>
    </row>
    <row r="1612" spans="2:81" ht="11.25" customHeight="1">
      <c r="B1612" s="6"/>
      <c r="C1612" s="23" t="s">
        <v>221</v>
      </c>
      <c r="BG1612" s="67">
        <v>15</v>
      </c>
      <c r="BH1612" s="67"/>
      <c r="BI1612" s="1" t="s">
        <v>0</v>
      </c>
      <c r="BL1612" s="1" t="s">
        <v>290</v>
      </c>
      <c r="CC1612" s="7"/>
    </row>
    <row r="1613" spans="2:81" ht="11.25" customHeight="1">
      <c r="B1613" s="6"/>
      <c r="C1613" s="1" t="s">
        <v>177</v>
      </c>
      <c r="AB1613" s="23" t="s">
        <v>341</v>
      </c>
      <c r="CC1613" s="7"/>
    </row>
    <row r="1614" spans="2:81" ht="11.25" customHeight="1">
      <c r="B1614" s="6"/>
      <c r="C1614" s="1" t="s">
        <v>4</v>
      </c>
      <c r="D1614" s="9" t="s">
        <v>5</v>
      </c>
      <c r="E1614" s="66">
        <f>+BG1622</f>
        <v>7</v>
      </c>
      <c r="F1614" s="66"/>
      <c r="G1614" s="9" t="s">
        <v>6</v>
      </c>
      <c r="H1614" s="66">
        <f>+BG1612</f>
        <v>15</v>
      </c>
      <c r="I1614" s="66"/>
      <c r="J1614" s="9" t="s">
        <v>5</v>
      </c>
      <c r="K1614" s="66">
        <f>+BL1620</f>
        <v>3.5</v>
      </c>
      <c r="L1614" s="66"/>
      <c r="M1614" s="9" t="s">
        <v>7</v>
      </c>
      <c r="N1614" s="1">
        <v>0</v>
      </c>
      <c r="AB1614" s="1" t="s">
        <v>301</v>
      </c>
      <c r="AD1614" s="66">
        <f>+AK1668</f>
        <v>1.3157894736842106</v>
      </c>
      <c r="AE1614" s="66"/>
      <c r="AF1614" s="66"/>
      <c r="BA1614" s="67">
        <v>90</v>
      </c>
      <c r="BB1614" s="67"/>
      <c r="BC1614" s="1" t="s">
        <v>41</v>
      </c>
      <c r="CC1614" s="7"/>
    </row>
    <row r="1615" spans="2:81" ht="11.25" customHeight="1">
      <c r="B1615" s="6"/>
      <c r="C1615" s="1" t="s">
        <v>4</v>
      </c>
      <c r="D1615" s="1" t="s">
        <v>7</v>
      </c>
      <c r="E1615" s="66">
        <f>+H1614*K1614/E1614</f>
        <v>7.5</v>
      </c>
      <c r="F1615" s="66"/>
      <c r="G1615" s="66"/>
      <c r="H1615" s="1" t="s">
        <v>0</v>
      </c>
      <c r="AB1615" s="1" t="s">
        <v>297</v>
      </c>
      <c r="AD1615" s="66">
        <f>+M1660</f>
        <v>26.25</v>
      </c>
      <c r="AE1615" s="66"/>
      <c r="AF1615" s="66"/>
      <c r="AG1615" s="1" t="s">
        <v>191</v>
      </c>
      <c r="AI1615" s="1" t="s">
        <v>329</v>
      </c>
      <c r="CC1615" s="7"/>
    </row>
    <row r="1616" spans="2:81" ht="11.25" customHeight="1">
      <c r="B1616" s="6"/>
      <c r="C1616" s="1" t="s">
        <v>189</v>
      </c>
      <c r="AB1616" s="1" t="s">
        <v>330</v>
      </c>
      <c r="AE1616" s="66">
        <f>+AV1619</f>
        <v>7.5</v>
      </c>
      <c r="AF1616" s="66"/>
      <c r="AG1616" s="66"/>
      <c r="AH1616" s="1" t="s">
        <v>0</v>
      </c>
      <c r="AJ1616" s="1" t="s">
        <v>331</v>
      </c>
      <c r="CC1616" s="7"/>
    </row>
    <row r="1617" spans="2:81" ht="11.25" customHeight="1">
      <c r="B1617" s="6"/>
      <c r="C1617" s="1" t="s">
        <v>4</v>
      </c>
      <c r="D1617" s="9" t="s">
        <v>9</v>
      </c>
      <c r="E1617" s="9" t="s">
        <v>10</v>
      </c>
      <c r="F1617" s="9" t="s">
        <v>6</v>
      </c>
      <c r="G1617" s="66">
        <f>+BG1612</f>
        <v>15</v>
      </c>
      <c r="H1617" s="66"/>
      <c r="I1617" s="9" t="s">
        <v>7</v>
      </c>
      <c r="J1617" s="1">
        <v>0</v>
      </c>
      <c r="BB1617" s="1" t="s">
        <v>38</v>
      </c>
      <c r="BD1617" s="67">
        <v>200000</v>
      </c>
      <c r="BE1617" s="67"/>
      <c r="BF1617" s="67"/>
      <c r="BG1617" s="67"/>
      <c r="BH1617" s="1" t="s">
        <v>39</v>
      </c>
      <c r="BK1617" s="1" t="s">
        <v>302</v>
      </c>
      <c r="CC1617" s="7"/>
    </row>
    <row r="1618" spans="2:81" ht="11.25" customHeight="1">
      <c r="B1618" s="6"/>
      <c r="C1618" s="1" t="s">
        <v>10</v>
      </c>
      <c r="D1618" s="9" t="s">
        <v>7</v>
      </c>
      <c r="E1618" s="66">
        <f>+G1617-E1615</f>
        <v>7.5</v>
      </c>
      <c r="F1618" s="66"/>
      <c r="G1618" s="66"/>
      <c r="H1618" s="1" t="s">
        <v>0</v>
      </c>
      <c r="AZ1618" s="1" t="s">
        <v>13</v>
      </c>
      <c r="CC1618" s="7"/>
    </row>
    <row r="1619" spans="2:81" ht="11.25" customHeight="1">
      <c r="B1619" s="6"/>
      <c r="C1619" s="23" t="s">
        <v>223</v>
      </c>
      <c r="K1619" s="1" t="s">
        <v>636</v>
      </c>
      <c r="AA1619" s="23" t="s">
        <v>266</v>
      </c>
      <c r="AU1619" s="1" t="s">
        <v>2</v>
      </c>
      <c r="AV1619" s="66">
        <f>+E1615</f>
        <v>7.5</v>
      </c>
      <c r="AW1619" s="66"/>
      <c r="AX1619" s="1" t="s">
        <v>0</v>
      </c>
      <c r="BQ1619" s="1" t="s">
        <v>3</v>
      </c>
      <c r="BR1619" s="66">
        <f>+E1618</f>
        <v>7.5</v>
      </c>
      <c r="BS1619" s="66"/>
      <c r="BT1619" s="1" t="s">
        <v>0</v>
      </c>
      <c r="CC1619" s="7"/>
    </row>
    <row r="1620" spans="2:81" ht="11.25" customHeight="1">
      <c r="B1620" s="6"/>
      <c r="C1620" s="1" t="s">
        <v>592</v>
      </c>
      <c r="F1620" s="66">
        <f>+AS1627/1000</f>
        <v>0.4</v>
      </c>
      <c r="G1620" s="66"/>
      <c r="H1620" s="9" t="s">
        <v>9</v>
      </c>
      <c r="I1620" s="66">
        <f>(BV1627-AS1627)/AS1627</f>
        <v>1</v>
      </c>
      <c r="J1620" s="66"/>
      <c r="K1620" s="9" t="s">
        <v>5</v>
      </c>
      <c r="L1620" s="66">
        <f>+F1620</f>
        <v>0.4</v>
      </c>
      <c r="M1620" s="66"/>
      <c r="N1620" s="9" t="s">
        <v>5</v>
      </c>
      <c r="O1620" s="9" t="s">
        <v>13</v>
      </c>
      <c r="P1620" s="1" t="s">
        <v>173</v>
      </c>
      <c r="Q1620" s="66">
        <f>+AZ1620</f>
        <v>3.5</v>
      </c>
      <c r="R1620" s="66"/>
      <c r="AA1620" s="11" t="s">
        <v>265</v>
      </c>
      <c r="AZ1620" s="66">
        <f>+BG1622/2</f>
        <v>3.5</v>
      </c>
      <c r="BA1620" s="66"/>
      <c r="BB1620" s="1" t="s">
        <v>1</v>
      </c>
      <c r="BL1620" s="66">
        <f>+BG1622-AZ1620</f>
        <v>3.5</v>
      </c>
      <c r="BM1620" s="66"/>
      <c r="BN1620" s="1" t="s">
        <v>1</v>
      </c>
      <c r="CC1620" s="7"/>
    </row>
    <row r="1621" spans="2:81" ht="11.25" customHeight="1">
      <c r="B1621" s="6"/>
      <c r="C1621" s="1" t="s">
        <v>592</v>
      </c>
      <c r="F1621" s="66">
        <f>+F1620</f>
        <v>0.4</v>
      </c>
      <c r="G1621" s="66"/>
      <c r="H1621" s="1" t="s">
        <v>14</v>
      </c>
      <c r="I1621" s="1">
        <v>1</v>
      </c>
      <c r="J1621" s="9" t="s">
        <v>9</v>
      </c>
      <c r="K1621" s="66">
        <f>+I1620</f>
        <v>1</v>
      </c>
      <c r="L1621" s="66"/>
      <c r="M1621" s="9" t="s">
        <v>5</v>
      </c>
      <c r="N1621" s="9" t="s">
        <v>13</v>
      </c>
      <c r="O1621" s="1" t="s">
        <v>173</v>
      </c>
      <c r="P1621" s="66">
        <f>+Q1620</f>
        <v>3.5</v>
      </c>
      <c r="Q1621" s="66"/>
      <c r="R1621" s="1" t="s">
        <v>40</v>
      </c>
      <c r="AA1621" s="11" t="s">
        <v>263</v>
      </c>
      <c r="CC1621" s="7"/>
    </row>
    <row r="1622" spans="2:81" ht="11.25" customHeight="1">
      <c r="B1622" s="6"/>
      <c r="C1622" s="1" t="s">
        <v>592</v>
      </c>
      <c r="F1622" s="66">
        <f>+F1621</f>
        <v>0.4</v>
      </c>
      <c r="G1622" s="66"/>
      <c r="H1622" s="1" t="s">
        <v>14</v>
      </c>
      <c r="I1622" s="1">
        <v>1</v>
      </c>
      <c r="J1622" s="9" t="s">
        <v>9</v>
      </c>
      <c r="K1622" s="66">
        <f>+K1621/P1621</f>
        <v>0.2857142857142857</v>
      </c>
      <c r="L1622" s="66"/>
      <c r="M1622" s="9" t="s">
        <v>5</v>
      </c>
      <c r="N1622" s="9" t="s">
        <v>13</v>
      </c>
      <c r="O1622" s="1" t="s">
        <v>40</v>
      </c>
      <c r="P1622" s="9"/>
      <c r="Q1622" s="9"/>
      <c r="AA1622" s="11" t="s">
        <v>264</v>
      </c>
      <c r="BG1622" s="67">
        <v>7</v>
      </c>
      <c r="BH1622" s="67"/>
      <c r="BI1622" s="1" t="s">
        <v>1</v>
      </c>
      <c r="CC1622" s="7"/>
    </row>
    <row r="1623" spans="2:81" ht="11.25" customHeight="1">
      <c r="B1623" s="6"/>
      <c r="C1623" s="10" t="s">
        <v>36</v>
      </c>
      <c r="E1623" s="66">
        <f>+F1622</f>
        <v>0.4</v>
      </c>
      <c r="F1623" s="66"/>
      <c r="G1623" s="1" t="s">
        <v>14</v>
      </c>
      <c r="H1623" s="1">
        <v>1</v>
      </c>
      <c r="I1623" s="9" t="s">
        <v>9</v>
      </c>
      <c r="J1623" s="66">
        <f>+K1622</f>
        <v>0.2857142857142857</v>
      </c>
      <c r="K1623" s="66"/>
      <c r="L1623" s="9" t="s">
        <v>5</v>
      </c>
      <c r="M1623" s="9" t="s">
        <v>13</v>
      </c>
      <c r="N1623" s="1" t="s">
        <v>519</v>
      </c>
      <c r="O1623" s="66">
        <f>+BA1614/1000</f>
        <v>0.09</v>
      </c>
      <c r="P1623" s="66"/>
      <c r="Q1623" s="66"/>
      <c r="R1623" s="1" t="s">
        <v>30</v>
      </c>
      <c r="S1623" s="66">
        <v>12</v>
      </c>
      <c r="T1623" s="66"/>
      <c r="Y1623" s="9"/>
      <c r="Z1623" s="9"/>
      <c r="CC1623" s="7"/>
    </row>
    <row r="1624" spans="2:81" ht="11.25" customHeight="1">
      <c r="B1624" s="6"/>
      <c r="C1624" s="10" t="s">
        <v>36</v>
      </c>
      <c r="E1624" s="66">
        <f>+E1623</f>
        <v>0.4</v>
      </c>
      <c r="F1624" s="66"/>
      <c r="G1624" s="9" t="s">
        <v>5</v>
      </c>
      <c r="H1624" s="66">
        <f>+O1623</f>
        <v>0.09</v>
      </c>
      <c r="I1624" s="66"/>
      <c r="J1624" s="66"/>
      <c r="K1624" s="1" t="s">
        <v>30</v>
      </c>
      <c r="L1624" s="66">
        <v>12</v>
      </c>
      <c r="M1624" s="66"/>
      <c r="N1624" s="1" t="s">
        <v>14</v>
      </c>
      <c r="O1624" s="1">
        <v>1</v>
      </c>
      <c r="P1624" s="9" t="s">
        <v>9</v>
      </c>
      <c r="Q1624" s="66">
        <f>+J1623</f>
        <v>0.2857142857142857</v>
      </c>
      <c r="R1624" s="66"/>
      <c r="S1624" s="9" t="s">
        <v>5</v>
      </c>
      <c r="T1624" s="9" t="s">
        <v>13</v>
      </c>
      <c r="U1624" s="1" t="s">
        <v>40</v>
      </c>
      <c r="Z1624" s="9"/>
      <c r="BG1624" s="23" t="s">
        <v>605</v>
      </c>
      <c r="CC1624" s="7"/>
    </row>
    <row r="1625" spans="2:81" ht="11.25" customHeight="1">
      <c r="B1625" s="6"/>
      <c r="C1625" s="10" t="s">
        <v>541</v>
      </c>
      <c r="E1625" s="9"/>
      <c r="F1625" s="1">
        <v>1</v>
      </c>
      <c r="G1625" s="9" t="s">
        <v>9</v>
      </c>
      <c r="H1625" s="66">
        <f>+Q1624</f>
        <v>0.2857142857142857</v>
      </c>
      <c r="I1625" s="66"/>
      <c r="J1625" s="9" t="s">
        <v>5</v>
      </c>
      <c r="K1625" s="9" t="s">
        <v>13</v>
      </c>
      <c r="L1625" s="1" t="s">
        <v>40</v>
      </c>
      <c r="AA1625" s="9"/>
      <c r="AQ1625" s="10" t="s">
        <v>593</v>
      </c>
      <c r="AS1625" s="66">
        <f>AS1627*BA1614^3/12</f>
        <v>24300000</v>
      </c>
      <c r="AT1625" s="66"/>
      <c r="AU1625" s="66"/>
      <c r="AV1625" s="66"/>
      <c r="AW1625" s="66"/>
      <c r="AX1625" s="1" t="s">
        <v>270</v>
      </c>
      <c r="BV1625" s="71" t="s">
        <v>41</v>
      </c>
      <c r="CC1625" s="7"/>
    </row>
    <row r="1626" spans="2:81" ht="11.25" customHeight="1">
      <c r="B1626" s="6"/>
      <c r="C1626" s="1" t="s">
        <v>526</v>
      </c>
      <c r="H1626" s="1">
        <v>1</v>
      </c>
      <c r="I1626" s="9" t="s">
        <v>9</v>
      </c>
      <c r="J1626" s="66">
        <f>+H1625</f>
        <v>0.2857142857142857</v>
      </c>
      <c r="K1626" s="66"/>
      <c r="L1626" s="9" t="s">
        <v>5</v>
      </c>
      <c r="M1626" s="9" t="s">
        <v>13</v>
      </c>
      <c r="N1626" s="1" t="s">
        <v>40</v>
      </c>
      <c r="R1626" s="9"/>
      <c r="S1626" s="9"/>
      <c r="V1626" s="9"/>
      <c r="Y1626" s="9"/>
      <c r="Z1626" s="9"/>
      <c r="AA1626" s="9"/>
      <c r="BV1626" s="71"/>
      <c r="CC1626" s="7"/>
    </row>
    <row r="1627" spans="2:81" ht="11.25" customHeight="1">
      <c r="B1627" s="6"/>
      <c r="C1627" s="1" t="s">
        <v>604</v>
      </c>
      <c r="L1627" s="9"/>
      <c r="AS1627" s="67">
        <v>400</v>
      </c>
      <c r="AT1627" s="67"/>
      <c r="AU1627" s="79" t="s">
        <v>41</v>
      </c>
      <c r="AV1627" s="79"/>
      <c r="BS1627" s="66">
        <f>+AS1627</f>
        <v>400</v>
      </c>
      <c r="BT1627" s="66"/>
      <c r="BV1627" s="77">
        <v>800</v>
      </c>
      <c r="CC1627" s="7"/>
    </row>
    <row r="1628" spans="2:81" ht="11.25" customHeight="1">
      <c r="B1628" s="6"/>
      <c r="C1628" s="1" t="s">
        <v>532</v>
      </c>
      <c r="F1628" s="1">
        <v>1</v>
      </c>
      <c r="G1628" s="9" t="s">
        <v>9</v>
      </c>
      <c r="H1628" s="66">
        <f>+J1626</f>
        <v>0.2857142857142857</v>
      </c>
      <c r="I1628" s="66"/>
      <c r="J1628" s="9" t="s">
        <v>5</v>
      </c>
      <c r="K1628" s="9" t="s">
        <v>13</v>
      </c>
      <c r="L1628" s="1" t="s">
        <v>601</v>
      </c>
      <c r="Z1628" s="9"/>
      <c r="AA1628" s="9"/>
      <c r="AS1628" s="67"/>
      <c r="AT1628" s="67"/>
      <c r="AU1628" s="79"/>
      <c r="AV1628" s="79"/>
      <c r="BS1628" s="66"/>
      <c r="BT1628" s="66"/>
      <c r="BV1628" s="77"/>
      <c r="CC1628" s="7"/>
    </row>
    <row r="1629" spans="2:81" ht="11.25" customHeight="1">
      <c r="B1629" s="6"/>
      <c r="C1629" s="1" t="s">
        <v>602</v>
      </c>
      <c r="I1629" s="1">
        <v>1</v>
      </c>
      <c r="J1629" s="9" t="s">
        <v>9</v>
      </c>
      <c r="K1629" s="66">
        <f>+H1628</f>
        <v>0.2857142857142857</v>
      </c>
      <c r="L1629" s="66"/>
      <c r="M1629" s="9" t="s">
        <v>5</v>
      </c>
      <c r="N1629" s="9" t="s">
        <v>13</v>
      </c>
      <c r="O1629" s="1" t="s">
        <v>201</v>
      </c>
      <c r="P1629" s="66">
        <f>+AV1619</f>
        <v>7.5</v>
      </c>
      <c r="Q1629" s="66"/>
      <c r="R1629" s="9" t="s">
        <v>5</v>
      </c>
      <c r="S1629" s="9" t="s">
        <v>13</v>
      </c>
      <c r="T1629" s="1" t="s">
        <v>275</v>
      </c>
      <c r="U1629" s="1">
        <v>1</v>
      </c>
      <c r="V1629" s="9" t="s">
        <v>9</v>
      </c>
      <c r="W1629" s="66">
        <f>+K1629</f>
        <v>0.2857142857142857</v>
      </c>
      <c r="X1629" s="66"/>
      <c r="Y1629" s="9" t="s">
        <v>5</v>
      </c>
      <c r="Z1629" s="9" t="s">
        <v>13</v>
      </c>
      <c r="AA1629" s="1" t="s">
        <v>40</v>
      </c>
      <c r="BV1629" s="77"/>
      <c r="CC1629" s="7"/>
    </row>
    <row r="1630" spans="2:81" ht="11.25" customHeight="1">
      <c r="B1630" s="6"/>
      <c r="C1630" s="24" t="s">
        <v>591</v>
      </c>
      <c r="CC1630" s="7"/>
    </row>
    <row r="1631" spans="2:81" ht="11.25" customHeight="1">
      <c r="B1631" s="6"/>
      <c r="C1631" s="9" t="s">
        <v>542</v>
      </c>
      <c r="D1631" s="9" t="s">
        <v>7</v>
      </c>
      <c r="E1631" s="66">
        <f>+W1629</f>
        <v>0.2857142857142857</v>
      </c>
      <c r="F1631" s="66"/>
      <c r="G1631" s="9" t="s">
        <v>5</v>
      </c>
      <c r="H1631" s="9" t="s">
        <v>13</v>
      </c>
      <c r="I1631" s="9" t="s">
        <v>9</v>
      </c>
      <c r="J1631" s="1">
        <v>1</v>
      </c>
      <c r="K1631" s="9"/>
      <c r="L1631" s="9"/>
      <c r="M1631" s="9" t="s">
        <v>13</v>
      </c>
      <c r="N1631" s="1" t="s">
        <v>543</v>
      </c>
      <c r="O1631" s="9" t="s">
        <v>518</v>
      </c>
      <c r="P1631" s="9" t="s">
        <v>542</v>
      </c>
      <c r="Q1631" s="9" t="s">
        <v>6</v>
      </c>
      <c r="R1631" s="9">
        <v>1</v>
      </c>
      <c r="S1631" s="1" t="s">
        <v>287</v>
      </c>
      <c r="T1631" s="66">
        <f>+E1631</f>
        <v>0.2857142857142857</v>
      </c>
      <c r="U1631" s="66"/>
      <c r="V1631" s="9"/>
      <c r="W1631" s="9"/>
      <c r="X1631" s="9" t="s">
        <v>544</v>
      </c>
      <c r="Y1631" s="1" t="s">
        <v>7</v>
      </c>
      <c r="Z1631" s="1" t="s">
        <v>545</v>
      </c>
      <c r="AA1631" s="9" t="s">
        <v>173</v>
      </c>
      <c r="AB1631" s="66">
        <f>+T1631</f>
        <v>0.2857142857142857</v>
      </c>
      <c r="AC1631" s="66"/>
      <c r="AD1631" s="9"/>
      <c r="BD1631" s="10" t="s">
        <v>598</v>
      </c>
      <c r="BF1631" s="66">
        <f>BV1627*BA1614^3/12</f>
        <v>48600000</v>
      </c>
      <c r="BG1631" s="66"/>
      <c r="BH1631" s="66"/>
      <c r="BI1631" s="66"/>
      <c r="BJ1631" s="66"/>
      <c r="BK1631" s="1" t="s">
        <v>270</v>
      </c>
      <c r="CC1631" s="7"/>
    </row>
    <row r="1632" spans="2:81" ht="11.25" customHeight="1">
      <c r="B1632" s="6"/>
      <c r="C1632" s="9" t="s">
        <v>546</v>
      </c>
      <c r="D1632" s="66">
        <f>+P1629</f>
        <v>7.5</v>
      </c>
      <c r="E1632" s="66"/>
      <c r="F1632" s="1" t="s">
        <v>14</v>
      </c>
      <c r="G1632" s="9" t="s">
        <v>542</v>
      </c>
      <c r="H1632" s="9" t="s">
        <v>6</v>
      </c>
      <c r="I1632" s="9">
        <v>1</v>
      </c>
      <c r="J1632" s="1" t="s">
        <v>255</v>
      </c>
      <c r="K1632" s="66">
        <f>+T1631</f>
        <v>0.2857142857142857</v>
      </c>
      <c r="L1632" s="66"/>
      <c r="M1632" s="9" t="s">
        <v>5</v>
      </c>
      <c r="N1632" s="9" t="s">
        <v>542</v>
      </c>
      <c r="O1632" s="1" t="s">
        <v>519</v>
      </c>
      <c r="P1632" s="1" t="s">
        <v>545</v>
      </c>
      <c r="Q1632" s="9" t="s">
        <v>173</v>
      </c>
      <c r="R1632" s="66">
        <f>+AB1631</f>
        <v>0.2857142857142857</v>
      </c>
      <c r="S1632" s="66"/>
      <c r="T1632" s="9" t="s">
        <v>7</v>
      </c>
      <c r="U1632" s="9" t="s">
        <v>546</v>
      </c>
      <c r="V1632" s="66">
        <f>+D1632</f>
        <v>7.5</v>
      </c>
      <c r="W1632" s="66"/>
      <c r="X1632" s="1" t="s">
        <v>14</v>
      </c>
      <c r="Y1632" s="9" t="s">
        <v>542</v>
      </c>
      <c r="Z1632" s="9" t="s">
        <v>6</v>
      </c>
      <c r="AA1632" s="9">
        <v>1</v>
      </c>
      <c r="AB1632" s="1" t="s">
        <v>255</v>
      </c>
      <c r="AC1632" s="66">
        <f>+K1632*R1632</f>
        <v>8.1632653061224483E-2</v>
      </c>
      <c r="AD1632" s="66"/>
      <c r="AE1632" s="9" t="s">
        <v>5</v>
      </c>
      <c r="AF1632" s="9" t="s">
        <v>542</v>
      </c>
      <c r="AG1632" s="1" t="s">
        <v>519</v>
      </c>
      <c r="AH1632" s="1" t="s">
        <v>545</v>
      </c>
      <c r="CC1632" s="7"/>
    </row>
    <row r="1633" spans="2:81" ht="11.25" customHeight="1">
      <c r="B1633" s="6"/>
      <c r="C1633" s="66">
        <f>+V1632/AC1632</f>
        <v>91.875000000000014</v>
      </c>
      <c r="D1633" s="66"/>
      <c r="E1633" s="9" t="s">
        <v>546</v>
      </c>
      <c r="F1633" s="1" t="s">
        <v>518</v>
      </c>
      <c r="G1633" s="9" t="s">
        <v>542</v>
      </c>
      <c r="H1633" s="9" t="s">
        <v>6</v>
      </c>
      <c r="I1633" s="9">
        <v>1</v>
      </c>
      <c r="J1633" s="1" t="s">
        <v>287</v>
      </c>
      <c r="K1633" s="1" t="s">
        <v>542</v>
      </c>
      <c r="L1633" s="9" t="s">
        <v>5</v>
      </c>
      <c r="M1633" s="1" t="s">
        <v>545</v>
      </c>
      <c r="N1633" s="9" t="s">
        <v>7</v>
      </c>
      <c r="O1633" s="66">
        <f>+C1633</f>
        <v>91.875000000000014</v>
      </c>
      <c r="P1633" s="66"/>
      <c r="Q1633" s="9" t="s">
        <v>546</v>
      </c>
      <c r="R1633" s="1">
        <v>1</v>
      </c>
      <c r="S1633" s="9" t="s">
        <v>6</v>
      </c>
      <c r="T1633" s="1">
        <v>1</v>
      </c>
      <c r="U1633" s="1" t="s">
        <v>173</v>
      </c>
      <c r="V1633" s="1" t="s">
        <v>542</v>
      </c>
      <c r="W1633" s="9" t="s">
        <v>5</v>
      </c>
      <c r="X1633" s="1" t="s">
        <v>545</v>
      </c>
      <c r="Y1633" s="9" t="s">
        <v>7</v>
      </c>
      <c r="Z1633" s="66">
        <f>+O1633</f>
        <v>91.875000000000014</v>
      </c>
      <c r="AA1633" s="66"/>
      <c r="AB1633" s="9" t="s">
        <v>14</v>
      </c>
      <c r="AC1633" s="9" t="s">
        <v>546</v>
      </c>
      <c r="AD1633" s="1">
        <v>1</v>
      </c>
      <c r="AE1633" s="9" t="s">
        <v>5</v>
      </c>
      <c r="AF1633" s="1" t="s">
        <v>545</v>
      </c>
      <c r="AG1633" s="9" t="s">
        <v>6</v>
      </c>
      <c r="AH1633" s="9" t="s">
        <v>546</v>
      </c>
      <c r="AI1633" s="1">
        <v>1</v>
      </c>
      <c r="AJ1633" s="1" t="s">
        <v>173</v>
      </c>
      <c r="AK1633" s="1" t="s">
        <v>542</v>
      </c>
      <c r="AL1633" s="9" t="s">
        <v>5</v>
      </c>
      <c r="AM1633" s="1" t="s">
        <v>545</v>
      </c>
      <c r="AN1633" s="1" t="s">
        <v>40</v>
      </c>
      <c r="BD1633" s="10"/>
      <c r="BE1633" s="23" t="s">
        <v>317</v>
      </c>
      <c r="BF1633" s="9"/>
      <c r="BG1633" s="9"/>
      <c r="BH1633" s="9"/>
      <c r="CC1633" s="7"/>
    </row>
    <row r="1634" spans="2:81" ht="11.25" customHeight="1">
      <c r="B1634" s="6"/>
      <c r="C1634" s="66">
        <f>+Z1633</f>
        <v>91.875000000000014</v>
      </c>
      <c r="D1634" s="66"/>
      <c r="E1634" s="1" t="s">
        <v>14</v>
      </c>
      <c r="F1634" s="1" t="s">
        <v>542</v>
      </c>
      <c r="G1634" s="1" t="s">
        <v>6</v>
      </c>
      <c r="H1634" s="1" t="s">
        <v>594</v>
      </c>
      <c r="L1634" s="66">
        <f>+C1634</f>
        <v>91.875000000000014</v>
      </c>
      <c r="M1634" s="66"/>
      <c r="N1634" s="1" t="s">
        <v>14</v>
      </c>
      <c r="O1634" s="66">
        <f>+E1631</f>
        <v>0.2857142857142857</v>
      </c>
      <c r="P1634" s="66"/>
      <c r="Q1634" s="9" t="s">
        <v>5</v>
      </c>
      <c r="R1634" s="9" t="s">
        <v>13</v>
      </c>
      <c r="S1634" s="9" t="s">
        <v>9</v>
      </c>
      <c r="T1634" s="1">
        <v>1</v>
      </c>
      <c r="U1634" s="9" t="s">
        <v>6</v>
      </c>
      <c r="V1634" s="1" t="s">
        <v>595</v>
      </c>
      <c r="W1634" s="1" t="s">
        <v>518</v>
      </c>
      <c r="X1634" s="66">
        <f>+E1631</f>
        <v>0.2857142857142857</v>
      </c>
      <c r="Y1634" s="66"/>
      <c r="Z1634" s="9" t="s">
        <v>5</v>
      </c>
      <c r="AA1634" s="9" t="s">
        <v>13</v>
      </c>
      <c r="AB1634" s="9" t="s">
        <v>9</v>
      </c>
      <c r="AC1634" s="1">
        <v>1</v>
      </c>
      <c r="AD1634" s="1" t="s">
        <v>550</v>
      </c>
      <c r="CC1634" s="7"/>
    </row>
    <row r="1635" spans="2:81" ht="11.25" customHeight="1">
      <c r="B1635" s="6"/>
      <c r="C1635" s="81">
        <f>+L1634*O1634</f>
        <v>26.250000000000004</v>
      </c>
      <c r="D1635" s="68"/>
      <c r="E1635" s="48" t="s">
        <v>5</v>
      </c>
      <c r="F1635" s="48" t="s">
        <v>13</v>
      </c>
      <c r="G1635" s="48" t="s">
        <v>6</v>
      </c>
      <c r="H1635" s="68">
        <f>+L1634</f>
        <v>91.875000000000014</v>
      </c>
      <c r="I1635" s="68"/>
      <c r="J1635" s="48" t="s">
        <v>5</v>
      </c>
      <c r="K1635" s="49" t="s">
        <v>595</v>
      </c>
      <c r="L1635" s="49" t="s">
        <v>518</v>
      </c>
      <c r="M1635" s="68">
        <f>+X1634</f>
        <v>0.2857142857142857</v>
      </c>
      <c r="N1635" s="68"/>
      <c r="O1635" s="48" t="s">
        <v>5</v>
      </c>
      <c r="P1635" s="48" t="s">
        <v>13</v>
      </c>
      <c r="Q1635" s="48" t="s">
        <v>9</v>
      </c>
      <c r="R1635" s="49">
        <v>1</v>
      </c>
      <c r="S1635" s="50" t="s">
        <v>40</v>
      </c>
      <c r="T1635" s="52"/>
      <c r="BF1635" s="1" t="s">
        <v>599</v>
      </c>
      <c r="CC1635" s="7"/>
    </row>
    <row r="1636" spans="2:81" ht="11.25" customHeight="1">
      <c r="B1636" s="6"/>
      <c r="C1636" s="24" t="s">
        <v>590</v>
      </c>
      <c r="AU1636" s="1" t="s">
        <v>410</v>
      </c>
      <c r="CC1636" s="7"/>
    </row>
    <row r="1637" spans="2:81" ht="11.25" customHeight="1">
      <c r="B1637" s="6"/>
      <c r="C1637" s="66">
        <f>+C1635</f>
        <v>26.250000000000004</v>
      </c>
      <c r="D1637" s="66"/>
      <c r="E1637" s="9" t="s">
        <v>5</v>
      </c>
      <c r="F1637" s="9" t="s">
        <v>13</v>
      </c>
      <c r="G1637" s="9" t="s">
        <v>6</v>
      </c>
      <c r="H1637" s="66">
        <f>+H1635</f>
        <v>91.875000000000014</v>
      </c>
      <c r="I1637" s="66"/>
      <c r="J1637" s="9" t="s">
        <v>5</v>
      </c>
      <c r="K1637" s="1" t="s">
        <v>595</v>
      </c>
      <c r="L1637" s="1" t="s">
        <v>518</v>
      </c>
      <c r="M1637" s="66">
        <f>+M1635</f>
        <v>0.2857142857142857</v>
      </c>
      <c r="N1637" s="66"/>
      <c r="O1637" s="9" t="s">
        <v>5</v>
      </c>
      <c r="P1637" s="9" t="s">
        <v>13</v>
      </c>
      <c r="Q1637" s="9" t="s">
        <v>9</v>
      </c>
      <c r="R1637" s="1">
        <v>1</v>
      </c>
      <c r="S1637" s="1" t="s">
        <v>40</v>
      </c>
      <c r="T1637" s="9"/>
      <c r="U1637" s="66"/>
      <c r="V1637" s="66"/>
      <c r="BM1637" s="23" t="s">
        <v>497</v>
      </c>
      <c r="BV1637" s="23" t="s">
        <v>630</v>
      </c>
      <c r="CC1637" s="7"/>
    </row>
    <row r="1638" spans="2:81" ht="11.25" customHeight="1">
      <c r="B1638" s="6"/>
      <c r="C1638" s="66">
        <f>+C1637</f>
        <v>26.250000000000004</v>
      </c>
      <c r="D1638" s="66"/>
      <c r="E1638" s="9" t="s">
        <v>546</v>
      </c>
      <c r="F1638" s="9" t="s">
        <v>13</v>
      </c>
      <c r="G1638" s="9" t="s">
        <v>5</v>
      </c>
      <c r="H1638" s="1" t="s">
        <v>544</v>
      </c>
      <c r="I1638" s="9" t="s">
        <v>6</v>
      </c>
      <c r="J1638" s="66">
        <f>+H1637</f>
        <v>91.875000000000014</v>
      </c>
      <c r="K1638" s="66"/>
      <c r="L1638" s="9" t="s">
        <v>546</v>
      </c>
      <c r="M1638" s="1" t="s">
        <v>595</v>
      </c>
      <c r="N1638" s="1" t="s">
        <v>518</v>
      </c>
      <c r="O1638" s="66">
        <f>+M1637</f>
        <v>0.2857142857142857</v>
      </c>
      <c r="P1638" s="66"/>
      <c r="Q1638" s="9" t="s">
        <v>5</v>
      </c>
      <c r="R1638" s="9" t="s">
        <v>13</v>
      </c>
      <c r="S1638" s="9" t="s">
        <v>9</v>
      </c>
      <c r="T1638" s="1">
        <v>1</v>
      </c>
      <c r="U1638" s="1" t="s">
        <v>519</v>
      </c>
      <c r="V1638" s="1" t="s">
        <v>544</v>
      </c>
      <c r="W1638" s="9"/>
      <c r="Z1638" s="9"/>
      <c r="AB1638" s="9"/>
      <c r="BJ1638" s="80">
        <f>+BA1614</f>
        <v>90</v>
      </c>
      <c r="BK1638" s="80"/>
      <c r="BL1638" s="79" t="s">
        <v>41</v>
      </c>
      <c r="BM1638" s="79"/>
      <c r="BS1638" s="80">
        <f>+BJ1638</f>
        <v>90</v>
      </c>
      <c r="BT1638" s="80"/>
      <c r="BU1638" s="79" t="s">
        <v>41</v>
      </c>
      <c r="BV1638" s="79"/>
      <c r="CC1638" s="7"/>
    </row>
    <row r="1639" spans="2:81" ht="11.25" customHeight="1">
      <c r="B1639" s="6"/>
      <c r="C1639" s="9" t="s">
        <v>542</v>
      </c>
      <c r="D1639" s="9" t="s">
        <v>7</v>
      </c>
      <c r="E1639" s="66">
        <f>+O1638</f>
        <v>0.2857142857142857</v>
      </c>
      <c r="F1639" s="66"/>
      <c r="G1639" s="9" t="s">
        <v>5</v>
      </c>
      <c r="H1639" s="9" t="s">
        <v>13</v>
      </c>
      <c r="I1639" s="9" t="s">
        <v>9</v>
      </c>
      <c r="J1639" s="1">
        <v>1</v>
      </c>
      <c r="K1639" s="9"/>
      <c r="L1639" s="9"/>
      <c r="M1639" s="9" t="s">
        <v>13</v>
      </c>
      <c r="N1639" s="1" t="s">
        <v>543</v>
      </c>
      <c r="O1639" s="9" t="s">
        <v>518</v>
      </c>
      <c r="P1639" s="9" t="s">
        <v>542</v>
      </c>
      <c r="Q1639" s="9" t="s">
        <v>6</v>
      </c>
      <c r="R1639" s="9">
        <v>1</v>
      </c>
      <c r="S1639" s="1" t="s">
        <v>287</v>
      </c>
      <c r="T1639" s="66">
        <f>+E1639</f>
        <v>0.2857142857142857</v>
      </c>
      <c r="U1639" s="66"/>
      <c r="V1639" s="9"/>
      <c r="W1639" s="9"/>
      <c r="X1639" s="9" t="s">
        <v>544</v>
      </c>
      <c r="Y1639" s="1" t="s">
        <v>7</v>
      </c>
      <c r="Z1639" s="1" t="s">
        <v>545</v>
      </c>
      <c r="AA1639" s="9" t="s">
        <v>173</v>
      </c>
      <c r="AB1639" s="66">
        <f>+T1639</f>
        <v>0.2857142857142857</v>
      </c>
      <c r="AC1639" s="66"/>
      <c r="BJ1639" s="80"/>
      <c r="BK1639" s="80"/>
      <c r="BL1639" s="79"/>
      <c r="BM1639" s="79"/>
      <c r="BS1639" s="80"/>
      <c r="BT1639" s="80"/>
      <c r="BU1639" s="79"/>
      <c r="BV1639" s="79"/>
      <c r="CC1639" s="7"/>
    </row>
    <row r="1640" spans="2:81" ht="11.25" customHeight="1">
      <c r="B1640" s="6"/>
      <c r="C1640" s="9" t="s">
        <v>546</v>
      </c>
      <c r="D1640" s="1" t="s">
        <v>596</v>
      </c>
      <c r="G1640" s="66">
        <f>+AB1639</f>
        <v>0.2857142857142857</v>
      </c>
      <c r="H1640" s="66"/>
      <c r="I1640" s="9" t="s">
        <v>5</v>
      </c>
      <c r="J1640" s="1" t="s">
        <v>545</v>
      </c>
      <c r="K1640" s="9" t="s">
        <v>7</v>
      </c>
      <c r="L1640" s="9" t="s">
        <v>542</v>
      </c>
      <c r="M1640" s="9" t="s">
        <v>5</v>
      </c>
      <c r="N1640" s="1" t="s">
        <v>595</v>
      </c>
      <c r="O1640" s="1" t="s">
        <v>518</v>
      </c>
      <c r="P1640" s="1" t="s">
        <v>542</v>
      </c>
      <c r="Q1640" s="1" t="s">
        <v>287</v>
      </c>
      <c r="R1640" s="66">
        <f>+G1640</f>
        <v>0.2857142857142857</v>
      </c>
      <c r="S1640" s="66"/>
      <c r="T1640" s="9" t="s">
        <v>6</v>
      </c>
      <c r="U1640" s="9" t="s">
        <v>542</v>
      </c>
      <c r="V1640" s="1" t="s">
        <v>173</v>
      </c>
      <c r="W1640" s="66">
        <f>+R1640</f>
        <v>0.2857142857142857</v>
      </c>
      <c r="X1640" s="66"/>
      <c r="Y1640" s="9" t="s">
        <v>7</v>
      </c>
      <c r="Z1640" s="1" t="s">
        <v>518</v>
      </c>
      <c r="AA1640" s="66">
        <f>+E1639</f>
        <v>0.2857142857142857</v>
      </c>
      <c r="AB1640" s="66"/>
      <c r="AC1640" s="9" t="s">
        <v>5</v>
      </c>
      <c r="AD1640" s="9" t="s">
        <v>13</v>
      </c>
      <c r="AE1640" s="9" t="s">
        <v>9</v>
      </c>
      <c r="AF1640" s="1">
        <v>1</v>
      </c>
      <c r="AG1640" s="1" t="s">
        <v>519</v>
      </c>
      <c r="AH1640" s="1" t="s">
        <v>597</v>
      </c>
      <c r="AJ1640" s="66">
        <f>+AA1640</f>
        <v>0.2857142857142857</v>
      </c>
      <c r="AK1640" s="66"/>
      <c r="AL1640" s="9" t="s">
        <v>5</v>
      </c>
      <c r="AM1640" s="9" t="s">
        <v>13</v>
      </c>
      <c r="AN1640" s="9" t="s">
        <v>9</v>
      </c>
      <c r="AO1640" s="1">
        <v>1</v>
      </c>
      <c r="AP1640" s="1" t="s">
        <v>287</v>
      </c>
      <c r="AQ1640" s="66">
        <f>+R1640</f>
        <v>0.2857142857142857</v>
      </c>
      <c r="AR1640" s="66"/>
      <c r="AS1640" s="9" t="s">
        <v>6</v>
      </c>
      <c r="AT1640" s="1" t="s">
        <v>518</v>
      </c>
      <c r="AU1640" s="66">
        <f>+AJ1640</f>
        <v>0.2857142857142857</v>
      </c>
      <c r="AV1640" s="66"/>
      <c r="AW1640" s="9" t="s">
        <v>5</v>
      </c>
      <c r="AX1640" s="9" t="s">
        <v>13</v>
      </c>
      <c r="AY1640" s="9" t="s">
        <v>9</v>
      </c>
      <c r="AZ1640" s="1">
        <v>1</v>
      </c>
      <c r="BA1640" s="1" t="s">
        <v>287</v>
      </c>
      <c r="BB1640" s="66">
        <f>+AQ1640</f>
        <v>0.2857142857142857</v>
      </c>
      <c r="BC1640" s="66"/>
      <c r="BD1640" s="9" t="s">
        <v>9</v>
      </c>
      <c r="BE1640" s="1">
        <v>1</v>
      </c>
      <c r="BF1640" s="1" t="s">
        <v>173</v>
      </c>
      <c r="BG1640" s="66">
        <f>+BB1640</f>
        <v>0.2857142857142857</v>
      </c>
      <c r="BH1640" s="66"/>
      <c r="CC1640" s="7"/>
    </row>
    <row r="1641" spans="2:81" ht="11.25" customHeight="1">
      <c r="B1641" s="6"/>
      <c r="C1641" s="81">
        <f>+C1638</f>
        <v>26.250000000000004</v>
      </c>
      <c r="D1641" s="68"/>
      <c r="E1641" s="48" t="s">
        <v>5</v>
      </c>
      <c r="F1641" s="49" t="s">
        <v>183</v>
      </c>
      <c r="G1641" s="49" t="s">
        <v>173</v>
      </c>
      <c r="H1641" s="49">
        <v>2</v>
      </c>
      <c r="I1641" s="48" t="s">
        <v>6</v>
      </c>
      <c r="J1641" s="68">
        <f>+J1638</f>
        <v>91.875000000000014</v>
      </c>
      <c r="K1641" s="68"/>
      <c r="L1641" s="49" t="s">
        <v>600</v>
      </c>
      <c r="M1641" s="68">
        <f>+AA1640</f>
        <v>0.2857142857142857</v>
      </c>
      <c r="N1641" s="68"/>
      <c r="O1641" s="48" t="s">
        <v>5</v>
      </c>
      <c r="P1641" s="48" t="s">
        <v>13</v>
      </c>
      <c r="Q1641" s="48" t="s">
        <v>9</v>
      </c>
      <c r="R1641" s="49">
        <v>1</v>
      </c>
      <c r="S1641" s="49" t="s">
        <v>519</v>
      </c>
      <c r="T1641" s="49" t="s">
        <v>597</v>
      </c>
      <c r="U1641" s="49"/>
      <c r="V1641" s="68">
        <f>+AJ1640</f>
        <v>0.2857142857142857</v>
      </c>
      <c r="W1641" s="68"/>
      <c r="X1641" s="48" t="s">
        <v>5</v>
      </c>
      <c r="Y1641" s="48" t="s">
        <v>13</v>
      </c>
      <c r="Z1641" s="48" t="s">
        <v>9</v>
      </c>
      <c r="AA1641" s="49">
        <v>1</v>
      </c>
      <c r="AB1641" s="49" t="s">
        <v>287</v>
      </c>
      <c r="AC1641" s="68">
        <f>+AQ1640</f>
        <v>0.2857142857142857</v>
      </c>
      <c r="AD1641" s="68"/>
      <c r="AE1641" s="48" t="s">
        <v>6</v>
      </c>
      <c r="AF1641" s="49" t="s">
        <v>518</v>
      </c>
      <c r="AG1641" s="68">
        <f>+AU1640</f>
        <v>0.2857142857142857</v>
      </c>
      <c r="AH1641" s="68"/>
      <c r="AI1641" s="48" t="s">
        <v>5</v>
      </c>
      <c r="AJ1641" s="48" t="s">
        <v>13</v>
      </c>
      <c r="AK1641" s="48" t="s">
        <v>9</v>
      </c>
      <c r="AL1641" s="49">
        <v>1</v>
      </c>
      <c r="AM1641" s="49" t="s">
        <v>287</v>
      </c>
      <c r="AN1641" s="68">
        <f>+BB1640</f>
        <v>0.2857142857142857</v>
      </c>
      <c r="AO1641" s="68"/>
      <c r="AP1641" s="48" t="s">
        <v>9</v>
      </c>
      <c r="AQ1641" s="49">
        <v>1</v>
      </c>
      <c r="AR1641" s="49" t="s">
        <v>173</v>
      </c>
      <c r="AS1641" s="68">
        <f>+BG1640</f>
        <v>0.2857142857142857</v>
      </c>
      <c r="AT1641" s="68"/>
      <c r="AU1641" s="50" t="s">
        <v>40</v>
      </c>
      <c r="BN1641" s="66">
        <f>+AS1627</f>
        <v>400</v>
      </c>
      <c r="BO1641" s="66"/>
      <c r="BP1641" s="1" t="s">
        <v>41</v>
      </c>
      <c r="BX1641" s="66">
        <f>+BV1627</f>
        <v>800</v>
      </c>
      <c r="BY1641" s="66"/>
      <c r="BZ1641" s="1" t="s">
        <v>41</v>
      </c>
      <c r="CC1641" s="7"/>
    </row>
    <row r="1642" spans="2:81" ht="11.25" customHeight="1">
      <c r="B1642" s="6"/>
      <c r="C1642" s="1" t="s">
        <v>557</v>
      </c>
      <c r="G1642" s="66">
        <f>+C1635</f>
        <v>26.250000000000004</v>
      </c>
      <c r="H1642" s="66"/>
      <c r="I1642" s="9" t="s">
        <v>5</v>
      </c>
      <c r="J1642" s="9" t="s">
        <v>13</v>
      </c>
      <c r="K1642" s="9" t="s">
        <v>6</v>
      </c>
      <c r="L1642" s="66">
        <f>+H1635</f>
        <v>91.875000000000014</v>
      </c>
      <c r="M1642" s="66"/>
      <c r="N1642" s="9" t="s">
        <v>5</v>
      </c>
      <c r="O1642" s="1" t="s">
        <v>595</v>
      </c>
      <c r="P1642" s="1" t="s">
        <v>518</v>
      </c>
      <c r="Q1642" s="66">
        <f>+M1635</f>
        <v>0.2857142857142857</v>
      </c>
      <c r="R1642" s="66"/>
      <c r="S1642" s="9" t="s">
        <v>5</v>
      </c>
      <c r="T1642" s="9" t="s">
        <v>13</v>
      </c>
      <c r="U1642" s="9" t="s">
        <v>9</v>
      </c>
      <c r="V1642" s="1">
        <v>1</v>
      </c>
      <c r="W1642" s="1" t="s">
        <v>306</v>
      </c>
      <c r="X1642" s="1" t="s">
        <v>24</v>
      </c>
      <c r="Z1642" s="9"/>
      <c r="CC1642" s="7"/>
    </row>
    <row r="1643" spans="2:81" ht="11.25" customHeight="1">
      <c r="B1643" s="6"/>
      <c r="C1643" s="1" t="s">
        <v>558</v>
      </c>
      <c r="G1643" s="66">
        <f>+C1641</f>
        <v>26.250000000000004</v>
      </c>
      <c r="H1643" s="66"/>
      <c r="I1643" s="9" t="s">
        <v>5</v>
      </c>
      <c r="J1643" s="1" t="s">
        <v>183</v>
      </c>
      <c r="K1643" s="1" t="s">
        <v>173</v>
      </c>
      <c r="L1643" s="1">
        <v>2</v>
      </c>
      <c r="M1643" s="9" t="s">
        <v>6</v>
      </c>
      <c r="N1643" s="66">
        <f>+J1641</f>
        <v>91.875000000000014</v>
      </c>
      <c r="O1643" s="66"/>
      <c r="P1643" s="1" t="s">
        <v>600</v>
      </c>
      <c r="Q1643" s="66">
        <f>+M1641</f>
        <v>0.2857142857142857</v>
      </c>
      <c r="R1643" s="66"/>
      <c r="S1643" s="9" t="s">
        <v>5</v>
      </c>
      <c r="T1643" s="9" t="s">
        <v>13</v>
      </c>
      <c r="U1643" s="9" t="s">
        <v>9</v>
      </c>
      <c r="V1643" s="1">
        <v>1</v>
      </c>
      <c r="W1643" s="1" t="s">
        <v>519</v>
      </c>
      <c r="X1643" s="1" t="s">
        <v>597</v>
      </c>
      <c r="Z1643" s="66">
        <f>+Q1643</f>
        <v>0.2857142857142857</v>
      </c>
      <c r="AA1643" s="66"/>
      <c r="AB1643" s="9" t="s">
        <v>5</v>
      </c>
      <c r="AC1643" s="9" t="s">
        <v>13</v>
      </c>
      <c r="AD1643" s="9" t="s">
        <v>9</v>
      </c>
      <c r="AE1643" s="1">
        <v>1</v>
      </c>
      <c r="AF1643" s="1" t="s">
        <v>287</v>
      </c>
      <c r="AG1643" s="66">
        <f>+AC1641</f>
        <v>0.2857142857142857</v>
      </c>
      <c r="AH1643" s="66"/>
      <c r="AI1643" s="9" t="s">
        <v>6</v>
      </c>
      <c r="AJ1643" s="1" t="s">
        <v>518</v>
      </c>
      <c r="AK1643" s="66">
        <f>+Z1643</f>
        <v>0.2857142857142857</v>
      </c>
      <c r="AL1643" s="66"/>
      <c r="AM1643" s="9" t="s">
        <v>5</v>
      </c>
      <c r="AN1643" s="9" t="s">
        <v>13</v>
      </c>
      <c r="AO1643" s="9" t="s">
        <v>9</v>
      </c>
      <c r="AP1643" s="1">
        <v>1</v>
      </c>
      <c r="AQ1643" s="1" t="s">
        <v>287</v>
      </c>
      <c r="AR1643" s="66">
        <f>+AG1643</f>
        <v>0.2857142857142857</v>
      </c>
      <c r="AS1643" s="66"/>
      <c r="AT1643" s="9" t="s">
        <v>9</v>
      </c>
      <c r="AU1643" s="1">
        <v>1</v>
      </c>
      <c r="AV1643" s="1" t="s">
        <v>173</v>
      </c>
      <c r="AW1643" s="66">
        <f>+AS1641</f>
        <v>0.2857142857142857</v>
      </c>
      <c r="AX1643" s="66"/>
      <c r="AY1643" s="1" t="s">
        <v>306</v>
      </c>
      <c r="AZ1643" s="1" t="s">
        <v>24</v>
      </c>
      <c r="BA1643" s="9" t="s">
        <v>5</v>
      </c>
      <c r="BB1643" s="9" t="s">
        <v>13</v>
      </c>
      <c r="BC1643" s="9" t="s">
        <v>9</v>
      </c>
      <c r="BD1643" s="1" t="s">
        <v>307</v>
      </c>
      <c r="CC1643" s="7"/>
    </row>
    <row r="1644" spans="2:81" ht="11.25" customHeight="1">
      <c r="B1644" s="6"/>
      <c r="C1644" s="24" t="s">
        <v>318</v>
      </c>
      <c r="CC1644" s="7"/>
    </row>
    <row r="1645" spans="2:81" ht="11.25" customHeight="1">
      <c r="B1645" s="6"/>
      <c r="C1645" s="1" t="s">
        <v>599</v>
      </c>
      <c r="J1645" s="66">
        <f>+C1635</f>
        <v>26.250000000000004</v>
      </c>
      <c r="K1645" s="66"/>
      <c r="L1645" s="9" t="s">
        <v>5</v>
      </c>
      <c r="M1645" s="66">
        <f>+AZ1620</f>
        <v>3.5</v>
      </c>
      <c r="N1645" s="66"/>
      <c r="O1645" s="9" t="s">
        <v>6</v>
      </c>
      <c r="P1645" s="66">
        <f>+L1642</f>
        <v>91.875000000000014</v>
      </c>
      <c r="Q1645" s="66"/>
      <c r="R1645" s="9" t="s">
        <v>5</v>
      </c>
      <c r="S1645" s="1" t="s">
        <v>595</v>
      </c>
      <c r="T1645" s="1" t="s">
        <v>518</v>
      </c>
      <c r="U1645" s="66">
        <f>+Q1642</f>
        <v>0.2857142857142857</v>
      </c>
      <c r="V1645" s="66"/>
      <c r="W1645" s="9" t="s">
        <v>5</v>
      </c>
      <c r="X1645" s="66">
        <f>+M1645</f>
        <v>3.5</v>
      </c>
      <c r="Y1645" s="66"/>
      <c r="Z1645" s="9" t="s">
        <v>9</v>
      </c>
      <c r="AA1645" s="1">
        <v>1</v>
      </c>
      <c r="AB1645" s="1" t="s">
        <v>306</v>
      </c>
      <c r="AC1645" s="1" t="s">
        <v>24</v>
      </c>
      <c r="AD1645" s="9" t="s">
        <v>7</v>
      </c>
      <c r="AE1645" s="9">
        <v>0</v>
      </c>
      <c r="AH1645" s="1" t="s">
        <v>24</v>
      </c>
      <c r="AI1645" s="9" t="s">
        <v>7</v>
      </c>
      <c r="AJ1645" s="66">
        <f>-(J1645*M1645-P1645*LN(U1645*X1645+AA1645))</f>
        <v>-28.192102786055031</v>
      </c>
      <c r="AK1645" s="66"/>
      <c r="AL1645" s="66"/>
      <c r="CC1645" s="7"/>
    </row>
    <row r="1646" spans="2:81" ht="11.25" customHeight="1">
      <c r="B1646" s="6"/>
      <c r="C1646" s="1" t="s">
        <v>410</v>
      </c>
      <c r="I1646" s="66">
        <f>-J1641</f>
        <v>-91.875000000000014</v>
      </c>
      <c r="J1646" s="66"/>
      <c r="K1646" s="1" t="s">
        <v>14</v>
      </c>
      <c r="L1646" s="1">
        <v>-1</v>
      </c>
      <c r="M1646" s="9" t="s">
        <v>173</v>
      </c>
      <c r="N1646" s="66">
        <f>+AN1641</f>
        <v>0.2857142857142857</v>
      </c>
      <c r="O1646" s="66"/>
      <c r="P1646" s="1" t="s">
        <v>306</v>
      </c>
      <c r="Q1646" s="1" t="s">
        <v>307</v>
      </c>
      <c r="R1646" s="9" t="s">
        <v>7</v>
      </c>
      <c r="S1646" s="9">
        <v>0</v>
      </c>
      <c r="V1646" s="1" t="s">
        <v>307</v>
      </c>
      <c r="W1646" s="9" t="s">
        <v>7</v>
      </c>
      <c r="X1646" s="66">
        <f>-I1646*(L1646/N1646)</f>
        <v>-321.56250000000006</v>
      </c>
      <c r="Y1646" s="66"/>
      <c r="Z1646" s="66"/>
      <c r="CC1646" s="7"/>
    </row>
    <row r="1647" spans="2:81" ht="11.25" customHeight="1">
      <c r="B1647" s="6"/>
      <c r="C1647" s="1" t="s">
        <v>537</v>
      </c>
      <c r="H1647" s="66">
        <f>+G1643</f>
        <v>26.250000000000004</v>
      </c>
      <c r="I1647" s="66"/>
      <c r="J1647" s="9" t="s">
        <v>5</v>
      </c>
      <c r="K1647" s="1" t="s">
        <v>183</v>
      </c>
      <c r="L1647" s="1" t="s">
        <v>173</v>
      </c>
      <c r="M1647" s="1">
        <v>2</v>
      </c>
      <c r="N1647" s="9" t="s">
        <v>6</v>
      </c>
      <c r="O1647" s="66">
        <f>+N1643</f>
        <v>91.875000000000014</v>
      </c>
      <c r="P1647" s="66"/>
      <c r="Q1647" s="1" t="s">
        <v>600</v>
      </c>
      <c r="R1647" s="66">
        <f>+Q1643</f>
        <v>0.2857142857142857</v>
      </c>
      <c r="S1647" s="66"/>
      <c r="T1647" s="9" t="s">
        <v>5</v>
      </c>
      <c r="U1647" s="9" t="s">
        <v>13</v>
      </c>
      <c r="V1647" s="9" t="s">
        <v>9</v>
      </c>
      <c r="W1647" s="1">
        <v>1</v>
      </c>
      <c r="X1647" s="1" t="s">
        <v>519</v>
      </c>
      <c r="Y1647" s="1" t="s">
        <v>597</v>
      </c>
      <c r="AA1647" s="66">
        <f>+R1647</f>
        <v>0.2857142857142857</v>
      </c>
      <c r="AB1647" s="66"/>
      <c r="AC1647" s="9" t="s">
        <v>5</v>
      </c>
      <c r="AD1647" s="9" t="s">
        <v>13</v>
      </c>
      <c r="AE1647" s="9" t="s">
        <v>9</v>
      </c>
      <c r="AF1647" s="1">
        <v>1</v>
      </c>
      <c r="AG1647" s="1" t="s">
        <v>287</v>
      </c>
      <c r="AH1647" s="66">
        <f>+AG1643</f>
        <v>0.2857142857142857</v>
      </c>
      <c r="AI1647" s="66"/>
      <c r="AJ1647" s="9" t="s">
        <v>6</v>
      </c>
      <c r="AK1647" s="1" t="s">
        <v>518</v>
      </c>
      <c r="AL1647" s="66">
        <f>+AA1647</f>
        <v>0.2857142857142857</v>
      </c>
      <c r="AM1647" s="66"/>
      <c r="AN1647" s="9" t="s">
        <v>5</v>
      </c>
      <c r="AO1647" s="9" t="s">
        <v>13</v>
      </c>
      <c r="AP1647" s="9" t="s">
        <v>9</v>
      </c>
      <c r="AQ1647" s="1">
        <v>1</v>
      </c>
      <c r="AR1647" s="1" t="s">
        <v>287</v>
      </c>
      <c r="AS1647" s="66">
        <f>+AH1647</f>
        <v>0.2857142857142857</v>
      </c>
      <c r="AT1647" s="66"/>
      <c r="AU1647" s="1" t="s">
        <v>306</v>
      </c>
      <c r="AV1647" s="66">
        <f>+AJ1645</f>
        <v>-28.192102786055031</v>
      </c>
      <c r="AW1647" s="66"/>
      <c r="AX1647" s="66"/>
      <c r="AY1647" s="9" t="s">
        <v>5</v>
      </c>
      <c r="AZ1647" s="9" t="s">
        <v>13</v>
      </c>
      <c r="BA1647" s="9" t="s">
        <v>9</v>
      </c>
      <c r="BB1647" s="66">
        <f>+X1646</f>
        <v>-321.56250000000006</v>
      </c>
      <c r="BC1647" s="66"/>
      <c r="BD1647" s="66"/>
      <c r="CC1647" s="7"/>
    </row>
    <row r="1648" spans="2:81" ht="11.25" customHeight="1">
      <c r="B1648" s="6"/>
      <c r="C1648" s="1" t="s">
        <v>35</v>
      </c>
      <c r="E1648" s="66">
        <f>+H1647</f>
        <v>26.250000000000004</v>
      </c>
      <c r="F1648" s="66"/>
      <c r="G1648" s="9" t="s">
        <v>5</v>
      </c>
      <c r="H1648" s="1" t="s">
        <v>183</v>
      </c>
      <c r="I1648" s="1" t="s">
        <v>173</v>
      </c>
      <c r="J1648" s="1">
        <v>2</v>
      </c>
      <c r="K1648" s="9" t="s">
        <v>6</v>
      </c>
      <c r="L1648" s="66">
        <f>+O1647</f>
        <v>91.875000000000014</v>
      </c>
      <c r="M1648" s="66"/>
      <c r="N1648" s="1" t="s">
        <v>600</v>
      </c>
      <c r="O1648" s="66">
        <f>+R1647</f>
        <v>0.2857142857142857</v>
      </c>
      <c r="P1648" s="66"/>
      <c r="Q1648" s="9" t="s">
        <v>5</v>
      </c>
      <c r="R1648" s="9" t="s">
        <v>13</v>
      </c>
      <c r="S1648" s="9" t="s">
        <v>9</v>
      </c>
      <c r="T1648" s="1">
        <v>1</v>
      </c>
      <c r="U1648" s="1" t="s">
        <v>519</v>
      </c>
      <c r="V1648" s="1" t="s">
        <v>597</v>
      </c>
      <c r="X1648" s="66">
        <f>+O1648</f>
        <v>0.2857142857142857</v>
      </c>
      <c r="Y1648" s="66"/>
      <c r="Z1648" s="9" t="s">
        <v>5</v>
      </c>
      <c r="AA1648" s="9" t="s">
        <v>13</v>
      </c>
      <c r="AB1648" s="9" t="s">
        <v>9</v>
      </c>
      <c r="AC1648" s="1">
        <v>1</v>
      </c>
      <c r="AD1648" s="1" t="s">
        <v>287</v>
      </c>
      <c r="AE1648" s="66">
        <f>+AH1647</f>
        <v>0.2857142857142857</v>
      </c>
      <c r="AF1648" s="66"/>
      <c r="AG1648" s="9" t="s">
        <v>6</v>
      </c>
      <c r="AH1648" s="1" t="s">
        <v>518</v>
      </c>
      <c r="AI1648" s="66">
        <f>+X1648</f>
        <v>0.2857142857142857</v>
      </c>
      <c r="AJ1648" s="66"/>
      <c r="AK1648" s="9" t="s">
        <v>5</v>
      </c>
      <c r="AL1648" s="9" t="s">
        <v>13</v>
      </c>
      <c r="AM1648" s="9" t="s">
        <v>9</v>
      </c>
      <c r="AN1648" s="1">
        <v>1</v>
      </c>
      <c r="AO1648" s="1" t="s">
        <v>287</v>
      </c>
      <c r="AP1648" s="66">
        <f>+AE1648</f>
        <v>0.2857142857142857</v>
      </c>
      <c r="AQ1648" s="66"/>
      <c r="AR1648" s="9" t="s">
        <v>306</v>
      </c>
      <c r="AS1648" s="66">
        <f>+AV1647</f>
        <v>-28.192102786055031</v>
      </c>
      <c r="AT1648" s="66"/>
      <c r="AU1648" s="66"/>
      <c r="AV1648" s="9" t="s">
        <v>5</v>
      </c>
      <c r="AW1648" s="9" t="s">
        <v>13</v>
      </c>
      <c r="AX1648" s="9" t="s">
        <v>9</v>
      </c>
      <c r="AY1648" s="66">
        <f>+BB1647</f>
        <v>-321.56250000000006</v>
      </c>
      <c r="AZ1648" s="66"/>
      <c r="BA1648" s="66"/>
      <c r="BB1648" s="1" t="s">
        <v>538</v>
      </c>
      <c r="CC1648" s="7"/>
    </row>
    <row r="1649" spans="2:81" ht="11.25" customHeight="1">
      <c r="B1649" s="6"/>
      <c r="C1649" s="1" t="s">
        <v>27</v>
      </c>
      <c r="D1649" s="67">
        <v>3.5</v>
      </c>
      <c r="E1649" s="67"/>
      <c r="F1649" s="67"/>
      <c r="G1649" s="1" t="s">
        <v>42</v>
      </c>
      <c r="P1649" s="8"/>
      <c r="Q1649" s="8" t="str">
        <f>IF(D1649&lt;=AZ1620,"","azalt.")</f>
        <v/>
      </c>
      <c r="U1649" s="24"/>
      <c r="CC1649" s="7"/>
    </row>
    <row r="1650" spans="2:81" ht="11.25" customHeight="1">
      <c r="B1650" s="6"/>
      <c r="C1650" s="1" t="s">
        <v>35</v>
      </c>
      <c r="E1650" s="66">
        <f>+E1648</f>
        <v>26.250000000000004</v>
      </c>
      <c r="F1650" s="66"/>
      <c r="G1650" s="9" t="s">
        <v>5</v>
      </c>
      <c r="H1650" s="66">
        <f>+D1649</f>
        <v>3.5</v>
      </c>
      <c r="I1650" s="66"/>
      <c r="J1650" s="1" t="s">
        <v>254</v>
      </c>
      <c r="K1650" s="9">
        <v>2</v>
      </c>
      <c r="L1650" s="9" t="s">
        <v>6</v>
      </c>
      <c r="M1650" s="66">
        <f>+L1648</f>
        <v>91.875000000000014</v>
      </c>
      <c r="N1650" s="66"/>
      <c r="O1650" s="1" t="s">
        <v>600</v>
      </c>
      <c r="P1650" s="66">
        <f>+O1648</f>
        <v>0.2857142857142857</v>
      </c>
      <c r="Q1650" s="66"/>
      <c r="R1650" s="9" t="s">
        <v>5</v>
      </c>
      <c r="S1650" s="66">
        <f>+H1650</f>
        <v>3.5</v>
      </c>
      <c r="T1650" s="66"/>
      <c r="U1650" s="9" t="s">
        <v>9</v>
      </c>
      <c r="V1650" s="1">
        <v>1</v>
      </c>
      <c r="W1650" s="1" t="s">
        <v>519</v>
      </c>
      <c r="X1650" s="1" t="s">
        <v>597</v>
      </c>
      <c r="Z1650" s="66">
        <f>+X1648</f>
        <v>0.2857142857142857</v>
      </c>
      <c r="AA1650" s="66"/>
      <c r="AB1650" s="9" t="s">
        <v>5</v>
      </c>
      <c r="AC1650" s="66">
        <f>+S1650</f>
        <v>3.5</v>
      </c>
      <c r="AD1650" s="66"/>
      <c r="AE1650" s="9" t="s">
        <v>9</v>
      </c>
      <c r="AF1650" s="1">
        <v>1</v>
      </c>
      <c r="AG1650" s="1" t="s">
        <v>287</v>
      </c>
      <c r="AH1650" s="66">
        <f>+AE1648</f>
        <v>0.2857142857142857</v>
      </c>
      <c r="AI1650" s="66"/>
      <c r="AJ1650" s="9" t="s">
        <v>6</v>
      </c>
      <c r="AK1650" s="1" t="s">
        <v>518</v>
      </c>
      <c r="AL1650" s="66">
        <f>+AI1648</f>
        <v>0.2857142857142857</v>
      </c>
      <c r="AM1650" s="66"/>
      <c r="AN1650" s="9" t="s">
        <v>5</v>
      </c>
      <c r="AO1650" s="66">
        <f>+AC1650</f>
        <v>3.5</v>
      </c>
      <c r="AP1650" s="66"/>
      <c r="AQ1650" s="9" t="s">
        <v>9</v>
      </c>
      <c r="AR1650" s="1">
        <v>1</v>
      </c>
      <c r="AS1650" s="1" t="s">
        <v>287</v>
      </c>
      <c r="AT1650" s="66">
        <f>+AP1648</f>
        <v>0.2857142857142857</v>
      </c>
      <c r="AU1650" s="66"/>
      <c r="AV1650" s="9" t="s">
        <v>306</v>
      </c>
      <c r="AW1650" s="66">
        <f>+AS1648</f>
        <v>-28.192102786055031</v>
      </c>
      <c r="AX1650" s="66"/>
      <c r="AY1650" s="66"/>
      <c r="AZ1650" s="9" t="s">
        <v>5</v>
      </c>
      <c r="BA1650" s="66">
        <f>+AO1650</f>
        <v>3.5</v>
      </c>
      <c r="BB1650" s="66"/>
      <c r="BC1650" s="9" t="s">
        <v>9</v>
      </c>
      <c r="BD1650" s="66">
        <f>+AY1648</f>
        <v>-321.56250000000006</v>
      </c>
      <c r="BE1650" s="66"/>
      <c r="BF1650" s="66"/>
      <c r="BG1650" s="1" t="s">
        <v>193</v>
      </c>
      <c r="BJ1650" s="66">
        <f>+BD1617</f>
        <v>200000</v>
      </c>
      <c r="BK1650" s="66"/>
      <c r="BL1650" s="66"/>
      <c r="BM1650" s="9" t="s">
        <v>5</v>
      </c>
      <c r="BN1650" s="66">
        <f>+AS1625/10000</f>
        <v>2430</v>
      </c>
      <c r="BO1650" s="66"/>
      <c r="BP1650" s="66"/>
      <c r="BQ1650" s="1" t="s">
        <v>40</v>
      </c>
      <c r="CC1650" s="7"/>
    </row>
    <row r="1651" spans="2:81" ht="11.25" customHeight="1">
      <c r="B1651" s="6"/>
      <c r="C1651" s="1" t="s">
        <v>33</v>
      </c>
      <c r="E1651" s="66">
        <f>(E1650*H1650^2/K1650-M1650*((P1650*S1650+V1650)*LN(Z1650*AC1650+AF1650)/AH1650-(AL1650*AO1650+AR1650)/AT1650)+AW1650*BA1650+BD1650)*100000000/(BJ1650*BN1650)</f>
        <v>-12.779607047079718</v>
      </c>
      <c r="F1651" s="66"/>
      <c r="G1651" s="66"/>
      <c r="H1651" s="1" t="s">
        <v>41</v>
      </c>
      <c r="CC1651" s="7"/>
    </row>
    <row r="1652" spans="2:81" ht="11.25" customHeight="1">
      <c r="B1652" s="6"/>
      <c r="C1652" s="1" t="s">
        <v>172</v>
      </c>
      <c r="H1652" s="66">
        <f>BG1622*1000</f>
        <v>7000</v>
      </c>
      <c r="I1652" s="66"/>
      <c r="J1652" s="66"/>
      <c r="K1652" s="1" t="s">
        <v>173</v>
      </c>
      <c r="L1652" s="66">
        <v>300</v>
      </c>
      <c r="M1652" s="66"/>
      <c r="N1652" s="9" t="s">
        <v>7</v>
      </c>
      <c r="O1652" s="66">
        <f>+H1652/L1652</f>
        <v>23.333333333333332</v>
      </c>
      <c r="P1652" s="66"/>
      <c r="Q1652" s="66"/>
      <c r="R1652" s="1" t="s">
        <v>41</v>
      </c>
      <c r="U1652" s="1" t="s">
        <v>192</v>
      </c>
      <c r="CC1652" s="7"/>
    </row>
    <row r="1653" spans="2:81" ht="11.25" customHeight="1">
      <c r="B1653" s="6"/>
      <c r="C1653" s="1" t="s">
        <v>34</v>
      </c>
      <c r="D1653" s="66">
        <f>+E1651</f>
        <v>-12.779607047079718</v>
      </c>
      <c r="E1653" s="66"/>
      <c r="F1653" s="66"/>
      <c r="G1653" s="1" t="s">
        <v>41</v>
      </c>
      <c r="I1653" s="1" t="str">
        <f>IF(ABS(D1653)&lt;ABS(M1653),"&lt;","&gt;")</f>
        <v>&lt;</v>
      </c>
      <c r="J1653" s="1" t="s">
        <v>174</v>
      </c>
      <c r="M1653" s="66">
        <f>+O1652</f>
        <v>23.333333333333332</v>
      </c>
      <c r="N1653" s="66"/>
      <c r="O1653" s="66"/>
      <c r="P1653" s="1" t="s">
        <v>41</v>
      </c>
      <c r="R1653" s="8" t="str">
        <f>IF(ABS(D1653)&lt;ABS(M1653),"uygun.","uygun değil.")</f>
        <v>uygun.</v>
      </c>
      <c r="CC1653" s="7"/>
    </row>
    <row r="1654" spans="2:81" ht="11.25" customHeight="1">
      <c r="B1654" s="6"/>
      <c r="C1654" s="23" t="s">
        <v>222</v>
      </c>
      <c r="D1654" s="9"/>
      <c r="E1654" s="9"/>
      <c r="F1654" s="9"/>
      <c r="CC1654" s="7"/>
    </row>
    <row r="1655" spans="2:81">
      <c r="B1655" s="6"/>
      <c r="C1655" s="1" t="s">
        <v>27</v>
      </c>
      <c r="D1655" s="67">
        <v>3.75</v>
      </c>
      <c r="E1655" s="67"/>
      <c r="F1655" s="67"/>
      <c r="G1655" s="1" t="s">
        <v>213</v>
      </c>
      <c r="H1655" s="9"/>
      <c r="I1655" s="9"/>
      <c r="J1655" s="9"/>
      <c r="M1655" s="9"/>
      <c r="N1655" s="21"/>
      <c r="P1655" s="9"/>
      <c r="Q1655" s="9"/>
      <c r="V1655" s="8" t="str">
        <f>IF(D1655&lt;=BG1622,"","azalt.")</f>
        <v/>
      </c>
      <c r="BB1655" s="23" t="s">
        <v>770</v>
      </c>
      <c r="CC1655" s="7"/>
    </row>
    <row r="1656" spans="2:81">
      <c r="B1656" s="6"/>
      <c r="C1656" s="1" t="s">
        <v>12</v>
      </c>
      <c r="E1656" s="66">
        <f>+AV1619</f>
        <v>7.5</v>
      </c>
      <c r="F1656" s="66"/>
      <c r="G1656" s="66"/>
      <c r="H1656" s="9" t="s">
        <v>5</v>
      </c>
      <c r="I1656" s="66">
        <f>+D1655</f>
        <v>3.75</v>
      </c>
      <c r="J1656" s="66"/>
      <c r="K1656" s="9" t="s">
        <v>6</v>
      </c>
      <c r="L1656" s="66">
        <f>IF((O1656-R1656)&lt;0,0,BG1612)</f>
        <v>15</v>
      </c>
      <c r="M1656" s="66"/>
      <c r="N1656" s="1" t="s">
        <v>14</v>
      </c>
      <c r="O1656" s="66">
        <f>+D1655</f>
        <v>3.75</v>
      </c>
      <c r="P1656" s="66"/>
      <c r="Q1656" s="9" t="s">
        <v>6</v>
      </c>
      <c r="R1656" s="66">
        <f>+AZ1620</f>
        <v>3.5</v>
      </c>
      <c r="S1656" s="66"/>
      <c r="T1656" s="1" t="s">
        <v>201</v>
      </c>
      <c r="U1656" s="66">
        <f>+E1656*I1656-L1656*(O1656-R1656)</f>
        <v>24.375</v>
      </c>
      <c r="V1656" s="66"/>
      <c r="W1656" s="66"/>
      <c r="X1656" s="1" t="s">
        <v>191</v>
      </c>
      <c r="CC1656" s="7"/>
    </row>
    <row r="1657" spans="2:81">
      <c r="B1657" s="6"/>
      <c r="C1657" s="1" t="s">
        <v>220</v>
      </c>
      <c r="E1657" s="66">
        <f>+E1656</f>
        <v>7.5</v>
      </c>
      <c r="F1657" s="66"/>
      <c r="G1657" s="66"/>
      <c r="H1657" s="9" t="s">
        <v>6</v>
      </c>
      <c r="I1657" s="66">
        <f>+L1656</f>
        <v>15</v>
      </c>
      <c r="J1657" s="66"/>
      <c r="K1657" s="1" t="s">
        <v>7</v>
      </c>
      <c r="L1657" s="66">
        <f>+E1657-I1657</f>
        <v>-7.5</v>
      </c>
      <c r="M1657" s="66"/>
      <c r="N1657" s="66"/>
      <c r="O1657" s="1" t="s">
        <v>0</v>
      </c>
      <c r="CC1657" s="7"/>
    </row>
    <row r="1658" spans="2:81">
      <c r="B1658" s="6"/>
      <c r="C1658" s="23" t="s">
        <v>253</v>
      </c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CC1658" s="7"/>
    </row>
    <row r="1659" spans="2:81">
      <c r="B1659" s="6"/>
      <c r="C1659" s="1" t="s">
        <v>27</v>
      </c>
      <c r="D1659" s="66">
        <f>+AZ1620</f>
        <v>3.5</v>
      </c>
      <c r="E1659" s="66"/>
      <c r="F1659" s="66"/>
      <c r="G1659" s="1" t="s">
        <v>257</v>
      </c>
      <c r="H1659" s="9"/>
      <c r="I1659" s="9"/>
      <c r="J1659" s="9"/>
      <c r="M1659" s="9"/>
      <c r="P1659" s="4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9"/>
      <c r="AP1659" s="9"/>
      <c r="AQ1659" s="9"/>
      <c r="AR1659" s="9"/>
      <c r="BC1659" s="2"/>
      <c r="CC1659" s="7"/>
    </row>
    <row r="1660" spans="2:81">
      <c r="B1660" s="6"/>
      <c r="C1660" s="1" t="s">
        <v>260</v>
      </c>
      <c r="D1660" s="9"/>
      <c r="E1660" s="9"/>
      <c r="F1660" s="66">
        <f>+E1656</f>
        <v>7.5</v>
      </c>
      <c r="G1660" s="66"/>
      <c r="H1660" s="66"/>
      <c r="I1660" s="9" t="s">
        <v>5</v>
      </c>
      <c r="J1660" s="66">
        <f>+D1659</f>
        <v>3.5</v>
      </c>
      <c r="K1660" s="66"/>
      <c r="L1660" s="9" t="s">
        <v>7</v>
      </c>
      <c r="M1660" s="66">
        <f>+F1660*J1660</f>
        <v>26.25</v>
      </c>
      <c r="N1660" s="66"/>
      <c r="O1660" s="66"/>
      <c r="P1660" s="1" t="s">
        <v>191</v>
      </c>
      <c r="S1660" s="9"/>
      <c r="V1660" s="9"/>
      <c r="X1660" s="9"/>
      <c r="AD1660" s="9"/>
      <c r="AO1660" s="9"/>
      <c r="AP1660" s="9"/>
      <c r="AQ1660" s="9"/>
      <c r="AR1660" s="9"/>
      <c r="BC1660" s="2"/>
      <c r="BQ1660" s="9"/>
      <c r="CC1660" s="7"/>
    </row>
    <row r="1661" spans="2:81">
      <c r="B1661" s="6"/>
      <c r="C1661" s="1" t="s">
        <v>247</v>
      </c>
      <c r="E1661" s="66">
        <f>+BG1622/2</f>
        <v>3.5</v>
      </c>
      <c r="F1661" s="66"/>
      <c r="G1661" s="66"/>
      <c r="H1661" s="1" t="s">
        <v>252</v>
      </c>
      <c r="I1661" s="9"/>
      <c r="J1661" s="9"/>
      <c r="M1661" s="9"/>
      <c r="N1661" s="21"/>
      <c r="P1661" s="9"/>
      <c r="Q1661" s="9"/>
      <c r="S1661" s="9"/>
      <c r="T1661" s="8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O1661" s="9"/>
      <c r="AP1661" s="9"/>
      <c r="AQ1661" s="9"/>
      <c r="AR1661" s="9"/>
      <c r="BC1661" s="2"/>
      <c r="CC1661" s="7"/>
    </row>
    <row r="1662" spans="2:81">
      <c r="B1662" s="6"/>
      <c r="C1662" s="1" t="s">
        <v>261</v>
      </c>
      <c r="D1662" s="9"/>
      <c r="E1662" s="66">
        <f>+F1660</f>
        <v>7.5</v>
      </c>
      <c r="F1662" s="66"/>
      <c r="G1662" s="66"/>
      <c r="H1662" s="9" t="s">
        <v>5</v>
      </c>
      <c r="I1662" s="66">
        <f>+E1661</f>
        <v>3.5</v>
      </c>
      <c r="J1662" s="66"/>
      <c r="K1662" s="9" t="s">
        <v>7</v>
      </c>
      <c r="L1662" s="66">
        <f>+E1662*I1662</f>
        <v>26.25</v>
      </c>
      <c r="M1662" s="66"/>
      <c r="N1662" s="66"/>
      <c r="O1662" s="1" t="s">
        <v>191</v>
      </c>
      <c r="R1662" s="9"/>
      <c r="U1662" s="9"/>
      <c r="W1662" s="9"/>
      <c r="AC1662" s="9"/>
      <c r="AO1662" s="9"/>
      <c r="AP1662" s="9"/>
      <c r="AQ1662" s="9"/>
      <c r="AR1662" s="9"/>
      <c r="BC1662" s="2"/>
      <c r="BQ1662" s="9"/>
      <c r="CC1662" s="7"/>
    </row>
    <row r="1663" spans="2:81">
      <c r="B1663" s="6"/>
      <c r="C1663" s="1" t="s">
        <v>248</v>
      </c>
      <c r="E1663" s="66">
        <f>+BG1622/4</f>
        <v>1.75</v>
      </c>
      <c r="F1663" s="66"/>
      <c r="G1663" s="66"/>
      <c r="H1663" s="1" t="s">
        <v>252</v>
      </c>
      <c r="I1663" s="9"/>
      <c r="J1663" s="9"/>
      <c r="M1663" s="9"/>
      <c r="N1663" s="21"/>
      <c r="P1663" s="9"/>
      <c r="Q1663" s="9"/>
      <c r="S1663" s="9"/>
      <c r="T1663" s="8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O1663" s="9"/>
      <c r="AP1663" s="9"/>
      <c r="AQ1663" s="9"/>
      <c r="AR1663" s="9"/>
      <c r="AZ1663" s="2"/>
      <c r="BA1663" s="2"/>
      <c r="BB1663" s="2"/>
      <c r="BC1663" s="2"/>
      <c r="CC1663" s="7"/>
    </row>
    <row r="1664" spans="2:81">
      <c r="B1664" s="6"/>
      <c r="C1664" s="1" t="s">
        <v>249</v>
      </c>
      <c r="E1664" s="66">
        <f>+E1662</f>
        <v>7.5</v>
      </c>
      <c r="F1664" s="66"/>
      <c r="G1664" s="66"/>
      <c r="H1664" s="9" t="s">
        <v>5</v>
      </c>
      <c r="I1664" s="66">
        <f>+E1663</f>
        <v>1.75</v>
      </c>
      <c r="J1664" s="66"/>
      <c r="K1664" s="9" t="s">
        <v>7</v>
      </c>
      <c r="L1664" s="66">
        <f>+E1664*I1664</f>
        <v>13.125</v>
      </c>
      <c r="M1664" s="66"/>
      <c r="N1664" s="66"/>
      <c r="O1664" s="1" t="s">
        <v>191</v>
      </c>
      <c r="U1664" s="9"/>
      <c r="W1664" s="9"/>
      <c r="AC1664" s="9"/>
      <c r="AO1664" s="9"/>
      <c r="AP1664" s="9"/>
      <c r="AQ1664" s="9"/>
      <c r="AR1664" s="9"/>
      <c r="BQ1664" s="9"/>
      <c r="CC1664" s="7"/>
    </row>
    <row r="1665" spans="2:81">
      <c r="B1665" s="6"/>
      <c r="C1665" s="1" t="s">
        <v>250</v>
      </c>
      <c r="F1665" s="66">
        <f>+BG1622*3/4</f>
        <v>5.25</v>
      </c>
      <c r="G1665" s="66"/>
      <c r="H1665" s="66"/>
      <c r="I1665" s="1" t="s">
        <v>252</v>
      </c>
      <c r="J1665" s="9"/>
      <c r="M1665" s="9"/>
      <c r="N1665" s="21"/>
      <c r="P1665" s="9"/>
      <c r="Q1665" s="9"/>
      <c r="R1665" s="9"/>
      <c r="S1665" s="9"/>
      <c r="T1665" s="9"/>
      <c r="Y1665" s="9"/>
      <c r="Z1665" s="9"/>
      <c r="AA1665" s="9"/>
      <c r="AB1665" s="9"/>
      <c r="AC1665" s="9"/>
      <c r="AD1665" s="9"/>
      <c r="AE1665" s="9"/>
      <c r="AO1665" s="9"/>
      <c r="AP1665" s="9"/>
      <c r="AQ1665" s="9"/>
      <c r="AR1665" s="9"/>
      <c r="CC1665" s="7"/>
    </row>
    <row r="1666" spans="2:81">
      <c r="B1666" s="6"/>
      <c r="C1666" s="1" t="s">
        <v>251</v>
      </c>
      <c r="E1666" s="66">
        <f>+E1664</f>
        <v>7.5</v>
      </c>
      <c r="F1666" s="66"/>
      <c r="G1666" s="66"/>
      <c r="H1666" s="9" t="s">
        <v>5</v>
      </c>
      <c r="I1666" s="66">
        <f>+F1665</f>
        <v>5.25</v>
      </c>
      <c r="J1666" s="66"/>
      <c r="K1666" s="9" t="s">
        <v>6</v>
      </c>
      <c r="L1666" s="66">
        <f>+BG1612</f>
        <v>15</v>
      </c>
      <c r="M1666" s="66"/>
      <c r="N1666" s="1" t="s">
        <v>14</v>
      </c>
      <c r="O1666" s="66">
        <f>+F1665</f>
        <v>5.25</v>
      </c>
      <c r="P1666" s="66"/>
      <c r="Q1666" s="9" t="s">
        <v>6</v>
      </c>
      <c r="R1666" s="66">
        <f>+AZ1620</f>
        <v>3.5</v>
      </c>
      <c r="S1666" s="66"/>
      <c r="T1666" s="1" t="s">
        <v>201</v>
      </c>
      <c r="U1666" s="66">
        <f>+E1666*I1666-L1666*(O1666-R1666)</f>
        <v>13.125</v>
      </c>
      <c r="V1666" s="66"/>
      <c r="W1666" s="66"/>
      <c r="X1666" s="1" t="s">
        <v>191</v>
      </c>
      <c r="AC1666" s="9"/>
      <c r="AO1666" s="9"/>
      <c r="AP1666" s="9"/>
      <c r="AQ1666" s="9"/>
      <c r="AR1666" s="9"/>
      <c r="BQ1666" s="9"/>
      <c r="CC1666" s="7"/>
    </row>
    <row r="1667" spans="2:81">
      <c r="B1667" s="6"/>
      <c r="C1667" s="1" t="s">
        <v>300</v>
      </c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U1667" s="9"/>
      <c r="V1667" s="9"/>
      <c r="W1667" s="9"/>
      <c r="X1667" s="9"/>
      <c r="Y1667" s="9"/>
      <c r="Z1667" s="9"/>
      <c r="AA1667" s="9"/>
      <c r="AB1667" s="9"/>
      <c r="AD1667" s="9"/>
      <c r="AE1667" s="9"/>
      <c r="AF1667" s="9"/>
      <c r="AG1667" s="9"/>
      <c r="AH1667" s="9"/>
      <c r="AI1667" s="9"/>
      <c r="AJ1667" s="9"/>
      <c r="AK1667" s="9"/>
      <c r="AM1667" s="9"/>
      <c r="AN1667" s="9"/>
      <c r="AO1667" s="9"/>
      <c r="AP1667" s="9"/>
      <c r="AQ1667" s="9"/>
      <c r="AR1667" s="9"/>
      <c r="CC1667" s="7"/>
    </row>
    <row r="1668" spans="2:81">
      <c r="B1668" s="6"/>
      <c r="C1668" s="1" t="s">
        <v>301</v>
      </c>
      <c r="E1668" s="66">
        <v>12.5</v>
      </c>
      <c r="F1668" s="66"/>
      <c r="G1668" s="9" t="s">
        <v>5</v>
      </c>
      <c r="H1668" s="66">
        <f>ABS(M1660)</f>
        <v>26.25</v>
      </c>
      <c r="I1668" s="66"/>
      <c r="J1668" s="66"/>
      <c r="K1668" s="9" t="s">
        <v>275</v>
      </c>
      <c r="L1668" s="66">
        <v>2.5</v>
      </c>
      <c r="M1668" s="66"/>
      <c r="N1668" s="9" t="s">
        <v>5</v>
      </c>
      <c r="O1668" s="66">
        <f>+H1668</f>
        <v>26.25</v>
      </c>
      <c r="P1668" s="66"/>
      <c r="Q1668" s="66"/>
      <c r="R1668" s="9" t="s">
        <v>9</v>
      </c>
      <c r="S1668" s="9">
        <v>3</v>
      </c>
      <c r="T1668" s="9" t="s">
        <v>5</v>
      </c>
      <c r="U1668" s="66">
        <f>ABS(L1664)</f>
        <v>13.125</v>
      </c>
      <c r="V1668" s="66"/>
      <c r="W1668" s="66"/>
      <c r="X1668" s="9" t="s">
        <v>9</v>
      </c>
      <c r="Y1668" s="9">
        <v>4</v>
      </c>
      <c r="Z1668" s="9" t="s">
        <v>5</v>
      </c>
      <c r="AA1668" s="66">
        <f>ABS(L1662)</f>
        <v>26.25</v>
      </c>
      <c r="AB1668" s="66"/>
      <c r="AC1668" s="66"/>
      <c r="AD1668" s="9" t="s">
        <v>9</v>
      </c>
      <c r="AE1668" s="9">
        <v>3</v>
      </c>
      <c r="AF1668" s="9" t="s">
        <v>5</v>
      </c>
      <c r="AG1668" s="66">
        <f>ABS(U1666)</f>
        <v>13.125</v>
      </c>
      <c r="AH1668" s="66"/>
      <c r="AI1668" s="66"/>
      <c r="AJ1668" s="9" t="s">
        <v>201</v>
      </c>
      <c r="AK1668" s="66">
        <f>E1668*H1668/(L1668*O1668+S1668*U1668+Y1668*AA1668+AE1668*AG1668)</f>
        <v>1.3157894736842106</v>
      </c>
      <c r="AL1668" s="66"/>
      <c r="AM1668" s="66"/>
      <c r="AN1668" s="9"/>
      <c r="AO1668" s="9"/>
      <c r="AP1668" s="9"/>
      <c r="AQ1668" s="9"/>
      <c r="AR1668" s="9"/>
      <c r="CC1668" s="7"/>
    </row>
    <row r="1669" spans="2:81" ht="12" thickBot="1">
      <c r="B1669" s="12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  <c r="AK1669" s="13"/>
      <c r="AL1669" s="13"/>
      <c r="AM1669" s="13"/>
      <c r="AN1669" s="13"/>
      <c r="AO1669" s="13"/>
      <c r="AP1669" s="13"/>
      <c r="AQ1669" s="13"/>
      <c r="AR1669" s="13"/>
      <c r="AS1669" s="13"/>
      <c r="AT1669" s="13"/>
      <c r="AU1669" s="13"/>
      <c r="AV1669" s="13"/>
      <c r="AW1669" s="13"/>
      <c r="AX1669" s="13"/>
      <c r="AY1669" s="13"/>
      <c r="AZ1669" s="13"/>
      <c r="BA1669" s="13"/>
      <c r="BB1669" s="13"/>
      <c r="BC1669" s="13"/>
      <c r="BD1669" s="13"/>
      <c r="BE1669" s="13"/>
      <c r="BF1669" s="13"/>
      <c r="BG1669" s="13"/>
      <c r="BH1669" s="13"/>
      <c r="BI1669" s="13"/>
      <c r="BJ1669" s="13"/>
      <c r="BK1669" s="13"/>
      <c r="BL1669" s="13"/>
      <c r="BM1669" s="13"/>
      <c r="BN1669" s="13"/>
      <c r="BO1669" s="13"/>
      <c r="BP1669" s="13"/>
      <c r="BQ1669" s="13"/>
      <c r="BR1669" s="13"/>
      <c r="BS1669" s="13"/>
      <c r="BT1669" s="13"/>
      <c r="BU1669" s="13"/>
      <c r="BV1669" s="13"/>
      <c r="BW1669" s="13"/>
      <c r="BX1669" s="13"/>
      <c r="BY1669" s="13"/>
      <c r="BZ1669" s="13"/>
      <c r="CA1669" s="13"/>
      <c r="CB1669" s="13"/>
      <c r="CC1669" s="14"/>
    </row>
    <row r="1670" spans="2:81" ht="12" thickBot="1"/>
    <row r="1671" spans="2:81" ht="48" customHeight="1">
      <c r="B1671" s="73" t="s">
        <v>603</v>
      </c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Q1671" s="74"/>
      <c r="R1671" s="74"/>
      <c r="S1671" s="74"/>
      <c r="T1671" s="74"/>
      <c r="U1671" s="74"/>
      <c r="V1671" s="74"/>
      <c r="W1671" s="74"/>
      <c r="X1671" s="74"/>
      <c r="Y1671" s="74"/>
      <c r="Z1671" s="74"/>
      <c r="AA1671" s="74"/>
      <c r="AB1671" s="74"/>
      <c r="AC1671" s="74"/>
      <c r="AD1671" s="74"/>
      <c r="AE1671" s="74"/>
      <c r="AF1671" s="74"/>
      <c r="AG1671" s="74"/>
      <c r="AH1671" s="74"/>
      <c r="AI1671" s="74"/>
      <c r="AJ1671" s="74"/>
      <c r="AK1671" s="74"/>
      <c r="AL1671" s="74"/>
      <c r="AM1671" s="74"/>
      <c r="AN1671" s="74"/>
      <c r="AO1671" s="74"/>
      <c r="AP1671" s="74"/>
      <c r="AQ1671" s="74"/>
      <c r="AR1671" s="74"/>
      <c r="AS1671" s="74"/>
      <c r="AT1671" s="74"/>
      <c r="AU1671" s="74"/>
      <c r="AV1671" s="74"/>
      <c r="AW1671" s="74"/>
      <c r="AX1671" s="74"/>
      <c r="AY1671" s="74"/>
      <c r="AZ1671" s="74"/>
      <c r="BA1671" s="74"/>
      <c r="BB1671" s="74"/>
      <c r="BC1671" s="74"/>
      <c r="BD1671" s="74"/>
      <c r="BE1671" s="74"/>
      <c r="BF1671" s="74"/>
      <c r="BG1671" s="74"/>
      <c r="BH1671" s="74"/>
      <c r="BI1671" s="74"/>
      <c r="BJ1671" s="74"/>
      <c r="BK1671" s="74"/>
      <c r="BL1671" s="74"/>
      <c r="BM1671" s="74"/>
      <c r="BN1671" s="74"/>
      <c r="BO1671" s="74"/>
      <c r="BP1671" s="74"/>
      <c r="BQ1671" s="74"/>
      <c r="BR1671" s="74"/>
      <c r="BS1671" s="74"/>
      <c r="BT1671" s="74"/>
      <c r="BU1671" s="74"/>
      <c r="BV1671" s="74"/>
      <c r="BW1671" s="74"/>
      <c r="BX1671" s="74"/>
      <c r="BY1671" s="74"/>
      <c r="BZ1671" s="74"/>
      <c r="CA1671" s="74"/>
      <c r="CB1671" s="74"/>
      <c r="CC1671" s="75"/>
    </row>
    <row r="1672" spans="2:81" ht="11.25" customHeight="1">
      <c r="B1672" s="6"/>
      <c r="O1672" s="8" t="s">
        <v>176</v>
      </c>
      <c r="CC1672" s="7"/>
    </row>
    <row r="1673" spans="2:81">
      <c r="B1673" s="6"/>
      <c r="C1673" s="23" t="s">
        <v>221</v>
      </c>
      <c r="AX1673" s="67">
        <v>15</v>
      </c>
      <c r="AY1673" s="67"/>
      <c r="AZ1673" s="1" t="s">
        <v>0</v>
      </c>
      <c r="CC1673" s="7"/>
    </row>
    <row r="1674" spans="2:81">
      <c r="B1674" s="6"/>
      <c r="C1674" s="1" t="s">
        <v>177</v>
      </c>
      <c r="AR1674" s="67">
        <v>5</v>
      </c>
      <c r="AS1674" s="67"/>
      <c r="AT1674" s="1" t="s">
        <v>187</v>
      </c>
      <c r="BC1674" s="1" t="s">
        <v>290</v>
      </c>
      <c r="CC1674" s="7"/>
    </row>
    <row r="1675" spans="2:81">
      <c r="B1675" s="6"/>
      <c r="C1675" s="1" t="s">
        <v>4</v>
      </c>
      <c r="D1675" s="9" t="s">
        <v>5</v>
      </c>
      <c r="E1675" s="66">
        <f>+AX1685</f>
        <v>7</v>
      </c>
      <c r="F1675" s="66"/>
      <c r="G1675" s="9" t="s">
        <v>6</v>
      </c>
      <c r="H1675" s="66">
        <f>+AX1673</f>
        <v>15</v>
      </c>
      <c r="I1675" s="66"/>
      <c r="J1675" s="9" t="s">
        <v>5</v>
      </c>
      <c r="K1675" s="66">
        <f>+BC1683</f>
        <v>3.5</v>
      </c>
      <c r="L1675" s="66"/>
      <c r="M1675" s="9" t="s">
        <v>6</v>
      </c>
      <c r="N1675" s="66">
        <f>+AR1674</f>
        <v>5</v>
      </c>
      <c r="O1675" s="66"/>
      <c r="P1675" s="9" t="s">
        <v>5</v>
      </c>
      <c r="Q1675" s="66">
        <f>+AX1685</f>
        <v>7</v>
      </c>
      <c r="R1675" s="66"/>
      <c r="S1675" s="9" t="s">
        <v>5</v>
      </c>
      <c r="T1675" s="66">
        <f>+Q1675/2</f>
        <v>3.5</v>
      </c>
      <c r="U1675" s="66"/>
      <c r="V1675" s="9" t="s">
        <v>7</v>
      </c>
      <c r="W1675" s="1">
        <v>0</v>
      </c>
      <c r="CC1675" s="7"/>
    </row>
    <row r="1676" spans="2:81">
      <c r="B1676" s="6"/>
      <c r="C1676" s="1" t="s">
        <v>4</v>
      </c>
      <c r="D1676" s="1" t="s">
        <v>7</v>
      </c>
      <c r="E1676" s="66">
        <f>(H1675*K1675+N1675*Q1675*T1675)/E1675</f>
        <v>25</v>
      </c>
      <c r="F1676" s="66"/>
      <c r="G1676" s="66"/>
      <c r="H1676" s="1" t="s">
        <v>0</v>
      </c>
      <c r="BL1676" s="23" t="s">
        <v>341</v>
      </c>
      <c r="CC1676" s="7"/>
    </row>
    <row r="1677" spans="2:81">
      <c r="B1677" s="6"/>
      <c r="C1677" s="1" t="s">
        <v>189</v>
      </c>
      <c r="BL1677" s="1" t="s">
        <v>301</v>
      </c>
      <c r="BN1677" s="66">
        <f>+AK1712</f>
        <v>1.2126865671641791</v>
      </c>
      <c r="BO1677" s="66"/>
      <c r="BP1677" s="66"/>
      <c r="CC1677" s="7"/>
    </row>
    <row r="1678" spans="2:81">
      <c r="B1678" s="6"/>
      <c r="C1678" s="1" t="s">
        <v>4</v>
      </c>
      <c r="D1678" s="9" t="s">
        <v>9</v>
      </c>
      <c r="E1678" s="9" t="s">
        <v>10</v>
      </c>
      <c r="F1678" s="9" t="s">
        <v>6</v>
      </c>
      <c r="G1678" s="66">
        <f>+AX1673</f>
        <v>15</v>
      </c>
      <c r="H1678" s="66"/>
      <c r="I1678" s="9" t="s">
        <v>6</v>
      </c>
      <c r="J1678" s="66">
        <f>+AR1674</f>
        <v>5</v>
      </c>
      <c r="K1678" s="66"/>
      <c r="L1678" s="9" t="s">
        <v>5</v>
      </c>
      <c r="M1678" s="66">
        <f>+AX1685</f>
        <v>7</v>
      </c>
      <c r="N1678" s="66"/>
      <c r="O1678" s="9" t="s">
        <v>7</v>
      </c>
      <c r="P1678" s="1">
        <v>0</v>
      </c>
      <c r="BL1678" s="1" t="s">
        <v>297</v>
      </c>
      <c r="BN1678" s="66">
        <f>+U1704</f>
        <v>56.875</v>
      </c>
      <c r="BO1678" s="66"/>
      <c r="BP1678" s="66"/>
      <c r="BQ1678" s="1" t="s">
        <v>191</v>
      </c>
      <c r="BS1678" s="1" t="s">
        <v>329</v>
      </c>
      <c r="CC1678" s="7"/>
    </row>
    <row r="1679" spans="2:81">
      <c r="B1679" s="6"/>
      <c r="C1679" s="1" t="s">
        <v>10</v>
      </c>
      <c r="D1679" s="9" t="s">
        <v>7</v>
      </c>
      <c r="E1679" s="66">
        <f>+G1678+J1678*M1678-E1676</f>
        <v>25</v>
      </c>
      <c r="F1679" s="66"/>
      <c r="G1679" s="66"/>
      <c r="H1679" s="1" t="s">
        <v>0</v>
      </c>
      <c r="AR1679" s="67">
        <v>200</v>
      </c>
      <c r="AS1679" s="67"/>
      <c r="AT1679" s="1" t="s">
        <v>41</v>
      </c>
      <c r="BL1679" s="1" t="s">
        <v>330</v>
      </c>
      <c r="BO1679" s="66">
        <f>MAX(ABS(BN1680),ABS(BO1680),ABS(BP1680),ABS(BQ1680))</f>
        <v>25</v>
      </c>
      <c r="BP1679" s="66"/>
      <c r="BQ1679" s="66"/>
      <c r="BR1679" s="1" t="s">
        <v>0</v>
      </c>
      <c r="BT1679" s="1" t="s">
        <v>331</v>
      </c>
      <c r="CC1679" s="7"/>
    </row>
    <row r="1680" spans="2:81">
      <c r="B1680" s="6"/>
      <c r="C1680" s="23" t="s">
        <v>223</v>
      </c>
      <c r="BM1680" s="40"/>
      <c r="BN1680" s="40">
        <f>+AM1682</f>
        <v>25</v>
      </c>
      <c r="BO1680" s="40">
        <f>+BN1680-AR1674*AQ1683</f>
        <v>7.5</v>
      </c>
      <c r="BP1680" s="40">
        <f>+BO1680-AX1673</f>
        <v>-7.5</v>
      </c>
      <c r="BQ1680" s="40">
        <f>+BP1680-AR1674*BC1683</f>
        <v>-25</v>
      </c>
      <c r="BR1680" s="2"/>
      <c r="CC1680" s="7"/>
    </row>
    <row r="1681" spans="2:81">
      <c r="B1681" s="6"/>
      <c r="C1681" s="1" t="s">
        <v>632</v>
      </c>
      <c r="H1681" s="9"/>
      <c r="J1681" s="1" t="s">
        <v>636</v>
      </c>
      <c r="K1681" s="9"/>
      <c r="L1681" s="9"/>
      <c r="P1681" s="9"/>
      <c r="S1681" s="9"/>
      <c r="T1681" s="9"/>
      <c r="AQ1681" s="1" t="s">
        <v>13</v>
      </c>
      <c r="CC1681" s="7"/>
    </row>
    <row r="1682" spans="2:81">
      <c r="B1682" s="6"/>
      <c r="C1682" s="10" t="s">
        <v>631</v>
      </c>
      <c r="J1682" s="9"/>
      <c r="M1682" s="9"/>
      <c r="N1682" s="9"/>
      <c r="AL1682" s="1" t="s">
        <v>2</v>
      </c>
      <c r="AM1682" s="66">
        <f>+E1676</f>
        <v>25</v>
      </c>
      <c r="AN1682" s="66"/>
      <c r="AO1682" s="1" t="s">
        <v>0</v>
      </c>
      <c r="BH1682" s="1" t="s">
        <v>3</v>
      </c>
      <c r="BI1682" s="66">
        <f>+E1679</f>
        <v>25</v>
      </c>
      <c r="BJ1682" s="66"/>
      <c r="BK1682" s="1" t="s">
        <v>0</v>
      </c>
      <c r="CC1682" s="7"/>
    </row>
    <row r="1683" spans="2:81">
      <c r="B1683" s="6"/>
      <c r="C1683" s="10" t="s">
        <v>633</v>
      </c>
      <c r="AK1683" s="9"/>
      <c r="AQ1683" s="66">
        <f>+AX1685/2</f>
        <v>3.5</v>
      </c>
      <c r="AR1683" s="66"/>
      <c r="AS1683" s="1" t="s">
        <v>1</v>
      </c>
      <c r="BC1683" s="66">
        <f>+AX1685-AQ1683</f>
        <v>3.5</v>
      </c>
      <c r="BD1683" s="66"/>
      <c r="BE1683" s="1" t="s">
        <v>1</v>
      </c>
      <c r="CC1683" s="7"/>
    </row>
    <row r="1684" spans="2:81">
      <c r="B1684" s="6"/>
      <c r="C1684" s="1" t="s">
        <v>634</v>
      </c>
      <c r="I1684" s="9"/>
      <c r="L1684" s="9"/>
      <c r="M1684" s="9"/>
      <c r="CC1684" s="7"/>
    </row>
    <row r="1685" spans="2:81">
      <c r="B1685" s="6"/>
      <c r="C1685" s="1" t="s">
        <v>635</v>
      </c>
      <c r="E1685" s="10"/>
      <c r="G1685" s="66">
        <f>+AM1682</f>
        <v>25</v>
      </c>
      <c r="H1685" s="66"/>
      <c r="I1685" s="9" t="s">
        <v>5</v>
      </c>
      <c r="J1685" s="9" t="s">
        <v>13</v>
      </c>
      <c r="K1685" s="9" t="s">
        <v>5</v>
      </c>
      <c r="L1685" s="66">
        <f>+AQ1683</f>
        <v>3.5</v>
      </c>
      <c r="M1685" s="66"/>
      <c r="N1685" s="1" t="s">
        <v>173</v>
      </c>
      <c r="O1685" s="9" t="s">
        <v>13</v>
      </c>
      <c r="P1685" s="9" t="s">
        <v>6</v>
      </c>
      <c r="Q1685" s="66">
        <f>+AR1674</f>
        <v>5</v>
      </c>
      <c r="R1685" s="66"/>
      <c r="S1685" s="9" t="s">
        <v>5</v>
      </c>
      <c r="T1685" s="1" t="s">
        <v>183</v>
      </c>
      <c r="U1685" s="1" t="s">
        <v>173</v>
      </c>
      <c r="V1685" s="1">
        <v>2</v>
      </c>
      <c r="W1685" s="9" t="s">
        <v>5</v>
      </c>
      <c r="X1685" s="66">
        <f>+AQ1683</f>
        <v>3.5</v>
      </c>
      <c r="Y1685" s="66"/>
      <c r="Z1685" s="1" t="s">
        <v>173</v>
      </c>
      <c r="AA1685" s="9" t="s">
        <v>13</v>
      </c>
      <c r="AB1685" s="9" t="s">
        <v>7</v>
      </c>
      <c r="AC1685" s="66">
        <f>+G1685*L1685</f>
        <v>87.5</v>
      </c>
      <c r="AD1685" s="66"/>
      <c r="AE1685" s="9" t="s">
        <v>6</v>
      </c>
      <c r="AF1685" s="66">
        <f>+Q1685*X1685/V1685</f>
        <v>8.75</v>
      </c>
      <c r="AG1685" s="66"/>
      <c r="AH1685" s="9" t="s">
        <v>5</v>
      </c>
      <c r="AI1685" s="9" t="s">
        <v>13</v>
      </c>
      <c r="AX1685" s="67">
        <v>7</v>
      </c>
      <c r="AY1685" s="67"/>
      <c r="AZ1685" s="1" t="s">
        <v>1</v>
      </c>
      <c r="CC1685" s="7"/>
    </row>
    <row r="1686" spans="2:81">
      <c r="B1686" s="6"/>
      <c r="C1686" s="1" t="s">
        <v>557</v>
      </c>
      <c r="E1686" s="10"/>
      <c r="G1686" s="66">
        <f>+AC1685</f>
        <v>87.5</v>
      </c>
      <c r="H1686" s="66"/>
      <c r="I1686" s="9" t="s">
        <v>5</v>
      </c>
      <c r="J1686" s="9" t="s">
        <v>13</v>
      </c>
      <c r="K1686" s="9" t="s">
        <v>6</v>
      </c>
      <c r="L1686" s="66">
        <f>+AF1685</f>
        <v>8.75</v>
      </c>
      <c r="M1686" s="66"/>
      <c r="N1686" s="9" t="s">
        <v>5</v>
      </c>
      <c r="O1686" s="1" t="s">
        <v>183</v>
      </c>
      <c r="P1686" s="1" t="s">
        <v>173</v>
      </c>
      <c r="Q1686" s="1">
        <v>2</v>
      </c>
      <c r="R1686" s="9" t="s">
        <v>9</v>
      </c>
      <c r="S1686" s="1" t="s">
        <v>24</v>
      </c>
      <c r="CC1686" s="7"/>
    </row>
    <row r="1687" spans="2:81">
      <c r="B1687" s="6"/>
      <c r="C1687" s="1" t="s">
        <v>558</v>
      </c>
      <c r="E1687" s="10"/>
      <c r="G1687" s="66">
        <f>+G1686</f>
        <v>87.5</v>
      </c>
      <c r="H1687" s="66"/>
      <c r="I1687" s="9" t="s">
        <v>5</v>
      </c>
      <c r="J1687" s="1" t="s">
        <v>183</v>
      </c>
      <c r="K1687" s="1" t="s">
        <v>173</v>
      </c>
      <c r="L1687" s="1">
        <v>2</v>
      </c>
      <c r="M1687" s="9" t="s">
        <v>6</v>
      </c>
      <c r="N1687" s="66">
        <f>+L1686</f>
        <v>8.75</v>
      </c>
      <c r="O1687" s="66"/>
      <c r="P1687" s="9" t="s">
        <v>5</v>
      </c>
      <c r="Q1687" s="1" t="s">
        <v>184</v>
      </c>
      <c r="R1687" s="1" t="s">
        <v>173</v>
      </c>
      <c r="S1687" s="1">
        <v>6</v>
      </c>
      <c r="T1687" s="9" t="s">
        <v>9</v>
      </c>
      <c r="U1687" s="1" t="s">
        <v>24</v>
      </c>
      <c r="V1687" s="9" t="s">
        <v>5</v>
      </c>
      <c r="W1687" s="9" t="s">
        <v>13</v>
      </c>
      <c r="X1687" s="9" t="s">
        <v>9</v>
      </c>
      <c r="Y1687" s="1" t="s">
        <v>307</v>
      </c>
      <c r="AX1687" s="23" t="s">
        <v>605</v>
      </c>
      <c r="CC1687" s="7"/>
    </row>
    <row r="1688" spans="2:81">
      <c r="B1688" s="6"/>
      <c r="C1688" s="24" t="s">
        <v>318</v>
      </c>
      <c r="E1688" s="10"/>
      <c r="G1688" s="9"/>
      <c r="H1688" s="9"/>
      <c r="I1688" s="9"/>
      <c r="M1688" s="9"/>
      <c r="N1688" s="9"/>
      <c r="O1688" s="9"/>
      <c r="P1688" s="9"/>
      <c r="T1688" s="9"/>
      <c r="V1688" s="9"/>
      <c r="W1688" s="9"/>
      <c r="X1688" s="9"/>
      <c r="BM1688" s="71" t="s">
        <v>41</v>
      </c>
      <c r="CC1688" s="7"/>
    </row>
    <row r="1689" spans="2:81">
      <c r="B1689" s="6"/>
      <c r="C1689" s="1" t="s">
        <v>410</v>
      </c>
      <c r="I1689" s="1" t="s">
        <v>411</v>
      </c>
      <c r="BM1689" s="71"/>
      <c r="BP1689" s="23" t="s">
        <v>630</v>
      </c>
      <c r="BW1689" s="71" t="s">
        <v>41</v>
      </c>
      <c r="CC1689" s="7"/>
    </row>
    <row r="1690" spans="2:81">
      <c r="B1690" s="6"/>
      <c r="C1690" s="1" t="s">
        <v>402</v>
      </c>
      <c r="I1690" s="66">
        <f>+G1686</f>
        <v>87.5</v>
      </c>
      <c r="J1690" s="66"/>
      <c r="K1690" s="9" t="s">
        <v>5</v>
      </c>
      <c r="L1690" s="66">
        <f>+AQ1683</f>
        <v>3.5</v>
      </c>
      <c r="M1690" s="66"/>
      <c r="N1690" s="9" t="s">
        <v>6</v>
      </c>
      <c r="O1690" s="66">
        <f>+L1686</f>
        <v>8.75</v>
      </c>
      <c r="P1690" s="66"/>
      <c r="Q1690" s="9" t="s">
        <v>5</v>
      </c>
      <c r="R1690" s="66">
        <f>+L1690</f>
        <v>3.5</v>
      </c>
      <c r="S1690" s="66"/>
      <c r="T1690" s="1" t="s">
        <v>254</v>
      </c>
      <c r="U1690" s="1">
        <v>2</v>
      </c>
      <c r="V1690" s="9" t="s">
        <v>9</v>
      </c>
      <c r="W1690" s="1" t="s">
        <v>24</v>
      </c>
      <c r="X1690" s="9" t="s">
        <v>7</v>
      </c>
      <c r="Y1690" s="9">
        <v>0</v>
      </c>
      <c r="AB1690" s="1" t="s">
        <v>24</v>
      </c>
      <c r="AC1690" s="9" t="s">
        <v>7</v>
      </c>
      <c r="AD1690" s="66">
        <f>-(I1690*L1690-O1690*R1690^2/U1690)</f>
        <v>-252.65625</v>
      </c>
      <c r="AE1690" s="66"/>
      <c r="AF1690" s="66"/>
      <c r="BM1690" s="77">
        <v>800</v>
      </c>
      <c r="BW1690" s="71"/>
      <c r="CC1690" s="7"/>
    </row>
    <row r="1691" spans="2:81">
      <c r="B1691" s="6"/>
      <c r="C1691" s="1" t="s">
        <v>537</v>
      </c>
      <c r="H1691" s="66">
        <f>+G1687</f>
        <v>87.5</v>
      </c>
      <c r="I1691" s="66"/>
      <c r="J1691" s="9" t="s">
        <v>5</v>
      </c>
      <c r="K1691" s="1" t="s">
        <v>183</v>
      </c>
      <c r="L1691" s="1" t="s">
        <v>173</v>
      </c>
      <c r="M1691" s="1">
        <v>2</v>
      </c>
      <c r="N1691" s="9" t="s">
        <v>6</v>
      </c>
      <c r="O1691" s="66">
        <f>+N1687</f>
        <v>8.75</v>
      </c>
      <c r="P1691" s="66"/>
      <c r="Q1691" s="9" t="s">
        <v>5</v>
      </c>
      <c r="R1691" s="1" t="s">
        <v>184</v>
      </c>
      <c r="S1691" s="1" t="s">
        <v>173</v>
      </c>
      <c r="T1691" s="1">
        <v>6</v>
      </c>
      <c r="U1691" s="9" t="s">
        <v>9</v>
      </c>
      <c r="V1691" s="1" t="s">
        <v>24</v>
      </c>
      <c r="W1691" s="9" t="s">
        <v>5</v>
      </c>
      <c r="X1691" s="9" t="s">
        <v>13</v>
      </c>
      <c r="Y1691" s="9" t="s">
        <v>9</v>
      </c>
      <c r="Z1691" s="1" t="s">
        <v>307</v>
      </c>
      <c r="BM1691" s="77"/>
      <c r="BW1691" s="71">
        <f>+AR1679</f>
        <v>200</v>
      </c>
      <c r="CC1691" s="7"/>
    </row>
    <row r="1692" spans="2:81">
      <c r="B1692" s="6"/>
      <c r="C1692" s="1" t="s">
        <v>35</v>
      </c>
      <c r="E1692" s="66">
        <f>+H1691</f>
        <v>87.5</v>
      </c>
      <c r="F1692" s="66"/>
      <c r="G1692" s="9" t="s">
        <v>5</v>
      </c>
      <c r="H1692" s="1" t="s">
        <v>183</v>
      </c>
      <c r="I1692" s="1" t="s">
        <v>173</v>
      </c>
      <c r="J1692" s="1">
        <v>2</v>
      </c>
      <c r="K1692" s="9" t="s">
        <v>6</v>
      </c>
      <c r="L1692" s="66">
        <f>+O1691</f>
        <v>8.75</v>
      </c>
      <c r="M1692" s="66"/>
      <c r="N1692" s="9" t="s">
        <v>5</v>
      </c>
      <c r="O1692" s="1" t="s">
        <v>184</v>
      </c>
      <c r="P1692" s="1" t="s">
        <v>173</v>
      </c>
      <c r="Q1692" s="1">
        <v>6</v>
      </c>
      <c r="R1692" s="9" t="s">
        <v>9</v>
      </c>
      <c r="S1692" s="1" t="s">
        <v>24</v>
      </c>
      <c r="T1692" s="9" t="s">
        <v>5</v>
      </c>
      <c r="U1692" s="9" t="s">
        <v>13</v>
      </c>
      <c r="V1692" s="1" t="s">
        <v>538</v>
      </c>
      <c r="W1692" s="9"/>
      <c r="X1692" s="9"/>
      <c r="Y1692" s="9"/>
      <c r="BM1692" s="77"/>
      <c r="BW1692" s="71"/>
      <c r="CC1692" s="7"/>
    </row>
    <row r="1693" spans="2:81">
      <c r="B1693" s="6"/>
      <c r="C1693" s="1" t="s">
        <v>27</v>
      </c>
      <c r="D1693" s="67">
        <v>3.5</v>
      </c>
      <c r="E1693" s="67"/>
      <c r="F1693" s="67"/>
      <c r="G1693" s="1" t="s">
        <v>42</v>
      </c>
      <c r="P1693" s="8" t="str">
        <f>IF(D1693&lt;=AQ1683,"","azalt.")</f>
        <v/>
      </c>
      <c r="BW1693" s="71"/>
      <c r="CC1693" s="7"/>
    </row>
    <row r="1694" spans="2:81">
      <c r="B1694" s="6"/>
      <c r="C1694" s="1" t="s">
        <v>35</v>
      </c>
      <c r="E1694" s="66">
        <f>+H1691</f>
        <v>87.5</v>
      </c>
      <c r="F1694" s="66"/>
      <c r="G1694" s="9" t="s">
        <v>5</v>
      </c>
      <c r="H1694" s="66">
        <f>+D1693</f>
        <v>3.5</v>
      </c>
      <c r="I1694" s="66"/>
      <c r="J1694" s="1" t="s">
        <v>254</v>
      </c>
      <c r="K1694" s="1">
        <v>2</v>
      </c>
      <c r="L1694" s="9" t="s">
        <v>6</v>
      </c>
      <c r="M1694" s="66">
        <f>+O1691</f>
        <v>8.75</v>
      </c>
      <c r="N1694" s="66"/>
      <c r="O1694" s="9" t="s">
        <v>5</v>
      </c>
      <c r="P1694" s="66">
        <f>+H1694</f>
        <v>3.5</v>
      </c>
      <c r="Q1694" s="66"/>
      <c r="R1694" s="1" t="s">
        <v>321</v>
      </c>
      <c r="S1694" s="1">
        <v>6</v>
      </c>
      <c r="T1694" s="9" t="s">
        <v>9</v>
      </c>
      <c r="U1694" s="66">
        <f>+AD1690</f>
        <v>-252.65625</v>
      </c>
      <c r="V1694" s="66"/>
      <c r="W1694" s="66"/>
      <c r="X1694" s="9" t="s">
        <v>5</v>
      </c>
      <c r="Y1694" s="66">
        <f>+P1694</f>
        <v>3.5</v>
      </c>
      <c r="Z1694" s="66"/>
      <c r="AA1694" s="1" t="s">
        <v>193</v>
      </c>
      <c r="AD1694" s="66">
        <f>+AV1700</f>
        <v>200000</v>
      </c>
      <c r="AE1694" s="66"/>
      <c r="AF1694" s="66"/>
      <c r="AG1694" s="9" t="s">
        <v>5</v>
      </c>
      <c r="AH1694" s="66">
        <f>+BQ1697/10000</f>
        <v>53333.333333333328</v>
      </c>
      <c r="AI1694" s="66"/>
      <c r="AJ1694" s="66"/>
      <c r="AK1694" s="1" t="s">
        <v>40</v>
      </c>
      <c r="AU1694" s="10" t="s">
        <v>593</v>
      </c>
      <c r="AW1694" s="66">
        <f>BM1690*AR1679^3/12</f>
        <v>533333333.33333331</v>
      </c>
      <c r="AX1694" s="66"/>
      <c r="AY1694" s="66"/>
      <c r="AZ1694" s="66"/>
      <c r="BA1694" s="66"/>
      <c r="BB1694" s="1" t="s">
        <v>270</v>
      </c>
      <c r="CC1694" s="7"/>
    </row>
    <row r="1695" spans="2:81">
      <c r="B1695" s="6"/>
      <c r="C1695" s="1" t="s">
        <v>33</v>
      </c>
      <c r="E1695" s="66">
        <f>(E1694*H1694^2/K1694-M1694*P1694^3/S1694+U1694*Y1694)*100000000/(AD1694*AH1694)</f>
        <v>-3.8520507812500009</v>
      </c>
      <c r="F1695" s="66"/>
      <c r="G1695" s="66"/>
      <c r="H1695" s="1" t="s">
        <v>41</v>
      </c>
      <c r="BR1695" s="66">
        <f>+BM1690</f>
        <v>800</v>
      </c>
      <c r="BS1695" s="66"/>
      <c r="BT1695" s="1" t="s">
        <v>41</v>
      </c>
      <c r="CC1695" s="7"/>
    </row>
    <row r="1696" spans="2:81">
      <c r="B1696" s="6"/>
      <c r="C1696" s="1" t="s">
        <v>172</v>
      </c>
      <c r="H1696" s="66">
        <f>AX1685*1000</f>
        <v>7000</v>
      </c>
      <c r="I1696" s="66"/>
      <c r="J1696" s="66"/>
      <c r="K1696" s="1" t="s">
        <v>173</v>
      </c>
      <c r="L1696" s="66">
        <v>300</v>
      </c>
      <c r="M1696" s="66"/>
      <c r="N1696" s="9" t="s">
        <v>7</v>
      </c>
      <c r="O1696" s="66">
        <f>+H1696/L1696</f>
        <v>23.333333333333332</v>
      </c>
      <c r="P1696" s="66"/>
      <c r="Q1696" s="66"/>
      <c r="R1696" s="1" t="s">
        <v>41</v>
      </c>
      <c r="U1696" s="1" t="s">
        <v>192</v>
      </c>
      <c r="AU1696" s="10"/>
      <c r="AV1696" s="23" t="s">
        <v>317</v>
      </c>
      <c r="AW1696" s="9"/>
      <c r="AX1696" s="9"/>
      <c r="AY1696" s="9"/>
      <c r="BR1696" s="8" t="str">
        <f>IF(BJ1695&lt;BR1695,"","artır.")</f>
        <v/>
      </c>
      <c r="CC1696" s="7"/>
    </row>
    <row r="1697" spans="2:81">
      <c r="B1697" s="6"/>
      <c r="C1697" s="1" t="s">
        <v>34</v>
      </c>
      <c r="D1697" s="66">
        <f>+E1695</f>
        <v>-3.8520507812500009</v>
      </c>
      <c r="E1697" s="66"/>
      <c r="F1697" s="66"/>
      <c r="G1697" s="1" t="s">
        <v>41</v>
      </c>
      <c r="I1697" s="1" t="str">
        <f>IF(ABS(D1697)&lt;ABS(M1697),"&lt;","&gt;")</f>
        <v>&lt;</v>
      </c>
      <c r="J1697" s="1" t="s">
        <v>174</v>
      </c>
      <c r="M1697" s="66">
        <f>+O1696</f>
        <v>23.333333333333332</v>
      </c>
      <c r="N1697" s="66"/>
      <c r="O1697" s="66"/>
      <c r="P1697" s="1" t="s">
        <v>41</v>
      </c>
      <c r="R1697" s="8" t="str">
        <f>IF(ABS(D1697)&lt;ABS(M1697),"uygun.","uygun değil.")</f>
        <v>uygun.</v>
      </c>
      <c r="BO1697" s="10" t="s">
        <v>522</v>
      </c>
      <c r="BQ1697" s="66">
        <f>BR1695*BW1691^3/12</f>
        <v>533333333.33333331</v>
      </c>
      <c r="BR1697" s="66"/>
      <c r="BS1697" s="66"/>
      <c r="BT1697" s="66"/>
      <c r="BU1697" s="66"/>
      <c r="BV1697" s="1" t="s">
        <v>270</v>
      </c>
      <c r="CC1697" s="7"/>
    </row>
    <row r="1698" spans="2:81">
      <c r="B1698" s="6"/>
      <c r="C1698" s="23" t="s">
        <v>222</v>
      </c>
      <c r="D1698" s="9"/>
      <c r="E1698" s="9"/>
      <c r="F1698" s="9"/>
      <c r="AV1698" s="1" t="s">
        <v>402</v>
      </c>
      <c r="CC1698" s="7"/>
    </row>
    <row r="1699" spans="2:81">
      <c r="B1699" s="6"/>
      <c r="C1699" s="1" t="s">
        <v>27</v>
      </c>
      <c r="D1699" s="67">
        <v>3.5</v>
      </c>
      <c r="E1699" s="67"/>
      <c r="F1699" s="67"/>
      <c r="G1699" s="1" t="s">
        <v>213</v>
      </c>
      <c r="H1699" s="9"/>
      <c r="I1699" s="9"/>
      <c r="J1699" s="9"/>
      <c r="M1699" s="9"/>
      <c r="N1699" s="21"/>
      <c r="P1699" s="9"/>
      <c r="Q1699" s="9"/>
      <c r="V1699" s="8" t="str">
        <f>IF(D1699&lt;=AQ1683,"","azalt.")</f>
        <v/>
      </c>
      <c r="AL1699" s="1" t="s">
        <v>410</v>
      </c>
      <c r="CC1699" s="7"/>
    </row>
    <row r="1700" spans="2:81">
      <c r="B1700" s="6"/>
      <c r="C1700" s="1" t="s">
        <v>12</v>
      </c>
      <c r="E1700" s="66">
        <f>+AM1682</f>
        <v>25</v>
      </c>
      <c r="F1700" s="66"/>
      <c r="G1700" s="66"/>
      <c r="H1700" s="9" t="s">
        <v>5</v>
      </c>
      <c r="I1700" s="66">
        <f>+D1699</f>
        <v>3.5</v>
      </c>
      <c r="J1700" s="66"/>
      <c r="K1700" s="9" t="s">
        <v>6</v>
      </c>
      <c r="L1700" s="66">
        <f>+AR1674</f>
        <v>5</v>
      </c>
      <c r="M1700" s="66"/>
      <c r="N1700" s="9" t="s">
        <v>5</v>
      </c>
      <c r="O1700" s="66">
        <f>+D1699</f>
        <v>3.5</v>
      </c>
      <c r="P1700" s="66"/>
      <c r="Q1700" s="9" t="s">
        <v>254</v>
      </c>
      <c r="R1700" s="1">
        <v>2</v>
      </c>
      <c r="S1700" s="9" t="s">
        <v>7</v>
      </c>
      <c r="T1700" s="66">
        <f>+E1700*I1700-L1700*O1700^2/R1700</f>
        <v>56.875</v>
      </c>
      <c r="U1700" s="66"/>
      <c r="V1700" s="66"/>
      <c r="W1700" s="1" t="s">
        <v>191</v>
      </c>
      <c r="AT1700" s="1" t="s">
        <v>38</v>
      </c>
      <c r="AV1700" s="67">
        <v>200000</v>
      </c>
      <c r="AW1700" s="67"/>
      <c r="AX1700" s="67"/>
      <c r="AY1700" s="67"/>
      <c r="AZ1700" s="1" t="s">
        <v>39</v>
      </c>
      <c r="BC1700" s="1" t="s">
        <v>302</v>
      </c>
      <c r="CC1700" s="7"/>
    </row>
    <row r="1701" spans="2:81">
      <c r="B1701" s="6"/>
      <c r="C1701" s="1" t="s">
        <v>220</v>
      </c>
      <c r="E1701" s="66">
        <f>+E1700</f>
        <v>25</v>
      </c>
      <c r="F1701" s="66"/>
      <c r="G1701" s="66"/>
      <c r="H1701" s="9" t="s">
        <v>6</v>
      </c>
      <c r="I1701" s="66">
        <f>+L1700</f>
        <v>5</v>
      </c>
      <c r="J1701" s="66"/>
      <c r="K1701" s="9" t="s">
        <v>5</v>
      </c>
      <c r="L1701" s="66">
        <f>+O1700</f>
        <v>3.5</v>
      </c>
      <c r="M1701" s="66"/>
      <c r="N1701" s="9" t="s">
        <v>6</v>
      </c>
      <c r="O1701" s="66">
        <f>IF(D1699&lt;AQ1683,0,+AX1673)</f>
        <v>15</v>
      </c>
      <c r="P1701" s="66"/>
      <c r="Q1701" s="9" t="s">
        <v>7</v>
      </c>
      <c r="R1701" s="66">
        <f>+E1701-I1701*L1701-O1701</f>
        <v>-7.5</v>
      </c>
      <c r="S1701" s="66"/>
      <c r="T1701" s="66"/>
      <c r="U1701" s="1" t="s">
        <v>0</v>
      </c>
      <c r="CC1701" s="7"/>
    </row>
    <row r="1702" spans="2:81">
      <c r="B1702" s="6"/>
      <c r="C1702" s="23" t="s">
        <v>253</v>
      </c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CC1702" s="7"/>
    </row>
    <row r="1703" spans="2:81">
      <c r="B1703" s="6"/>
      <c r="C1703" s="1" t="s">
        <v>27</v>
      </c>
      <c r="D1703" s="66">
        <f>+AQ1683</f>
        <v>3.5</v>
      </c>
      <c r="E1703" s="66"/>
      <c r="F1703" s="66"/>
      <c r="G1703" s="1" t="s">
        <v>257</v>
      </c>
      <c r="H1703" s="9"/>
      <c r="I1703" s="9"/>
      <c r="J1703" s="9"/>
      <c r="M1703" s="9"/>
      <c r="P1703" s="4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9"/>
      <c r="AP1703" s="9"/>
      <c r="AQ1703" s="9"/>
      <c r="AR1703" s="9"/>
      <c r="AY1703" s="23" t="s">
        <v>770</v>
      </c>
      <c r="BC1703" s="2"/>
      <c r="CC1703" s="7"/>
    </row>
    <row r="1704" spans="2:81">
      <c r="B1704" s="6"/>
      <c r="C1704" s="1" t="s">
        <v>260</v>
      </c>
      <c r="D1704" s="9"/>
      <c r="E1704" s="9"/>
      <c r="F1704" s="66">
        <f>+E1700</f>
        <v>25</v>
      </c>
      <c r="G1704" s="66"/>
      <c r="H1704" s="66"/>
      <c r="I1704" s="9" t="s">
        <v>5</v>
      </c>
      <c r="J1704" s="66">
        <f>+D1703</f>
        <v>3.5</v>
      </c>
      <c r="K1704" s="66"/>
      <c r="L1704" s="9" t="s">
        <v>6</v>
      </c>
      <c r="M1704" s="66">
        <f>+L1700</f>
        <v>5</v>
      </c>
      <c r="N1704" s="66"/>
      <c r="O1704" s="9" t="s">
        <v>5</v>
      </c>
      <c r="P1704" s="66">
        <f>+J1704</f>
        <v>3.5</v>
      </c>
      <c r="Q1704" s="66"/>
      <c r="R1704" s="9" t="s">
        <v>254</v>
      </c>
      <c r="S1704" s="1">
        <v>2</v>
      </c>
      <c r="T1704" s="9" t="s">
        <v>7</v>
      </c>
      <c r="U1704" s="66">
        <f>+F1704*J1704-M1704*P1704^2/S1704</f>
        <v>56.875</v>
      </c>
      <c r="V1704" s="66"/>
      <c r="W1704" s="66"/>
      <c r="X1704" s="1" t="s">
        <v>191</v>
      </c>
      <c r="AO1704" s="9"/>
      <c r="AP1704" s="9"/>
      <c r="AQ1704" s="9"/>
      <c r="AR1704" s="9"/>
      <c r="BC1704" s="2"/>
      <c r="CC1704" s="7"/>
    </row>
    <row r="1705" spans="2:81">
      <c r="B1705" s="6"/>
      <c r="C1705" s="1" t="s">
        <v>247</v>
      </c>
      <c r="E1705" s="66">
        <f>+AX1685/2</f>
        <v>3.5</v>
      </c>
      <c r="F1705" s="66"/>
      <c r="G1705" s="66"/>
      <c r="H1705" s="1" t="s">
        <v>252</v>
      </c>
      <c r="I1705" s="9"/>
      <c r="J1705" s="9"/>
      <c r="M1705" s="9"/>
      <c r="N1705" s="21"/>
      <c r="P1705" s="9"/>
      <c r="Q1705" s="9"/>
      <c r="S1705" s="9"/>
      <c r="Y1705" s="9"/>
      <c r="Z1705" s="9"/>
      <c r="AA1705" s="9"/>
      <c r="AB1705" s="9"/>
      <c r="AC1705" s="9"/>
      <c r="AD1705" s="9"/>
      <c r="AE1705" s="9"/>
      <c r="AO1705" s="9"/>
      <c r="AP1705" s="9"/>
      <c r="AQ1705" s="9"/>
      <c r="AR1705" s="9"/>
      <c r="BC1705" s="2"/>
      <c r="CC1705" s="7"/>
    </row>
    <row r="1706" spans="2:81">
      <c r="B1706" s="6"/>
      <c r="C1706" s="1" t="s">
        <v>261</v>
      </c>
      <c r="D1706" s="9"/>
      <c r="E1706" s="66">
        <f>+F1704</f>
        <v>25</v>
      </c>
      <c r="F1706" s="66"/>
      <c r="G1706" s="66"/>
      <c r="H1706" s="9" t="s">
        <v>5</v>
      </c>
      <c r="I1706" s="66">
        <f>+E1705</f>
        <v>3.5</v>
      </c>
      <c r="J1706" s="66"/>
      <c r="K1706" s="9" t="s">
        <v>6</v>
      </c>
      <c r="L1706" s="66">
        <f>+M1704</f>
        <v>5</v>
      </c>
      <c r="M1706" s="66"/>
      <c r="N1706" s="9" t="s">
        <v>5</v>
      </c>
      <c r="O1706" s="66">
        <f>+I1706</f>
        <v>3.5</v>
      </c>
      <c r="P1706" s="66"/>
      <c r="Q1706" s="9" t="s">
        <v>254</v>
      </c>
      <c r="R1706" s="1">
        <v>2</v>
      </c>
      <c r="S1706" s="9" t="s">
        <v>7</v>
      </c>
      <c r="T1706" s="66">
        <f>+E1706*I1706-L1706*O1706^2/R1706</f>
        <v>56.875</v>
      </c>
      <c r="U1706" s="66"/>
      <c r="V1706" s="66"/>
      <c r="W1706" s="1" t="s">
        <v>191</v>
      </c>
      <c r="AC1706" s="9"/>
      <c r="AO1706" s="9"/>
      <c r="AP1706" s="9"/>
      <c r="AQ1706" s="9"/>
      <c r="AR1706" s="9"/>
      <c r="BC1706" s="2"/>
      <c r="CC1706" s="7"/>
    </row>
    <row r="1707" spans="2:81">
      <c r="B1707" s="6"/>
      <c r="C1707" s="1" t="s">
        <v>248</v>
      </c>
      <c r="E1707" s="66">
        <f>+AX1685/4</f>
        <v>1.75</v>
      </c>
      <c r="F1707" s="66"/>
      <c r="G1707" s="66"/>
      <c r="H1707" s="1" t="s">
        <v>252</v>
      </c>
      <c r="I1707" s="9"/>
      <c r="J1707" s="9"/>
      <c r="M1707" s="9"/>
      <c r="N1707" s="21"/>
      <c r="P1707" s="9"/>
      <c r="Q1707" s="9"/>
      <c r="X1707" s="9"/>
      <c r="Y1707" s="9"/>
      <c r="Z1707" s="9"/>
      <c r="AA1707" s="9"/>
      <c r="AB1707" s="9"/>
      <c r="AC1707" s="9"/>
      <c r="AD1707" s="9"/>
      <c r="AE1707" s="9"/>
      <c r="AO1707" s="9"/>
      <c r="AP1707" s="9"/>
      <c r="AQ1707" s="9"/>
      <c r="AR1707" s="9"/>
      <c r="AZ1707" s="2"/>
      <c r="BA1707" s="2"/>
      <c r="BB1707" s="2"/>
      <c r="BC1707" s="2"/>
      <c r="CC1707" s="7"/>
    </row>
    <row r="1708" spans="2:81">
      <c r="B1708" s="6"/>
      <c r="C1708" s="1" t="s">
        <v>249</v>
      </c>
      <c r="E1708" s="66">
        <f>+E1706</f>
        <v>25</v>
      </c>
      <c r="F1708" s="66"/>
      <c r="G1708" s="66"/>
      <c r="H1708" s="9" t="s">
        <v>5</v>
      </c>
      <c r="I1708" s="66">
        <f>+E1707</f>
        <v>1.75</v>
      </c>
      <c r="J1708" s="66"/>
      <c r="K1708" s="9" t="s">
        <v>6</v>
      </c>
      <c r="L1708" s="66">
        <f>+L1706</f>
        <v>5</v>
      </c>
      <c r="M1708" s="66"/>
      <c r="N1708" s="9" t="s">
        <v>5</v>
      </c>
      <c r="O1708" s="66">
        <f>+I1708</f>
        <v>1.75</v>
      </c>
      <c r="P1708" s="66"/>
      <c r="Q1708" s="9" t="s">
        <v>254</v>
      </c>
      <c r="R1708" s="1">
        <v>2</v>
      </c>
      <c r="S1708" s="9" t="s">
        <v>7</v>
      </c>
      <c r="T1708" s="66">
        <f>+E1708*I1708-L1708*O1708^2/R1708</f>
        <v>36.09375</v>
      </c>
      <c r="U1708" s="66"/>
      <c r="V1708" s="66"/>
      <c r="W1708" s="1" t="s">
        <v>191</v>
      </c>
      <c r="AC1708" s="9"/>
      <c r="AO1708" s="9"/>
      <c r="AP1708" s="9"/>
      <c r="AQ1708" s="9"/>
      <c r="AR1708" s="9"/>
      <c r="CC1708" s="7"/>
    </row>
    <row r="1709" spans="2:81">
      <c r="B1709" s="6"/>
      <c r="C1709" s="1" t="s">
        <v>250</v>
      </c>
      <c r="F1709" s="66">
        <f>+AX1685*3/4</f>
        <v>5.25</v>
      </c>
      <c r="G1709" s="66"/>
      <c r="H1709" s="66"/>
      <c r="I1709" s="1" t="s">
        <v>252</v>
      </c>
      <c r="J1709" s="9"/>
      <c r="M1709" s="9"/>
      <c r="N1709" s="21"/>
      <c r="P1709" s="9"/>
      <c r="Q1709" s="9"/>
      <c r="R1709" s="9"/>
      <c r="S1709" s="9"/>
      <c r="T1709" s="9"/>
      <c r="Y1709" s="9"/>
      <c r="Z1709" s="9"/>
      <c r="AA1709" s="9"/>
      <c r="AB1709" s="9"/>
      <c r="AO1709" s="9"/>
      <c r="AP1709" s="9"/>
      <c r="AQ1709" s="9"/>
      <c r="AR1709" s="9"/>
      <c r="CC1709" s="7"/>
    </row>
    <row r="1710" spans="2:81">
      <c r="B1710" s="6"/>
      <c r="C1710" s="1" t="s">
        <v>251</v>
      </c>
      <c r="E1710" s="66">
        <f>+E1708</f>
        <v>25</v>
      </c>
      <c r="F1710" s="66"/>
      <c r="G1710" s="66"/>
      <c r="H1710" s="9" t="s">
        <v>5</v>
      </c>
      <c r="I1710" s="66">
        <f>+F1709</f>
        <v>5.25</v>
      </c>
      <c r="J1710" s="66"/>
      <c r="K1710" s="9" t="s">
        <v>6</v>
      </c>
      <c r="L1710" s="66">
        <f>+AX1673</f>
        <v>15</v>
      </c>
      <c r="M1710" s="66"/>
      <c r="N1710" s="1" t="s">
        <v>14</v>
      </c>
      <c r="O1710" s="66">
        <f>+F1709</f>
        <v>5.25</v>
      </c>
      <c r="P1710" s="66"/>
      <c r="Q1710" s="9" t="s">
        <v>6</v>
      </c>
      <c r="R1710" s="66">
        <f>+AQ1683</f>
        <v>3.5</v>
      </c>
      <c r="S1710" s="66"/>
      <c r="T1710" s="1" t="s">
        <v>16</v>
      </c>
      <c r="U1710" s="66">
        <f>+AR1674</f>
        <v>5</v>
      </c>
      <c r="V1710" s="66"/>
      <c r="W1710" s="9" t="s">
        <v>5</v>
      </c>
      <c r="X1710" s="66">
        <f>+O1710</f>
        <v>5.25</v>
      </c>
      <c r="Y1710" s="66"/>
      <c r="Z1710" s="9" t="s">
        <v>254</v>
      </c>
      <c r="AA1710" s="1">
        <v>2</v>
      </c>
      <c r="AB1710" s="9" t="s">
        <v>7</v>
      </c>
      <c r="AC1710" s="66">
        <f>+E1710*I1710-L1710*(O1710-R1710)-U1710*X1710^2/AA1710</f>
        <v>36.09375</v>
      </c>
      <c r="AD1710" s="66"/>
      <c r="AE1710" s="66"/>
      <c r="AF1710" s="1" t="s">
        <v>191</v>
      </c>
      <c r="AO1710" s="9"/>
      <c r="AP1710" s="9"/>
      <c r="AQ1710" s="9"/>
      <c r="AR1710" s="9"/>
      <c r="CC1710" s="7"/>
    </row>
    <row r="1711" spans="2:81">
      <c r="B1711" s="6"/>
      <c r="C1711" s="1" t="s">
        <v>300</v>
      </c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U1711" s="9"/>
      <c r="V1711" s="9"/>
      <c r="W1711" s="9"/>
      <c r="X1711" s="9"/>
      <c r="Y1711" s="9"/>
      <c r="Z1711" s="9"/>
      <c r="AA1711" s="9"/>
      <c r="AB1711" s="9"/>
      <c r="AD1711" s="9"/>
      <c r="AE1711" s="9"/>
      <c r="AF1711" s="9"/>
      <c r="AG1711" s="9"/>
      <c r="AH1711" s="9"/>
      <c r="AI1711" s="9"/>
      <c r="AJ1711" s="9"/>
      <c r="AK1711" s="9"/>
      <c r="AM1711" s="9"/>
      <c r="AN1711" s="9"/>
      <c r="AO1711" s="9"/>
      <c r="AP1711" s="9"/>
      <c r="AQ1711" s="9"/>
      <c r="AR1711" s="9"/>
      <c r="CC1711" s="7"/>
    </row>
    <row r="1712" spans="2:81">
      <c r="B1712" s="6"/>
      <c r="C1712" s="1" t="s">
        <v>301</v>
      </c>
      <c r="E1712" s="66">
        <v>12.5</v>
      </c>
      <c r="F1712" s="66"/>
      <c r="G1712" s="9" t="s">
        <v>5</v>
      </c>
      <c r="H1712" s="66">
        <f>ABS(U1704)</f>
        <v>56.875</v>
      </c>
      <c r="I1712" s="66"/>
      <c r="J1712" s="66"/>
      <c r="K1712" s="9" t="s">
        <v>275</v>
      </c>
      <c r="L1712" s="66">
        <v>2.5</v>
      </c>
      <c r="M1712" s="66"/>
      <c r="N1712" s="9" t="s">
        <v>5</v>
      </c>
      <c r="O1712" s="66">
        <f>+H1712</f>
        <v>56.875</v>
      </c>
      <c r="P1712" s="66"/>
      <c r="Q1712" s="66"/>
      <c r="R1712" s="9" t="s">
        <v>9</v>
      </c>
      <c r="S1712" s="9">
        <v>3</v>
      </c>
      <c r="T1712" s="9" t="s">
        <v>5</v>
      </c>
      <c r="U1712" s="66">
        <f>ABS(T1708)</f>
        <v>36.09375</v>
      </c>
      <c r="V1712" s="66"/>
      <c r="W1712" s="66"/>
      <c r="X1712" s="9" t="s">
        <v>9</v>
      </c>
      <c r="Y1712" s="9">
        <v>4</v>
      </c>
      <c r="Z1712" s="9" t="s">
        <v>5</v>
      </c>
      <c r="AA1712" s="66">
        <f>ABS(T1706)</f>
        <v>56.875</v>
      </c>
      <c r="AB1712" s="66"/>
      <c r="AC1712" s="66"/>
      <c r="AD1712" s="9" t="s">
        <v>9</v>
      </c>
      <c r="AE1712" s="9">
        <v>3</v>
      </c>
      <c r="AF1712" s="9" t="s">
        <v>5</v>
      </c>
      <c r="AG1712" s="66">
        <f>ABS(AC1710)</f>
        <v>36.09375</v>
      </c>
      <c r="AH1712" s="66"/>
      <c r="AI1712" s="66"/>
      <c r="AJ1712" s="9" t="s">
        <v>201</v>
      </c>
      <c r="AK1712" s="66">
        <f>E1712*H1712/(L1712*O1712+S1712*U1712+Y1712*AA1712+AE1712*AG1712)</f>
        <v>1.2126865671641791</v>
      </c>
      <c r="AL1712" s="66"/>
      <c r="AM1712" s="66"/>
      <c r="AN1712" s="9"/>
      <c r="AO1712" s="9"/>
      <c r="AP1712" s="9"/>
      <c r="AQ1712" s="9"/>
      <c r="AR1712" s="9"/>
      <c r="CC1712" s="7"/>
    </row>
    <row r="1713" spans="2:81" ht="12" thickBot="1">
      <c r="B1713" s="12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  <c r="AK1713" s="13"/>
      <c r="AL1713" s="13"/>
      <c r="AM1713" s="13"/>
      <c r="AN1713" s="13"/>
      <c r="AO1713" s="13"/>
      <c r="AP1713" s="13"/>
      <c r="AQ1713" s="13"/>
      <c r="AR1713" s="13"/>
      <c r="AS1713" s="13"/>
      <c r="AT1713" s="13"/>
      <c r="AU1713" s="13"/>
      <c r="AV1713" s="13"/>
      <c r="AW1713" s="13"/>
      <c r="AX1713" s="13"/>
      <c r="AY1713" s="13"/>
      <c r="AZ1713" s="13"/>
      <c r="BA1713" s="13"/>
      <c r="BB1713" s="13"/>
      <c r="BC1713" s="13"/>
      <c r="BD1713" s="13"/>
      <c r="BE1713" s="13"/>
      <c r="BF1713" s="13"/>
      <c r="BG1713" s="13"/>
      <c r="BH1713" s="13"/>
      <c r="BI1713" s="13"/>
      <c r="BJ1713" s="13"/>
      <c r="BK1713" s="13"/>
      <c r="BL1713" s="13"/>
      <c r="BM1713" s="13"/>
      <c r="BN1713" s="13"/>
      <c r="BO1713" s="13"/>
      <c r="BP1713" s="13"/>
      <c r="BQ1713" s="13"/>
      <c r="BR1713" s="13"/>
      <c r="BS1713" s="13"/>
      <c r="BT1713" s="13"/>
      <c r="BU1713" s="13"/>
      <c r="BV1713" s="13"/>
      <c r="BW1713" s="13"/>
      <c r="BX1713" s="13"/>
      <c r="BY1713" s="13"/>
      <c r="BZ1713" s="13"/>
      <c r="CA1713" s="13"/>
      <c r="CB1713" s="13"/>
      <c r="CC1713" s="14"/>
    </row>
    <row r="1714" spans="2:81" ht="12" thickBot="1"/>
    <row r="1715" spans="2:81" ht="48" customHeight="1">
      <c r="B1715" s="73" t="s">
        <v>579</v>
      </c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Q1715" s="74"/>
      <c r="R1715" s="74"/>
      <c r="S1715" s="74"/>
      <c r="T1715" s="74"/>
      <c r="U1715" s="74"/>
      <c r="V1715" s="74"/>
      <c r="W1715" s="74"/>
      <c r="X1715" s="74"/>
      <c r="Y1715" s="74"/>
      <c r="Z1715" s="74"/>
      <c r="AA1715" s="74"/>
      <c r="AB1715" s="74"/>
      <c r="AC1715" s="74"/>
      <c r="AD1715" s="74"/>
      <c r="AE1715" s="74"/>
      <c r="AF1715" s="74"/>
      <c r="AG1715" s="74"/>
      <c r="AH1715" s="74"/>
      <c r="AI1715" s="74"/>
      <c r="AJ1715" s="74"/>
      <c r="AK1715" s="74"/>
      <c r="AL1715" s="74"/>
      <c r="AM1715" s="74"/>
      <c r="AN1715" s="74"/>
      <c r="AO1715" s="74"/>
      <c r="AP1715" s="74"/>
      <c r="AQ1715" s="74"/>
      <c r="AR1715" s="74"/>
      <c r="AS1715" s="74"/>
      <c r="AT1715" s="74"/>
      <c r="AU1715" s="74"/>
      <c r="AV1715" s="74"/>
      <c r="AW1715" s="74"/>
      <c r="AX1715" s="74"/>
      <c r="AY1715" s="74"/>
      <c r="AZ1715" s="74"/>
      <c r="BA1715" s="74"/>
      <c r="BB1715" s="74"/>
      <c r="BC1715" s="74"/>
      <c r="BD1715" s="74"/>
      <c r="BE1715" s="74"/>
      <c r="BF1715" s="74"/>
      <c r="BG1715" s="74"/>
      <c r="BH1715" s="74"/>
      <c r="BI1715" s="74"/>
      <c r="BJ1715" s="74"/>
      <c r="BK1715" s="74"/>
      <c r="BL1715" s="74"/>
      <c r="BM1715" s="74"/>
      <c r="BN1715" s="74"/>
      <c r="BO1715" s="74"/>
      <c r="BP1715" s="74"/>
      <c r="BQ1715" s="74"/>
      <c r="BR1715" s="74"/>
      <c r="BS1715" s="74"/>
      <c r="BT1715" s="74"/>
      <c r="BU1715" s="74"/>
      <c r="BV1715" s="74"/>
      <c r="BW1715" s="74"/>
      <c r="BX1715" s="74"/>
      <c r="BY1715" s="74"/>
      <c r="BZ1715" s="74"/>
      <c r="CA1715" s="74"/>
      <c r="CB1715" s="74"/>
      <c r="CC1715" s="75"/>
    </row>
    <row r="1716" spans="2:81">
      <c r="B1716" s="6"/>
      <c r="S1716" s="8" t="s">
        <v>176</v>
      </c>
      <c r="CC1716" s="7"/>
    </row>
    <row r="1717" spans="2:81">
      <c r="B1717" s="6"/>
      <c r="AA1717" s="67">
        <v>150</v>
      </c>
      <c r="AB1717" s="67"/>
      <c r="AC1717" s="1" t="s">
        <v>0</v>
      </c>
      <c r="AF1717" s="1" t="s">
        <v>290</v>
      </c>
      <c r="AZ1717" s="23" t="s">
        <v>497</v>
      </c>
      <c r="BJ1717" s="23" t="s">
        <v>498</v>
      </c>
      <c r="CC1717" s="7"/>
    </row>
    <row r="1718" spans="2:81">
      <c r="B1718" s="6"/>
      <c r="BD1718" s="71" t="s">
        <v>41</v>
      </c>
      <c r="BP1718" s="71" t="s">
        <v>41</v>
      </c>
      <c r="CC1718" s="7"/>
    </row>
    <row r="1719" spans="2:81">
      <c r="B1719" s="6"/>
      <c r="BD1719" s="71"/>
      <c r="BP1719" s="71"/>
      <c r="CC1719" s="7"/>
    </row>
    <row r="1720" spans="2:81">
      <c r="B1720" s="6"/>
      <c r="BD1720" s="77">
        <v>300</v>
      </c>
      <c r="BP1720" s="71">
        <f>+BD1720</f>
        <v>300</v>
      </c>
      <c r="CC1720" s="7"/>
    </row>
    <row r="1721" spans="2:81">
      <c r="B1721" s="6"/>
      <c r="AT1721" s="66">
        <f>+AA1717*AI1728</f>
        <v>225</v>
      </c>
      <c r="AU1721" s="66"/>
      <c r="AV1721" s="1" t="s">
        <v>191</v>
      </c>
      <c r="BD1721" s="77"/>
      <c r="BP1721" s="71"/>
      <c r="CC1721" s="7"/>
    </row>
    <row r="1722" spans="2:81">
      <c r="B1722" s="6"/>
      <c r="AT1722" s="9"/>
      <c r="AU1722" s="9"/>
      <c r="BD1722" s="77"/>
      <c r="BP1722" s="71"/>
      <c r="CC1722" s="7"/>
    </row>
    <row r="1723" spans="2:81">
      <c r="B1723" s="6"/>
      <c r="AT1723" s="9"/>
      <c r="AU1723" s="9"/>
      <c r="CC1723" s="7"/>
    </row>
    <row r="1724" spans="2:81">
      <c r="B1724" s="6"/>
      <c r="AT1724" s="9"/>
      <c r="AU1724" s="9"/>
      <c r="BA1724" s="67">
        <v>400</v>
      </c>
      <c r="BB1724" s="67"/>
      <c r="BC1724" s="1" t="s">
        <v>41</v>
      </c>
      <c r="BK1724" s="67">
        <v>800</v>
      </c>
      <c r="BL1724" s="67"/>
      <c r="BM1724" s="1" t="s">
        <v>41</v>
      </c>
      <c r="CC1724" s="7"/>
    </row>
    <row r="1725" spans="2:81">
      <c r="B1725" s="6"/>
      <c r="AE1725" s="1" t="s">
        <v>13</v>
      </c>
      <c r="BK1725" s="8" t="str">
        <f>IF(BA1724&lt;BK1724,"","artır.")</f>
        <v/>
      </c>
      <c r="CC1725" s="7"/>
    </row>
    <row r="1726" spans="2:81">
      <c r="B1726" s="6"/>
      <c r="AX1726" s="10" t="s">
        <v>522</v>
      </c>
      <c r="AZ1726" s="66">
        <f>BA1724*BD1720^3/12</f>
        <v>900000000</v>
      </c>
      <c r="BA1726" s="66"/>
      <c r="BB1726" s="66"/>
      <c r="BC1726" s="66"/>
      <c r="BD1726" s="66"/>
      <c r="BE1726" s="1" t="s">
        <v>270</v>
      </c>
      <c r="BH1726" s="10" t="s">
        <v>36</v>
      </c>
      <c r="BJ1726" s="66">
        <f>BK1724*BP1720^3/12</f>
        <v>1800000000</v>
      </c>
      <c r="BK1726" s="66"/>
      <c r="BL1726" s="66"/>
      <c r="BM1726" s="66"/>
      <c r="BN1726" s="66"/>
      <c r="BO1726" s="1" t="s">
        <v>270</v>
      </c>
      <c r="CC1726" s="7"/>
    </row>
    <row r="1727" spans="2:81">
      <c r="B1727" s="6"/>
      <c r="E1727" s="23" t="s">
        <v>298</v>
      </c>
      <c r="AQ1727" s="66">
        <f>+AA1717</f>
        <v>150</v>
      </c>
      <c r="AR1727" s="66"/>
      <c r="AS1727" s="1" t="s">
        <v>0</v>
      </c>
      <c r="CC1727" s="7"/>
    </row>
    <row r="1728" spans="2:81">
      <c r="B1728" s="6"/>
      <c r="AI1728" s="67">
        <v>1.5</v>
      </c>
      <c r="AJ1728" s="67"/>
      <c r="AK1728" s="1" t="s">
        <v>1</v>
      </c>
      <c r="CC1728" s="7"/>
    </row>
    <row r="1729" spans="2:81">
      <c r="B1729" s="6"/>
      <c r="CC1729" s="7"/>
    </row>
    <row r="1730" spans="2:81">
      <c r="B1730" s="6"/>
      <c r="AF1730" s="1" t="s">
        <v>38</v>
      </c>
      <c r="AH1730" s="67">
        <v>200000</v>
      </c>
      <c r="AI1730" s="67"/>
      <c r="AJ1730" s="67"/>
      <c r="AK1730" s="67"/>
      <c r="AL1730" s="1" t="s">
        <v>39</v>
      </c>
      <c r="AO1730" s="1" t="s">
        <v>302</v>
      </c>
      <c r="CC1730" s="7"/>
    </row>
    <row r="1731" spans="2:81">
      <c r="B1731" s="6"/>
      <c r="AA1731" s="9"/>
      <c r="AB1731" s="9"/>
      <c r="CC1731" s="7"/>
    </row>
    <row r="1732" spans="2:81">
      <c r="B1732" s="6"/>
      <c r="AA1732" s="9"/>
      <c r="AB1732" s="9"/>
      <c r="AE1732" s="1" t="s">
        <v>559</v>
      </c>
      <c r="AQ1732" s="66">
        <f>+AT1721</f>
        <v>225</v>
      </c>
      <c r="AR1732" s="66"/>
      <c r="AS1732" s="1" t="s">
        <v>191</v>
      </c>
      <c r="BA1732" s="23" t="s">
        <v>562</v>
      </c>
      <c r="CC1732" s="7"/>
    </row>
    <row r="1733" spans="2:81">
      <c r="B1733" s="6"/>
      <c r="AA1733" s="9"/>
      <c r="AB1733" s="9"/>
      <c r="CC1733" s="7"/>
    </row>
    <row r="1734" spans="2:81">
      <c r="B1734" s="6"/>
      <c r="AA1734" s="9"/>
      <c r="AB1734" s="9"/>
      <c r="AO1734" s="1" t="s">
        <v>6</v>
      </c>
      <c r="BP1734" s="66">
        <f>+BK1724</f>
        <v>800</v>
      </c>
      <c r="BQ1734" s="66"/>
      <c r="BR1734" s="1" t="s">
        <v>41</v>
      </c>
      <c r="CC1734" s="7"/>
    </row>
    <row r="1735" spans="2:81">
      <c r="B1735" s="6"/>
      <c r="C1735" s="23" t="s">
        <v>223</v>
      </c>
      <c r="Z1735" s="9"/>
      <c r="AA1735" s="9"/>
      <c r="AB1735" s="9"/>
      <c r="CC1735" s="7"/>
    </row>
    <row r="1736" spans="2:81">
      <c r="B1736" s="6"/>
      <c r="C1736" s="1" t="s">
        <v>592</v>
      </c>
      <c r="F1736" s="66">
        <f>+BA1724/1000</f>
        <v>0.4</v>
      </c>
      <c r="G1736" s="66"/>
      <c r="H1736" s="9" t="s">
        <v>9</v>
      </c>
      <c r="I1736" s="66">
        <f>(BK1724-BA1724)/BA1724</f>
        <v>1</v>
      </c>
      <c r="J1736" s="66"/>
      <c r="K1736" s="9" t="s">
        <v>5</v>
      </c>
      <c r="L1736" s="66">
        <f>+F1736</f>
        <v>0.4</v>
      </c>
      <c r="M1736" s="66"/>
      <c r="N1736" s="9" t="s">
        <v>5</v>
      </c>
      <c r="O1736" s="9" t="s">
        <v>13</v>
      </c>
      <c r="P1736" s="1" t="s">
        <v>173</v>
      </c>
      <c r="Q1736" s="66">
        <f>+AI1728</f>
        <v>1.5</v>
      </c>
      <c r="R1736" s="66"/>
      <c r="Z1736" s="9"/>
      <c r="AA1736" s="9"/>
      <c r="AB1736" s="9"/>
      <c r="CC1736" s="7"/>
    </row>
    <row r="1737" spans="2:81">
      <c r="B1737" s="6"/>
      <c r="C1737" s="1" t="s">
        <v>592</v>
      </c>
      <c r="F1737" s="66">
        <f>+F1736</f>
        <v>0.4</v>
      </c>
      <c r="G1737" s="66"/>
      <c r="H1737" s="1" t="s">
        <v>14</v>
      </c>
      <c r="I1737" s="1">
        <v>1</v>
      </c>
      <c r="J1737" s="9" t="s">
        <v>9</v>
      </c>
      <c r="K1737" s="66">
        <f>+I1736</f>
        <v>1</v>
      </c>
      <c r="L1737" s="66"/>
      <c r="M1737" s="9" t="s">
        <v>5</v>
      </c>
      <c r="N1737" s="9" t="s">
        <v>13</v>
      </c>
      <c r="O1737" s="1" t="s">
        <v>173</v>
      </c>
      <c r="P1737" s="66">
        <f>+Q1736</f>
        <v>1.5</v>
      </c>
      <c r="Q1737" s="66"/>
      <c r="R1737" s="1" t="s">
        <v>40</v>
      </c>
      <c r="Z1737" s="9"/>
      <c r="AA1737" s="9"/>
      <c r="AB1737" s="9"/>
      <c r="CC1737" s="7"/>
    </row>
    <row r="1738" spans="2:81">
      <c r="B1738" s="6"/>
      <c r="C1738" s="1" t="s">
        <v>592</v>
      </c>
      <c r="F1738" s="66">
        <f>+F1737</f>
        <v>0.4</v>
      </c>
      <c r="G1738" s="66"/>
      <c r="H1738" s="1" t="s">
        <v>14</v>
      </c>
      <c r="I1738" s="1">
        <v>1</v>
      </c>
      <c r="J1738" s="9" t="s">
        <v>9</v>
      </c>
      <c r="K1738" s="66">
        <f>+K1737/P1737</f>
        <v>0.66666666666666663</v>
      </c>
      <c r="L1738" s="66"/>
      <c r="M1738" s="9" t="s">
        <v>5</v>
      </c>
      <c r="N1738" s="9" t="s">
        <v>13</v>
      </c>
      <c r="O1738" s="1" t="s">
        <v>40</v>
      </c>
      <c r="P1738" s="9"/>
      <c r="Q1738" s="9"/>
      <c r="Z1738" s="9"/>
      <c r="AA1738" s="9"/>
      <c r="AB1738" s="9"/>
      <c r="AF1738" s="1" t="s">
        <v>560</v>
      </c>
      <c r="BQ1738" s="66">
        <f>+BP1720</f>
        <v>300</v>
      </c>
      <c r="BR1738" s="66"/>
      <c r="BS1738" s="79" t="s">
        <v>41</v>
      </c>
      <c r="BT1738" s="79"/>
      <c r="CC1738" s="7"/>
    </row>
    <row r="1739" spans="2:81">
      <c r="B1739" s="6"/>
      <c r="C1739" s="10" t="s">
        <v>36</v>
      </c>
      <c r="E1739" s="66">
        <f>+F1738</f>
        <v>0.4</v>
      </c>
      <c r="F1739" s="66"/>
      <c r="G1739" s="1" t="s">
        <v>14</v>
      </c>
      <c r="H1739" s="1">
        <v>1</v>
      </c>
      <c r="I1739" s="9" t="s">
        <v>9</v>
      </c>
      <c r="J1739" s="66">
        <f>+K1738</f>
        <v>0.66666666666666663</v>
      </c>
      <c r="K1739" s="66"/>
      <c r="L1739" s="9" t="s">
        <v>5</v>
      </c>
      <c r="M1739" s="9" t="s">
        <v>13</v>
      </c>
      <c r="N1739" s="1" t="s">
        <v>519</v>
      </c>
      <c r="O1739" s="66">
        <f>+BD1720/1000</f>
        <v>0.3</v>
      </c>
      <c r="P1739" s="66"/>
      <c r="Q1739" s="1" t="s">
        <v>321</v>
      </c>
      <c r="R1739" s="66">
        <v>12</v>
      </c>
      <c r="S1739" s="66"/>
      <c r="Z1739" s="9"/>
      <c r="AA1739" s="66">
        <f>+AQ1727</f>
        <v>150</v>
      </c>
      <c r="AB1739" s="66"/>
      <c r="AC1739" s="1" t="s">
        <v>0</v>
      </c>
      <c r="AQ1739" s="66">
        <f>+AQ1727</f>
        <v>150</v>
      </c>
      <c r="AR1739" s="66"/>
      <c r="AS1739" s="1" t="s">
        <v>0</v>
      </c>
      <c r="AU1739" s="66">
        <f>+BD1720</f>
        <v>300</v>
      </c>
      <c r="AV1739" s="66"/>
      <c r="AW1739" s="1" t="s">
        <v>41</v>
      </c>
      <c r="BQ1739" s="66"/>
      <c r="BR1739" s="66"/>
      <c r="BS1739" s="79"/>
      <c r="BT1739" s="79"/>
      <c r="CC1739" s="7"/>
    </row>
    <row r="1740" spans="2:81">
      <c r="B1740" s="6"/>
      <c r="C1740" s="10" t="s">
        <v>541</v>
      </c>
      <c r="E1740" s="9"/>
      <c r="F1740" s="1">
        <v>1</v>
      </c>
      <c r="G1740" s="9" t="s">
        <v>9</v>
      </c>
      <c r="H1740" s="66">
        <f>+J1739</f>
        <v>0.66666666666666663</v>
      </c>
      <c r="I1740" s="66"/>
      <c r="J1740" s="9" t="s">
        <v>5</v>
      </c>
      <c r="K1740" s="9" t="s">
        <v>13</v>
      </c>
      <c r="L1740" s="1" t="s">
        <v>40</v>
      </c>
      <c r="Q1740" s="9"/>
      <c r="R1740" s="9"/>
      <c r="S1740" s="9"/>
      <c r="V1740" s="9"/>
      <c r="W1740" s="9"/>
      <c r="Z1740" s="9"/>
      <c r="AA1740" s="9"/>
      <c r="AB1740" s="9"/>
      <c r="CC1740" s="7"/>
    </row>
    <row r="1741" spans="2:81">
      <c r="B1741" s="6"/>
      <c r="C1741" s="1" t="s">
        <v>526</v>
      </c>
      <c r="H1741" s="1">
        <v>1</v>
      </c>
      <c r="I1741" s="9" t="s">
        <v>9</v>
      </c>
      <c r="J1741" s="66">
        <f>+H1740</f>
        <v>0.66666666666666663</v>
      </c>
      <c r="K1741" s="66"/>
      <c r="L1741" s="9" t="s">
        <v>5</v>
      </c>
      <c r="M1741" s="9" t="s">
        <v>13</v>
      </c>
      <c r="N1741" s="1" t="s">
        <v>40</v>
      </c>
      <c r="W1741" s="9"/>
      <c r="Z1741" s="9"/>
      <c r="AA1741" s="9"/>
      <c r="AB1741" s="9"/>
      <c r="AJ1741" s="1" t="s">
        <v>9</v>
      </c>
      <c r="AV1741" s="66">
        <f>+BA1724</f>
        <v>400</v>
      </c>
      <c r="AW1741" s="66"/>
      <c r="AX1741" s="79" t="s">
        <v>41</v>
      </c>
      <c r="AY1741" s="79"/>
      <c r="CC1741" s="7"/>
    </row>
    <row r="1742" spans="2:81">
      <c r="B1742" s="6"/>
      <c r="C1742" s="1" t="s">
        <v>527</v>
      </c>
      <c r="W1742" s="9"/>
      <c r="Z1742" s="9"/>
      <c r="AA1742" s="9"/>
      <c r="AB1742" s="9"/>
      <c r="AV1742" s="66"/>
      <c r="AW1742" s="66"/>
      <c r="AX1742" s="79"/>
      <c r="AY1742" s="79"/>
      <c r="CC1742" s="7"/>
    </row>
    <row r="1743" spans="2:81">
      <c r="B1743" s="6"/>
      <c r="C1743" s="1" t="s">
        <v>532</v>
      </c>
      <c r="F1743" s="1">
        <v>1</v>
      </c>
      <c r="G1743" s="9" t="s">
        <v>9</v>
      </c>
      <c r="H1743" s="66">
        <f>+J1741</f>
        <v>0.66666666666666663</v>
      </c>
      <c r="I1743" s="66"/>
      <c r="J1743" s="9" t="s">
        <v>5</v>
      </c>
      <c r="K1743" s="9" t="s">
        <v>13</v>
      </c>
      <c r="L1743" s="1" t="s">
        <v>606</v>
      </c>
      <c r="AA1743" s="9"/>
      <c r="AB1743" s="9"/>
      <c r="CC1743" s="7"/>
    </row>
    <row r="1744" spans="2:81">
      <c r="B1744" s="6"/>
      <c r="C1744" s="1" t="s">
        <v>539</v>
      </c>
      <c r="J1744" s="1">
        <v>1</v>
      </c>
      <c r="K1744" s="9" t="s">
        <v>9</v>
      </c>
      <c r="L1744" s="66">
        <f>+H1743</f>
        <v>0.66666666666666663</v>
      </c>
      <c r="M1744" s="66"/>
      <c r="N1744" s="9" t="s">
        <v>5</v>
      </c>
      <c r="O1744" s="9" t="s">
        <v>13</v>
      </c>
      <c r="P1744" s="1" t="s">
        <v>607</v>
      </c>
      <c r="R1744" s="66">
        <f>-AA1717</f>
        <v>-150</v>
      </c>
      <c r="S1744" s="66"/>
      <c r="T1744" s="9" t="s">
        <v>5</v>
      </c>
      <c r="U1744" s="9" t="s">
        <v>13</v>
      </c>
      <c r="V1744" s="1" t="s">
        <v>275</v>
      </c>
      <c r="W1744" s="1">
        <v>1</v>
      </c>
      <c r="X1744" s="9" t="s">
        <v>9</v>
      </c>
      <c r="Y1744" s="66">
        <f>+L1744</f>
        <v>0.66666666666666663</v>
      </c>
      <c r="Z1744" s="66"/>
      <c r="AA1744" s="9" t="s">
        <v>5</v>
      </c>
      <c r="AB1744" s="9" t="s">
        <v>13</v>
      </c>
      <c r="AC1744" s="1" t="s">
        <v>40</v>
      </c>
      <c r="BK1744" s="66">
        <f>+AI1728*1000</f>
        <v>1500</v>
      </c>
      <c r="BL1744" s="66"/>
      <c r="BM1744" s="66"/>
      <c r="BN1744" s="1" t="s">
        <v>41</v>
      </c>
      <c r="CC1744" s="7"/>
    </row>
    <row r="1745" spans="2:81">
      <c r="B1745" s="6"/>
      <c r="C1745" s="24" t="s">
        <v>591</v>
      </c>
      <c r="CC1745" s="7"/>
    </row>
    <row r="1746" spans="2:81">
      <c r="B1746" s="6"/>
      <c r="C1746" s="9" t="s">
        <v>542</v>
      </c>
      <c r="D1746" s="9" t="s">
        <v>7</v>
      </c>
      <c r="E1746" s="66">
        <f>+Y1744</f>
        <v>0.66666666666666663</v>
      </c>
      <c r="F1746" s="66"/>
      <c r="G1746" s="9" t="s">
        <v>5</v>
      </c>
      <c r="H1746" s="9" t="s">
        <v>13</v>
      </c>
      <c r="I1746" s="9" t="s">
        <v>9</v>
      </c>
      <c r="J1746" s="1">
        <v>1</v>
      </c>
      <c r="K1746" s="9"/>
      <c r="L1746" s="9"/>
      <c r="M1746" s="9" t="s">
        <v>13</v>
      </c>
      <c r="N1746" s="1" t="s">
        <v>543</v>
      </c>
      <c r="O1746" s="9" t="s">
        <v>518</v>
      </c>
      <c r="P1746" s="9" t="s">
        <v>542</v>
      </c>
      <c r="Q1746" s="9" t="s">
        <v>6</v>
      </c>
      <c r="R1746" s="9">
        <v>1</v>
      </c>
      <c r="S1746" s="1" t="s">
        <v>287</v>
      </c>
      <c r="T1746" s="66">
        <f>+E1746</f>
        <v>0.66666666666666663</v>
      </c>
      <c r="U1746" s="66"/>
      <c r="V1746" s="9"/>
      <c r="W1746" s="9"/>
      <c r="X1746" s="9" t="s">
        <v>544</v>
      </c>
      <c r="Y1746" s="1" t="s">
        <v>7</v>
      </c>
      <c r="Z1746" s="1" t="s">
        <v>545</v>
      </c>
      <c r="AA1746" s="9" t="s">
        <v>173</v>
      </c>
      <c r="AB1746" s="66">
        <f>+T1746</f>
        <v>0.66666666666666663</v>
      </c>
      <c r="AC1746" s="66"/>
      <c r="AD1746" s="9"/>
      <c r="CC1746" s="7"/>
    </row>
    <row r="1747" spans="2:81">
      <c r="B1747" s="6"/>
      <c r="C1747" s="9" t="s">
        <v>546</v>
      </c>
      <c r="D1747" s="66">
        <f>+R1744</f>
        <v>-150</v>
      </c>
      <c r="E1747" s="66"/>
      <c r="F1747" s="1" t="s">
        <v>14</v>
      </c>
      <c r="G1747" s="9" t="s">
        <v>542</v>
      </c>
      <c r="H1747" s="9" t="s">
        <v>6</v>
      </c>
      <c r="I1747" s="9">
        <v>1</v>
      </c>
      <c r="J1747" s="1" t="s">
        <v>255</v>
      </c>
      <c r="K1747" s="66">
        <f>+T1746</f>
        <v>0.66666666666666663</v>
      </c>
      <c r="L1747" s="66"/>
      <c r="M1747" s="9" t="s">
        <v>5</v>
      </c>
      <c r="N1747" s="9" t="s">
        <v>542</v>
      </c>
      <c r="O1747" s="1" t="s">
        <v>519</v>
      </c>
      <c r="P1747" s="1" t="s">
        <v>545</v>
      </c>
      <c r="Q1747" s="9" t="s">
        <v>173</v>
      </c>
      <c r="R1747" s="66">
        <f>+AB1746</f>
        <v>0.66666666666666663</v>
      </c>
      <c r="S1747" s="66"/>
      <c r="T1747" s="9" t="s">
        <v>7</v>
      </c>
      <c r="U1747" s="9" t="s">
        <v>546</v>
      </c>
      <c r="V1747" s="66">
        <f>+D1747</f>
        <v>-150</v>
      </c>
      <c r="W1747" s="66"/>
      <c r="X1747" s="1" t="s">
        <v>14</v>
      </c>
      <c r="Y1747" s="9" t="s">
        <v>542</v>
      </c>
      <c r="Z1747" s="9" t="s">
        <v>6</v>
      </c>
      <c r="AA1747" s="9">
        <v>1</v>
      </c>
      <c r="AB1747" s="1" t="s">
        <v>255</v>
      </c>
      <c r="AC1747" s="66">
        <f>+K1747*R1747</f>
        <v>0.44444444444444442</v>
      </c>
      <c r="AD1747" s="66"/>
      <c r="AE1747" s="9" t="s">
        <v>5</v>
      </c>
      <c r="AF1747" s="9" t="s">
        <v>542</v>
      </c>
      <c r="AG1747" s="1" t="s">
        <v>519</v>
      </c>
      <c r="AH1747" s="1" t="s">
        <v>545</v>
      </c>
      <c r="CC1747" s="7"/>
    </row>
    <row r="1748" spans="2:81">
      <c r="B1748" s="6"/>
      <c r="C1748" s="66">
        <f>+V1747/AC1747</f>
        <v>-337.5</v>
      </c>
      <c r="D1748" s="66"/>
      <c r="E1748" s="9" t="s">
        <v>546</v>
      </c>
      <c r="F1748" s="1" t="s">
        <v>518</v>
      </c>
      <c r="G1748" s="9" t="s">
        <v>542</v>
      </c>
      <c r="H1748" s="9" t="s">
        <v>6</v>
      </c>
      <c r="I1748" s="9">
        <v>1</v>
      </c>
      <c r="J1748" s="1" t="s">
        <v>287</v>
      </c>
      <c r="K1748" s="1" t="s">
        <v>542</v>
      </c>
      <c r="L1748" s="9" t="s">
        <v>5</v>
      </c>
      <c r="M1748" s="1" t="s">
        <v>545</v>
      </c>
      <c r="N1748" s="9" t="s">
        <v>7</v>
      </c>
      <c r="O1748" s="66">
        <f>+C1748</f>
        <v>-337.5</v>
      </c>
      <c r="P1748" s="66"/>
      <c r="Q1748" s="9" t="s">
        <v>546</v>
      </c>
      <c r="R1748" s="1">
        <v>1</v>
      </c>
      <c r="S1748" s="9" t="s">
        <v>6</v>
      </c>
      <c r="T1748" s="1">
        <v>1</v>
      </c>
      <c r="U1748" s="1" t="s">
        <v>173</v>
      </c>
      <c r="V1748" s="1" t="s">
        <v>542</v>
      </c>
      <c r="W1748" s="9" t="s">
        <v>5</v>
      </c>
      <c r="X1748" s="1" t="s">
        <v>545</v>
      </c>
      <c r="Y1748" s="9" t="s">
        <v>7</v>
      </c>
      <c r="Z1748" s="66">
        <f>+O1748</f>
        <v>-337.5</v>
      </c>
      <c r="AA1748" s="66"/>
      <c r="AB1748" s="9" t="s">
        <v>14</v>
      </c>
      <c r="AC1748" s="9" t="s">
        <v>546</v>
      </c>
      <c r="AD1748" s="1">
        <v>1</v>
      </c>
      <c r="AE1748" s="9" t="s">
        <v>5</v>
      </c>
      <c r="AF1748" s="1" t="s">
        <v>545</v>
      </c>
      <c r="AG1748" s="9" t="s">
        <v>6</v>
      </c>
      <c r="AH1748" s="9" t="s">
        <v>546</v>
      </c>
      <c r="AI1748" s="1">
        <v>1</v>
      </c>
      <c r="AJ1748" s="1" t="s">
        <v>173</v>
      </c>
      <c r="AK1748" s="1" t="s">
        <v>542</v>
      </c>
      <c r="AL1748" s="9" t="s">
        <v>5</v>
      </c>
      <c r="AM1748" s="1" t="s">
        <v>545</v>
      </c>
      <c r="AN1748" s="1" t="s">
        <v>40</v>
      </c>
      <c r="CC1748" s="7"/>
    </row>
    <row r="1749" spans="2:81">
      <c r="B1749" s="6"/>
      <c r="C1749" s="66">
        <f>+Z1748</f>
        <v>-337.5</v>
      </c>
      <c r="D1749" s="66"/>
      <c r="E1749" s="1" t="s">
        <v>14</v>
      </c>
      <c r="F1749" s="1" t="s">
        <v>542</v>
      </c>
      <c r="G1749" s="1" t="s">
        <v>6</v>
      </c>
      <c r="H1749" s="1" t="s">
        <v>594</v>
      </c>
      <c r="L1749" s="66">
        <f>+C1749</f>
        <v>-337.5</v>
      </c>
      <c r="M1749" s="66"/>
      <c r="N1749" s="1" t="s">
        <v>14</v>
      </c>
      <c r="O1749" s="66">
        <f>+E1746</f>
        <v>0.66666666666666663</v>
      </c>
      <c r="P1749" s="66"/>
      <c r="Q1749" s="9" t="s">
        <v>5</v>
      </c>
      <c r="R1749" s="9" t="s">
        <v>13</v>
      </c>
      <c r="S1749" s="9" t="s">
        <v>9</v>
      </c>
      <c r="T1749" s="1">
        <v>1</v>
      </c>
      <c r="U1749" s="9" t="s">
        <v>6</v>
      </c>
      <c r="V1749" s="1" t="s">
        <v>595</v>
      </c>
      <c r="W1749" s="1" t="s">
        <v>518</v>
      </c>
      <c r="X1749" s="66">
        <f>+E1746</f>
        <v>0.66666666666666663</v>
      </c>
      <c r="Y1749" s="66"/>
      <c r="Z1749" s="9" t="s">
        <v>5</v>
      </c>
      <c r="AA1749" s="9" t="s">
        <v>13</v>
      </c>
      <c r="AB1749" s="9" t="s">
        <v>9</v>
      </c>
      <c r="AC1749" s="1">
        <v>1</v>
      </c>
      <c r="AD1749" s="1" t="s">
        <v>550</v>
      </c>
      <c r="CC1749" s="7"/>
    </row>
    <row r="1750" spans="2:81">
      <c r="B1750" s="6"/>
      <c r="C1750" s="81">
        <f>+L1749*O1749</f>
        <v>-225</v>
      </c>
      <c r="D1750" s="68"/>
      <c r="E1750" s="48" t="s">
        <v>5</v>
      </c>
      <c r="F1750" s="48" t="s">
        <v>13</v>
      </c>
      <c r="G1750" s="48" t="s">
        <v>6</v>
      </c>
      <c r="H1750" s="68">
        <f>+L1749</f>
        <v>-337.5</v>
      </c>
      <c r="I1750" s="68"/>
      <c r="J1750" s="48" t="s">
        <v>5</v>
      </c>
      <c r="K1750" s="49" t="s">
        <v>595</v>
      </c>
      <c r="L1750" s="49" t="s">
        <v>518</v>
      </c>
      <c r="M1750" s="68">
        <f>+X1749</f>
        <v>0.66666666666666663</v>
      </c>
      <c r="N1750" s="68"/>
      <c r="O1750" s="48" t="s">
        <v>5</v>
      </c>
      <c r="P1750" s="48" t="s">
        <v>13</v>
      </c>
      <c r="Q1750" s="48" t="s">
        <v>9</v>
      </c>
      <c r="R1750" s="49">
        <v>1</v>
      </c>
      <c r="S1750" s="50" t="s">
        <v>40</v>
      </c>
      <c r="T1750" s="52"/>
      <c r="CC1750" s="7"/>
    </row>
    <row r="1751" spans="2:81">
      <c r="B1751" s="6"/>
      <c r="C1751" s="24" t="s">
        <v>590</v>
      </c>
      <c r="CC1751" s="7"/>
    </row>
    <row r="1752" spans="2:81">
      <c r="B1752" s="6"/>
      <c r="C1752" s="66">
        <f>+C1750</f>
        <v>-225</v>
      </c>
      <c r="D1752" s="66"/>
      <c r="E1752" s="9" t="s">
        <v>5</v>
      </c>
      <c r="F1752" s="9" t="s">
        <v>13</v>
      </c>
      <c r="G1752" s="9" t="s">
        <v>6</v>
      </c>
      <c r="H1752" s="66">
        <f>+H1750</f>
        <v>-337.5</v>
      </c>
      <c r="I1752" s="66"/>
      <c r="J1752" s="9" t="s">
        <v>5</v>
      </c>
      <c r="K1752" s="1" t="s">
        <v>595</v>
      </c>
      <c r="L1752" s="1" t="s">
        <v>518</v>
      </c>
      <c r="M1752" s="66">
        <f>+M1750</f>
        <v>0.66666666666666663</v>
      </c>
      <c r="N1752" s="66"/>
      <c r="O1752" s="9" t="s">
        <v>5</v>
      </c>
      <c r="P1752" s="9" t="s">
        <v>13</v>
      </c>
      <c r="Q1752" s="9" t="s">
        <v>9</v>
      </c>
      <c r="R1752" s="1">
        <v>1</v>
      </c>
      <c r="S1752" s="1" t="s">
        <v>40</v>
      </c>
      <c r="T1752" s="9"/>
      <c r="U1752" s="66"/>
      <c r="V1752" s="66"/>
      <c r="CC1752" s="7"/>
    </row>
    <row r="1753" spans="2:81">
      <c r="B1753" s="6"/>
      <c r="C1753" s="66">
        <f>+C1752</f>
        <v>-225</v>
      </c>
      <c r="D1753" s="66"/>
      <c r="E1753" s="9" t="s">
        <v>546</v>
      </c>
      <c r="F1753" s="9" t="s">
        <v>13</v>
      </c>
      <c r="G1753" s="9" t="s">
        <v>5</v>
      </c>
      <c r="H1753" s="1" t="s">
        <v>544</v>
      </c>
      <c r="I1753" s="9" t="s">
        <v>6</v>
      </c>
      <c r="J1753" s="66">
        <f>+H1752</f>
        <v>-337.5</v>
      </c>
      <c r="K1753" s="66"/>
      <c r="L1753" s="9" t="s">
        <v>546</v>
      </c>
      <c r="M1753" s="1" t="s">
        <v>595</v>
      </c>
      <c r="N1753" s="1" t="s">
        <v>518</v>
      </c>
      <c r="O1753" s="66">
        <f>+M1752</f>
        <v>0.66666666666666663</v>
      </c>
      <c r="P1753" s="66"/>
      <c r="Q1753" s="9" t="s">
        <v>5</v>
      </c>
      <c r="R1753" s="9" t="s">
        <v>13</v>
      </c>
      <c r="S1753" s="9" t="s">
        <v>9</v>
      </c>
      <c r="T1753" s="1">
        <v>1</v>
      </c>
      <c r="U1753" s="1" t="s">
        <v>519</v>
      </c>
      <c r="V1753" s="1" t="s">
        <v>544</v>
      </c>
      <c r="W1753" s="9"/>
      <c r="Z1753" s="9"/>
      <c r="AB1753" s="9"/>
      <c r="CC1753" s="7"/>
    </row>
    <row r="1754" spans="2:81">
      <c r="B1754" s="6"/>
      <c r="C1754" s="9" t="s">
        <v>542</v>
      </c>
      <c r="D1754" s="9" t="s">
        <v>7</v>
      </c>
      <c r="E1754" s="66">
        <f>+O1753</f>
        <v>0.66666666666666663</v>
      </c>
      <c r="F1754" s="66"/>
      <c r="G1754" s="9" t="s">
        <v>5</v>
      </c>
      <c r="H1754" s="9" t="s">
        <v>13</v>
      </c>
      <c r="I1754" s="9" t="s">
        <v>9</v>
      </c>
      <c r="J1754" s="1">
        <v>1</v>
      </c>
      <c r="K1754" s="9"/>
      <c r="L1754" s="9"/>
      <c r="M1754" s="9" t="s">
        <v>13</v>
      </c>
      <c r="N1754" s="1" t="s">
        <v>543</v>
      </c>
      <c r="O1754" s="9" t="s">
        <v>518</v>
      </c>
      <c r="P1754" s="9" t="s">
        <v>542</v>
      </c>
      <c r="Q1754" s="9" t="s">
        <v>6</v>
      </c>
      <c r="R1754" s="9">
        <v>1</v>
      </c>
      <c r="S1754" s="1" t="s">
        <v>287</v>
      </c>
      <c r="T1754" s="66">
        <f>+E1754</f>
        <v>0.66666666666666663</v>
      </c>
      <c r="U1754" s="66"/>
      <c r="V1754" s="9"/>
      <c r="W1754" s="9"/>
      <c r="X1754" s="9" t="s">
        <v>544</v>
      </c>
      <c r="Y1754" s="1" t="s">
        <v>7</v>
      </c>
      <c r="Z1754" s="1" t="s">
        <v>545</v>
      </c>
      <c r="AA1754" s="9" t="s">
        <v>173</v>
      </c>
      <c r="AB1754" s="66">
        <f>+T1754</f>
        <v>0.66666666666666663</v>
      </c>
      <c r="AC1754" s="66"/>
      <c r="CC1754" s="7"/>
    </row>
    <row r="1755" spans="2:81">
      <c r="B1755" s="6"/>
      <c r="C1755" s="9" t="s">
        <v>546</v>
      </c>
      <c r="D1755" s="1" t="s">
        <v>596</v>
      </c>
      <c r="G1755" s="66">
        <f>+AB1754</f>
        <v>0.66666666666666663</v>
      </c>
      <c r="H1755" s="66"/>
      <c r="I1755" s="9" t="s">
        <v>5</v>
      </c>
      <c r="J1755" s="1" t="s">
        <v>545</v>
      </c>
      <c r="K1755" s="9" t="s">
        <v>7</v>
      </c>
      <c r="L1755" s="9" t="s">
        <v>542</v>
      </c>
      <c r="M1755" s="9" t="s">
        <v>5</v>
      </c>
      <c r="N1755" s="1" t="s">
        <v>595</v>
      </c>
      <c r="O1755" s="1" t="s">
        <v>518</v>
      </c>
      <c r="P1755" s="1" t="s">
        <v>542</v>
      </c>
      <c r="Q1755" s="1" t="s">
        <v>287</v>
      </c>
      <c r="R1755" s="66">
        <f>+G1755</f>
        <v>0.66666666666666663</v>
      </c>
      <c r="S1755" s="66"/>
      <c r="T1755" s="9" t="s">
        <v>6</v>
      </c>
      <c r="U1755" s="9" t="s">
        <v>542</v>
      </c>
      <c r="V1755" s="1" t="s">
        <v>173</v>
      </c>
      <c r="W1755" s="66">
        <f>+R1755</f>
        <v>0.66666666666666663</v>
      </c>
      <c r="X1755" s="66"/>
      <c r="Y1755" s="9" t="s">
        <v>7</v>
      </c>
      <c r="Z1755" s="1" t="s">
        <v>518</v>
      </c>
      <c r="AA1755" s="66">
        <f>+E1754</f>
        <v>0.66666666666666663</v>
      </c>
      <c r="AB1755" s="66"/>
      <c r="AC1755" s="9" t="s">
        <v>5</v>
      </c>
      <c r="AD1755" s="9" t="s">
        <v>13</v>
      </c>
      <c r="AE1755" s="9" t="s">
        <v>9</v>
      </c>
      <c r="AF1755" s="1">
        <v>1</v>
      </c>
      <c r="AG1755" s="1" t="s">
        <v>519</v>
      </c>
      <c r="AH1755" s="1" t="s">
        <v>597</v>
      </c>
      <c r="AJ1755" s="66">
        <f>+AA1755</f>
        <v>0.66666666666666663</v>
      </c>
      <c r="AK1755" s="66"/>
      <c r="AL1755" s="9" t="s">
        <v>5</v>
      </c>
      <c r="AM1755" s="9" t="s">
        <v>13</v>
      </c>
      <c r="AN1755" s="9" t="s">
        <v>9</v>
      </c>
      <c r="AO1755" s="1">
        <v>1</v>
      </c>
      <c r="AP1755" s="1" t="s">
        <v>287</v>
      </c>
      <c r="AQ1755" s="66">
        <f>+R1755</f>
        <v>0.66666666666666663</v>
      </c>
      <c r="AR1755" s="66"/>
      <c r="AS1755" s="9" t="s">
        <v>6</v>
      </c>
      <c r="AT1755" s="1" t="s">
        <v>518</v>
      </c>
      <c r="AU1755" s="66">
        <f>+AJ1755</f>
        <v>0.66666666666666663</v>
      </c>
      <c r="AV1755" s="66"/>
      <c r="AW1755" s="9" t="s">
        <v>5</v>
      </c>
      <c r="AX1755" s="9" t="s">
        <v>13</v>
      </c>
      <c r="AY1755" s="9" t="s">
        <v>9</v>
      </c>
      <c r="AZ1755" s="1">
        <v>1</v>
      </c>
      <c r="BA1755" s="1" t="s">
        <v>287</v>
      </c>
      <c r="BB1755" s="66">
        <f>+AQ1755</f>
        <v>0.66666666666666663</v>
      </c>
      <c r="BC1755" s="66"/>
      <c r="BD1755" s="9" t="s">
        <v>9</v>
      </c>
      <c r="BE1755" s="1">
        <v>1</v>
      </c>
      <c r="BF1755" s="1" t="s">
        <v>173</v>
      </c>
      <c r="BG1755" s="66">
        <f>+BB1755</f>
        <v>0.66666666666666663</v>
      </c>
      <c r="BH1755" s="66"/>
      <c r="CC1755" s="7"/>
    </row>
    <row r="1756" spans="2:81">
      <c r="B1756" s="6"/>
      <c r="C1756" s="81">
        <f>+C1753</f>
        <v>-225</v>
      </c>
      <c r="D1756" s="68"/>
      <c r="E1756" s="48" t="s">
        <v>5</v>
      </c>
      <c r="F1756" s="49" t="s">
        <v>183</v>
      </c>
      <c r="G1756" s="49" t="s">
        <v>173</v>
      </c>
      <c r="H1756" s="49">
        <v>2</v>
      </c>
      <c r="I1756" s="48" t="s">
        <v>6</v>
      </c>
      <c r="J1756" s="68">
        <f>+J1753</f>
        <v>-337.5</v>
      </c>
      <c r="K1756" s="68"/>
      <c r="L1756" s="49" t="s">
        <v>600</v>
      </c>
      <c r="M1756" s="68">
        <f>+AA1755</f>
        <v>0.66666666666666663</v>
      </c>
      <c r="N1756" s="68"/>
      <c r="O1756" s="48" t="s">
        <v>5</v>
      </c>
      <c r="P1756" s="48" t="s">
        <v>13</v>
      </c>
      <c r="Q1756" s="48" t="s">
        <v>9</v>
      </c>
      <c r="R1756" s="49">
        <v>1</v>
      </c>
      <c r="S1756" s="49" t="s">
        <v>519</v>
      </c>
      <c r="T1756" s="49" t="s">
        <v>597</v>
      </c>
      <c r="U1756" s="49"/>
      <c r="V1756" s="68">
        <f>+AJ1755</f>
        <v>0.66666666666666663</v>
      </c>
      <c r="W1756" s="68"/>
      <c r="X1756" s="48" t="s">
        <v>5</v>
      </c>
      <c r="Y1756" s="48" t="s">
        <v>13</v>
      </c>
      <c r="Z1756" s="48" t="s">
        <v>9</v>
      </c>
      <c r="AA1756" s="49">
        <v>1</v>
      </c>
      <c r="AB1756" s="49" t="s">
        <v>287</v>
      </c>
      <c r="AC1756" s="68">
        <f>+AQ1755</f>
        <v>0.66666666666666663</v>
      </c>
      <c r="AD1756" s="68"/>
      <c r="AE1756" s="48" t="s">
        <v>6</v>
      </c>
      <c r="AF1756" s="49" t="s">
        <v>518</v>
      </c>
      <c r="AG1756" s="68">
        <f>+AU1755</f>
        <v>0.66666666666666663</v>
      </c>
      <c r="AH1756" s="68"/>
      <c r="AI1756" s="48" t="s">
        <v>5</v>
      </c>
      <c r="AJ1756" s="48" t="s">
        <v>13</v>
      </c>
      <c r="AK1756" s="48" t="s">
        <v>9</v>
      </c>
      <c r="AL1756" s="49">
        <v>1</v>
      </c>
      <c r="AM1756" s="49" t="s">
        <v>287</v>
      </c>
      <c r="AN1756" s="68">
        <f>+BB1755</f>
        <v>0.66666666666666663</v>
      </c>
      <c r="AO1756" s="68"/>
      <c r="AP1756" s="48" t="s">
        <v>9</v>
      </c>
      <c r="AQ1756" s="49">
        <v>1</v>
      </c>
      <c r="AR1756" s="49" t="s">
        <v>173</v>
      </c>
      <c r="AS1756" s="68">
        <f>+BG1755</f>
        <v>0.66666666666666663</v>
      </c>
      <c r="AT1756" s="68"/>
      <c r="AU1756" s="50" t="s">
        <v>40</v>
      </c>
      <c r="CC1756" s="7"/>
    </row>
    <row r="1757" spans="2:81">
      <c r="B1757" s="6"/>
      <c r="C1757" s="1" t="s">
        <v>557</v>
      </c>
      <c r="G1757" s="66">
        <f>+C1750</f>
        <v>-225</v>
      </c>
      <c r="H1757" s="66"/>
      <c r="I1757" s="9" t="s">
        <v>5</v>
      </c>
      <c r="J1757" s="9" t="s">
        <v>13</v>
      </c>
      <c r="K1757" s="9" t="s">
        <v>6</v>
      </c>
      <c r="L1757" s="66">
        <f>+H1750</f>
        <v>-337.5</v>
      </c>
      <c r="M1757" s="66"/>
      <c r="N1757" s="9" t="s">
        <v>5</v>
      </c>
      <c r="O1757" s="1" t="s">
        <v>595</v>
      </c>
      <c r="P1757" s="1" t="s">
        <v>518</v>
      </c>
      <c r="Q1757" s="66">
        <f>+M1750</f>
        <v>0.66666666666666663</v>
      </c>
      <c r="R1757" s="66"/>
      <c r="S1757" s="9" t="s">
        <v>5</v>
      </c>
      <c r="T1757" s="9" t="s">
        <v>13</v>
      </c>
      <c r="U1757" s="9" t="s">
        <v>9</v>
      </c>
      <c r="V1757" s="1">
        <v>1</v>
      </c>
      <c r="W1757" s="1" t="s">
        <v>306</v>
      </c>
      <c r="X1757" s="1" t="s">
        <v>24</v>
      </c>
      <c r="Z1757" s="9"/>
      <c r="CC1757" s="7"/>
    </row>
    <row r="1758" spans="2:81">
      <c r="B1758" s="6"/>
      <c r="C1758" s="1" t="s">
        <v>558</v>
      </c>
      <c r="G1758" s="66">
        <f>+C1756</f>
        <v>-225</v>
      </c>
      <c r="H1758" s="66"/>
      <c r="I1758" s="9" t="s">
        <v>5</v>
      </c>
      <c r="J1758" s="1" t="s">
        <v>183</v>
      </c>
      <c r="K1758" s="1" t="s">
        <v>173</v>
      </c>
      <c r="L1758" s="1">
        <v>2</v>
      </c>
      <c r="M1758" s="9" t="s">
        <v>6</v>
      </c>
      <c r="N1758" s="66">
        <f>+J1756</f>
        <v>-337.5</v>
      </c>
      <c r="O1758" s="66"/>
      <c r="P1758" s="1" t="s">
        <v>600</v>
      </c>
      <c r="Q1758" s="66">
        <f>+M1756</f>
        <v>0.66666666666666663</v>
      </c>
      <c r="R1758" s="66"/>
      <c r="S1758" s="9" t="s">
        <v>5</v>
      </c>
      <c r="T1758" s="9" t="s">
        <v>13</v>
      </c>
      <c r="U1758" s="9" t="s">
        <v>9</v>
      </c>
      <c r="V1758" s="1">
        <v>1</v>
      </c>
      <c r="W1758" s="1" t="s">
        <v>519</v>
      </c>
      <c r="X1758" s="1" t="s">
        <v>597</v>
      </c>
      <c r="Z1758" s="66">
        <f>+V1756</f>
        <v>0.66666666666666663</v>
      </c>
      <c r="AA1758" s="66"/>
      <c r="AB1758" s="9" t="s">
        <v>5</v>
      </c>
      <c r="AC1758" s="9" t="s">
        <v>13</v>
      </c>
      <c r="AD1758" s="9" t="s">
        <v>9</v>
      </c>
      <c r="AE1758" s="1">
        <v>1</v>
      </c>
      <c r="AF1758" s="1" t="s">
        <v>287</v>
      </c>
      <c r="AG1758" s="66">
        <f>+AC1756</f>
        <v>0.66666666666666663</v>
      </c>
      <c r="AH1758" s="66"/>
      <c r="AI1758" s="9" t="s">
        <v>6</v>
      </c>
      <c r="AJ1758" s="1" t="s">
        <v>518</v>
      </c>
      <c r="AK1758" s="66">
        <f>+AG1756</f>
        <v>0.66666666666666663</v>
      </c>
      <c r="AL1758" s="66"/>
      <c r="AM1758" s="9" t="s">
        <v>5</v>
      </c>
      <c r="AN1758" s="9" t="s">
        <v>13</v>
      </c>
      <c r="AO1758" s="9" t="s">
        <v>9</v>
      </c>
      <c r="AP1758" s="1">
        <v>1</v>
      </c>
      <c r="AQ1758" s="1" t="s">
        <v>287</v>
      </c>
      <c r="AR1758" s="66">
        <f>+AN1756</f>
        <v>0.66666666666666663</v>
      </c>
      <c r="AS1758" s="66"/>
      <c r="AT1758" s="9" t="s">
        <v>9</v>
      </c>
      <c r="AU1758" s="1">
        <v>1</v>
      </c>
      <c r="AV1758" s="1" t="s">
        <v>173</v>
      </c>
      <c r="AW1758" s="66">
        <f>+AS1756</f>
        <v>0.66666666666666663</v>
      </c>
      <c r="AX1758" s="66"/>
      <c r="AY1758" s="1" t="s">
        <v>306</v>
      </c>
      <c r="AZ1758" s="1" t="s">
        <v>24</v>
      </c>
      <c r="BA1758" s="9" t="s">
        <v>5</v>
      </c>
      <c r="BB1758" s="9" t="s">
        <v>13</v>
      </c>
      <c r="BC1758" s="9" t="s">
        <v>9</v>
      </c>
      <c r="BD1758" s="1" t="s">
        <v>307</v>
      </c>
      <c r="CC1758" s="7"/>
    </row>
    <row r="1759" spans="2:81">
      <c r="B1759" s="6"/>
      <c r="C1759" s="24" t="s">
        <v>318</v>
      </c>
      <c r="X1759" s="9"/>
      <c r="AG1759" s="9"/>
      <c r="AR1759" s="9"/>
      <c r="CC1759" s="7"/>
    </row>
    <row r="1760" spans="2:81">
      <c r="B1760" s="6"/>
      <c r="C1760" s="1" t="s">
        <v>402</v>
      </c>
      <c r="I1760" s="66">
        <f>+G1757</f>
        <v>-225</v>
      </c>
      <c r="J1760" s="66"/>
      <c r="K1760" s="9" t="s">
        <v>5</v>
      </c>
      <c r="L1760" s="66">
        <f>+AI1728</f>
        <v>1.5</v>
      </c>
      <c r="M1760" s="66"/>
      <c r="N1760" s="9" t="s">
        <v>6</v>
      </c>
      <c r="O1760" s="66">
        <f>+L1757</f>
        <v>-337.5</v>
      </c>
      <c r="P1760" s="66"/>
      <c r="Q1760" s="9" t="s">
        <v>5</v>
      </c>
      <c r="R1760" s="1" t="s">
        <v>595</v>
      </c>
      <c r="S1760" s="1" t="s">
        <v>518</v>
      </c>
      <c r="T1760" s="66">
        <f>+Q1757</f>
        <v>0.66666666666666663</v>
      </c>
      <c r="U1760" s="66"/>
      <c r="V1760" s="9" t="s">
        <v>5</v>
      </c>
      <c r="W1760" s="66">
        <f>+L1760</f>
        <v>1.5</v>
      </c>
      <c r="X1760" s="66"/>
      <c r="Y1760" s="9" t="s">
        <v>9</v>
      </c>
      <c r="Z1760" s="1">
        <v>1</v>
      </c>
      <c r="AA1760" s="1" t="s">
        <v>306</v>
      </c>
      <c r="AB1760" s="1" t="s">
        <v>24</v>
      </c>
      <c r="AC1760" s="9" t="s">
        <v>7</v>
      </c>
      <c r="AD1760" s="9">
        <v>0</v>
      </c>
      <c r="AG1760" s="1" t="s">
        <v>24</v>
      </c>
      <c r="AH1760" s="9" t="s">
        <v>7</v>
      </c>
      <c r="AI1760" s="66">
        <f>-(I1760*L1760-O1760*LN(T1760*W1760+Z1760))</f>
        <v>103.56282656101845</v>
      </c>
      <c r="AJ1760" s="66"/>
      <c r="AK1760" s="66"/>
      <c r="CC1760" s="7"/>
    </row>
    <row r="1761" spans="2:81">
      <c r="B1761" s="6"/>
      <c r="C1761" s="1" t="s">
        <v>401</v>
      </c>
      <c r="I1761" s="66">
        <f>+C1756</f>
        <v>-225</v>
      </c>
      <c r="J1761" s="66"/>
      <c r="K1761" s="9" t="s">
        <v>5</v>
      </c>
      <c r="L1761" s="66">
        <f>+L1760</f>
        <v>1.5</v>
      </c>
      <c r="M1761" s="66"/>
      <c r="N1761" s="1" t="s">
        <v>254</v>
      </c>
      <c r="O1761" s="1">
        <v>2</v>
      </c>
      <c r="P1761" s="9" t="s">
        <v>6</v>
      </c>
      <c r="Q1761" s="66">
        <f>+J1756</f>
        <v>-337.5</v>
      </c>
      <c r="R1761" s="66"/>
      <c r="S1761" s="1" t="s">
        <v>600</v>
      </c>
      <c r="T1761" s="66">
        <f>+M1756</f>
        <v>0.66666666666666663</v>
      </c>
      <c r="U1761" s="66"/>
      <c r="V1761" s="9" t="s">
        <v>5</v>
      </c>
      <c r="W1761" s="66">
        <f>+L1761</f>
        <v>1.5</v>
      </c>
      <c r="X1761" s="66"/>
      <c r="Y1761" s="9" t="s">
        <v>9</v>
      </c>
      <c r="Z1761" s="1">
        <v>1</v>
      </c>
      <c r="AA1761" s="1" t="s">
        <v>519</v>
      </c>
      <c r="AB1761" s="1" t="s">
        <v>597</v>
      </c>
      <c r="AD1761" s="66">
        <f>+V1756</f>
        <v>0.66666666666666663</v>
      </c>
      <c r="AE1761" s="66"/>
      <c r="AF1761" s="9" t="s">
        <v>5</v>
      </c>
      <c r="AG1761" s="66">
        <f>+W1761</f>
        <v>1.5</v>
      </c>
      <c r="AH1761" s="66"/>
      <c r="AI1761" s="9" t="s">
        <v>9</v>
      </c>
      <c r="AJ1761" s="1">
        <v>1</v>
      </c>
      <c r="AK1761" s="1" t="s">
        <v>287</v>
      </c>
      <c r="AL1761" s="66">
        <f>+AC1756</f>
        <v>0.66666666666666663</v>
      </c>
      <c r="AM1761" s="66"/>
      <c r="AN1761" s="9" t="s">
        <v>6</v>
      </c>
      <c r="AO1761" s="1" t="s">
        <v>518</v>
      </c>
      <c r="AP1761" s="66">
        <f>+AG1756</f>
        <v>0.66666666666666663</v>
      </c>
      <c r="AQ1761" s="66"/>
      <c r="AR1761" s="9" t="s">
        <v>5</v>
      </c>
      <c r="AS1761" s="66">
        <f>+AG1761</f>
        <v>1.5</v>
      </c>
      <c r="AT1761" s="66"/>
      <c r="AU1761" s="9" t="s">
        <v>9</v>
      </c>
      <c r="AV1761" s="1">
        <v>1</v>
      </c>
      <c r="AW1761" s="1" t="s">
        <v>287</v>
      </c>
      <c r="AX1761" s="66">
        <f>+AN1756</f>
        <v>0.66666666666666663</v>
      </c>
      <c r="AY1761" s="66"/>
      <c r="AZ1761" s="9" t="s">
        <v>9</v>
      </c>
      <c r="BA1761" s="1">
        <v>1</v>
      </c>
      <c r="BB1761" s="1" t="s">
        <v>173</v>
      </c>
      <c r="BC1761" s="66">
        <f>+AS1756</f>
        <v>0.66666666666666663</v>
      </c>
      <c r="BD1761" s="66"/>
      <c r="BE1761" s="1" t="s">
        <v>306</v>
      </c>
      <c r="BF1761" s="66">
        <f>+AI1760</f>
        <v>103.56282656101845</v>
      </c>
      <c r="BG1761" s="66"/>
      <c r="BH1761" s="66"/>
      <c r="BI1761" s="9" t="s">
        <v>5</v>
      </c>
      <c r="BJ1761" s="66">
        <f>+AS1761</f>
        <v>1.5</v>
      </c>
      <c r="BK1761" s="66"/>
      <c r="BL1761" s="9" t="s">
        <v>9</v>
      </c>
      <c r="BM1761" s="1" t="s">
        <v>307</v>
      </c>
      <c r="BN1761" s="9" t="s">
        <v>7</v>
      </c>
      <c r="BO1761" s="9">
        <v>0</v>
      </c>
      <c r="BR1761" s="1" t="s">
        <v>307</v>
      </c>
      <c r="BS1761" s="9" t="s">
        <v>7</v>
      </c>
      <c r="BT1761" s="66">
        <f>-(I1761*L1761^2/O1761-Q1761*((T1761*W1761+Z1761)*LN(AD1761*AG1761+AJ1761)/AL1761-(AP1761*AS1761+AV1761)/AX1761+BA1761/BC1761)+BF1761*BJ1761)</f>
        <v>-97.78076015847239</v>
      </c>
      <c r="BU1761" s="66"/>
      <c r="BV1761" s="66"/>
      <c r="CC1761" s="7"/>
    </row>
    <row r="1762" spans="2:81">
      <c r="B1762" s="6"/>
      <c r="C1762" s="1" t="s">
        <v>537</v>
      </c>
      <c r="H1762" s="66">
        <f>+G1758</f>
        <v>-225</v>
      </c>
      <c r="I1762" s="66"/>
      <c r="J1762" s="9" t="s">
        <v>5</v>
      </c>
      <c r="K1762" s="1" t="s">
        <v>183</v>
      </c>
      <c r="L1762" s="1" t="s">
        <v>173</v>
      </c>
      <c r="M1762" s="1">
        <v>2</v>
      </c>
      <c r="N1762" s="9" t="s">
        <v>6</v>
      </c>
      <c r="O1762" s="66">
        <f>+N1758</f>
        <v>-337.5</v>
      </c>
      <c r="P1762" s="66"/>
      <c r="Q1762" s="1" t="s">
        <v>600</v>
      </c>
      <c r="R1762" s="66">
        <f>+Q1758</f>
        <v>0.66666666666666663</v>
      </c>
      <c r="S1762" s="66"/>
      <c r="T1762" s="9" t="s">
        <v>5</v>
      </c>
      <c r="U1762" s="9" t="s">
        <v>13</v>
      </c>
      <c r="V1762" s="9" t="s">
        <v>9</v>
      </c>
      <c r="W1762" s="1">
        <v>1</v>
      </c>
      <c r="X1762" s="1" t="s">
        <v>519</v>
      </c>
      <c r="Y1762" s="1" t="s">
        <v>597</v>
      </c>
      <c r="AA1762" s="66">
        <f>+Z1758</f>
        <v>0.66666666666666663</v>
      </c>
      <c r="AB1762" s="66"/>
      <c r="AC1762" s="9" t="s">
        <v>5</v>
      </c>
      <c r="AD1762" s="9" t="s">
        <v>13</v>
      </c>
      <c r="AE1762" s="9" t="s">
        <v>9</v>
      </c>
      <c r="AF1762" s="1">
        <v>1</v>
      </c>
      <c r="AG1762" s="1" t="s">
        <v>287</v>
      </c>
      <c r="AH1762" s="66">
        <f>+AG1758</f>
        <v>0.66666666666666663</v>
      </c>
      <c r="AI1762" s="66"/>
      <c r="AJ1762" s="9" t="s">
        <v>6</v>
      </c>
      <c r="AK1762" s="1" t="s">
        <v>518</v>
      </c>
      <c r="AL1762" s="66">
        <f>+AK1758</f>
        <v>0.66666666666666663</v>
      </c>
      <c r="AM1762" s="66"/>
      <c r="AN1762" s="9" t="s">
        <v>5</v>
      </c>
      <c r="AO1762" s="9" t="s">
        <v>13</v>
      </c>
      <c r="AP1762" s="9" t="s">
        <v>9</v>
      </c>
      <c r="AQ1762" s="1">
        <v>1</v>
      </c>
      <c r="AR1762" s="1" t="s">
        <v>287</v>
      </c>
      <c r="AS1762" s="66">
        <f>+AR1758</f>
        <v>0.66666666666666663</v>
      </c>
      <c r="AT1762" s="66"/>
      <c r="AU1762" s="9" t="s">
        <v>9</v>
      </c>
      <c r="AV1762" s="1">
        <v>1</v>
      </c>
      <c r="AW1762" s="1" t="s">
        <v>173</v>
      </c>
      <c r="AX1762" s="66">
        <f>+AW1758</f>
        <v>0.66666666666666663</v>
      </c>
      <c r="AY1762" s="66"/>
      <c r="AZ1762" s="1" t="s">
        <v>306</v>
      </c>
      <c r="BA1762" s="66">
        <f>+AI1760</f>
        <v>103.56282656101845</v>
      </c>
      <c r="BB1762" s="66"/>
      <c r="BC1762" s="66"/>
      <c r="BD1762" s="9" t="s">
        <v>5</v>
      </c>
      <c r="BE1762" s="9" t="s">
        <v>13</v>
      </c>
      <c r="BF1762" s="9" t="s">
        <v>9</v>
      </c>
      <c r="BG1762" s="66">
        <f>+BT1761</f>
        <v>-97.78076015847239</v>
      </c>
      <c r="BH1762" s="66"/>
      <c r="BI1762" s="66"/>
      <c r="CC1762" s="7"/>
    </row>
    <row r="1763" spans="2:81">
      <c r="B1763" s="6"/>
      <c r="C1763" s="1" t="s">
        <v>35</v>
      </c>
      <c r="E1763" s="66">
        <f>+H1762</f>
        <v>-225</v>
      </c>
      <c r="F1763" s="66"/>
      <c r="G1763" s="9" t="s">
        <v>5</v>
      </c>
      <c r="H1763" s="1" t="s">
        <v>183</v>
      </c>
      <c r="I1763" s="1" t="s">
        <v>173</v>
      </c>
      <c r="J1763" s="1">
        <v>2</v>
      </c>
      <c r="K1763" s="9" t="s">
        <v>6</v>
      </c>
      <c r="L1763" s="66">
        <f>+O1762</f>
        <v>-337.5</v>
      </c>
      <c r="M1763" s="66"/>
      <c r="N1763" s="1" t="s">
        <v>600</v>
      </c>
      <c r="O1763" s="66">
        <f>+R1762</f>
        <v>0.66666666666666663</v>
      </c>
      <c r="P1763" s="66"/>
      <c r="Q1763" s="9" t="s">
        <v>5</v>
      </c>
      <c r="R1763" s="9" t="s">
        <v>13</v>
      </c>
      <c r="S1763" s="9" t="s">
        <v>9</v>
      </c>
      <c r="T1763" s="1">
        <v>1</v>
      </c>
      <c r="U1763" s="1" t="s">
        <v>519</v>
      </c>
      <c r="V1763" s="1" t="s">
        <v>597</v>
      </c>
      <c r="X1763" s="66">
        <f>+AA1762</f>
        <v>0.66666666666666663</v>
      </c>
      <c r="Y1763" s="66"/>
      <c r="Z1763" s="9" t="s">
        <v>5</v>
      </c>
      <c r="AA1763" s="9" t="s">
        <v>13</v>
      </c>
      <c r="AB1763" s="9" t="s">
        <v>9</v>
      </c>
      <c r="AC1763" s="1">
        <v>1</v>
      </c>
      <c r="AD1763" s="1" t="s">
        <v>287</v>
      </c>
      <c r="AE1763" s="66">
        <f>+AH1762</f>
        <v>0.66666666666666663</v>
      </c>
      <c r="AF1763" s="66"/>
      <c r="AG1763" s="9" t="s">
        <v>6</v>
      </c>
      <c r="AH1763" s="1" t="s">
        <v>518</v>
      </c>
      <c r="AI1763" s="66">
        <f>+AL1762</f>
        <v>0.66666666666666663</v>
      </c>
      <c r="AJ1763" s="66"/>
      <c r="AK1763" s="9" t="s">
        <v>5</v>
      </c>
      <c r="AL1763" s="9" t="s">
        <v>13</v>
      </c>
      <c r="AM1763" s="9" t="s">
        <v>9</v>
      </c>
      <c r="AN1763" s="1">
        <v>1</v>
      </c>
      <c r="AO1763" s="1" t="s">
        <v>287</v>
      </c>
      <c r="AP1763" s="66">
        <f>+AS1762</f>
        <v>0.66666666666666663</v>
      </c>
      <c r="AQ1763" s="66"/>
      <c r="AR1763" s="9" t="s">
        <v>9</v>
      </c>
      <c r="AS1763" s="1">
        <v>1</v>
      </c>
      <c r="AT1763" s="1" t="s">
        <v>173</v>
      </c>
      <c r="AU1763" s="66">
        <f>+AX1762</f>
        <v>0.66666666666666663</v>
      </c>
      <c r="AV1763" s="66"/>
      <c r="AW1763" s="9" t="s">
        <v>306</v>
      </c>
      <c r="AX1763" s="66">
        <f>+BA1762</f>
        <v>103.56282656101845</v>
      </c>
      <c r="AY1763" s="66"/>
      <c r="AZ1763" s="66"/>
      <c r="BA1763" s="9" t="s">
        <v>5</v>
      </c>
      <c r="BB1763" s="9" t="s">
        <v>13</v>
      </c>
      <c r="BC1763" s="9" t="s">
        <v>9</v>
      </c>
      <c r="BD1763" s="66">
        <f>+BG1762</f>
        <v>-97.78076015847239</v>
      </c>
      <c r="BE1763" s="66"/>
      <c r="BF1763" s="66"/>
      <c r="BG1763" s="1" t="s">
        <v>538</v>
      </c>
      <c r="CC1763" s="7"/>
    </row>
    <row r="1764" spans="2:81">
      <c r="B1764" s="6"/>
      <c r="C1764" s="1" t="s">
        <v>27</v>
      </c>
      <c r="D1764" s="67">
        <v>0</v>
      </c>
      <c r="E1764" s="67"/>
      <c r="F1764" s="67"/>
      <c r="G1764" s="1" t="s">
        <v>42</v>
      </c>
      <c r="O1764" s="8" t="str">
        <f>IF(D1764&lt;=AI1728,"","azalt.")</f>
        <v/>
      </c>
      <c r="P1764" s="8"/>
      <c r="S1764" s="24" t="s">
        <v>561</v>
      </c>
      <c r="U1764" s="24"/>
      <c r="CC1764" s="7"/>
    </row>
    <row r="1765" spans="2:81">
      <c r="B1765" s="6"/>
      <c r="C1765" s="1" t="s">
        <v>35</v>
      </c>
      <c r="E1765" s="66">
        <f>+E1763</f>
        <v>-225</v>
      </c>
      <c r="F1765" s="66"/>
      <c r="G1765" s="9" t="s">
        <v>5</v>
      </c>
      <c r="H1765" s="66">
        <f>+D1764</f>
        <v>0</v>
      </c>
      <c r="I1765" s="66"/>
      <c r="J1765" s="1" t="s">
        <v>254</v>
      </c>
      <c r="K1765" s="9">
        <v>2</v>
      </c>
      <c r="L1765" s="9" t="s">
        <v>6</v>
      </c>
      <c r="M1765" s="66">
        <f>+L1763</f>
        <v>-337.5</v>
      </c>
      <c r="N1765" s="66"/>
      <c r="O1765" s="1" t="s">
        <v>600</v>
      </c>
      <c r="P1765" s="66">
        <f>+O1763</f>
        <v>0.66666666666666663</v>
      </c>
      <c r="Q1765" s="66"/>
      <c r="R1765" s="9" t="s">
        <v>5</v>
      </c>
      <c r="S1765" s="66">
        <f>+H1765</f>
        <v>0</v>
      </c>
      <c r="T1765" s="66"/>
      <c r="U1765" s="9" t="s">
        <v>9</v>
      </c>
      <c r="V1765" s="1">
        <v>1</v>
      </c>
      <c r="W1765" s="1" t="s">
        <v>519</v>
      </c>
      <c r="X1765" s="1" t="s">
        <v>597</v>
      </c>
      <c r="Z1765" s="66">
        <f>+X1763</f>
        <v>0.66666666666666663</v>
      </c>
      <c r="AA1765" s="66"/>
      <c r="AB1765" s="9" t="s">
        <v>5</v>
      </c>
      <c r="AC1765" s="66">
        <f>+S1765</f>
        <v>0</v>
      </c>
      <c r="AD1765" s="66"/>
      <c r="AE1765" s="9" t="s">
        <v>9</v>
      </c>
      <c r="AF1765" s="1">
        <v>1</v>
      </c>
      <c r="AG1765" s="1" t="s">
        <v>287</v>
      </c>
      <c r="AH1765" s="66">
        <f>+AE1763</f>
        <v>0.66666666666666663</v>
      </c>
      <c r="AI1765" s="66"/>
      <c r="AJ1765" s="9" t="s">
        <v>6</v>
      </c>
      <c r="AK1765" s="1" t="s">
        <v>518</v>
      </c>
      <c r="AL1765" s="66">
        <f>+AI1763</f>
        <v>0.66666666666666663</v>
      </c>
      <c r="AM1765" s="66"/>
      <c r="AN1765" s="9" t="s">
        <v>5</v>
      </c>
      <c r="AO1765" s="66">
        <f>+AC1765</f>
        <v>0</v>
      </c>
      <c r="AP1765" s="66"/>
      <c r="AQ1765" s="9" t="s">
        <v>9</v>
      </c>
      <c r="AR1765" s="1">
        <v>1</v>
      </c>
      <c r="AS1765" s="1" t="s">
        <v>287</v>
      </c>
      <c r="AT1765" s="66">
        <f>+AP1763</f>
        <v>0.66666666666666663</v>
      </c>
      <c r="AU1765" s="66"/>
      <c r="AV1765" s="9" t="s">
        <v>9</v>
      </c>
      <c r="AW1765" s="1">
        <v>1</v>
      </c>
      <c r="AX1765" s="1" t="s">
        <v>173</v>
      </c>
      <c r="AY1765" s="66">
        <f>+AU1763</f>
        <v>0.66666666666666663</v>
      </c>
      <c r="AZ1765" s="66"/>
      <c r="BA1765" s="9" t="s">
        <v>306</v>
      </c>
      <c r="BB1765" s="66">
        <f>+AX1763</f>
        <v>103.56282656101845</v>
      </c>
      <c r="BC1765" s="66"/>
      <c r="BD1765" s="66"/>
      <c r="BE1765" s="9" t="s">
        <v>5</v>
      </c>
      <c r="BF1765" s="66">
        <f>+AO1765</f>
        <v>0</v>
      </c>
      <c r="BG1765" s="66"/>
      <c r="BH1765" s="9" t="s">
        <v>9</v>
      </c>
      <c r="BI1765" s="66">
        <f>+BD1763</f>
        <v>-97.78076015847239</v>
      </c>
      <c r="BJ1765" s="66"/>
      <c r="BK1765" s="66"/>
      <c r="BL1765" s="1" t="s">
        <v>193</v>
      </c>
      <c r="BO1765" s="66">
        <f>+AH1730</f>
        <v>200000</v>
      </c>
      <c r="BP1765" s="66"/>
      <c r="BQ1765" s="66"/>
      <c r="BR1765" s="9" t="s">
        <v>5</v>
      </c>
      <c r="BS1765" s="66">
        <f>+AZ1726/10000</f>
        <v>90000</v>
      </c>
      <c r="BT1765" s="66"/>
      <c r="BU1765" s="66"/>
      <c r="BV1765" s="1" t="s">
        <v>40</v>
      </c>
      <c r="CC1765" s="7"/>
    </row>
    <row r="1766" spans="2:81">
      <c r="B1766" s="6"/>
      <c r="C1766" s="1" t="s">
        <v>33</v>
      </c>
      <c r="E1766" s="66">
        <f>(E1765*H1765^2/K1765-M1765*((P1765*S1765+V1765)*LN(Z1765*AC1765+AF1765)/AH1765-(AL1765*AO1765+AR1765)/AT1765+AW1765/AY1765)+BB1765*BF1765+BI1765)*100000000/(BO1765*BS1765)</f>
        <v>-0.54322644532484654</v>
      </c>
      <c r="F1766" s="66"/>
      <c r="G1766" s="66"/>
      <c r="H1766" s="1" t="s">
        <v>41</v>
      </c>
      <c r="CC1766" s="7"/>
    </row>
    <row r="1767" spans="2:81">
      <c r="B1767" s="6"/>
      <c r="C1767" s="1" t="s">
        <v>202</v>
      </c>
      <c r="H1767" s="66">
        <f>AI1728*1000</f>
        <v>1500</v>
      </c>
      <c r="I1767" s="66"/>
      <c r="J1767" s="66"/>
      <c r="K1767" s="1" t="s">
        <v>173</v>
      </c>
      <c r="L1767" s="66">
        <v>200</v>
      </c>
      <c r="M1767" s="66"/>
      <c r="N1767" s="9" t="s">
        <v>7</v>
      </c>
      <c r="O1767" s="66">
        <f>+H1767/L1767</f>
        <v>7.5</v>
      </c>
      <c r="P1767" s="66"/>
      <c r="Q1767" s="66"/>
      <c r="R1767" s="1" t="s">
        <v>41</v>
      </c>
      <c r="U1767" s="1" t="s">
        <v>192</v>
      </c>
      <c r="CC1767" s="7"/>
    </row>
    <row r="1768" spans="2:81">
      <c r="B1768" s="6"/>
      <c r="C1768" s="1" t="s">
        <v>34</v>
      </c>
      <c r="D1768" s="66">
        <f>+E1766</f>
        <v>-0.54322644532484654</v>
      </c>
      <c r="E1768" s="66"/>
      <c r="F1768" s="66"/>
      <c r="G1768" s="1" t="s">
        <v>41</v>
      </c>
      <c r="I1768" s="1" t="str">
        <f>IF(ABS(D1768)&lt;ABS(M1768),"&lt;","&gt;")</f>
        <v>&lt;</v>
      </c>
      <c r="J1768" s="1" t="s">
        <v>174</v>
      </c>
      <c r="M1768" s="66">
        <f>+O1767</f>
        <v>7.5</v>
      </c>
      <c r="N1768" s="66"/>
      <c r="O1768" s="66"/>
      <c r="P1768" s="1" t="s">
        <v>41</v>
      </c>
      <c r="R1768" s="8" t="str">
        <f>IF(ABS(D1768)&lt;ABS(M1768),"uygun.","uygun değil.")</f>
        <v>uygun.</v>
      </c>
      <c r="CC1768" s="7"/>
    </row>
    <row r="1769" spans="2:81" ht="12" thickBot="1">
      <c r="B1769" s="12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  <c r="AK1769" s="13"/>
      <c r="AL1769" s="13"/>
      <c r="AM1769" s="13"/>
      <c r="AN1769" s="13"/>
      <c r="AO1769" s="13"/>
      <c r="AP1769" s="13"/>
      <c r="AQ1769" s="13"/>
      <c r="AR1769" s="13"/>
      <c r="AS1769" s="13"/>
      <c r="AT1769" s="13"/>
      <c r="AU1769" s="13"/>
      <c r="AV1769" s="13"/>
      <c r="AW1769" s="13"/>
      <c r="AX1769" s="13"/>
      <c r="AY1769" s="13"/>
      <c r="AZ1769" s="13"/>
      <c r="BA1769" s="13"/>
      <c r="BB1769" s="13"/>
      <c r="BC1769" s="13"/>
      <c r="BD1769" s="13"/>
      <c r="BE1769" s="13"/>
      <c r="BF1769" s="13"/>
      <c r="BG1769" s="13"/>
      <c r="BH1769" s="13"/>
      <c r="BI1769" s="13"/>
      <c r="BJ1769" s="13"/>
      <c r="BK1769" s="13"/>
      <c r="BL1769" s="13"/>
      <c r="BM1769" s="13"/>
      <c r="BN1769" s="13"/>
      <c r="BO1769" s="13"/>
      <c r="BP1769" s="13"/>
      <c r="BQ1769" s="13"/>
      <c r="BR1769" s="13"/>
      <c r="BS1769" s="13"/>
      <c r="BT1769" s="13"/>
      <c r="BU1769" s="13"/>
      <c r="BV1769" s="13"/>
      <c r="BW1769" s="13"/>
      <c r="BX1769" s="13"/>
      <c r="BY1769" s="13"/>
      <c r="BZ1769" s="13"/>
      <c r="CA1769" s="13"/>
      <c r="CB1769" s="13"/>
      <c r="CC1769" s="14"/>
    </row>
    <row r="1770" spans="2:81" ht="12" thickBot="1"/>
    <row r="1771" spans="2:81" ht="48.75" customHeight="1">
      <c r="B1771" s="73" t="s">
        <v>579</v>
      </c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Q1771" s="74"/>
      <c r="R1771" s="74"/>
      <c r="S1771" s="74"/>
      <c r="T1771" s="74"/>
      <c r="U1771" s="74"/>
      <c r="V1771" s="74"/>
      <c r="W1771" s="74"/>
      <c r="X1771" s="74"/>
      <c r="Y1771" s="74"/>
      <c r="Z1771" s="74"/>
      <c r="AA1771" s="74"/>
      <c r="AB1771" s="74"/>
      <c r="AC1771" s="74"/>
      <c r="AD1771" s="74"/>
      <c r="AE1771" s="74"/>
      <c r="AF1771" s="74"/>
      <c r="AG1771" s="74"/>
      <c r="AH1771" s="74"/>
      <c r="AI1771" s="74"/>
      <c r="AJ1771" s="74"/>
      <c r="AK1771" s="74"/>
      <c r="AL1771" s="74"/>
      <c r="AM1771" s="74"/>
      <c r="AN1771" s="74"/>
      <c r="AO1771" s="74"/>
      <c r="AP1771" s="74"/>
      <c r="AQ1771" s="74"/>
      <c r="AR1771" s="74"/>
      <c r="AS1771" s="74"/>
      <c r="AT1771" s="74"/>
      <c r="AU1771" s="74"/>
      <c r="AV1771" s="74"/>
      <c r="AW1771" s="74"/>
      <c r="AX1771" s="74"/>
      <c r="AY1771" s="74"/>
      <c r="AZ1771" s="74"/>
      <c r="BA1771" s="74"/>
      <c r="BB1771" s="74"/>
      <c r="BC1771" s="74"/>
      <c r="BD1771" s="74"/>
      <c r="BE1771" s="74"/>
      <c r="BF1771" s="74"/>
      <c r="BG1771" s="74"/>
      <c r="BH1771" s="74"/>
      <c r="BI1771" s="74"/>
      <c r="BJ1771" s="74"/>
      <c r="BK1771" s="74"/>
      <c r="BL1771" s="74"/>
      <c r="BM1771" s="74"/>
      <c r="BN1771" s="74"/>
      <c r="BO1771" s="74"/>
      <c r="BP1771" s="74"/>
      <c r="BQ1771" s="74"/>
      <c r="BR1771" s="74"/>
      <c r="BS1771" s="74"/>
      <c r="BT1771" s="74"/>
      <c r="BU1771" s="74"/>
      <c r="BV1771" s="74"/>
      <c r="BW1771" s="74"/>
      <c r="BX1771" s="74"/>
      <c r="BY1771" s="74"/>
      <c r="BZ1771" s="74"/>
      <c r="CA1771" s="74"/>
      <c r="CB1771" s="74"/>
      <c r="CC1771" s="75"/>
    </row>
    <row r="1772" spans="2:81">
      <c r="B1772" s="6"/>
      <c r="S1772" s="8" t="s">
        <v>176</v>
      </c>
      <c r="CC1772" s="7"/>
    </row>
    <row r="1773" spans="2:81">
      <c r="B1773" s="6"/>
      <c r="E1773" s="67">
        <v>150</v>
      </c>
      <c r="F1773" s="67"/>
      <c r="G1773" s="1" t="s">
        <v>0</v>
      </c>
      <c r="J1773" s="1" t="s">
        <v>290</v>
      </c>
      <c r="AD1773" s="23" t="s">
        <v>497</v>
      </c>
      <c r="AN1773" s="23" t="s">
        <v>498</v>
      </c>
      <c r="AX1773" s="9"/>
      <c r="AY1773" s="9"/>
      <c r="BB1773" s="1" t="s">
        <v>559</v>
      </c>
      <c r="BN1773" s="66">
        <f>+X1777</f>
        <v>225</v>
      </c>
      <c r="BO1773" s="66"/>
      <c r="BP1773" s="1" t="s">
        <v>191</v>
      </c>
      <c r="CC1773" s="7"/>
    </row>
    <row r="1774" spans="2:81">
      <c r="B1774" s="6"/>
      <c r="AH1774" s="71" t="s">
        <v>41</v>
      </c>
      <c r="AX1774" s="9"/>
      <c r="AY1774" s="9"/>
      <c r="CC1774" s="7"/>
    </row>
    <row r="1775" spans="2:81">
      <c r="B1775" s="6"/>
      <c r="AH1775" s="71"/>
      <c r="AR1775" s="71" t="s">
        <v>41</v>
      </c>
      <c r="AX1775" s="9"/>
      <c r="AY1775" s="9"/>
      <c r="BL1775" s="1" t="s">
        <v>6</v>
      </c>
      <c r="CC1775" s="7"/>
    </row>
    <row r="1776" spans="2:81">
      <c r="B1776" s="6"/>
      <c r="AH1776" s="77">
        <v>300</v>
      </c>
      <c r="AR1776" s="71"/>
      <c r="AX1776" s="9"/>
      <c r="AY1776" s="9"/>
      <c r="CC1776" s="7"/>
    </row>
    <row r="1777" spans="2:81">
      <c r="B1777" s="6"/>
      <c r="X1777" s="66">
        <f>+E1773*M1784</f>
        <v>225</v>
      </c>
      <c r="Y1777" s="66"/>
      <c r="Z1777" s="1" t="s">
        <v>191</v>
      </c>
      <c r="AH1777" s="77"/>
      <c r="AR1777" s="77">
        <v>600</v>
      </c>
      <c r="AS1777" s="93" t="str">
        <f>IF(AR1777&gt;AH1776,"","artır.")</f>
        <v/>
      </c>
      <c r="AX1777" s="9"/>
      <c r="AY1777" s="9"/>
      <c r="CC1777" s="7"/>
    </row>
    <row r="1778" spans="2:81">
      <c r="B1778" s="6"/>
      <c r="X1778" s="9"/>
      <c r="Y1778" s="9"/>
      <c r="AH1778" s="77"/>
      <c r="AR1778" s="77"/>
      <c r="AS1778" s="93"/>
      <c r="AX1778" s="9"/>
      <c r="AY1778" s="9"/>
      <c r="CC1778" s="7"/>
    </row>
    <row r="1779" spans="2:81">
      <c r="B1779" s="6"/>
      <c r="X1779" s="9"/>
      <c r="Y1779" s="9"/>
      <c r="AR1779" s="77"/>
      <c r="AS1779" s="93"/>
      <c r="AX1779" s="9"/>
      <c r="AY1779" s="9"/>
      <c r="BC1779" s="1" t="s">
        <v>560</v>
      </c>
      <c r="CC1779" s="7"/>
    </row>
    <row r="1780" spans="2:81">
      <c r="B1780" s="6"/>
      <c r="X1780" s="9"/>
      <c r="Y1780" s="9"/>
      <c r="AC1780" s="10" t="s">
        <v>522</v>
      </c>
      <c r="AE1780" s="66">
        <f>PI()*AH1776^4/64</f>
        <v>397607820.21995819</v>
      </c>
      <c r="AF1780" s="66"/>
      <c r="AG1780" s="66"/>
      <c r="AH1780" s="66"/>
      <c r="AI1780" s="66"/>
      <c r="AJ1780" s="1" t="s">
        <v>270</v>
      </c>
      <c r="AX1780" s="66">
        <f>+U1783</f>
        <v>150</v>
      </c>
      <c r="AY1780" s="66"/>
      <c r="AZ1780" s="1" t="s">
        <v>0</v>
      </c>
      <c r="BN1780" s="66">
        <f>+U1783</f>
        <v>150</v>
      </c>
      <c r="BO1780" s="66"/>
      <c r="BP1780" s="1" t="s">
        <v>0</v>
      </c>
      <c r="CC1780" s="7"/>
    </row>
    <row r="1781" spans="2:81">
      <c r="B1781" s="6"/>
      <c r="I1781" s="1" t="s">
        <v>13</v>
      </c>
      <c r="AX1781" s="9"/>
      <c r="AY1781" s="9"/>
      <c r="CC1781" s="7"/>
    </row>
    <row r="1782" spans="2:81">
      <c r="B1782" s="6"/>
      <c r="AL1782" s="10" t="s">
        <v>36</v>
      </c>
      <c r="AN1782" s="66">
        <f>PI()*AR1777^4/64</f>
        <v>6361725123.519331</v>
      </c>
      <c r="AO1782" s="66"/>
      <c r="AP1782" s="66"/>
      <c r="AQ1782" s="66"/>
      <c r="AR1782" s="66"/>
      <c r="AS1782" s="1" t="s">
        <v>270</v>
      </c>
      <c r="AX1782" s="9"/>
      <c r="AY1782" s="9"/>
      <c r="BG1782" s="1" t="s">
        <v>9</v>
      </c>
      <c r="CC1782" s="7"/>
    </row>
    <row r="1783" spans="2:81">
      <c r="B1783" s="6"/>
      <c r="U1783" s="66">
        <f>+E1773</f>
        <v>150</v>
      </c>
      <c r="V1783" s="66"/>
      <c r="W1783" s="1" t="s">
        <v>0</v>
      </c>
      <c r="AX1783" s="9"/>
      <c r="AY1783" s="9"/>
      <c r="CC1783" s="7"/>
    </row>
    <row r="1784" spans="2:81">
      <c r="B1784" s="6"/>
      <c r="M1784" s="67">
        <v>1.5</v>
      </c>
      <c r="N1784" s="67"/>
      <c r="O1784" s="1" t="s">
        <v>1</v>
      </c>
      <c r="AB1784" s="1" t="s">
        <v>38</v>
      </c>
      <c r="AD1784" s="67">
        <v>200000</v>
      </c>
      <c r="AE1784" s="67"/>
      <c r="AF1784" s="67"/>
      <c r="AG1784" s="67"/>
      <c r="AH1784" s="1" t="s">
        <v>39</v>
      </c>
      <c r="AK1784" s="1" t="s">
        <v>302</v>
      </c>
      <c r="AX1784" s="9"/>
      <c r="AY1784" s="9"/>
      <c r="CC1784" s="7"/>
    </row>
    <row r="1785" spans="2:81">
      <c r="B1785" s="6"/>
      <c r="CC1785" s="7"/>
    </row>
    <row r="1786" spans="2:81">
      <c r="B1786" s="6"/>
      <c r="D1786" s="53" t="s">
        <v>223</v>
      </c>
      <c r="CC1786" s="7"/>
    </row>
    <row r="1787" spans="2:81">
      <c r="B1787" s="6"/>
      <c r="D1787" s="1" t="s">
        <v>771</v>
      </c>
      <c r="G1787" s="66">
        <f>+AH1776/1000</f>
        <v>0.3</v>
      </c>
      <c r="H1787" s="66"/>
      <c r="I1787" s="9" t="s">
        <v>9</v>
      </c>
      <c r="J1787" s="66">
        <f>(AR1777-AH1776)/AH1776</f>
        <v>1</v>
      </c>
      <c r="K1787" s="66"/>
      <c r="L1787" s="9" t="s">
        <v>5</v>
      </c>
      <c r="M1787" s="66">
        <f>+G1787</f>
        <v>0.3</v>
      </c>
      <c r="N1787" s="66"/>
      <c r="O1787" s="9" t="s">
        <v>5</v>
      </c>
      <c r="P1787" s="9" t="s">
        <v>13</v>
      </c>
      <c r="Q1787" s="1" t="s">
        <v>173</v>
      </c>
      <c r="R1787" s="66">
        <f>+M1784</f>
        <v>1.5</v>
      </c>
      <c r="S1787" s="66"/>
      <c r="CC1787" s="7"/>
    </row>
    <row r="1788" spans="2:81">
      <c r="B1788" s="6"/>
      <c r="D1788" s="1" t="s">
        <v>771</v>
      </c>
      <c r="G1788" s="66">
        <f>+G1787</f>
        <v>0.3</v>
      </c>
      <c r="H1788" s="66"/>
      <c r="I1788" s="1" t="s">
        <v>14</v>
      </c>
      <c r="J1788" s="1">
        <v>1</v>
      </c>
      <c r="K1788" s="9" t="s">
        <v>9</v>
      </c>
      <c r="L1788" s="66">
        <f>+J1787</f>
        <v>1</v>
      </c>
      <c r="M1788" s="66"/>
      <c r="N1788" s="9" t="s">
        <v>5</v>
      </c>
      <c r="O1788" s="9" t="s">
        <v>13</v>
      </c>
      <c r="P1788" s="1" t="s">
        <v>173</v>
      </c>
      <c r="Q1788" s="66">
        <f>+R1787</f>
        <v>1.5</v>
      </c>
      <c r="R1788" s="66"/>
      <c r="S1788" s="1" t="s">
        <v>201</v>
      </c>
      <c r="T1788" s="66">
        <f>+G1788</f>
        <v>0.3</v>
      </c>
      <c r="U1788" s="66"/>
      <c r="V1788" s="9" t="s">
        <v>14</v>
      </c>
      <c r="W1788" s="1">
        <v>1</v>
      </c>
      <c r="X1788" s="9" t="s">
        <v>9</v>
      </c>
      <c r="Y1788" s="66">
        <f>+L1788/Q1788</f>
        <v>0.66666666666666663</v>
      </c>
      <c r="Z1788" s="66"/>
      <c r="AA1788" s="9" t="s">
        <v>5</v>
      </c>
      <c r="AB1788" s="9" t="s">
        <v>13</v>
      </c>
      <c r="AC1788" s="1" t="s">
        <v>40</v>
      </c>
      <c r="CC1788" s="7"/>
    </row>
    <row r="1789" spans="2:81">
      <c r="B1789" s="6"/>
      <c r="D1789" s="10" t="s">
        <v>772</v>
      </c>
      <c r="G1789" s="9"/>
      <c r="H1789" s="9"/>
      <c r="K1789" s="9"/>
      <c r="L1789" s="9"/>
      <c r="M1789" s="9"/>
      <c r="N1789" s="9"/>
      <c r="O1789" s="9"/>
      <c r="Q1789" s="9"/>
      <c r="R1789" s="9"/>
      <c r="T1789" s="9"/>
      <c r="U1789" s="9"/>
      <c r="V1789" s="9"/>
      <c r="Y1789" s="9"/>
      <c r="Z1789" s="9"/>
      <c r="CC1789" s="7"/>
    </row>
    <row r="1790" spans="2:81">
      <c r="B1790" s="6"/>
      <c r="D1790" s="10" t="s">
        <v>773</v>
      </c>
      <c r="I1790" s="64" t="s">
        <v>774</v>
      </c>
      <c r="J1790" s="9" t="s">
        <v>5</v>
      </c>
      <c r="K1790" s="66">
        <f>+T1788</f>
        <v>0.3</v>
      </c>
      <c r="L1790" s="66"/>
      <c r="M1790" s="9" t="s">
        <v>775</v>
      </c>
      <c r="N1790" s="1" t="s">
        <v>518</v>
      </c>
      <c r="O1790" s="1">
        <v>1</v>
      </c>
      <c r="P1790" s="9" t="s">
        <v>9</v>
      </c>
      <c r="Q1790" s="66">
        <f>+Y1788</f>
        <v>0.66666666666666663</v>
      </c>
      <c r="R1790" s="66"/>
      <c r="S1790" s="9" t="s">
        <v>5</v>
      </c>
      <c r="T1790" s="9" t="s">
        <v>13</v>
      </c>
      <c r="U1790" s="1" t="s">
        <v>342</v>
      </c>
      <c r="V1790" s="1" t="s">
        <v>173</v>
      </c>
      <c r="W1790" s="66">
        <v>64</v>
      </c>
      <c r="X1790" s="66"/>
      <c r="Y1790" s="9" t="s">
        <v>7</v>
      </c>
      <c r="Z1790" s="60" t="s">
        <v>776</v>
      </c>
      <c r="AA1790" s="1" t="s">
        <v>14</v>
      </c>
      <c r="AB1790" s="1">
        <v>1</v>
      </c>
      <c r="AC1790" s="9" t="s">
        <v>9</v>
      </c>
      <c r="AD1790" s="66">
        <f>+Q1790</f>
        <v>0.66666666666666663</v>
      </c>
      <c r="AE1790" s="66"/>
      <c r="AF1790" s="9" t="s">
        <v>5</v>
      </c>
      <c r="AG1790" s="9" t="s">
        <v>13</v>
      </c>
      <c r="AH1790" s="1" t="s">
        <v>342</v>
      </c>
      <c r="CC1790" s="7"/>
    </row>
    <row r="1791" spans="2:81">
      <c r="B1791" s="6"/>
      <c r="D1791" s="1" t="s">
        <v>527</v>
      </c>
      <c r="CC1791" s="7"/>
    </row>
    <row r="1792" spans="2:81">
      <c r="B1792" s="6"/>
      <c r="D1792" s="1" t="s">
        <v>532</v>
      </c>
      <c r="G1792" s="1">
        <v>1</v>
      </c>
      <c r="H1792" s="9" t="s">
        <v>9</v>
      </c>
      <c r="I1792" s="66">
        <f>+AD1790</f>
        <v>0.66666666666666663</v>
      </c>
      <c r="J1792" s="66"/>
      <c r="K1792" s="9" t="s">
        <v>5</v>
      </c>
      <c r="L1792" s="9" t="s">
        <v>13</v>
      </c>
      <c r="M1792" s="1" t="s">
        <v>342</v>
      </c>
      <c r="N1792" s="1" t="s">
        <v>519</v>
      </c>
      <c r="O1792" s="1" t="s">
        <v>777</v>
      </c>
      <c r="P1792" s="9" t="s">
        <v>7</v>
      </c>
      <c r="Q1792" s="9" t="s">
        <v>6</v>
      </c>
      <c r="R1792" s="9" t="s">
        <v>694</v>
      </c>
      <c r="S1792" s="9" t="s">
        <v>5</v>
      </c>
      <c r="T1792" s="9" t="s">
        <v>13</v>
      </c>
      <c r="CC1792" s="7"/>
    </row>
    <row r="1793" spans="2:81">
      <c r="B1793" s="6"/>
      <c r="D1793" s="1" t="s">
        <v>635</v>
      </c>
      <c r="H1793" s="9" t="s">
        <v>6</v>
      </c>
      <c r="I1793" s="9" t="s">
        <v>694</v>
      </c>
      <c r="J1793" s="9" t="s">
        <v>5</v>
      </c>
      <c r="K1793" s="9" t="s">
        <v>13</v>
      </c>
      <c r="L1793" s="1" t="s">
        <v>275</v>
      </c>
      <c r="M1793" s="1">
        <v>1</v>
      </c>
      <c r="N1793" s="9" t="s">
        <v>9</v>
      </c>
      <c r="O1793" s="66">
        <f>+I1792</f>
        <v>0.66666666666666663</v>
      </c>
      <c r="P1793" s="66"/>
      <c r="Q1793" s="9" t="s">
        <v>5</v>
      </c>
      <c r="R1793" s="9" t="s">
        <v>13</v>
      </c>
      <c r="S1793" s="1" t="s">
        <v>342</v>
      </c>
      <c r="T1793" s="9" t="s">
        <v>7</v>
      </c>
      <c r="U1793" s="66">
        <f>-E1773</f>
        <v>-150</v>
      </c>
      <c r="V1793" s="66"/>
      <c r="W1793" s="9" t="s">
        <v>5</v>
      </c>
      <c r="X1793" s="9" t="s">
        <v>13</v>
      </c>
      <c r="Y1793" s="1" t="s">
        <v>275</v>
      </c>
      <c r="Z1793" s="1">
        <v>1</v>
      </c>
      <c r="AA1793" s="9" t="s">
        <v>9</v>
      </c>
      <c r="AB1793" s="66">
        <f>+O1793</f>
        <v>0.66666666666666663</v>
      </c>
      <c r="AC1793" s="66"/>
      <c r="AD1793" s="9" t="s">
        <v>5</v>
      </c>
      <c r="AE1793" s="9" t="s">
        <v>13</v>
      </c>
      <c r="AF1793" s="1" t="s">
        <v>342</v>
      </c>
      <c r="CC1793" s="7"/>
    </row>
    <row r="1794" spans="2:81">
      <c r="B1794" s="6"/>
      <c r="D1794" s="24" t="s">
        <v>591</v>
      </c>
      <c r="CC1794" s="7"/>
    </row>
    <row r="1795" spans="2:81">
      <c r="B1795" s="6"/>
      <c r="D1795" s="9" t="s">
        <v>546</v>
      </c>
      <c r="E1795" s="66">
        <f>+U1793</f>
        <v>-150</v>
      </c>
      <c r="F1795" s="66"/>
      <c r="G1795" s="9" t="s">
        <v>5</v>
      </c>
      <c r="H1795" s="9" t="s">
        <v>13</v>
      </c>
      <c r="I1795" s="1" t="s">
        <v>275</v>
      </c>
      <c r="J1795" s="1">
        <v>1</v>
      </c>
      <c r="K1795" s="9" t="s">
        <v>9</v>
      </c>
      <c r="L1795" s="66">
        <f>+AB1793</f>
        <v>0.66666666666666663</v>
      </c>
      <c r="M1795" s="66"/>
      <c r="N1795" s="9" t="s">
        <v>5</v>
      </c>
      <c r="O1795" s="9" t="s">
        <v>13</v>
      </c>
      <c r="P1795" s="1" t="s">
        <v>342</v>
      </c>
      <c r="Q1795" s="9" t="s">
        <v>5</v>
      </c>
      <c r="R1795" s="1" t="s">
        <v>544</v>
      </c>
      <c r="AQ1795" s="23" t="s">
        <v>298</v>
      </c>
      <c r="CC1795" s="7"/>
    </row>
    <row r="1796" spans="2:81">
      <c r="B1796" s="6"/>
      <c r="D1796" s="9" t="s">
        <v>542</v>
      </c>
      <c r="E1796" s="9" t="s">
        <v>7</v>
      </c>
      <c r="F1796" s="66">
        <f>+L1795</f>
        <v>0.66666666666666663</v>
      </c>
      <c r="G1796" s="66"/>
      <c r="H1796" s="9" t="s">
        <v>5</v>
      </c>
      <c r="I1796" s="9" t="s">
        <v>13</v>
      </c>
      <c r="J1796" s="9" t="s">
        <v>9</v>
      </c>
      <c r="K1796" s="9">
        <v>1</v>
      </c>
      <c r="N1796" s="1" t="s">
        <v>13</v>
      </c>
      <c r="O1796" s="9" t="s">
        <v>7</v>
      </c>
      <c r="P1796" s="1" t="s">
        <v>518</v>
      </c>
      <c r="Q1796" s="9" t="s">
        <v>542</v>
      </c>
      <c r="R1796" s="9" t="s">
        <v>6</v>
      </c>
      <c r="S1796" s="9">
        <v>1</v>
      </c>
      <c r="T1796" s="1" t="s">
        <v>287</v>
      </c>
      <c r="U1796" s="66">
        <f>+F1796</f>
        <v>0.66666666666666663</v>
      </c>
      <c r="V1796" s="66"/>
      <c r="Z1796" s="1" t="s">
        <v>544</v>
      </c>
      <c r="AA1796" s="9" t="s">
        <v>7</v>
      </c>
      <c r="AB1796" s="1">
        <v>1</v>
      </c>
      <c r="AC1796" s="1" t="s">
        <v>173</v>
      </c>
      <c r="AD1796" s="66">
        <f>+U1796</f>
        <v>0.66666666666666663</v>
      </c>
      <c r="AE1796" s="66"/>
      <c r="CC1796" s="7"/>
    </row>
    <row r="1797" spans="2:81">
      <c r="B1797" s="6"/>
      <c r="D1797" s="66">
        <f>+E1795</f>
        <v>-150</v>
      </c>
      <c r="E1797" s="66"/>
      <c r="F1797" s="9" t="s">
        <v>546</v>
      </c>
      <c r="G1797" s="9" t="s">
        <v>518</v>
      </c>
      <c r="H1797" s="9" t="s">
        <v>542</v>
      </c>
      <c r="I1797" s="9" t="s">
        <v>6</v>
      </c>
      <c r="J1797" s="9">
        <v>1</v>
      </c>
      <c r="K1797" s="1" t="s">
        <v>255</v>
      </c>
      <c r="L1797" s="66">
        <f>+U1796*AD1796</f>
        <v>0.44444444444444442</v>
      </c>
      <c r="M1797" s="66"/>
      <c r="N1797" s="9" t="s">
        <v>5</v>
      </c>
      <c r="O1797" s="1" t="s">
        <v>778</v>
      </c>
      <c r="P1797" s="1" t="s">
        <v>519</v>
      </c>
      <c r="Q1797" s="1" t="s">
        <v>545</v>
      </c>
      <c r="CC1797" s="7"/>
    </row>
    <row r="1798" spans="2:81">
      <c r="B1798" s="6"/>
      <c r="D1798" s="66">
        <f>+D1797</f>
        <v>-150</v>
      </c>
      <c r="E1798" s="66"/>
      <c r="F1798" s="1" t="s">
        <v>173</v>
      </c>
      <c r="G1798" s="66">
        <f>+L1797</f>
        <v>0.44444444444444442</v>
      </c>
      <c r="H1798" s="66"/>
      <c r="I1798" s="9" t="s">
        <v>546</v>
      </c>
      <c r="J1798" s="1">
        <v>1</v>
      </c>
      <c r="K1798" s="1" t="s">
        <v>173</v>
      </c>
      <c r="L1798" s="1" t="s">
        <v>547</v>
      </c>
      <c r="M1798" s="9" t="s">
        <v>6</v>
      </c>
      <c r="N1798" s="1">
        <v>1</v>
      </c>
      <c r="O1798" s="1" t="s">
        <v>173</v>
      </c>
      <c r="P1798" s="1" t="s">
        <v>778</v>
      </c>
      <c r="Q1798" s="9" t="s">
        <v>5</v>
      </c>
      <c r="R1798" s="1" t="s">
        <v>545</v>
      </c>
      <c r="CC1798" s="7"/>
    </row>
    <row r="1799" spans="2:81">
      <c r="B1799" s="6"/>
      <c r="D1799" s="66">
        <f>+D1798</f>
        <v>-150</v>
      </c>
      <c r="E1799" s="66"/>
      <c r="F1799" s="1" t="s">
        <v>173</v>
      </c>
      <c r="G1799" s="66">
        <f>+G1798</f>
        <v>0.44444444444444442</v>
      </c>
      <c r="H1799" s="66"/>
      <c r="I1799" s="1" t="s">
        <v>14</v>
      </c>
      <c r="J1799" s="1">
        <v>-1</v>
      </c>
      <c r="K1799" s="1" t="s">
        <v>275</v>
      </c>
      <c r="L1799" s="1">
        <v>2</v>
      </c>
      <c r="M1799" s="9" t="s">
        <v>5</v>
      </c>
      <c r="N1799" s="1" t="s">
        <v>548</v>
      </c>
      <c r="O1799" s="1" t="s">
        <v>16</v>
      </c>
      <c r="P1799" s="1">
        <v>-1</v>
      </c>
      <c r="Q1799" s="1" t="s">
        <v>275</v>
      </c>
      <c r="R1799" s="1">
        <v>3</v>
      </c>
      <c r="S1799" s="9" t="s">
        <v>5</v>
      </c>
      <c r="T1799" s="1" t="s">
        <v>547</v>
      </c>
      <c r="U1799" s="1" t="s">
        <v>779</v>
      </c>
      <c r="CC1799" s="7"/>
    </row>
    <row r="1800" spans="2:81">
      <c r="B1800" s="6"/>
      <c r="D1800" s="66">
        <f>+D1799</f>
        <v>-150</v>
      </c>
      <c r="E1800" s="66"/>
      <c r="F1800" s="1" t="s">
        <v>173</v>
      </c>
      <c r="G1800" s="66">
        <f>+G1799</f>
        <v>0.44444444444444442</v>
      </c>
      <c r="H1800" s="66"/>
      <c r="I1800" s="1" t="s">
        <v>14</v>
      </c>
      <c r="J1800" s="1">
        <f>+J1799</f>
        <v>-1</v>
      </c>
      <c r="K1800" s="1" t="s">
        <v>275</v>
      </c>
      <c r="L1800" s="1">
        <v>2</v>
      </c>
      <c r="M1800" s="1" t="s">
        <v>14</v>
      </c>
      <c r="N1800" s="66">
        <f>+F1796</f>
        <v>0.66666666666666663</v>
      </c>
      <c r="O1800" s="66"/>
      <c r="P1800" s="9" t="s">
        <v>5</v>
      </c>
      <c r="Q1800" s="9" t="s">
        <v>13</v>
      </c>
      <c r="R1800" s="9" t="s">
        <v>9</v>
      </c>
      <c r="S1800" s="9">
        <v>1</v>
      </c>
      <c r="T1800" s="1" t="s">
        <v>780</v>
      </c>
      <c r="V1800" s="1">
        <v>-1</v>
      </c>
      <c r="W1800" s="1" t="s">
        <v>275</v>
      </c>
      <c r="X1800" s="1">
        <v>3</v>
      </c>
      <c r="Y1800" s="1" t="s">
        <v>14</v>
      </c>
      <c r="Z1800" s="66">
        <f>+N1800</f>
        <v>0.66666666666666663</v>
      </c>
      <c r="AA1800" s="66"/>
      <c r="AB1800" s="9" t="s">
        <v>5</v>
      </c>
      <c r="AC1800" s="9" t="s">
        <v>13</v>
      </c>
      <c r="AD1800" s="9" t="s">
        <v>9</v>
      </c>
      <c r="AE1800" s="9">
        <v>1</v>
      </c>
      <c r="AF1800" s="1" t="s">
        <v>781</v>
      </c>
      <c r="CC1800" s="7"/>
    </row>
    <row r="1801" spans="2:81">
      <c r="B1801" s="6"/>
      <c r="D1801" s="66">
        <f>+D1800/G1800</f>
        <v>-337.5</v>
      </c>
      <c r="E1801" s="66"/>
      <c r="F1801" s="66"/>
      <c r="G1801" s="1" t="s">
        <v>14</v>
      </c>
      <c r="H1801" s="66">
        <f>J1800/L1800</f>
        <v>-0.5</v>
      </c>
      <c r="I1801" s="66"/>
      <c r="J1801" s="1" t="s">
        <v>275</v>
      </c>
      <c r="K1801" s="66">
        <f>+N1800</f>
        <v>0.66666666666666663</v>
      </c>
      <c r="L1801" s="66"/>
      <c r="M1801" s="9" t="s">
        <v>5</v>
      </c>
      <c r="N1801" s="9" t="s">
        <v>13</v>
      </c>
      <c r="O1801" s="9" t="s">
        <v>9</v>
      </c>
      <c r="P1801" s="9">
        <v>1</v>
      </c>
      <c r="Q1801" s="1" t="s">
        <v>782</v>
      </c>
      <c r="R1801" s="9" t="s">
        <v>6</v>
      </c>
      <c r="S1801" s="66">
        <f>+V1800/X1800</f>
        <v>-0.33333333333333331</v>
      </c>
      <c r="T1801" s="66"/>
      <c r="U1801" s="1" t="s">
        <v>275</v>
      </c>
      <c r="V1801" s="66">
        <f>+Z1800</f>
        <v>0.66666666666666663</v>
      </c>
      <c r="W1801" s="66"/>
      <c r="X1801" s="9" t="s">
        <v>5</v>
      </c>
      <c r="Y1801" s="9" t="s">
        <v>13</v>
      </c>
      <c r="Z1801" s="9" t="s">
        <v>9</v>
      </c>
      <c r="AA1801" s="9">
        <v>1</v>
      </c>
      <c r="AB1801" s="1" t="s">
        <v>783</v>
      </c>
      <c r="AC1801" s="1" t="s">
        <v>40</v>
      </c>
      <c r="CC1801" s="7"/>
    </row>
    <row r="1802" spans="2:81">
      <c r="B1802" s="6"/>
      <c r="D1802" s="81">
        <f>+D1801*H1801</f>
        <v>168.75</v>
      </c>
      <c r="E1802" s="68"/>
      <c r="F1802" s="68"/>
      <c r="G1802" s="49" t="s">
        <v>275</v>
      </c>
      <c r="H1802" s="68">
        <f>+K1801</f>
        <v>0.66666666666666663</v>
      </c>
      <c r="I1802" s="68"/>
      <c r="J1802" s="48" t="s">
        <v>5</v>
      </c>
      <c r="K1802" s="48" t="s">
        <v>13</v>
      </c>
      <c r="L1802" s="48" t="s">
        <v>9</v>
      </c>
      <c r="M1802" s="48">
        <v>1</v>
      </c>
      <c r="N1802" s="49" t="s">
        <v>782</v>
      </c>
      <c r="O1802" s="48" t="s">
        <v>6</v>
      </c>
      <c r="P1802" s="68">
        <f>+D1801*S1801</f>
        <v>112.5</v>
      </c>
      <c r="Q1802" s="68"/>
      <c r="R1802" s="68"/>
      <c r="S1802" s="49" t="s">
        <v>275</v>
      </c>
      <c r="T1802" s="68">
        <f>+V1801</f>
        <v>0.66666666666666663</v>
      </c>
      <c r="U1802" s="68"/>
      <c r="V1802" s="48" t="s">
        <v>5</v>
      </c>
      <c r="W1802" s="48" t="s">
        <v>13</v>
      </c>
      <c r="X1802" s="48" t="s">
        <v>9</v>
      </c>
      <c r="Y1802" s="48">
        <v>1</v>
      </c>
      <c r="Z1802" s="50" t="s">
        <v>783</v>
      </c>
      <c r="AW1802" s="19"/>
      <c r="AX1802" s="19"/>
      <c r="AY1802" s="19"/>
      <c r="AZ1802" s="19"/>
      <c r="BA1802" s="19"/>
      <c r="CC1802" s="7"/>
    </row>
    <row r="1803" spans="2:81">
      <c r="B1803" s="6"/>
      <c r="D1803" s="24" t="s">
        <v>590</v>
      </c>
      <c r="CC1803" s="7"/>
    </row>
    <row r="1804" spans="2:81">
      <c r="B1804" s="6"/>
      <c r="D1804" s="9" t="s">
        <v>546</v>
      </c>
      <c r="E1804" s="1" t="s">
        <v>518</v>
      </c>
      <c r="F1804" s="66">
        <f>+D1802</f>
        <v>168.75</v>
      </c>
      <c r="G1804" s="66"/>
      <c r="H1804" s="66"/>
      <c r="I1804" s="1" t="s">
        <v>275</v>
      </c>
      <c r="J1804" s="66">
        <f>+H1802</f>
        <v>0.66666666666666663</v>
      </c>
      <c r="K1804" s="66"/>
      <c r="L1804" s="9" t="s">
        <v>5</v>
      </c>
      <c r="M1804" s="9" t="s">
        <v>13</v>
      </c>
      <c r="N1804" s="9" t="s">
        <v>9</v>
      </c>
      <c r="O1804" s="9">
        <v>1</v>
      </c>
      <c r="P1804" s="1" t="s">
        <v>782</v>
      </c>
      <c r="Q1804" s="9" t="s">
        <v>6</v>
      </c>
      <c r="R1804" s="66">
        <f>+P1802</f>
        <v>112.5</v>
      </c>
      <c r="S1804" s="66"/>
      <c r="T1804" s="66"/>
      <c r="U1804" s="1" t="s">
        <v>275</v>
      </c>
      <c r="V1804" s="66">
        <f>+T1802</f>
        <v>0.66666666666666663</v>
      </c>
      <c r="W1804" s="66"/>
      <c r="X1804" s="9" t="s">
        <v>5</v>
      </c>
      <c r="Y1804" s="9" t="s">
        <v>13</v>
      </c>
      <c r="Z1804" s="9" t="s">
        <v>9</v>
      </c>
      <c r="AA1804" s="9">
        <v>1</v>
      </c>
      <c r="AB1804" s="1" t="s">
        <v>783</v>
      </c>
      <c r="AC1804" s="1" t="s">
        <v>519</v>
      </c>
      <c r="AD1804" s="1" t="s">
        <v>544</v>
      </c>
      <c r="CC1804" s="7"/>
    </row>
    <row r="1805" spans="2:81">
      <c r="B1805" s="6"/>
      <c r="D1805" s="66">
        <f>+F1804</f>
        <v>168.75</v>
      </c>
      <c r="E1805" s="66"/>
      <c r="F1805" s="66"/>
      <c r="G1805" s="9" t="s">
        <v>546</v>
      </c>
      <c r="H1805" s="1">
        <v>1</v>
      </c>
      <c r="I1805" s="1" t="s">
        <v>275</v>
      </c>
      <c r="J1805" s="66">
        <f>+J1804</f>
        <v>0.66666666666666663</v>
      </c>
      <c r="K1805" s="66"/>
      <c r="L1805" s="9" t="s">
        <v>5</v>
      </c>
      <c r="M1805" s="9" t="s">
        <v>13</v>
      </c>
      <c r="N1805" s="9" t="s">
        <v>9</v>
      </c>
      <c r="O1805" s="9">
        <v>1</v>
      </c>
      <c r="P1805" s="1" t="s">
        <v>782</v>
      </c>
      <c r="Q1805" s="9" t="s">
        <v>5</v>
      </c>
      <c r="R1805" s="1" t="s">
        <v>544</v>
      </c>
      <c r="S1805" s="9" t="s">
        <v>6</v>
      </c>
      <c r="T1805" s="66">
        <f>+R1804</f>
        <v>112.5</v>
      </c>
      <c r="U1805" s="66"/>
      <c r="V1805" s="66"/>
      <c r="W1805" s="9" t="s">
        <v>546</v>
      </c>
      <c r="X1805" s="1">
        <v>1</v>
      </c>
      <c r="Y1805" s="1" t="s">
        <v>275</v>
      </c>
      <c r="Z1805" s="66">
        <f>+V1804</f>
        <v>0.66666666666666663</v>
      </c>
      <c r="AA1805" s="66"/>
      <c r="AB1805" s="9" t="s">
        <v>5</v>
      </c>
      <c r="AC1805" s="9" t="s">
        <v>13</v>
      </c>
      <c r="AD1805" s="9" t="s">
        <v>9</v>
      </c>
      <c r="AE1805" s="9">
        <v>1</v>
      </c>
      <c r="AF1805" s="1" t="s">
        <v>783</v>
      </c>
      <c r="AG1805" s="9" t="s">
        <v>5</v>
      </c>
      <c r="AH1805" s="1" t="s">
        <v>544</v>
      </c>
      <c r="CC1805" s="7"/>
    </row>
    <row r="1806" spans="2:81">
      <c r="B1806" s="6"/>
      <c r="D1806" s="9" t="s">
        <v>542</v>
      </c>
      <c r="E1806" s="9" t="s">
        <v>7</v>
      </c>
      <c r="F1806" s="66">
        <f>+J1805</f>
        <v>0.66666666666666663</v>
      </c>
      <c r="G1806" s="66"/>
      <c r="H1806" s="9" t="s">
        <v>5</v>
      </c>
      <c r="I1806" s="9" t="s">
        <v>13</v>
      </c>
      <c r="J1806" s="9" t="s">
        <v>9</v>
      </c>
      <c r="K1806" s="9">
        <v>1</v>
      </c>
      <c r="N1806" s="1" t="s">
        <v>13</v>
      </c>
      <c r="O1806" s="9" t="s">
        <v>7</v>
      </c>
      <c r="P1806" s="1" t="s">
        <v>518</v>
      </c>
      <c r="Q1806" s="9" t="s">
        <v>542</v>
      </c>
      <c r="R1806" s="9" t="s">
        <v>6</v>
      </c>
      <c r="S1806" s="9">
        <v>1</v>
      </c>
      <c r="T1806" s="1" t="s">
        <v>287</v>
      </c>
      <c r="U1806" s="66">
        <f>+F1806</f>
        <v>0.66666666666666663</v>
      </c>
      <c r="V1806" s="66"/>
      <c r="Z1806" s="1" t="s">
        <v>544</v>
      </c>
      <c r="AA1806" s="9" t="s">
        <v>7</v>
      </c>
      <c r="AB1806" s="1">
        <v>1</v>
      </c>
      <c r="AC1806" s="1" t="s">
        <v>173</v>
      </c>
      <c r="AD1806" s="66">
        <f>+U1806</f>
        <v>0.66666666666666663</v>
      </c>
      <c r="AE1806" s="66"/>
      <c r="CC1806" s="7"/>
    </row>
    <row r="1807" spans="2:81">
      <c r="B1807" s="6"/>
      <c r="D1807" s="66">
        <f>+D1805</f>
        <v>168.75</v>
      </c>
      <c r="E1807" s="66"/>
      <c r="F1807" s="66"/>
      <c r="G1807" s="9" t="s">
        <v>5</v>
      </c>
      <c r="H1807" s="1">
        <v>-1</v>
      </c>
      <c r="I1807" s="1" t="s">
        <v>275</v>
      </c>
      <c r="J1807" s="66">
        <f>+J1805</f>
        <v>0.66666666666666663</v>
      </c>
      <c r="K1807" s="66"/>
      <c r="L1807" s="9" t="s">
        <v>5</v>
      </c>
      <c r="M1807" s="9" t="s">
        <v>542</v>
      </c>
      <c r="N1807" s="1" t="s">
        <v>16</v>
      </c>
      <c r="O1807" s="66">
        <f>+T1805</f>
        <v>112.5</v>
      </c>
      <c r="P1807" s="66"/>
      <c r="Q1807" s="66"/>
      <c r="R1807" s="9" t="s">
        <v>5</v>
      </c>
      <c r="S1807" s="1">
        <v>-1</v>
      </c>
      <c r="T1807" s="1" t="s">
        <v>275</v>
      </c>
      <c r="U1807" s="66">
        <f>Z1805*2</f>
        <v>1.3333333333333333</v>
      </c>
      <c r="V1807" s="66"/>
      <c r="W1807" s="9" t="s">
        <v>5</v>
      </c>
      <c r="X1807" s="9" t="s">
        <v>548</v>
      </c>
      <c r="Y1807" s="1" t="s">
        <v>40</v>
      </c>
      <c r="CC1807" s="7"/>
    </row>
    <row r="1808" spans="2:81">
      <c r="B1808" s="6"/>
      <c r="D1808" s="66">
        <f>+D1807</f>
        <v>168.75</v>
      </c>
      <c r="E1808" s="66"/>
      <c r="F1808" s="66"/>
      <c r="G1808" s="9" t="s">
        <v>5</v>
      </c>
      <c r="H1808" s="1">
        <f>+H1807</f>
        <v>-1</v>
      </c>
      <c r="I1808" s="1" t="s">
        <v>275</v>
      </c>
      <c r="J1808" s="66">
        <f>+J1807</f>
        <v>0.66666666666666663</v>
      </c>
      <c r="K1808" s="66"/>
      <c r="L1808" s="9" t="s">
        <v>14</v>
      </c>
      <c r="M1808" s="66">
        <f>+F1806</f>
        <v>0.66666666666666663</v>
      </c>
      <c r="N1808" s="66"/>
      <c r="O1808" s="9" t="s">
        <v>5</v>
      </c>
      <c r="P1808" s="9" t="s">
        <v>13</v>
      </c>
      <c r="Q1808" s="9" t="s">
        <v>9</v>
      </c>
      <c r="R1808" s="9">
        <v>1</v>
      </c>
      <c r="S1808" s="1" t="s">
        <v>784</v>
      </c>
      <c r="U1808" s="66">
        <f>+O1807</f>
        <v>112.5</v>
      </c>
      <c r="V1808" s="66"/>
      <c r="W1808" s="66"/>
      <c r="X1808" s="9" t="s">
        <v>5</v>
      </c>
      <c r="Y1808" s="1">
        <v>-1</v>
      </c>
      <c r="Z1808" s="1" t="s">
        <v>275</v>
      </c>
      <c r="AA1808" s="66">
        <f>+U1807</f>
        <v>1.3333333333333333</v>
      </c>
      <c r="AB1808" s="66"/>
      <c r="AC1808" s="9" t="s">
        <v>14</v>
      </c>
      <c r="AD1808" s="66">
        <f>+M1808</f>
        <v>0.66666666666666663</v>
      </c>
      <c r="AE1808" s="66"/>
      <c r="AF1808" s="9" t="s">
        <v>5</v>
      </c>
      <c r="AG1808" s="9" t="s">
        <v>13</v>
      </c>
      <c r="AH1808" s="9" t="s">
        <v>9</v>
      </c>
      <c r="AI1808" s="9">
        <v>1</v>
      </c>
      <c r="AJ1808" s="1" t="s">
        <v>785</v>
      </c>
      <c r="CC1808" s="7"/>
    </row>
    <row r="1809" spans="2:81">
      <c r="B1809" s="6"/>
      <c r="D1809" s="81">
        <f>+D1808*H1808/J1808</f>
        <v>-253.125</v>
      </c>
      <c r="E1809" s="68"/>
      <c r="F1809" s="68"/>
      <c r="G1809" s="48" t="s">
        <v>786</v>
      </c>
      <c r="H1809" s="68">
        <f>+M1808</f>
        <v>0.66666666666666663</v>
      </c>
      <c r="I1809" s="68"/>
      <c r="J1809" s="48" t="s">
        <v>5</v>
      </c>
      <c r="K1809" s="48" t="s">
        <v>13</v>
      </c>
      <c r="L1809" s="48" t="s">
        <v>9</v>
      </c>
      <c r="M1809" s="48">
        <v>1</v>
      </c>
      <c r="N1809" s="49" t="s">
        <v>787</v>
      </c>
      <c r="O1809" s="68">
        <f>+U1808*Y1808/AA1808</f>
        <v>-84.375</v>
      </c>
      <c r="P1809" s="68"/>
      <c r="Q1809" s="68"/>
      <c r="R1809" s="48" t="s">
        <v>786</v>
      </c>
      <c r="S1809" s="68">
        <f>+AD1808</f>
        <v>0.66666666666666663</v>
      </c>
      <c r="T1809" s="68"/>
      <c r="U1809" s="48" t="s">
        <v>5</v>
      </c>
      <c r="V1809" s="48" t="s">
        <v>13</v>
      </c>
      <c r="W1809" s="48" t="s">
        <v>9</v>
      </c>
      <c r="X1809" s="48">
        <v>1</v>
      </c>
      <c r="Y1809" s="50" t="s">
        <v>788</v>
      </c>
      <c r="CC1809" s="7"/>
    </row>
    <row r="1810" spans="2:81">
      <c r="B1810" s="6"/>
      <c r="D1810" s="1" t="s">
        <v>557</v>
      </c>
      <c r="H1810" s="66">
        <f>+D1802</f>
        <v>168.75</v>
      </c>
      <c r="I1810" s="66"/>
      <c r="J1810" s="66"/>
      <c r="K1810" s="1" t="s">
        <v>275</v>
      </c>
      <c r="L1810" s="66">
        <f>+H1802</f>
        <v>0.66666666666666663</v>
      </c>
      <c r="M1810" s="66"/>
      <c r="N1810" s="9" t="s">
        <v>5</v>
      </c>
      <c r="O1810" s="9" t="s">
        <v>13</v>
      </c>
      <c r="P1810" s="9" t="s">
        <v>9</v>
      </c>
      <c r="Q1810" s="9">
        <v>1</v>
      </c>
      <c r="R1810" s="1" t="s">
        <v>782</v>
      </c>
      <c r="S1810" s="9" t="s">
        <v>6</v>
      </c>
      <c r="T1810" s="66">
        <f>+P1802</f>
        <v>112.5</v>
      </c>
      <c r="U1810" s="66"/>
      <c r="V1810" s="66"/>
      <c r="W1810" s="1" t="s">
        <v>275</v>
      </c>
      <c r="X1810" s="66">
        <f>+T1802</f>
        <v>0.66666666666666663</v>
      </c>
      <c r="Y1810" s="66"/>
      <c r="Z1810" s="9" t="s">
        <v>5</v>
      </c>
      <c r="AA1810" s="9" t="s">
        <v>13</v>
      </c>
      <c r="AB1810" s="9" t="s">
        <v>9</v>
      </c>
      <c r="AC1810" s="9">
        <v>1</v>
      </c>
      <c r="AD1810" s="1" t="s">
        <v>783</v>
      </c>
      <c r="AE1810" s="9" t="s">
        <v>9</v>
      </c>
      <c r="AF1810" s="1" t="s">
        <v>24</v>
      </c>
      <c r="CC1810" s="7"/>
    </row>
    <row r="1811" spans="2:81">
      <c r="B1811" s="6"/>
      <c r="D1811" s="1" t="s">
        <v>558</v>
      </c>
      <c r="H1811" s="66">
        <f>+D1809</f>
        <v>-253.125</v>
      </c>
      <c r="I1811" s="66"/>
      <c r="J1811" s="66"/>
      <c r="K1811" s="9" t="s">
        <v>786</v>
      </c>
      <c r="L1811" s="66">
        <f>+H1809</f>
        <v>0.66666666666666663</v>
      </c>
      <c r="M1811" s="66"/>
      <c r="N1811" s="9" t="s">
        <v>5</v>
      </c>
      <c r="O1811" s="9" t="s">
        <v>13</v>
      </c>
      <c r="P1811" s="9" t="s">
        <v>9</v>
      </c>
      <c r="Q1811" s="9">
        <v>1</v>
      </c>
      <c r="R1811" s="1" t="s">
        <v>787</v>
      </c>
      <c r="S1811" s="66">
        <f>+O1809</f>
        <v>-84.375</v>
      </c>
      <c r="T1811" s="66"/>
      <c r="U1811" s="66"/>
      <c r="V1811" s="9" t="s">
        <v>786</v>
      </c>
      <c r="W1811" s="66">
        <f>+S1809</f>
        <v>0.66666666666666663</v>
      </c>
      <c r="X1811" s="66"/>
      <c r="Y1811" s="9" t="s">
        <v>5</v>
      </c>
      <c r="Z1811" s="9" t="s">
        <v>13</v>
      </c>
      <c r="AA1811" s="9" t="s">
        <v>9</v>
      </c>
      <c r="AB1811" s="9">
        <v>1</v>
      </c>
      <c r="AC1811" s="1" t="s">
        <v>788</v>
      </c>
      <c r="AD1811" s="9" t="s">
        <v>9</v>
      </c>
      <c r="AE1811" s="1" t="s">
        <v>24</v>
      </c>
      <c r="AF1811" s="9" t="s">
        <v>5</v>
      </c>
      <c r="AG1811" s="9" t="s">
        <v>13</v>
      </c>
      <c r="AH1811" s="9" t="s">
        <v>9</v>
      </c>
      <c r="AI1811" s="1" t="s">
        <v>307</v>
      </c>
      <c r="CC1811" s="7"/>
    </row>
    <row r="1812" spans="2:81">
      <c r="B1812" s="6"/>
      <c r="D1812" s="24" t="s">
        <v>318</v>
      </c>
      <c r="CC1812" s="7"/>
    </row>
    <row r="1813" spans="2:81">
      <c r="B1813" s="6"/>
      <c r="D1813" s="1" t="s">
        <v>402</v>
      </c>
      <c r="J1813" s="66">
        <f>+H1810</f>
        <v>168.75</v>
      </c>
      <c r="K1813" s="66"/>
      <c r="L1813" s="66"/>
      <c r="M1813" s="1" t="s">
        <v>275</v>
      </c>
      <c r="N1813" s="66">
        <f>+J1805</f>
        <v>0.66666666666666663</v>
      </c>
      <c r="O1813" s="66"/>
      <c r="P1813" s="9" t="s">
        <v>5</v>
      </c>
      <c r="Q1813" s="66">
        <f>+M1784</f>
        <v>1.5</v>
      </c>
      <c r="R1813" s="66"/>
      <c r="S1813" s="9" t="s">
        <v>9</v>
      </c>
      <c r="T1813" s="9">
        <v>1</v>
      </c>
      <c r="U1813" s="1" t="s">
        <v>200</v>
      </c>
      <c r="V1813" s="9" t="s">
        <v>6</v>
      </c>
      <c r="W1813" s="66">
        <f>+T1810</f>
        <v>112.5</v>
      </c>
      <c r="X1813" s="66"/>
      <c r="Y1813" s="66"/>
      <c r="Z1813" s="1" t="s">
        <v>275</v>
      </c>
      <c r="AA1813" s="66">
        <f>+X1810</f>
        <v>0.66666666666666663</v>
      </c>
      <c r="AB1813" s="66"/>
      <c r="AC1813" s="9" t="s">
        <v>5</v>
      </c>
      <c r="AD1813" s="66">
        <f>+Q1813</f>
        <v>1.5</v>
      </c>
      <c r="AE1813" s="66"/>
      <c r="AF1813" s="9" t="s">
        <v>9</v>
      </c>
      <c r="AG1813" s="9">
        <v>1</v>
      </c>
      <c r="AH1813" s="1" t="s">
        <v>783</v>
      </c>
      <c r="AI1813" s="9" t="s">
        <v>9</v>
      </c>
      <c r="AJ1813" s="1" t="s">
        <v>24</v>
      </c>
      <c r="AK1813" s="9" t="s">
        <v>7</v>
      </c>
      <c r="AL1813" s="9">
        <v>0</v>
      </c>
      <c r="AO1813" s="1" t="s">
        <v>24</v>
      </c>
      <c r="AP1813" s="9" t="s">
        <v>7</v>
      </c>
      <c r="AQ1813" s="66">
        <f>-(J1813/(N1813*Q1813+T1813)^2-W1813/(AA1813*AD1813+AG1813)^3)</f>
        <v>-28.125</v>
      </c>
      <c r="AR1813" s="66"/>
      <c r="AS1813" s="66"/>
      <c r="CC1813" s="7"/>
    </row>
    <row r="1814" spans="2:81">
      <c r="B1814" s="6"/>
      <c r="D1814" s="1" t="s">
        <v>401</v>
      </c>
      <c r="J1814" s="66">
        <f>+H1811</f>
        <v>-253.125</v>
      </c>
      <c r="K1814" s="66"/>
      <c r="L1814" s="66"/>
      <c r="M1814" s="1" t="s">
        <v>275</v>
      </c>
      <c r="N1814" s="66">
        <f>+L1811</f>
        <v>0.66666666666666663</v>
      </c>
      <c r="O1814" s="66"/>
      <c r="P1814" s="9" t="s">
        <v>5</v>
      </c>
      <c r="Q1814" s="66">
        <f>+Q1813</f>
        <v>1.5</v>
      </c>
      <c r="R1814" s="66"/>
      <c r="S1814" s="9" t="s">
        <v>9</v>
      </c>
      <c r="T1814" s="9">
        <v>1</v>
      </c>
      <c r="U1814" s="1" t="s">
        <v>16</v>
      </c>
      <c r="V1814" s="66">
        <f>+S1811</f>
        <v>-84.375</v>
      </c>
      <c r="W1814" s="66"/>
      <c r="X1814" s="66"/>
      <c r="Y1814" s="1" t="s">
        <v>275</v>
      </c>
      <c r="Z1814" s="66">
        <f>+W1811</f>
        <v>0.66666666666666663</v>
      </c>
      <c r="AA1814" s="66"/>
      <c r="AB1814" s="9" t="s">
        <v>5</v>
      </c>
      <c r="AC1814" s="66">
        <f>+Q1814</f>
        <v>1.5</v>
      </c>
      <c r="AD1814" s="66"/>
      <c r="AE1814" s="9" t="s">
        <v>9</v>
      </c>
      <c r="AF1814" s="9">
        <v>1</v>
      </c>
      <c r="AG1814" s="1" t="s">
        <v>782</v>
      </c>
      <c r="AH1814" s="9" t="s">
        <v>9</v>
      </c>
      <c r="AI1814" s="66">
        <f>+AQ1813</f>
        <v>-28.125</v>
      </c>
      <c r="AJ1814" s="66"/>
      <c r="AK1814" s="66"/>
      <c r="AL1814" s="9" t="s">
        <v>5</v>
      </c>
      <c r="AM1814" s="66">
        <f>+AC1814</f>
        <v>1.5</v>
      </c>
      <c r="AN1814" s="66"/>
      <c r="AO1814" s="9" t="s">
        <v>9</v>
      </c>
      <c r="AP1814" s="1" t="s">
        <v>307</v>
      </c>
      <c r="AQ1814" s="9" t="s">
        <v>7</v>
      </c>
      <c r="AR1814" s="9">
        <v>0</v>
      </c>
      <c r="AU1814" s="1" t="s">
        <v>307</v>
      </c>
      <c r="AV1814" s="9" t="s">
        <v>7</v>
      </c>
      <c r="AW1814" s="66">
        <f>-(J1814/(N1814*Q1814+T1814)-V1814/(Z1814*AC1814+AF1814)^2+AI1814*AM1814)</f>
        <v>147.65625</v>
      </c>
      <c r="AX1814" s="66"/>
      <c r="AY1814" s="66"/>
      <c r="CC1814" s="7"/>
    </row>
    <row r="1815" spans="2:81">
      <c r="B1815" s="6"/>
      <c r="D1815" s="1" t="s">
        <v>537</v>
      </c>
      <c r="I1815" s="66">
        <f>+H1811</f>
        <v>-253.125</v>
      </c>
      <c r="J1815" s="66"/>
      <c r="K1815" s="66"/>
      <c r="L1815" s="9" t="s">
        <v>786</v>
      </c>
      <c r="M1815" s="66">
        <f>+L1811</f>
        <v>0.66666666666666663</v>
      </c>
      <c r="N1815" s="66"/>
      <c r="O1815" s="9" t="s">
        <v>5</v>
      </c>
      <c r="P1815" s="9" t="s">
        <v>13</v>
      </c>
      <c r="Q1815" s="9" t="s">
        <v>9</v>
      </c>
      <c r="R1815" s="9">
        <v>1</v>
      </c>
      <c r="S1815" s="1" t="s">
        <v>787</v>
      </c>
      <c r="T1815" s="66">
        <f>+S1811</f>
        <v>-84.375</v>
      </c>
      <c r="U1815" s="66"/>
      <c r="V1815" s="66"/>
      <c r="W1815" s="9" t="s">
        <v>786</v>
      </c>
      <c r="X1815" s="66">
        <f>+W1811</f>
        <v>0.66666666666666663</v>
      </c>
      <c r="Y1815" s="66"/>
      <c r="Z1815" s="9" t="s">
        <v>5</v>
      </c>
      <c r="AA1815" s="9" t="s">
        <v>13</v>
      </c>
      <c r="AB1815" s="9" t="s">
        <v>9</v>
      </c>
      <c r="AC1815" s="9">
        <v>1</v>
      </c>
      <c r="AD1815" s="1" t="s">
        <v>788</v>
      </c>
      <c r="AE1815" s="9" t="s">
        <v>9</v>
      </c>
      <c r="AF1815" s="1" t="s">
        <v>24</v>
      </c>
      <c r="AG1815" s="9" t="s">
        <v>5</v>
      </c>
      <c r="AH1815" s="9" t="s">
        <v>13</v>
      </c>
      <c r="AI1815" s="9" t="s">
        <v>9</v>
      </c>
      <c r="AJ1815" s="1" t="s">
        <v>307</v>
      </c>
      <c r="CC1815" s="7"/>
    </row>
    <row r="1816" spans="2:81">
      <c r="B1816" s="6"/>
      <c r="D1816" s="1" t="s">
        <v>35</v>
      </c>
      <c r="F1816" s="66">
        <f>+I1815</f>
        <v>-253.125</v>
      </c>
      <c r="G1816" s="66"/>
      <c r="H1816" s="66"/>
      <c r="I1816" s="9" t="s">
        <v>786</v>
      </c>
      <c r="J1816" s="66">
        <f>+M1815</f>
        <v>0.66666666666666663</v>
      </c>
      <c r="K1816" s="66"/>
      <c r="L1816" s="9" t="s">
        <v>5</v>
      </c>
      <c r="M1816" s="9" t="s">
        <v>13</v>
      </c>
      <c r="N1816" s="9" t="s">
        <v>9</v>
      </c>
      <c r="O1816" s="9">
        <v>1</v>
      </c>
      <c r="P1816" s="1" t="s">
        <v>787</v>
      </c>
      <c r="Q1816" s="66">
        <f>+T1815</f>
        <v>-84.375</v>
      </c>
      <c r="R1816" s="66"/>
      <c r="S1816" s="66"/>
      <c r="T1816" s="9" t="s">
        <v>786</v>
      </c>
      <c r="U1816" s="66">
        <f>+X1815</f>
        <v>0.66666666666666663</v>
      </c>
      <c r="V1816" s="66"/>
      <c r="W1816" s="9" t="s">
        <v>5</v>
      </c>
      <c r="X1816" s="9" t="s">
        <v>13</v>
      </c>
      <c r="Y1816" s="9" t="s">
        <v>9</v>
      </c>
      <c r="Z1816" s="9">
        <v>1</v>
      </c>
      <c r="AA1816" s="1" t="s">
        <v>788</v>
      </c>
      <c r="AB1816" s="9" t="s">
        <v>9</v>
      </c>
      <c r="AC1816" s="66">
        <f>+AQ1813</f>
        <v>-28.125</v>
      </c>
      <c r="AD1816" s="66"/>
      <c r="AE1816" s="66"/>
      <c r="AF1816" s="9" t="s">
        <v>5</v>
      </c>
      <c r="AG1816" s="9" t="s">
        <v>13</v>
      </c>
      <c r="AH1816" s="9" t="s">
        <v>9</v>
      </c>
      <c r="AI1816" s="66">
        <f>+AW1814</f>
        <v>147.65625</v>
      </c>
      <c r="AJ1816" s="66"/>
      <c r="AK1816" s="66"/>
      <c r="AL1816" s="1" t="s">
        <v>538</v>
      </c>
      <c r="CC1816" s="7"/>
    </row>
    <row r="1817" spans="2:81">
      <c r="B1817" s="6"/>
      <c r="D1817" s="1" t="s">
        <v>27</v>
      </c>
      <c r="E1817" s="67">
        <v>0</v>
      </c>
      <c r="F1817" s="67"/>
      <c r="G1817" s="67"/>
      <c r="H1817" s="1" t="s">
        <v>42</v>
      </c>
      <c r="Q1817" s="8"/>
      <c r="R1817" s="8" t="str">
        <f>IF(E1817&lt;=M1784,"","azalt.")</f>
        <v/>
      </c>
      <c r="V1817" s="24" t="s">
        <v>561</v>
      </c>
      <c r="CC1817" s="7"/>
    </row>
    <row r="1818" spans="2:81">
      <c r="B1818" s="6"/>
      <c r="D1818" s="1" t="s">
        <v>35</v>
      </c>
      <c r="F1818" s="66">
        <f>+H1811</f>
        <v>-253.125</v>
      </c>
      <c r="G1818" s="66"/>
      <c r="H1818" s="66"/>
      <c r="I1818" s="1" t="s">
        <v>275</v>
      </c>
      <c r="J1818" s="66">
        <f>+L1811</f>
        <v>0.66666666666666663</v>
      </c>
      <c r="K1818" s="66"/>
      <c r="L1818" s="9" t="s">
        <v>5</v>
      </c>
      <c r="M1818" s="66">
        <f>+E1817</f>
        <v>0</v>
      </c>
      <c r="N1818" s="66"/>
      <c r="O1818" s="9" t="s">
        <v>9</v>
      </c>
      <c r="P1818" s="9">
        <v>1</v>
      </c>
      <c r="Q1818" s="1" t="s">
        <v>16</v>
      </c>
      <c r="R1818" s="66">
        <f>+S1811</f>
        <v>-84.375</v>
      </c>
      <c r="S1818" s="66"/>
      <c r="T1818" s="66"/>
      <c r="U1818" s="9" t="s">
        <v>786</v>
      </c>
      <c r="V1818" s="66">
        <f>+W1811</f>
        <v>0.66666666666666663</v>
      </c>
      <c r="W1818" s="66"/>
      <c r="X1818" s="9" t="s">
        <v>5</v>
      </c>
      <c r="Y1818" s="66">
        <f>+E1817</f>
        <v>0</v>
      </c>
      <c r="Z1818" s="66"/>
      <c r="AA1818" s="9" t="s">
        <v>9</v>
      </c>
      <c r="AB1818" s="9">
        <v>1</v>
      </c>
      <c r="AC1818" s="1" t="s">
        <v>788</v>
      </c>
      <c r="AD1818" s="9" t="s">
        <v>9</v>
      </c>
      <c r="AE1818" s="66">
        <f>+AC1816</f>
        <v>-28.125</v>
      </c>
      <c r="AF1818" s="66"/>
      <c r="AG1818" s="66"/>
      <c r="AH1818" s="9" t="s">
        <v>5</v>
      </c>
      <c r="AI1818" s="66">
        <f>+E1817</f>
        <v>0</v>
      </c>
      <c r="AJ1818" s="66"/>
      <c r="AK1818" s="1" t="s">
        <v>9</v>
      </c>
      <c r="AL1818" s="66">
        <f>+AI1816</f>
        <v>147.65625</v>
      </c>
      <c r="AM1818" s="66"/>
      <c r="AN1818" s="66"/>
      <c r="AO1818" s="1" t="s">
        <v>193</v>
      </c>
      <c r="AR1818" s="66">
        <f>+AD1784</f>
        <v>200000</v>
      </c>
      <c r="AS1818" s="66"/>
      <c r="AT1818" s="66"/>
      <c r="AU1818" s="9" t="s">
        <v>5</v>
      </c>
      <c r="AV1818" s="66">
        <f>+AE1780/10000</f>
        <v>39760.782021995816</v>
      </c>
      <c r="AW1818" s="66"/>
      <c r="AX1818" s="66"/>
      <c r="AY1818" s="1" t="s">
        <v>40</v>
      </c>
      <c r="CC1818" s="7"/>
    </row>
    <row r="1819" spans="2:81">
      <c r="B1819" s="6"/>
      <c r="D1819" s="1" t="s">
        <v>33</v>
      </c>
      <c r="F1819" s="66">
        <f>(F1818/(J1818*M1818+P1818)-R1818/(V1818*Y1818+AB1818)^2+AE1818*AI1818+AL1818)*100000000/(AR1818*AV1818)</f>
        <v>-0.26525823848649227</v>
      </c>
      <c r="G1819" s="66"/>
      <c r="H1819" s="66"/>
      <c r="I1819" s="1" t="s">
        <v>41</v>
      </c>
      <c r="CC1819" s="7"/>
    </row>
    <row r="1820" spans="2:81">
      <c r="B1820" s="6"/>
      <c r="D1820" s="1" t="s">
        <v>202</v>
      </c>
      <c r="I1820" s="66">
        <f>M1784*1000</f>
        <v>1500</v>
      </c>
      <c r="J1820" s="66"/>
      <c r="K1820" s="66"/>
      <c r="L1820" s="1" t="s">
        <v>173</v>
      </c>
      <c r="M1820" s="66">
        <v>200</v>
      </c>
      <c r="N1820" s="66"/>
      <c r="O1820" s="9" t="s">
        <v>7</v>
      </c>
      <c r="P1820" s="66">
        <f>+I1820/M1820</f>
        <v>7.5</v>
      </c>
      <c r="Q1820" s="66"/>
      <c r="R1820" s="66"/>
      <c r="S1820" s="1" t="s">
        <v>41</v>
      </c>
      <c r="V1820" s="1" t="s">
        <v>192</v>
      </c>
      <c r="CC1820" s="7"/>
    </row>
    <row r="1821" spans="2:81">
      <c r="B1821" s="6"/>
      <c r="D1821" s="1" t="s">
        <v>33</v>
      </c>
      <c r="F1821" s="66">
        <f>+F1819</f>
        <v>-0.26525823848649227</v>
      </c>
      <c r="G1821" s="66"/>
      <c r="H1821" s="66"/>
      <c r="I1821" s="1" t="s">
        <v>41</v>
      </c>
      <c r="K1821" s="1" t="str">
        <f>IF(ABS(F1821)&lt;ABS(O1821),"&lt;","&gt;")</f>
        <v>&lt;</v>
      </c>
      <c r="L1821" s="1" t="s">
        <v>174</v>
      </c>
      <c r="O1821" s="66">
        <f>+P1820</f>
        <v>7.5</v>
      </c>
      <c r="P1821" s="66"/>
      <c r="Q1821" s="66"/>
      <c r="R1821" s="1" t="s">
        <v>41</v>
      </c>
      <c r="T1821" s="8" t="str">
        <f>IF(ABS(F1821)&lt;ABS(O1821),"uygun.","uygun değil.")</f>
        <v>uygun.</v>
      </c>
      <c r="CC1821" s="7"/>
    </row>
    <row r="1822" spans="2:81" ht="12" thickBot="1">
      <c r="B1822" s="12"/>
      <c r="C1822" s="13"/>
      <c r="D1822" s="13"/>
      <c r="E1822" s="13"/>
      <c r="F1822" s="13"/>
      <c r="G1822" s="13"/>
      <c r="H1822" s="13"/>
      <c r="I1822" s="13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  <c r="AK1822" s="13"/>
      <c r="AL1822" s="13"/>
      <c r="AM1822" s="13"/>
      <c r="AN1822" s="13"/>
      <c r="AO1822" s="13"/>
      <c r="AP1822" s="13"/>
      <c r="AQ1822" s="13"/>
      <c r="AR1822" s="13"/>
      <c r="AS1822" s="13"/>
      <c r="AT1822" s="13"/>
      <c r="AU1822" s="13"/>
      <c r="AV1822" s="13"/>
      <c r="AW1822" s="13"/>
      <c r="AX1822" s="13"/>
      <c r="AY1822" s="13"/>
      <c r="AZ1822" s="13"/>
      <c r="BA1822" s="13"/>
      <c r="BB1822" s="13"/>
      <c r="BC1822" s="13"/>
      <c r="BD1822" s="13"/>
      <c r="BE1822" s="13"/>
      <c r="BF1822" s="13"/>
      <c r="BG1822" s="13"/>
      <c r="BH1822" s="13"/>
      <c r="BI1822" s="13"/>
      <c r="BJ1822" s="13"/>
      <c r="BK1822" s="13"/>
      <c r="BL1822" s="13"/>
      <c r="BM1822" s="13"/>
      <c r="BN1822" s="13"/>
      <c r="BO1822" s="13"/>
      <c r="BP1822" s="13"/>
      <c r="BQ1822" s="13"/>
      <c r="BR1822" s="13"/>
      <c r="BS1822" s="13"/>
      <c r="BT1822" s="13"/>
      <c r="BU1822" s="13"/>
      <c r="BV1822" s="13"/>
      <c r="BW1822" s="13"/>
      <c r="BX1822" s="13"/>
      <c r="BY1822" s="13"/>
      <c r="BZ1822" s="13"/>
      <c r="CA1822" s="13"/>
      <c r="CB1822" s="13"/>
      <c r="CC1822" s="14"/>
    </row>
    <row r="1823" spans="2:81" ht="12" thickBot="1"/>
    <row r="1824" spans="2:81" ht="43.5" customHeight="1">
      <c r="B1824" s="73" t="s">
        <v>579</v>
      </c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Q1824" s="74"/>
      <c r="R1824" s="74"/>
      <c r="S1824" s="74"/>
      <c r="T1824" s="74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/>
      <c r="AE1824" s="74"/>
      <c r="AF1824" s="74"/>
      <c r="AG1824" s="74"/>
      <c r="AH1824" s="74"/>
      <c r="AI1824" s="74"/>
      <c r="AJ1824" s="74"/>
      <c r="AK1824" s="74"/>
      <c r="AL1824" s="74"/>
      <c r="AM1824" s="74"/>
      <c r="AN1824" s="74"/>
      <c r="AO1824" s="74"/>
      <c r="AP1824" s="74"/>
      <c r="AQ1824" s="74"/>
      <c r="AR1824" s="74"/>
      <c r="AS1824" s="74"/>
      <c r="AT1824" s="74"/>
      <c r="AU1824" s="74"/>
      <c r="AV1824" s="74"/>
      <c r="AW1824" s="74"/>
      <c r="AX1824" s="74"/>
      <c r="AY1824" s="74"/>
      <c r="AZ1824" s="74"/>
      <c r="BA1824" s="74"/>
      <c r="BB1824" s="74"/>
      <c r="BC1824" s="74"/>
      <c r="BD1824" s="74"/>
      <c r="BE1824" s="74"/>
      <c r="BF1824" s="74"/>
      <c r="BG1824" s="74"/>
      <c r="BH1824" s="74"/>
      <c r="BI1824" s="74"/>
      <c r="BJ1824" s="74"/>
      <c r="BK1824" s="74"/>
      <c r="BL1824" s="74"/>
      <c r="BM1824" s="74"/>
      <c r="BN1824" s="74"/>
      <c r="BO1824" s="74"/>
      <c r="BP1824" s="74"/>
      <c r="BQ1824" s="74"/>
      <c r="BR1824" s="74"/>
      <c r="BS1824" s="74"/>
      <c r="BT1824" s="74"/>
      <c r="BU1824" s="74"/>
      <c r="BV1824" s="74"/>
      <c r="BW1824" s="74"/>
      <c r="BX1824" s="74"/>
      <c r="BY1824" s="74"/>
      <c r="BZ1824" s="74"/>
      <c r="CA1824" s="74"/>
      <c r="CB1824" s="74"/>
      <c r="CC1824" s="75"/>
    </row>
    <row r="1825" spans="2:81">
      <c r="B1825" s="6"/>
      <c r="S1825" s="8" t="s">
        <v>176</v>
      </c>
      <c r="CC1825" s="7"/>
    </row>
    <row r="1826" spans="2:81">
      <c r="B1826" s="6"/>
      <c r="D1826" s="67">
        <v>150</v>
      </c>
      <c r="E1826" s="67"/>
      <c r="F1826" s="1" t="s">
        <v>0</v>
      </c>
      <c r="I1826" s="1" t="s">
        <v>290</v>
      </c>
      <c r="AD1826" s="23" t="s">
        <v>497</v>
      </c>
      <c r="AN1826" s="23" t="s">
        <v>498</v>
      </c>
      <c r="AX1826" s="9"/>
      <c r="AY1826" s="9"/>
      <c r="BB1826" s="1" t="s">
        <v>559</v>
      </c>
      <c r="BN1826" s="66">
        <f>+W1830</f>
        <v>225</v>
      </c>
      <c r="BO1826" s="66"/>
      <c r="BP1826" s="1" t="s">
        <v>191</v>
      </c>
      <c r="CC1826" s="7"/>
    </row>
    <row r="1827" spans="2:81">
      <c r="B1827" s="6"/>
      <c r="AH1827" s="71" t="s">
        <v>41</v>
      </c>
      <c r="AX1827" s="9"/>
      <c r="AY1827" s="9"/>
      <c r="CC1827" s="7"/>
    </row>
    <row r="1828" spans="2:81">
      <c r="B1828" s="6"/>
      <c r="AH1828" s="71"/>
      <c r="AR1828" s="71" t="s">
        <v>41</v>
      </c>
      <c r="AX1828" s="9"/>
      <c r="AY1828" s="9"/>
      <c r="BL1828" s="1" t="s">
        <v>6</v>
      </c>
      <c r="CC1828" s="7"/>
    </row>
    <row r="1829" spans="2:81">
      <c r="B1829" s="6"/>
      <c r="AB1829" s="66" t="s">
        <v>789</v>
      </c>
      <c r="AC1829" s="66"/>
      <c r="AH1829" s="77">
        <v>300</v>
      </c>
      <c r="AR1829" s="71"/>
      <c r="AX1829" s="9"/>
      <c r="AY1829" s="9"/>
      <c r="CC1829" s="7"/>
    </row>
    <row r="1830" spans="2:81">
      <c r="B1830" s="6"/>
      <c r="W1830" s="66">
        <f>+D1826*L1837</f>
        <v>225</v>
      </c>
      <c r="X1830" s="66"/>
      <c r="Y1830" s="1" t="s">
        <v>191</v>
      </c>
      <c r="AB1830" s="67">
        <v>5</v>
      </c>
      <c r="AC1830" s="67"/>
      <c r="AH1830" s="77"/>
      <c r="AK1830" s="66" t="s">
        <v>789</v>
      </c>
      <c r="AL1830" s="66"/>
      <c r="AR1830" s="77">
        <v>600</v>
      </c>
      <c r="AS1830" s="93" t="str">
        <f>IF(AR1830&gt;AH1829,"","artır.")</f>
        <v/>
      </c>
      <c r="AX1830" s="9"/>
      <c r="AY1830" s="9"/>
      <c r="CC1830" s="7"/>
    </row>
    <row r="1831" spans="2:81">
      <c r="B1831" s="6"/>
      <c r="W1831" s="9"/>
      <c r="X1831" s="9"/>
      <c r="AB1831" s="66" t="s">
        <v>41</v>
      </c>
      <c r="AC1831" s="66"/>
      <c r="AH1831" s="77"/>
      <c r="AK1831" s="66">
        <f>+AB1830</f>
        <v>5</v>
      </c>
      <c r="AL1831" s="66"/>
      <c r="AR1831" s="77"/>
      <c r="AS1831" s="93"/>
      <c r="AX1831" s="9"/>
      <c r="AY1831" s="9"/>
      <c r="CC1831" s="7"/>
    </row>
    <row r="1832" spans="2:81">
      <c r="B1832" s="6"/>
      <c r="W1832" s="9"/>
      <c r="X1832" s="9"/>
      <c r="AK1832" s="66" t="s">
        <v>41</v>
      </c>
      <c r="AL1832" s="66"/>
      <c r="AR1832" s="77"/>
      <c r="AS1832" s="93"/>
      <c r="AX1832" s="9"/>
      <c r="AY1832" s="9"/>
      <c r="BC1832" s="1" t="s">
        <v>560</v>
      </c>
      <c r="CC1832" s="7"/>
    </row>
    <row r="1833" spans="2:81">
      <c r="B1833" s="6"/>
      <c r="W1833" s="9"/>
      <c r="X1833" s="9"/>
      <c r="AC1833" s="10" t="s">
        <v>522</v>
      </c>
      <c r="AE1833" s="66">
        <f>PI()*AB1830*(AH1829-AB1830)^3/8</f>
        <v>50407590.437626414</v>
      </c>
      <c r="AF1833" s="66"/>
      <c r="AG1833" s="66"/>
      <c r="AH1833" s="66"/>
      <c r="AI1833" s="66"/>
      <c r="AJ1833" s="1" t="s">
        <v>270</v>
      </c>
      <c r="AX1833" s="66">
        <f>+T1836</f>
        <v>150</v>
      </c>
      <c r="AY1833" s="66"/>
      <c r="AZ1833" s="1" t="s">
        <v>0</v>
      </c>
      <c r="BN1833" s="66">
        <f>+T1836</f>
        <v>150</v>
      </c>
      <c r="BO1833" s="66"/>
      <c r="BP1833" s="1" t="s">
        <v>0</v>
      </c>
      <c r="CC1833" s="7"/>
    </row>
    <row r="1834" spans="2:81">
      <c r="B1834" s="6"/>
      <c r="H1834" s="1" t="s">
        <v>13</v>
      </c>
      <c r="AX1834" s="9"/>
      <c r="AY1834" s="9"/>
      <c r="CC1834" s="7"/>
    </row>
    <row r="1835" spans="2:81">
      <c r="B1835" s="6"/>
      <c r="AK1835" s="10" t="s">
        <v>36</v>
      </c>
      <c r="AM1835" s="66">
        <f>PI()*AK1831*(AR1830-AK1831)^3/8</f>
        <v>413600244.88521266</v>
      </c>
      <c r="AN1835" s="66"/>
      <c r="AO1835" s="66"/>
      <c r="AP1835" s="66"/>
      <c r="AQ1835" s="66"/>
      <c r="AR1835" s="1" t="s">
        <v>270</v>
      </c>
      <c r="AX1835" s="9"/>
      <c r="AY1835" s="9"/>
      <c r="BG1835" s="1" t="s">
        <v>9</v>
      </c>
      <c r="CC1835" s="7"/>
    </row>
    <row r="1836" spans="2:81">
      <c r="B1836" s="6"/>
      <c r="T1836" s="66">
        <f>+D1826</f>
        <v>150</v>
      </c>
      <c r="U1836" s="66"/>
      <c r="V1836" s="1" t="s">
        <v>0</v>
      </c>
      <c r="AX1836" s="9"/>
      <c r="AY1836" s="9"/>
      <c r="CC1836" s="7"/>
    </row>
    <row r="1837" spans="2:81">
      <c r="B1837" s="6"/>
      <c r="L1837" s="67">
        <v>1.5</v>
      </c>
      <c r="M1837" s="67"/>
      <c r="N1837" s="1" t="s">
        <v>1</v>
      </c>
      <c r="AB1837" s="1" t="s">
        <v>38</v>
      </c>
      <c r="AD1837" s="67">
        <v>200000</v>
      </c>
      <c r="AE1837" s="67"/>
      <c r="AF1837" s="67"/>
      <c r="AG1837" s="67"/>
      <c r="AH1837" s="1" t="s">
        <v>39</v>
      </c>
      <c r="AK1837" s="1" t="s">
        <v>302</v>
      </c>
      <c r="AX1837" s="9"/>
      <c r="AY1837" s="9"/>
      <c r="CC1837" s="7"/>
    </row>
    <row r="1838" spans="2:81">
      <c r="B1838" s="6"/>
      <c r="CC1838" s="7"/>
    </row>
    <row r="1839" spans="2:81">
      <c r="B1839" s="6"/>
      <c r="D1839" s="53" t="s">
        <v>223</v>
      </c>
      <c r="CC1839" s="7"/>
    </row>
    <row r="1840" spans="2:81">
      <c r="B1840" s="6"/>
      <c r="D1840" s="1" t="s">
        <v>790</v>
      </c>
      <c r="CC1840" s="7"/>
    </row>
    <row r="1841" spans="2:81">
      <c r="B1841" s="6"/>
      <c r="D1841" s="1" t="s">
        <v>791</v>
      </c>
      <c r="H1841" s="66">
        <f>+AB1830</f>
        <v>5</v>
      </c>
      <c r="I1841" s="66"/>
      <c r="J1841" s="1" t="s">
        <v>173</v>
      </c>
      <c r="K1841" s="66">
        <f>+AH1829-AB1830</f>
        <v>295</v>
      </c>
      <c r="L1841" s="66"/>
      <c r="M1841" s="1" t="s">
        <v>792</v>
      </c>
      <c r="O1841" s="66">
        <f>(H1841/K1841)^2</f>
        <v>2.8727377190462512E-4</v>
      </c>
      <c r="P1841" s="66"/>
      <c r="Q1841" s="66"/>
      <c r="R1841" s="9" t="str">
        <f>IF(O1841&lt;S1841,"&lt;","&gt;")</f>
        <v>&lt;</v>
      </c>
      <c r="S1841" s="66">
        <v>1</v>
      </c>
      <c r="T1841" s="66"/>
      <c r="V1841" s="8" t="str">
        <f>IF(O1841&lt;S1841,"uygun.","uygun değil.")</f>
        <v>uygun.</v>
      </c>
      <c r="AD1841" s="9"/>
      <c r="AE1841" s="9"/>
      <c r="AG1841" s="9"/>
      <c r="AH1841" s="9"/>
      <c r="AK1841" s="9"/>
      <c r="AL1841" s="9"/>
      <c r="AM1841" s="9"/>
      <c r="AN1841" s="9"/>
      <c r="AO1841" s="9"/>
      <c r="AP1841" s="9"/>
      <c r="AR1841" s="8"/>
      <c r="CC1841" s="7"/>
    </row>
    <row r="1842" spans="2:81">
      <c r="B1842" s="6"/>
      <c r="D1842" s="1" t="s">
        <v>771</v>
      </c>
      <c r="G1842" s="66">
        <f>+AH1829/1000-AB1830/1000</f>
        <v>0.29499999999999998</v>
      </c>
      <c r="H1842" s="66"/>
      <c r="I1842" s="66"/>
      <c r="J1842" s="9" t="s">
        <v>9</v>
      </c>
      <c r="K1842" s="66">
        <f>((AR1830-AK1831)-(AH1829-AB1830))/(AH1829-AB1830)</f>
        <v>1.0169491525423728</v>
      </c>
      <c r="L1842" s="66"/>
      <c r="M1842" s="9" t="s">
        <v>5</v>
      </c>
      <c r="N1842" s="66">
        <f>+G1842</f>
        <v>0.29499999999999998</v>
      </c>
      <c r="O1842" s="66"/>
      <c r="P1842" s="66"/>
      <c r="Q1842" s="9" t="s">
        <v>5</v>
      </c>
      <c r="R1842" s="9" t="s">
        <v>13</v>
      </c>
      <c r="S1842" s="1" t="s">
        <v>173</v>
      </c>
      <c r="T1842" s="66">
        <f>+L1837</f>
        <v>1.5</v>
      </c>
      <c r="U1842" s="66"/>
      <c r="CC1842" s="7"/>
    </row>
    <row r="1843" spans="2:81">
      <c r="B1843" s="6"/>
      <c r="D1843" s="1" t="s">
        <v>771</v>
      </c>
      <c r="G1843" s="66">
        <f>+G1842</f>
        <v>0.29499999999999998</v>
      </c>
      <c r="H1843" s="66"/>
      <c r="I1843" s="66"/>
      <c r="J1843" s="1" t="s">
        <v>14</v>
      </c>
      <c r="K1843" s="1">
        <v>1</v>
      </c>
      <c r="L1843" s="9" t="s">
        <v>9</v>
      </c>
      <c r="M1843" s="66">
        <f>+K1842</f>
        <v>1.0169491525423728</v>
      </c>
      <c r="N1843" s="66"/>
      <c r="O1843" s="9" t="s">
        <v>5</v>
      </c>
      <c r="P1843" s="9" t="s">
        <v>13</v>
      </c>
      <c r="Q1843" s="1" t="s">
        <v>173</v>
      </c>
      <c r="R1843" s="66">
        <f>+T1842</f>
        <v>1.5</v>
      </c>
      <c r="S1843" s="66"/>
      <c r="T1843" s="1" t="s">
        <v>201</v>
      </c>
      <c r="U1843" s="66">
        <f>+G1843</f>
        <v>0.29499999999999998</v>
      </c>
      <c r="V1843" s="66"/>
      <c r="W1843" s="66"/>
      <c r="X1843" s="9" t="s">
        <v>14</v>
      </c>
      <c r="Y1843" s="1">
        <v>1</v>
      </c>
      <c r="Z1843" s="9" t="s">
        <v>9</v>
      </c>
      <c r="AA1843" s="66">
        <f>+M1843/R1843</f>
        <v>0.67796610169491522</v>
      </c>
      <c r="AB1843" s="66"/>
      <c r="AC1843" s="9" t="s">
        <v>5</v>
      </c>
      <c r="AD1843" s="9" t="s">
        <v>13</v>
      </c>
      <c r="AE1843" s="1" t="s">
        <v>40</v>
      </c>
      <c r="CC1843" s="7"/>
    </row>
    <row r="1844" spans="2:81">
      <c r="B1844" s="6"/>
      <c r="D1844" s="10" t="s">
        <v>793</v>
      </c>
      <c r="J1844" s="64" t="s">
        <v>774</v>
      </c>
      <c r="K1844" s="9" t="s">
        <v>5</v>
      </c>
      <c r="L1844" s="66">
        <f>+AB1830/1000</f>
        <v>5.0000000000000001E-3</v>
      </c>
      <c r="M1844" s="66"/>
      <c r="N1844" s="66"/>
      <c r="O1844" s="1" t="s">
        <v>14</v>
      </c>
      <c r="P1844" s="66">
        <f>+U1843</f>
        <v>0.29499999999999998</v>
      </c>
      <c r="Q1844" s="66"/>
      <c r="R1844" s="66"/>
      <c r="S1844" s="9" t="s">
        <v>14</v>
      </c>
      <c r="T1844" s="1">
        <v>1</v>
      </c>
      <c r="U1844" s="9" t="s">
        <v>9</v>
      </c>
      <c r="V1844" s="66">
        <f>+AA1843</f>
        <v>0.67796610169491522</v>
      </c>
      <c r="W1844" s="66"/>
      <c r="X1844" s="9" t="s">
        <v>5</v>
      </c>
      <c r="Y1844" s="9" t="s">
        <v>13</v>
      </c>
      <c r="Z1844" s="1" t="s">
        <v>794</v>
      </c>
      <c r="AB1844" s="9">
        <v>8</v>
      </c>
      <c r="AC1844" s="9" t="s">
        <v>7</v>
      </c>
      <c r="AD1844" s="60" t="s">
        <v>776</v>
      </c>
      <c r="AE1844" s="1" t="s">
        <v>14</v>
      </c>
      <c r="AF1844" s="1">
        <v>1</v>
      </c>
      <c r="AG1844" s="9" t="s">
        <v>9</v>
      </c>
      <c r="AH1844" s="66">
        <f>+V1844</f>
        <v>0.67796610169491522</v>
      </c>
      <c r="AI1844" s="66"/>
      <c r="AJ1844" s="9" t="s">
        <v>5</v>
      </c>
      <c r="AK1844" s="9" t="s">
        <v>13</v>
      </c>
      <c r="AL1844" s="1" t="s">
        <v>311</v>
      </c>
      <c r="CC1844" s="7"/>
    </row>
    <row r="1845" spans="2:81">
      <c r="B1845" s="6"/>
      <c r="D1845" s="1" t="s">
        <v>527</v>
      </c>
      <c r="CC1845" s="7"/>
    </row>
    <row r="1846" spans="2:81">
      <c r="B1846" s="6"/>
      <c r="D1846" s="1" t="s">
        <v>532</v>
      </c>
      <c r="G1846" s="1">
        <v>1</v>
      </c>
      <c r="H1846" s="9" t="s">
        <v>9</v>
      </c>
      <c r="I1846" s="66">
        <f>+AH1844</f>
        <v>0.67796610169491522</v>
      </c>
      <c r="J1846" s="66"/>
      <c r="K1846" s="9" t="s">
        <v>5</v>
      </c>
      <c r="L1846" s="9" t="s">
        <v>13</v>
      </c>
      <c r="M1846" s="1" t="s">
        <v>311</v>
      </c>
      <c r="N1846" s="1" t="s">
        <v>519</v>
      </c>
      <c r="O1846" s="1" t="s">
        <v>777</v>
      </c>
      <c r="P1846" s="9" t="s">
        <v>7</v>
      </c>
      <c r="Q1846" s="9" t="s">
        <v>6</v>
      </c>
      <c r="R1846" s="9" t="s">
        <v>694</v>
      </c>
      <c r="S1846" s="9" t="s">
        <v>5</v>
      </c>
      <c r="T1846" s="9" t="s">
        <v>13</v>
      </c>
      <c r="CC1846" s="7"/>
    </row>
    <row r="1847" spans="2:81">
      <c r="B1847" s="6"/>
      <c r="D1847" s="1" t="s">
        <v>635</v>
      </c>
      <c r="H1847" s="9" t="s">
        <v>6</v>
      </c>
      <c r="I1847" s="9" t="s">
        <v>694</v>
      </c>
      <c r="J1847" s="9" t="s">
        <v>5</v>
      </c>
      <c r="K1847" s="9" t="s">
        <v>13</v>
      </c>
      <c r="L1847" s="1" t="s">
        <v>275</v>
      </c>
      <c r="M1847" s="1">
        <v>1</v>
      </c>
      <c r="N1847" s="9" t="s">
        <v>9</v>
      </c>
      <c r="O1847" s="66">
        <f>+I1846</f>
        <v>0.67796610169491522</v>
      </c>
      <c r="P1847" s="66"/>
      <c r="Q1847" s="9" t="s">
        <v>5</v>
      </c>
      <c r="R1847" s="9" t="s">
        <v>13</v>
      </c>
      <c r="S1847" s="1" t="s">
        <v>311</v>
      </c>
      <c r="T1847" s="9" t="s">
        <v>7</v>
      </c>
      <c r="U1847" s="66">
        <f>-D1826</f>
        <v>-150</v>
      </c>
      <c r="V1847" s="66"/>
      <c r="W1847" s="9" t="s">
        <v>5</v>
      </c>
      <c r="X1847" s="9" t="s">
        <v>13</v>
      </c>
      <c r="Y1847" s="1" t="s">
        <v>275</v>
      </c>
      <c r="Z1847" s="1">
        <v>1</v>
      </c>
      <c r="AA1847" s="9" t="s">
        <v>9</v>
      </c>
      <c r="AB1847" s="66">
        <f>+O1847</f>
        <v>0.67796610169491522</v>
      </c>
      <c r="AC1847" s="66"/>
      <c r="AD1847" s="9" t="s">
        <v>5</v>
      </c>
      <c r="AE1847" s="9" t="s">
        <v>13</v>
      </c>
      <c r="AF1847" s="1" t="s">
        <v>311</v>
      </c>
      <c r="CC1847" s="7"/>
    </row>
    <row r="1848" spans="2:81">
      <c r="B1848" s="6"/>
      <c r="D1848" s="24" t="s">
        <v>591</v>
      </c>
      <c r="AQ1848" s="23" t="s">
        <v>298</v>
      </c>
      <c r="CC1848" s="7"/>
    </row>
    <row r="1849" spans="2:81">
      <c r="B1849" s="6"/>
      <c r="D1849" s="9" t="s">
        <v>546</v>
      </c>
      <c r="E1849" s="66">
        <f>+U1847</f>
        <v>-150</v>
      </c>
      <c r="F1849" s="66"/>
      <c r="G1849" s="9" t="s">
        <v>5</v>
      </c>
      <c r="H1849" s="9" t="s">
        <v>13</v>
      </c>
      <c r="I1849" s="1" t="s">
        <v>275</v>
      </c>
      <c r="J1849" s="1">
        <v>1</v>
      </c>
      <c r="K1849" s="9" t="s">
        <v>9</v>
      </c>
      <c r="L1849" s="66">
        <f>+AB1847</f>
        <v>0.67796610169491522</v>
      </c>
      <c r="M1849" s="66"/>
      <c r="N1849" s="9" t="s">
        <v>5</v>
      </c>
      <c r="O1849" s="9" t="s">
        <v>13</v>
      </c>
      <c r="P1849" s="1" t="s">
        <v>311</v>
      </c>
      <c r="Q1849" s="9" t="s">
        <v>5</v>
      </c>
      <c r="R1849" s="1" t="s">
        <v>544</v>
      </c>
      <c r="AQ1849" s="23"/>
      <c r="CC1849" s="7"/>
    </row>
    <row r="1850" spans="2:81">
      <c r="B1850" s="6"/>
      <c r="D1850" s="9" t="s">
        <v>542</v>
      </c>
      <c r="E1850" s="9" t="s">
        <v>7</v>
      </c>
      <c r="F1850" s="66">
        <f>+L1849</f>
        <v>0.67796610169491522</v>
      </c>
      <c r="G1850" s="66"/>
      <c r="H1850" s="9" t="s">
        <v>5</v>
      </c>
      <c r="I1850" s="9" t="s">
        <v>13</v>
      </c>
      <c r="J1850" s="9" t="s">
        <v>9</v>
      </c>
      <c r="K1850" s="9">
        <v>1</v>
      </c>
      <c r="N1850" s="1" t="s">
        <v>13</v>
      </c>
      <c r="O1850" s="9" t="s">
        <v>7</v>
      </c>
      <c r="P1850" s="1" t="s">
        <v>518</v>
      </c>
      <c r="Q1850" s="9" t="s">
        <v>542</v>
      </c>
      <c r="R1850" s="9" t="s">
        <v>6</v>
      </c>
      <c r="S1850" s="9">
        <v>1</v>
      </c>
      <c r="T1850" s="1" t="s">
        <v>287</v>
      </c>
      <c r="U1850" s="66">
        <f>+F1850</f>
        <v>0.67796610169491522</v>
      </c>
      <c r="V1850" s="66"/>
      <c r="Z1850" s="1" t="s">
        <v>544</v>
      </c>
      <c r="AA1850" s="9" t="s">
        <v>7</v>
      </c>
      <c r="AB1850" s="1">
        <v>1</v>
      </c>
      <c r="AC1850" s="1" t="s">
        <v>173</v>
      </c>
      <c r="AD1850" s="66">
        <f>+U1850</f>
        <v>0.67796610169491522</v>
      </c>
      <c r="AE1850" s="66"/>
      <c r="CC1850" s="7"/>
    </row>
    <row r="1851" spans="2:81">
      <c r="B1851" s="6"/>
      <c r="D1851" s="66">
        <f>+E1849</f>
        <v>-150</v>
      </c>
      <c r="E1851" s="66"/>
      <c r="F1851" s="9" t="s">
        <v>546</v>
      </c>
      <c r="G1851" s="9" t="s">
        <v>518</v>
      </c>
      <c r="H1851" s="9" t="s">
        <v>542</v>
      </c>
      <c r="I1851" s="9" t="s">
        <v>6</v>
      </c>
      <c r="J1851" s="9">
        <v>1</v>
      </c>
      <c r="K1851" s="1" t="s">
        <v>255</v>
      </c>
      <c r="L1851" s="66">
        <f>+U1850*AD1850</f>
        <v>0.45963803504740014</v>
      </c>
      <c r="M1851" s="66"/>
      <c r="N1851" s="9" t="s">
        <v>5</v>
      </c>
      <c r="O1851" s="1" t="s">
        <v>547</v>
      </c>
      <c r="P1851" s="1" t="s">
        <v>519</v>
      </c>
      <c r="Q1851" s="1" t="s">
        <v>545</v>
      </c>
      <c r="CC1851" s="7"/>
    </row>
    <row r="1852" spans="2:81">
      <c r="B1852" s="6"/>
      <c r="D1852" s="66">
        <f>+D1851</f>
        <v>-150</v>
      </c>
      <c r="E1852" s="66"/>
      <c r="F1852" s="1" t="s">
        <v>173</v>
      </c>
      <c r="G1852" s="66">
        <f>+L1851</f>
        <v>0.45963803504740014</v>
      </c>
      <c r="H1852" s="66"/>
      <c r="I1852" s="9" t="s">
        <v>546</v>
      </c>
      <c r="J1852" s="1">
        <v>1</v>
      </c>
      <c r="K1852" s="1" t="s">
        <v>173</v>
      </c>
      <c r="L1852" s="1" t="s">
        <v>548</v>
      </c>
      <c r="M1852" s="9" t="s">
        <v>6</v>
      </c>
      <c r="N1852" s="1">
        <v>1</v>
      </c>
      <c r="O1852" s="1" t="s">
        <v>173</v>
      </c>
      <c r="P1852" s="1" t="s">
        <v>547</v>
      </c>
      <c r="Q1852" s="9" t="s">
        <v>5</v>
      </c>
      <c r="R1852" s="1" t="s">
        <v>545</v>
      </c>
      <c r="CC1852" s="7"/>
    </row>
    <row r="1853" spans="2:81">
      <c r="B1853" s="6"/>
      <c r="D1853" s="66">
        <f>+D1852</f>
        <v>-150</v>
      </c>
      <c r="E1853" s="66"/>
      <c r="F1853" s="1" t="s">
        <v>173</v>
      </c>
      <c r="G1853" s="66">
        <f>+G1852</f>
        <v>0.45963803504740014</v>
      </c>
      <c r="H1853" s="66"/>
      <c r="I1853" s="1" t="s">
        <v>14</v>
      </c>
      <c r="J1853" s="1">
        <v>-1</v>
      </c>
      <c r="K1853" s="1" t="s">
        <v>173</v>
      </c>
      <c r="L1853" s="9" t="s">
        <v>542</v>
      </c>
      <c r="M1853" s="9" t="s">
        <v>6</v>
      </c>
      <c r="N1853" s="1">
        <v>-1</v>
      </c>
      <c r="O1853" s="1" t="s">
        <v>275</v>
      </c>
      <c r="P1853" s="1">
        <v>2</v>
      </c>
      <c r="Q1853" s="9" t="s">
        <v>5</v>
      </c>
      <c r="R1853" s="1" t="s">
        <v>548</v>
      </c>
      <c r="S1853" s="1" t="s">
        <v>779</v>
      </c>
      <c r="CC1853" s="7"/>
    </row>
    <row r="1854" spans="2:81">
      <c r="B1854" s="6"/>
      <c r="D1854" s="66">
        <f>+D1853</f>
        <v>-150</v>
      </c>
      <c r="E1854" s="66"/>
      <c r="F1854" s="1" t="s">
        <v>173</v>
      </c>
      <c r="G1854" s="66">
        <f>+G1853</f>
        <v>0.45963803504740014</v>
      </c>
      <c r="H1854" s="66"/>
      <c r="I1854" s="1" t="s">
        <v>14</v>
      </c>
      <c r="J1854" s="1">
        <f>+J1853</f>
        <v>-1</v>
      </c>
      <c r="K1854" s="1" t="s">
        <v>275</v>
      </c>
      <c r="L1854" s="66">
        <f>+F1850</f>
        <v>0.67796610169491522</v>
      </c>
      <c r="M1854" s="66"/>
      <c r="N1854" s="9" t="s">
        <v>5</v>
      </c>
      <c r="O1854" s="9" t="s">
        <v>13</v>
      </c>
      <c r="P1854" s="9" t="s">
        <v>9</v>
      </c>
      <c r="Q1854" s="9">
        <v>1</v>
      </c>
      <c r="R1854" s="1" t="s">
        <v>16</v>
      </c>
      <c r="S1854" s="1">
        <v>-1</v>
      </c>
      <c r="T1854" s="1" t="s">
        <v>275</v>
      </c>
      <c r="U1854" s="1">
        <v>2</v>
      </c>
      <c r="V1854" s="1" t="s">
        <v>14</v>
      </c>
      <c r="W1854" s="66">
        <f>+L1854</f>
        <v>0.67796610169491522</v>
      </c>
      <c r="X1854" s="66"/>
      <c r="Y1854" s="9" t="s">
        <v>5</v>
      </c>
      <c r="Z1854" s="9" t="s">
        <v>13</v>
      </c>
      <c r="AA1854" s="9" t="s">
        <v>9</v>
      </c>
      <c r="AB1854" s="9">
        <v>1</v>
      </c>
      <c r="AC1854" s="1" t="s">
        <v>795</v>
      </c>
      <c r="CC1854" s="7"/>
    </row>
    <row r="1855" spans="2:81">
      <c r="B1855" s="6"/>
      <c r="D1855" s="66">
        <f>+D1854/G1854</f>
        <v>-326.34375</v>
      </c>
      <c r="E1855" s="66"/>
      <c r="F1855" s="66"/>
      <c r="G1855" s="1" t="s">
        <v>14</v>
      </c>
      <c r="H1855" s="1">
        <f>+J1854</f>
        <v>-1</v>
      </c>
      <c r="I1855" s="1" t="s">
        <v>275</v>
      </c>
      <c r="J1855" s="66">
        <f>+L1854</f>
        <v>0.67796610169491522</v>
      </c>
      <c r="K1855" s="66"/>
      <c r="L1855" s="9" t="s">
        <v>5</v>
      </c>
      <c r="M1855" s="9" t="s">
        <v>13</v>
      </c>
      <c r="N1855" s="9" t="s">
        <v>9</v>
      </c>
      <c r="O1855" s="9">
        <v>1</v>
      </c>
      <c r="P1855" s="1" t="s">
        <v>796</v>
      </c>
      <c r="Q1855" s="66">
        <f>+S1854/U1854</f>
        <v>-0.5</v>
      </c>
      <c r="R1855" s="66"/>
      <c r="S1855" s="1" t="s">
        <v>275</v>
      </c>
      <c r="T1855" s="66">
        <f>+W1854</f>
        <v>0.67796610169491522</v>
      </c>
      <c r="U1855" s="66"/>
      <c r="V1855" s="9" t="s">
        <v>5</v>
      </c>
      <c r="W1855" s="9" t="s">
        <v>13</v>
      </c>
      <c r="X1855" s="9" t="s">
        <v>9</v>
      </c>
      <c r="Y1855" s="9">
        <v>1</v>
      </c>
      <c r="Z1855" s="1" t="s">
        <v>782</v>
      </c>
      <c r="AA1855" s="1" t="s">
        <v>40</v>
      </c>
      <c r="CC1855" s="7"/>
    </row>
    <row r="1856" spans="2:81">
      <c r="B1856" s="6"/>
      <c r="D1856" s="81">
        <f>+D1855*H1855</f>
        <v>326.34375</v>
      </c>
      <c r="E1856" s="68"/>
      <c r="F1856" s="68"/>
      <c r="G1856" s="49" t="s">
        <v>275</v>
      </c>
      <c r="H1856" s="68">
        <f>+J1855</f>
        <v>0.67796610169491522</v>
      </c>
      <c r="I1856" s="68"/>
      <c r="J1856" s="48" t="s">
        <v>5</v>
      </c>
      <c r="K1856" s="48" t="s">
        <v>13</v>
      </c>
      <c r="L1856" s="48" t="s">
        <v>9</v>
      </c>
      <c r="M1856" s="48">
        <v>1</v>
      </c>
      <c r="N1856" s="49" t="s">
        <v>796</v>
      </c>
      <c r="O1856" s="68">
        <f>+D1855*Q1855</f>
        <v>163.171875</v>
      </c>
      <c r="P1856" s="68"/>
      <c r="Q1856" s="68"/>
      <c r="R1856" s="49" t="s">
        <v>275</v>
      </c>
      <c r="S1856" s="68">
        <f>+T1855</f>
        <v>0.67796610169491522</v>
      </c>
      <c r="T1856" s="68"/>
      <c r="U1856" s="48" t="s">
        <v>5</v>
      </c>
      <c r="V1856" s="48" t="s">
        <v>13</v>
      </c>
      <c r="W1856" s="48" t="s">
        <v>9</v>
      </c>
      <c r="X1856" s="48">
        <v>1</v>
      </c>
      <c r="Y1856" s="50" t="s">
        <v>782</v>
      </c>
      <c r="BA1856" s="65"/>
      <c r="BB1856" s="65"/>
      <c r="BC1856" s="65"/>
      <c r="BD1856" s="65"/>
      <c r="BE1856" s="65"/>
      <c r="BF1856" s="65"/>
      <c r="CC1856" s="7"/>
    </row>
    <row r="1857" spans="2:81">
      <c r="B1857" s="6"/>
      <c r="D1857" s="24" t="s">
        <v>590</v>
      </c>
      <c r="CC1857" s="7"/>
    </row>
    <row r="1858" spans="2:81">
      <c r="B1858" s="6"/>
      <c r="D1858" s="9" t="s">
        <v>546</v>
      </c>
      <c r="E1858" s="1" t="s">
        <v>518</v>
      </c>
      <c r="F1858" s="66">
        <f>+D1856</f>
        <v>326.34375</v>
      </c>
      <c r="G1858" s="66"/>
      <c r="H1858" s="66"/>
      <c r="I1858" s="1" t="s">
        <v>275</v>
      </c>
      <c r="J1858" s="66">
        <f>+H1856</f>
        <v>0.67796610169491522</v>
      </c>
      <c r="K1858" s="66"/>
      <c r="L1858" s="9" t="s">
        <v>5</v>
      </c>
      <c r="M1858" s="9" t="s">
        <v>13</v>
      </c>
      <c r="N1858" s="9" t="s">
        <v>9</v>
      </c>
      <c r="O1858" s="9">
        <v>1</v>
      </c>
      <c r="P1858" s="1" t="s">
        <v>796</v>
      </c>
      <c r="Q1858" s="66">
        <f>+O1856</f>
        <v>163.171875</v>
      </c>
      <c r="R1858" s="66"/>
      <c r="S1858" s="66"/>
      <c r="T1858" s="1" t="s">
        <v>275</v>
      </c>
      <c r="U1858" s="66">
        <f>+S1856</f>
        <v>0.67796610169491522</v>
      </c>
      <c r="V1858" s="66"/>
      <c r="W1858" s="9" t="s">
        <v>5</v>
      </c>
      <c r="X1858" s="9" t="s">
        <v>13</v>
      </c>
      <c r="Y1858" s="9" t="s">
        <v>9</v>
      </c>
      <c r="Z1858" s="9">
        <v>1</v>
      </c>
      <c r="AA1858" s="1" t="s">
        <v>797</v>
      </c>
      <c r="CC1858" s="7"/>
    </row>
    <row r="1859" spans="2:81">
      <c r="B1859" s="6"/>
      <c r="D1859" s="66">
        <f>+F1858</f>
        <v>326.34375</v>
      </c>
      <c r="E1859" s="66"/>
      <c r="F1859" s="66"/>
      <c r="G1859" s="9" t="s">
        <v>546</v>
      </c>
      <c r="H1859" s="1">
        <v>1</v>
      </c>
      <c r="I1859" s="1" t="s">
        <v>275</v>
      </c>
      <c r="J1859" s="66">
        <f>+J1858</f>
        <v>0.67796610169491522</v>
      </c>
      <c r="K1859" s="66"/>
      <c r="L1859" s="9" t="s">
        <v>5</v>
      </c>
      <c r="M1859" s="9" t="s">
        <v>13</v>
      </c>
      <c r="N1859" s="9" t="s">
        <v>9</v>
      </c>
      <c r="O1859" s="9">
        <v>1</v>
      </c>
      <c r="P1859" s="1" t="s">
        <v>798</v>
      </c>
      <c r="Q1859" s="1" t="s">
        <v>544</v>
      </c>
      <c r="R1859" s="9" t="s">
        <v>6</v>
      </c>
      <c r="S1859" s="66">
        <f>+Q1858</f>
        <v>163.171875</v>
      </c>
      <c r="T1859" s="66"/>
      <c r="U1859" s="66"/>
      <c r="V1859" s="9" t="s">
        <v>546</v>
      </c>
      <c r="W1859" s="1">
        <v>1</v>
      </c>
      <c r="X1859" s="1" t="s">
        <v>275</v>
      </c>
      <c r="Y1859" s="66">
        <f>+U1858</f>
        <v>0.67796610169491522</v>
      </c>
      <c r="Z1859" s="66"/>
      <c r="AA1859" s="9" t="s">
        <v>5</v>
      </c>
      <c r="AB1859" s="9" t="s">
        <v>13</v>
      </c>
      <c r="AC1859" s="9" t="s">
        <v>9</v>
      </c>
      <c r="AD1859" s="9">
        <v>1</v>
      </c>
      <c r="AE1859" s="1" t="s">
        <v>799</v>
      </c>
      <c r="CC1859" s="7"/>
    </row>
    <row r="1860" spans="2:81">
      <c r="B1860" s="6"/>
      <c r="D1860" s="66">
        <f>+D1859</f>
        <v>326.34375</v>
      </c>
      <c r="E1860" s="66"/>
      <c r="F1860" s="66"/>
      <c r="G1860" s="1" t="s">
        <v>800</v>
      </c>
      <c r="I1860" s="66">
        <f>+J1859</f>
        <v>0.67796610169491522</v>
      </c>
      <c r="J1860" s="66"/>
      <c r="K1860" s="9" t="s">
        <v>5</v>
      </c>
      <c r="L1860" s="9" t="s">
        <v>13</v>
      </c>
      <c r="M1860" s="9" t="s">
        <v>9</v>
      </c>
      <c r="N1860" s="9">
        <v>1</v>
      </c>
      <c r="O1860" s="1" t="s">
        <v>287</v>
      </c>
      <c r="P1860" s="66">
        <f>+I1860</f>
        <v>0.67796610169491522</v>
      </c>
      <c r="Q1860" s="66"/>
      <c r="R1860" s="9" t="s">
        <v>6</v>
      </c>
      <c r="S1860" s="66">
        <f>+S1859</f>
        <v>163.171875</v>
      </c>
      <c r="T1860" s="66"/>
      <c r="U1860" s="66"/>
      <c r="V1860" s="9" t="s">
        <v>14</v>
      </c>
      <c r="W1860" s="1">
        <v>-1</v>
      </c>
      <c r="X1860" s="1" t="s">
        <v>275</v>
      </c>
      <c r="Y1860" s="66">
        <f>+Y1859</f>
        <v>0.67796610169491522</v>
      </c>
      <c r="Z1860" s="66"/>
      <c r="AA1860" s="1" t="s">
        <v>14</v>
      </c>
      <c r="AB1860" s="66">
        <f>+Y1859</f>
        <v>0.67796610169491522</v>
      </c>
      <c r="AC1860" s="66"/>
      <c r="AD1860" s="9" t="s">
        <v>5</v>
      </c>
      <c r="AE1860" s="9" t="s">
        <v>13</v>
      </c>
      <c r="AF1860" s="9" t="s">
        <v>9</v>
      </c>
      <c r="AG1860" s="9">
        <v>1</v>
      </c>
      <c r="AH1860" s="1" t="s">
        <v>801</v>
      </c>
      <c r="CC1860" s="7"/>
    </row>
    <row r="1861" spans="2:81">
      <c r="B1861" s="6"/>
      <c r="D1861" s="81">
        <f>+D1860/P1860</f>
        <v>481.35703125000003</v>
      </c>
      <c r="E1861" s="68"/>
      <c r="F1861" s="68"/>
      <c r="G1861" s="49" t="s">
        <v>800</v>
      </c>
      <c r="H1861" s="49"/>
      <c r="I1861" s="68">
        <f>+I1860</f>
        <v>0.67796610169491522</v>
      </c>
      <c r="J1861" s="68"/>
      <c r="K1861" s="48" t="s">
        <v>5</v>
      </c>
      <c r="L1861" s="48" t="s">
        <v>13</v>
      </c>
      <c r="M1861" s="48" t="s">
        <v>9</v>
      </c>
      <c r="N1861" s="48">
        <v>1</v>
      </c>
      <c r="O1861" s="49" t="s">
        <v>16</v>
      </c>
      <c r="P1861" s="68">
        <f>+S1860*W1860/Y1860</f>
        <v>-240.67851562500002</v>
      </c>
      <c r="Q1861" s="68"/>
      <c r="R1861" s="68"/>
      <c r="S1861" s="49" t="s">
        <v>275</v>
      </c>
      <c r="T1861" s="68">
        <f>+AB1860</f>
        <v>0.67796610169491522</v>
      </c>
      <c r="U1861" s="68"/>
      <c r="V1861" s="48" t="s">
        <v>5</v>
      </c>
      <c r="W1861" s="48" t="s">
        <v>13</v>
      </c>
      <c r="X1861" s="48" t="s">
        <v>9</v>
      </c>
      <c r="Y1861" s="48">
        <v>1</v>
      </c>
      <c r="Z1861" s="50" t="s">
        <v>40</v>
      </c>
      <c r="CC1861" s="7"/>
    </row>
    <row r="1862" spans="2:81">
      <c r="B1862" s="6"/>
      <c r="D1862" s="1" t="s">
        <v>557</v>
      </c>
      <c r="H1862" s="69">
        <f>+D1856</f>
        <v>326.34375</v>
      </c>
      <c r="I1862" s="69"/>
      <c r="J1862" s="69"/>
      <c r="K1862" s="29" t="s">
        <v>275</v>
      </c>
      <c r="L1862" s="69">
        <f>+H1856</f>
        <v>0.67796610169491522</v>
      </c>
      <c r="M1862" s="69"/>
      <c r="N1862" s="63" t="s">
        <v>5</v>
      </c>
      <c r="O1862" s="63" t="s">
        <v>13</v>
      </c>
      <c r="P1862" s="63" t="s">
        <v>9</v>
      </c>
      <c r="Q1862" s="63">
        <v>1</v>
      </c>
      <c r="R1862" s="29" t="s">
        <v>796</v>
      </c>
      <c r="S1862" s="69">
        <f>+O1856</f>
        <v>163.171875</v>
      </c>
      <c r="T1862" s="69"/>
      <c r="U1862" s="69"/>
      <c r="V1862" s="29" t="s">
        <v>275</v>
      </c>
      <c r="W1862" s="69">
        <f>+S1856</f>
        <v>0.67796610169491522</v>
      </c>
      <c r="X1862" s="69"/>
      <c r="Y1862" s="63" t="s">
        <v>5</v>
      </c>
      <c r="Z1862" s="63" t="s">
        <v>13</v>
      </c>
      <c r="AA1862" s="9" t="s">
        <v>9</v>
      </c>
      <c r="AB1862" s="9">
        <v>1</v>
      </c>
      <c r="AC1862" s="1" t="s">
        <v>782</v>
      </c>
      <c r="AD1862" s="1" t="s">
        <v>9</v>
      </c>
      <c r="AE1862" s="1" t="s">
        <v>24</v>
      </c>
      <c r="CC1862" s="7"/>
    </row>
    <row r="1863" spans="2:81">
      <c r="B1863" s="6"/>
      <c r="D1863" s="1" t="s">
        <v>558</v>
      </c>
      <c r="H1863" s="66">
        <f>+D1861</f>
        <v>481.35703125000003</v>
      </c>
      <c r="I1863" s="66"/>
      <c r="J1863" s="66"/>
      <c r="K1863" s="1" t="s">
        <v>800</v>
      </c>
      <c r="M1863" s="66">
        <f>+I1861</f>
        <v>0.67796610169491522</v>
      </c>
      <c r="N1863" s="66"/>
      <c r="O1863" s="9" t="s">
        <v>5</v>
      </c>
      <c r="P1863" s="9" t="s">
        <v>13</v>
      </c>
      <c r="Q1863" s="9" t="s">
        <v>9</v>
      </c>
      <c r="R1863" s="9">
        <v>1</v>
      </c>
      <c r="S1863" s="1" t="s">
        <v>16</v>
      </c>
      <c r="T1863" s="66">
        <f>+P1861</f>
        <v>-240.67851562500002</v>
      </c>
      <c r="U1863" s="66"/>
      <c r="V1863" s="66"/>
      <c r="W1863" s="1" t="s">
        <v>275</v>
      </c>
      <c r="X1863" s="66">
        <f>+T1861</f>
        <v>0.67796610169491522</v>
      </c>
      <c r="Y1863" s="66"/>
      <c r="Z1863" s="9" t="s">
        <v>5</v>
      </c>
      <c r="AA1863" s="9" t="s">
        <v>13</v>
      </c>
      <c r="AB1863" s="9" t="s">
        <v>9</v>
      </c>
      <c r="AC1863" s="9">
        <v>1</v>
      </c>
      <c r="AD1863" s="1" t="s">
        <v>306</v>
      </c>
      <c r="AE1863" s="1" t="s">
        <v>24</v>
      </c>
      <c r="AF1863" s="9" t="s">
        <v>5</v>
      </c>
      <c r="AG1863" s="9" t="s">
        <v>13</v>
      </c>
      <c r="AH1863" s="9" t="s">
        <v>9</v>
      </c>
      <c r="AI1863" s="1" t="s">
        <v>307</v>
      </c>
      <c r="CC1863" s="7"/>
    </row>
    <row r="1864" spans="2:81">
      <c r="B1864" s="6"/>
      <c r="D1864" s="24" t="s">
        <v>318</v>
      </c>
      <c r="CC1864" s="7"/>
    </row>
    <row r="1865" spans="2:81">
      <c r="B1865" s="6"/>
      <c r="D1865" s="1" t="s">
        <v>402</v>
      </c>
      <c r="J1865" s="66">
        <f>+D1856</f>
        <v>326.34375</v>
      </c>
      <c r="K1865" s="66"/>
      <c r="L1865" s="66"/>
      <c r="M1865" s="1" t="s">
        <v>275</v>
      </c>
      <c r="N1865" s="66">
        <f>+H1856</f>
        <v>0.67796610169491522</v>
      </c>
      <c r="O1865" s="66"/>
      <c r="P1865" s="9" t="s">
        <v>5</v>
      </c>
      <c r="Q1865" s="66">
        <f>+L1837</f>
        <v>1.5</v>
      </c>
      <c r="R1865" s="66"/>
      <c r="S1865" s="9" t="s">
        <v>9</v>
      </c>
      <c r="T1865" s="9">
        <v>1</v>
      </c>
      <c r="U1865" s="1" t="s">
        <v>16</v>
      </c>
      <c r="V1865" s="66">
        <f>+O1856</f>
        <v>163.171875</v>
      </c>
      <c r="W1865" s="66"/>
      <c r="X1865" s="66"/>
      <c r="Y1865" s="1" t="s">
        <v>275</v>
      </c>
      <c r="Z1865" s="66">
        <f>+S1856</f>
        <v>0.67796610169491522</v>
      </c>
      <c r="AA1865" s="66"/>
      <c r="AB1865" s="9" t="s">
        <v>5</v>
      </c>
      <c r="AC1865" s="66">
        <f>+Q1865</f>
        <v>1.5</v>
      </c>
      <c r="AD1865" s="66"/>
      <c r="AE1865" s="9" t="s">
        <v>9</v>
      </c>
      <c r="AF1865" s="9">
        <v>1</v>
      </c>
      <c r="AG1865" s="1" t="s">
        <v>782</v>
      </c>
      <c r="AH1865" s="1" t="s">
        <v>9</v>
      </c>
      <c r="AI1865" s="1" t="s">
        <v>24</v>
      </c>
      <c r="AJ1865" s="9" t="s">
        <v>7</v>
      </c>
      <c r="AK1865" s="9">
        <v>0</v>
      </c>
      <c r="AN1865" s="1" t="s">
        <v>24</v>
      </c>
      <c r="AO1865" s="9" t="s">
        <v>7</v>
      </c>
      <c r="AP1865" s="79">
        <f>-(J1865/(N1865*Q1865+T1865)-V1865/(Z1865*AC1865+AF1865)^2)</f>
        <v>-121.69042948061579</v>
      </c>
      <c r="AQ1865" s="79"/>
      <c r="AR1865" s="79"/>
      <c r="CC1865" s="7"/>
    </row>
    <row r="1866" spans="2:81">
      <c r="B1866" s="6"/>
      <c r="D1866" s="1" t="s">
        <v>401</v>
      </c>
      <c r="J1866" s="66">
        <f>+D1861</f>
        <v>481.35703125000003</v>
      </c>
      <c r="K1866" s="66"/>
      <c r="L1866" s="66"/>
      <c r="M1866" s="1" t="s">
        <v>800</v>
      </c>
      <c r="O1866" s="66">
        <f>+I1861</f>
        <v>0.67796610169491522</v>
      </c>
      <c r="P1866" s="66"/>
      <c r="Q1866" s="9" t="s">
        <v>5</v>
      </c>
      <c r="R1866" s="66">
        <f>+L1837</f>
        <v>1.5</v>
      </c>
      <c r="S1866" s="66"/>
      <c r="T1866" s="9" t="s">
        <v>9</v>
      </c>
      <c r="U1866" s="9">
        <v>1</v>
      </c>
      <c r="V1866" s="1" t="s">
        <v>16</v>
      </c>
      <c r="W1866" s="66">
        <f>+P1861</f>
        <v>-240.67851562500002</v>
      </c>
      <c r="X1866" s="66"/>
      <c r="Y1866" s="66"/>
      <c r="Z1866" s="1" t="s">
        <v>275</v>
      </c>
      <c r="AA1866" s="66">
        <f>+T1861</f>
        <v>0.67796610169491522</v>
      </c>
      <c r="AB1866" s="66"/>
      <c r="AC1866" s="9" t="s">
        <v>5</v>
      </c>
      <c r="AD1866" s="66">
        <f>+R1866</f>
        <v>1.5</v>
      </c>
      <c r="AE1866" s="66"/>
      <c r="AF1866" s="9" t="s">
        <v>9</v>
      </c>
      <c r="AG1866" s="9">
        <v>1</v>
      </c>
      <c r="AH1866" s="1" t="s">
        <v>306</v>
      </c>
      <c r="AI1866" s="66">
        <f>+AP1865</f>
        <v>-121.69042948061579</v>
      </c>
      <c r="AJ1866" s="66"/>
      <c r="AK1866" s="66"/>
      <c r="AL1866" s="9" t="s">
        <v>5</v>
      </c>
      <c r="AM1866" s="66">
        <f>+AD1866</f>
        <v>1.5</v>
      </c>
      <c r="AN1866" s="66"/>
      <c r="AO1866" s="9" t="s">
        <v>9</v>
      </c>
      <c r="AP1866" s="1" t="s">
        <v>307</v>
      </c>
      <c r="AQ1866" s="9" t="s">
        <v>7</v>
      </c>
      <c r="AR1866" s="9">
        <v>0</v>
      </c>
      <c r="AU1866" s="1" t="s">
        <v>307</v>
      </c>
      <c r="AV1866" s="9" t="s">
        <v>7</v>
      </c>
      <c r="AW1866" s="79">
        <f>-(J1866*LN(O1866*R1866+U1866)-W1866/(AA1866*AD1866+AG1866)+AI1866*AM1866)</f>
        <v>-274.50573713636948</v>
      </c>
      <c r="AX1866" s="79"/>
      <c r="AY1866" s="79"/>
      <c r="CC1866" s="7"/>
    </row>
    <row r="1867" spans="2:81">
      <c r="B1867" s="6"/>
      <c r="D1867" s="1" t="s">
        <v>537</v>
      </c>
      <c r="I1867" s="66">
        <f>+H1863</f>
        <v>481.35703125000003</v>
      </c>
      <c r="J1867" s="66"/>
      <c r="K1867" s="66"/>
      <c r="L1867" s="1" t="s">
        <v>800</v>
      </c>
      <c r="N1867" s="66">
        <f>+M1863</f>
        <v>0.67796610169491522</v>
      </c>
      <c r="O1867" s="66"/>
      <c r="P1867" s="9" t="s">
        <v>5</v>
      </c>
      <c r="Q1867" s="9" t="s">
        <v>13</v>
      </c>
      <c r="R1867" s="9" t="s">
        <v>9</v>
      </c>
      <c r="S1867" s="9">
        <v>1</v>
      </c>
      <c r="T1867" s="1" t="s">
        <v>16</v>
      </c>
      <c r="U1867" s="66">
        <f>+T1863</f>
        <v>-240.67851562500002</v>
      </c>
      <c r="V1867" s="66"/>
      <c r="W1867" s="66"/>
      <c r="X1867" s="1" t="s">
        <v>275</v>
      </c>
      <c r="Y1867" s="66">
        <f>+X1863</f>
        <v>0.67796610169491522</v>
      </c>
      <c r="Z1867" s="66"/>
      <c r="AA1867" s="9" t="s">
        <v>5</v>
      </c>
      <c r="AB1867" s="9" t="s">
        <v>13</v>
      </c>
      <c r="AC1867" s="9" t="s">
        <v>9</v>
      </c>
      <c r="AD1867" s="9">
        <v>1</v>
      </c>
      <c r="AE1867" s="1" t="s">
        <v>306</v>
      </c>
      <c r="AF1867" s="1" t="s">
        <v>24</v>
      </c>
      <c r="AG1867" s="9" t="s">
        <v>5</v>
      </c>
      <c r="AH1867" s="9" t="s">
        <v>13</v>
      </c>
      <c r="AI1867" s="9" t="s">
        <v>9</v>
      </c>
      <c r="AJ1867" s="1" t="s">
        <v>307</v>
      </c>
      <c r="CC1867" s="7"/>
    </row>
    <row r="1868" spans="2:81">
      <c r="B1868" s="6"/>
      <c r="D1868" s="1" t="s">
        <v>35</v>
      </c>
      <c r="F1868" s="66">
        <f>+I1867</f>
        <v>481.35703125000003</v>
      </c>
      <c r="G1868" s="66"/>
      <c r="H1868" s="66"/>
      <c r="I1868" s="1" t="s">
        <v>800</v>
      </c>
      <c r="K1868" s="66">
        <f>+N1867</f>
        <v>0.67796610169491522</v>
      </c>
      <c r="L1868" s="66"/>
      <c r="M1868" s="9" t="s">
        <v>5</v>
      </c>
      <c r="N1868" s="9" t="s">
        <v>13</v>
      </c>
      <c r="O1868" s="9" t="s">
        <v>9</v>
      </c>
      <c r="P1868" s="9">
        <v>1</v>
      </c>
      <c r="Q1868" s="1" t="s">
        <v>16</v>
      </c>
      <c r="R1868" s="66">
        <f>+U1867</f>
        <v>-240.67851562500002</v>
      </c>
      <c r="S1868" s="66"/>
      <c r="T1868" s="66"/>
      <c r="U1868" s="1" t="s">
        <v>275</v>
      </c>
      <c r="V1868" s="66">
        <f>+Y1867</f>
        <v>0.67796610169491522</v>
      </c>
      <c r="W1868" s="66"/>
      <c r="X1868" s="9" t="s">
        <v>5</v>
      </c>
      <c r="Y1868" s="9" t="s">
        <v>13</v>
      </c>
      <c r="Z1868" s="9" t="s">
        <v>9</v>
      </c>
      <c r="AA1868" s="9">
        <v>1</v>
      </c>
      <c r="AB1868" s="1" t="s">
        <v>306</v>
      </c>
      <c r="AC1868" s="66">
        <f>+AP1865</f>
        <v>-121.69042948061579</v>
      </c>
      <c r="AD1868" s="66"/>
      <c r="AE1868" s="66"/>
      <c r="AF1868" s="9" t="s">
        <v>5</v>
      </c>
      <c r="AG1868" s="9" t="s">
        <v>13</v>
      </c>
      <c r="AH1868" s="9" t="s">
        <v>9</v>
      </c>
      <c r="AI1868" s="66">
        <f>+AW1866</f>
        <v>-274.50573713636948</v>
      </c>
      <c r="AJ1868" s="66"/>
      <c r="AK1868" s="66"/>
      <c r="AL1868" s="1" t="s">
        <v>538</v>
      </c>
      <c r="CC1868" s="7"/>
    </row>
    <row r="1869" spans="2:81">
      <c r="B1869" s="6"/>
      <c r="D1869" s="1" t="s">
        <v>27</v>
      </c>
      <c r="E1869" s="67">
        <v>0</v>
      </c>
      <c r="F1869" s="67"/>
      <c r="G1869" s="67"/>
      <c r="H1869" s="1" t="s">
        <v>42</v>
      </c>
      <c r="Q1869" s="8"/>
      <c r="R1869" s="8" t="str">
        <f>IF(E1869&lt;=L1837,"","azalt.")</f>
        <v/>
      </c>
      <c r="V1869" s="24" t="s">
        <v>561</v>
      </c>
      <c r="CC1869" s="7"/>
    </row>
    <row r="1870" spans="2:81">
      <c r="B1870" s="6"/>
      <c r="D1870" s="1" t="s">
        <v>35</v>
      </c>
      <c r="F1870" s="66">
        <f>+H1863</f>
        <v>481.35703125000003</v>
      </c>
      <c r="G1870" s="66"/>
      <c r="H1870" s="66"/>
      <c r="I1870" s="1" t="s">
        <v>800</v>
      </c>
      <c r="K1870" s="66">
        <f>+M1863</f>
        <v>0.67796610169491522</v>
      </c>
      <c r="L1870" s="66"/>
      <c r="M1870" s="9" t="s">
        <v>5</v>
      </c>
      <c r="N1870" s="66">
        <f>+E1869</f>
        <v>0</v>
      </c>
      <c r="O1870" s="66"/>
      <c r="P1870" s="9" t="s">
        <v>9</v>
      </c>
      <c r="Q1870" s="9">
        <v>1</v>
      </c>
      <c r="R1870" s="1" t="s">
        <v>16</v>
      </c>
      <c r="S1870" s="66">
        <f>+T1863</f>
        <v>-240.67851562500002</v>
      </c>
      <c r="T1870" s="66"/>
      <c r="U1870" s="66"/>
      <c r="V1870" s="1" t="s">
        <v>275</v>
      </c>
      <c r="W1870" s="66">
        <f>+X1863</f>
        <v>0.67796610169491522</v>
      </c>
      <c r="X1870" s="66"/>
      <c r="Y1870" s="9" t="s">
        <v>5</v>
      </c>
      <c r="Z1870" s="66">
        <f>+E1869</f>
        <v>0</v>
      </c>
      <c r="AA1870" s="66"/>
      <c r="AB1870" s="9" t="s">
        <v>9</v>
      </c>
      <c r="AC1870" s="9">
        <v>1</v>
      </c>
      <c r="AD1870" s="1" t="s">
        <v>306</v>
      </c>
      <c r="AE1870" s="66">
        <f>+AC1868</f>
        <v>-121.69042948061579</v>
      </c>
      <c r="AF1870" s="66"/>
      <c r="AG1870" s="66"/>
      <c r="AH1870" s="9" t="s">
        <v>5</v>
      </c>
      <c r="AI1870" s="66">
        <f>+E1869</f>
        <v>0</v>
      </c>
      <c r="AJ1870" s="66"/>
      <c r="AK1870" s="1" t="s">
        <v>9</v>
      </c>
      <c r="AL1870" s="66">
        <f>+AI1868</f>
        <v>-274.50573713636948</v>
      </c>
      <c r="AM1870" s="66"/>
      <c r="AN1870" s="66"/>
      <c r="AO1870" s="1" t="s">
        <v>193</v>
      </c>
      <c r="AR1870" s="66">
        <f>+AD1837</f>
        <v>200000</v>
      </c>
      <c r="AS1870" s="66"/>
      <c r="AT1870" s="66"/>
      <c r="AU1870" s="9" t="s">
        <v>5</v>
      </c>
      <c r="AV1870" s="66">
        <f>+AE1833/10000</f>
        <v>5040.7590437626413</v>
      </c>
      <c r="AW1870" s="66"/>
      <c r="AX1870" s="66"/>
      <c r="AY1870" s="1" t="s">
        <v>40</v>
      </c>
      <c r="CC1870" s="7"/>
    </row>
    <row r="1871" spans="2:81">
      <c r="B1871" s="6"/>
      <c r="D1871" s="1" t="s">
        <v>33</v>
      </c>
      <c r="F1871" s="66">
        <f>(F1870*LN(K1870*N1870+Q1870)-S1870/(W1870*Z1870+AC1870)+AE1870*AI1870+AL1870)*100000000/(AR1870*AV1870)</f>
        <v>-3.3553698180859035</v>
      </c>
      <c r="G1871" s="66"/>
      <c r="H1871" s="66"/>
      <c r="I1871" s="1" t="s">
        <v>41</v>
      </c>
      <c r="CC1871" s="7"/>
    </row>
    <row r="1872" spans="2:81">
      <c r="B1872" s="6"/>
      <c r="D1872" s="1" t="s">
        <v>202</v>
      </c>
      <c r="I1872" s="66">
        <f>L1837*1000</f>
        <v>1500</v>
      </c>
      <c r="J1872" s="66"/>
      <c r="K1872" s="66"/>
      <c r="L1872" s="1" t="s">
        <v>173</v>
      </c>
      <c r="M1872" s="66">
        <v>200</v>
      </c>
      <c r="N1872" s="66"/>
      <c r="O1872" s="9" t="s">
        <v>7</v>
      </c>
      <c r="P1872" s="66">
        <f>+I1872/M1872</f>
        <v>7.5</v>
      </c>
      <c r="Q1872" s="66"/>
      <c r="R1872" s="66"/>
      <c r="S1872" s="1" t="s">
        <v>41</v>
      </c>
      <c r="V1872" s="1" t="s">
        <v>192</v>
      </c>
      <c r="CC1872" s="7"/>
    </row>
    <row r="1873" spans="2:81">
      <c r="B1873" s="6"/>
      <c r="D1873" s="1" t="s">
        <v>33</v>
      </c>
      <c r="F1873" s="66">
        <f>+F1871</f>
        <v>-3.3553698180859035</v>
      </c>
      <c r="G1873" s="66"/>
      <c r="H1873" s="66"/>
      <c r="I1873" s="1" t="s">
        <v>41</v>
      </c>
      <c r="K1873" s="1" t="str">
        <f>IF(ABS(F1873)&lt;ABS(O1873),"&lt;","&gt;")</f>
        <v>&lt;</v>
      </c>
      <c r="L1873" s="1" t="s">
        <v>174</v>
      </c>
      <c r="O1873" s="66">
        <f>+P1872</f>
        <v>7.5</v>
      </c>
      <c r="P1873" s="66"/>
      <c r="Q1873" s="66"/>
      <c r="R1873" s="1" t="s">
        <v>41</v>
      </c>
      <c r="T1873" s="8" t="str">
        <f>IF(ABS(F1873)&lt;ABS(O1873),"uygun.","uygun değil.")</f>
        <v>uygun.</v>
      </c>
      <c r="CC1873" s="7"/>
    </row>
    <row r="1874" spans="2:81" ht="12" thickBot="1">
      <c r="B1874" s="12"/>
      <c r="C1874" s="13"/>
      <c r="D1874" s="13"/>
      <c r="E1874" s="13"/>
      <c r="F1874" s="13"/>
      <c r="G1874" s="13"/>
      <c r="H1874" s="13"/>
      <c r="I1874" s="13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  <c r="AK1874" s="13"/>
      <c r="AL1874" s="13"/>
      <c r="AM1874" s="13"/>
      <c r="AN1874" s="13"/>
      <c r="AO1874" s="13"/>
      <c r="AP1874" s="13"/>
      <c r="AQ1874" s="13"/>
      <c r="AR1874" s="13"/>
      <c r="AS1874" s="13"/>
      <c r="AT1874" s="13"/>
      <c r="AU1874" s="13"/>
      <c r="AV1874" s="13"/>
      <c r="AW1874" s="13"/>
      <c r="AX1874" s="13"/>
      <c r="AY1874" s="13"/>
      <c r="AZ1874" s="13"/>
      <c r="BA1874" s="13"/>
      <c r="BB1874" s="13"/>
      <c r="BC1874" s="13"/>
      <c r="BD1874" s="13"/>
      <c r="BE1874" s="13"/>
      <c r="BF1874" s="13"/>
      <c r="BG1874" s="13"/>
      <c r="BH1874" s="13"/>
      <c r="BI1874" s="13"/>
      <c r="BJ1874" s="13"/>
      <c r="BK1874" s="13"/>
      <c r="BL1874" s="13"/>
      <c r="BM1874" s="13"/>
      <c r="BN1874" s="13"/>
      <c r="BO1874" s="13"/>
      <c r="BP1874" s="13"/>
      <c r="BQ1874" s="13"/>
      <c r="BR1874" s="13"/>
      <c r="BS1874" s="13"/>
      <c r="BT1874" s="13"/>
      <c r="BU1874" s="13"/>
      <c r="BV1874" s="13"/>
      <c r="BW1874" s="13"/>
      <c r="BX1874" s="13"/>
      <c r="BY1874" s="13"/>
      <c r="BZ1874" s="13"/>
      <c r="CA1874" s="13"/>
      <c r="CB1874" s="13"/>
      <c r="CC1874" s="14"/>
    </row>
    <row r="1875" spans="2:81" ht="12" thickBot="1"/>
    <row r="1876" spans="2:81" ht="48" customHeight="1">
      <c r="B1876" s="73" t="s">
        <v>580</v>
      </c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Q1876" s="74"/>
      <c r="R1876" s="74"/>
      <c r="S1876" s="74"/>
      <c r="T1876" s="74"/>
      <c r="U1876" s="74"/>
      <c r="V1876" s="74"/>
      <c r="W1876" s="74"/>
      <c r="X1876" s="74"/>
      <c r="Y1876" s="74"/>
      <c r="Z1876" s="74"/>
      <c r="AA1876" s="74"/>
      <c r="AB1876" s="74"/>
      <c r="AC1876" s="74"/>
      <c r="AD1876" s="74"/>
      <c r="AE1876" s="74"/>
      <c r="AF1876" s="74"/>
      <c r="AG1876" s="74"/>
      <c r="AH1876" s="74"/>
      <c r="AI1876" s="74"/>
      <c r="AJ1876" s="74"/>
      <c r="AK1876" s="74"/>
      <c r="AL1876" s="74"/>
      <c r="AM1876" s="74"/>
      <c r="AN1876" s="74"/>
      <c r="AO1876" s="74"/>
      <c r="AP1876" s="74"/>
      <c r="AQ1876" s="74"/>
      <c r="AR1876" s="74"/>
      <c r="AS1876" s="74"/>
      <c r="AT1876" s="74"/>
      <c r="AU1876" s="74"/>
      <c r="AV1876" s="74"/>
      <c r="AW1876" s="74"/>
      <c r="AX1876" s="74"/>
      <c r="AY1876" s="74"/>
      <c r="AZ1876" s="74"/>
      <c r="BA1876" s="74"/>
      <c r="BB1876" s="74"/>
      <c r="BC1876" s="74"/>
      <c r="BD1876" s="74"/>
      <c r="BE1876" s="74"/>
      <c r="BF1876" s="74"/>
      <c r="BG1876" s="74"/>
      <c r="BH1876" s="74"/>
      <c r="BI1876" s="74"/>
      <c r="BJ1876" s="74"/>
      <c r="BK1876" s="74"/>
      <c r="BL1876" s="74"/>
      <c r="BM1876" s="74"/>
      <c r="BN1876" s="74"/>
      <c r="BO1876" s="74"/>
      <c r="BP1876" s="74"/>
      <c r="BQ1876" s="74"/>
      <c r="BR1876" s="74"/>
      <c r="BS1876" s="74"/>
      <c r="BT1876" s="74"/>
      <c r="BU1876" s="74"/>
      <c r="BV1876" s="74"/>
      <c r="BW1876" s="74"/>
      <c r="BX1876" s="74"/>
      <c r="BY1876" s="74"/>
      <c r="BZ1876" s="74"/>
      <c r="CA1876" s="74"/>
      <c r="CB1876" s="74"/>
      <c r="CC1876" s="75"/>
    </row>
    <row r="1877" spans="2:81">
      <c r="B1877" s="6"/>
      <c r="P1877" s="1" t="s">
        <v>676</v>
      </c>
      <c r="AN1877" s="23" t="s">
        <v>675</v>
      </c>
      <c r="AV1877" s="8" t="s">
        <v>176</v>
      </c>
      <c r="CC1877" s="7"/>
    </row>
    <row r="1878" spans="2:81">
      <c r="B1878" s="6"/>
      <c r="S1878" s="1" t="s">
        <v>290</v>
      </c>
      <c r="CC1878" s="7"/>
    </row>
    <row r="1879" spans="2:81">
      <c r="B1879" s="6"/>
      <c r="AN1879" s="67">
        <v>85</v>
      </c>
      <c r="AO1879" s="67"/>
      <c r="AP1879" s="1" t="s">
        <v>41</v>
      </c>
      <c r="AV1879" s="23" t="s">
        <v>298</v>
      </c>
      <c r="CC1879" s="7"/>
    </row>
    <row r="1880" spans="2:81">
      <c r="B1880" s="6"/>
      <c r="M1880" s="67">
        <v>50</v>
      </c>
      <c r="N1880" s="67"/>
      <c r="O1880" s="1" t="s">
        <v>187</v>
      </c>
      <c r="W1880" s="67">
        <v>150</v>
      </c>
      <c r="X1880" s="67"/>
      <c r="Y1880" s="1" t="s">
        <v>0</v>
      </c>
      <c r="CC1880" s="7"/>
    </row>
    <row r="1881" spans="2:81">
      <c r="B1881" s="6"/>
      <c r="U1881" s="1" t="s">
        <v>677</v>
      </c>
      <c r="AZ1881" s="23" t="s">
        <v>674</v>
      </c>
      <c r="CC1881" s="7"/>
    </row>
    <row r="1882" spans="2:81">
      <c r="B1882" s="6"/>
      <c r="AG1882" s="67">
        <v>10</v>
      </c>
      <c r="AH1882" s="67"/>
      <c r="AI1882" s="1" t="s">
        <v>41</v>
      </c>
      <c r="CC1882" s="7"/>
    </row>
    <row r="1883" spans="2:81">
      <c r="B1883" s="6"/>
      <c r="CC1883" s="7"/>
    </row>
    <row r="1884" spans="2:81">
      <c r="B1884" s="6"/>
      <c r="CC1884" s="7"/>
    </row>
    <row r="1885" spans="2:81">
      <c r="B1885" s="6"/>
      <c r="C1885" s="1" t="s">
        <v>405</v>
      </c>
      <c r="E1885" s="66">
        <f>+M1880*N1892*N1892/2+W1880*Q1894</f>
        <v>241</v>
      </c>
      <c r="F1885" s="66"/>
      <c r="G1885" s="1" t="s">
        <v>191</v>
      </c>
      <c r="CC1885" s="7"/>
    </row>
    <row r="1886" spans="2:81" ht="11.25" customHeight="1">
      <c r="B1886" s="6"/>
      <c r="CC1886" s="7"/>
    </row>
    <row r="1887" spans="2:81">
      <c r="B1887" s="6"/>
      <c r="AV1887" s="71">
        <f>INDEX($CI$24:$CI$138,MATCH(Y1888,$CG$24:$CG$138,0),0)</f>
        <v>600</v>
      </c>
      <c r="CC1887" s="7"/>
    </row>
    <row r="1888" spans="2:81">
      <c r="B1888" s="6"/>
      <c r="L1888" s="1" t="s">
        <v>505</v>
      </c>
      <c r="U1888" s="1" t="s">
        <v>677</v>
      </c>
      <c r="Y1888" s="67" t="s">
        <v>171</v>
      </c>
      <c r="Z1888" s="67"/>
      <c r="AA1888" s="67"/>
      <c r="AB1888" s="67"/>
      <c r="AC1888" s="67"/>
      <c r="AD1888" s="67"/>
      <c r="AV1888" s="71"/>
      <c r="CC1888" s="7"/>
    </row>
    <row r="1889" spans="2:81">
      <c r="B1889" s="6"/>
      <c r="P1889" s="1" t="s">
        <v>676</v>
      </c>
      <c r="T1889" s="1" t="s">
        <v>504</v>
      </c>
      <c r="AV1889" s="71"/>
      <c r="BC1889" s="66">
        <f>INDEX($CK$24:$CK$138,MATCH(Y1888,$CG$24:$CG$138,0),0)</f>
        <v>12</v>
      </c>
      <c r="BD1889" s="66"/>
      <c r="CC1889" s="7"/>
    </row>
    <row r="1890" spans="2:81">
      <c r="B1890" s="6"/>
      <c r="N1890" s="1" t="s">
        <v>13</v>
      </c>
      <c r="V1890" s="1" t="s">
        <v>428</v>
      </c>
      <c r="CC1890" s="7"/>
    </row>
    <row r="1891" spans="2:81">
      <c r="B1891" s="6"/>
      <c r="I1891" s="1" t="s">
        <v>2</v>
      </c>
      <c r="J1891" s="66">
        <f>+M1880*N1892+W1880</f>
        <v>190</v>
      </c>
      <c r="K1891" s="66"/>
      <c r="L1891" s="1" t="s">
        <v>0</v>
      </c>
      <c r="CC1891" s="7"/>
    </row>
    <row r="1892" spans="2:81">
      <c r="B1892" s="6"/>
      <c r="N1892" s="67">
        <v>0.8</v>
      </c>
      <c r="O1892" s="67"/>
      <c r="P1892" s="1" t="s">
        <v>1</v>
      </c>
      <c r="T1892" s="66">
        <f>+Q1894-N1892</f>
        <v>0.7</v>
      </c>
      <c r="U1892" s="66"/>
      <c r="V1892" s="1" t="s">
        <v>1</v>
      </c>
      <c r="BD1892" s="66">
        <f>INDEX($CL$24:$CL$138,MATCH(Y1888,$CG$24:$CG$138,0),0)</f>
        <v>19</v>
      </c>
      <c r="BE1892" s="66"/>
      <c r="CC1892" s="7"/>
    </row>
    <row r="1893" spans="2:81">
      <c r="B1893" s="6"/>
      <c r="CC1893" s="7"/>
    </row>
    <row r="1894" spans="2:81">
      <c r="B1894" s="6"/>
      <c r="Q1894" s="67">
        <v>1.5</v>
      </c>
      <c r="R1894" s="67"/>
      <c r="S1894" s="1" t="s">
        <v>1</v>
      </c>
      <c r="AG1894" s="66">
        <f>+AG1882</f>
        <v>10</v>
      </c>
      <c r="AH1894" s="66"/>
      <c r="AI1894" s="1" t="s">
        <v>41</v>
      </c>
      <c r="CC1894" s="7"/>
    </row>
    <row r="1895" spans="2:81">
      <c r="B1895" s="6"/>
      <c r="BB1895" s="66">
        <f>INDEX($CJ$24:$CJ$138,MATCH(Y1888,$CG$24:$CG$138,0),0)</f>
        <v>220</v>
      </c>
      <c r="BC1895" s="66"/>
      <c r="CC1895" s="7"/>
    </row>
    <row r="1896" spans="2:81">
      <c r="B1896" s="6"/>
      <c r="J1896" s="1" t="s">
        <v>38</v>
      </c>
      <c r="L1896" s="67">
        <v>200000</v>
      </c>
      <c r="M1896" s="67"/>
      <c r="N1896" s="67"/>
      <c r="O1896" s="67"/>
      <c r="P1896" s="1" t="s">
        <v>39</v>
      </c>
      <c r="S1896" s="1" t="s">
        <v>302</v>
      </c>
      <c r="AN1896" s="66">
        <f>+AN1879</f>
        <v>85</v>
      </c>
      <c r="AO1896" s="66"/>
      <c r="CC1896" s="7"/>
    </row>
    <row r="1897" spans="2:81">
      <c r="B1897" s="6"/>
      <c r="AY1897" s="10" t="s">
        <v>36</v>
      </c>
      <c r="BA1897" s="66">
        <f>INDEX($CM$24:$CM$138,MATCH(Y1888,$CG$24:$CG$138,0),0)</f>
        <v>92080</v>
      </c>
      <c r="BB1897" s="66"/>
      <c r="BC1897" s="66"/>
      <c r="BD1897" s="66"/>
      <c r="BE1897" s="1" t="s">
        <v>37</v>
      </c>
      <c r="CC1897" s="7"/>
    </row>
    <row r="1898" spans="2:81">
      <c r="B1898" s="6"/>
      <c r="AJ1898" s="10" t="s">
        <v>36</v>
      </c>
      <c r="AL1898" s="66">
        <f>INDEX($CM$24:$CM$138,MATCH(Y1888,$CG$24:$CG$138,0),0)+AL1899/10000</f>
        <v>107895.66666666667</v>
      </c>
      <c r="AM1898" s="66"/>
      <c r="AN1898" s="66"/>
      <c r="AO1898" s="66"/>
      <c r="AP1898" s="1" t="s">
        <v>37</v>
      </c>
      <c r="CC1898" s="7"/>
    </row>
    <row r="1899" spans="2:81">
      <c r="B1899" s="6"/>
      <c r="C1899" s="23" t="s">
        <v>223</v>
      </c>
      <c r="AL1899" s="76">
        <f>2*(AN1879*AG1882^3/12+AG1882*AN1879*(AP1899/2+AG1882/2)^2)</f>
        <v>158156666.66666666</v>
      </c>
      <c r="AM1899" s="76"/>
      <c r="AN1899" s="76"/>
      <c r="AO1899" s="76"/>
      <c r="AP1899" s="76">
        <f>INDEX($CI$24:$CI$138,MATCH(Y1888,$CG$24:$CG$138,0),0)</f>
        <v>600</v>
      </c>
      <c r="AQ1899" s="76"/>
      <c r="AR1899" s="76"/>
      <c r="CC1899" s="7"/>
    </row>
    <row r="1900" spans="2:81">
      <c r="B1900" s="6"/>
      <c r="C1900" s="1" t="s">
        <v>678</v>
      </c>
      <c r="E1900" s="66">
        <f>-E1885</f>
        <v>-241</v>
      </c>
      <c r="F1900" s="66"/>
      <c r="G1900" s="9" t="s">
        <v>9</v>
      </c>
      <c r="H1900" s="66">
        <f>+J1891</f>
        <v>190</v>
      </c>
      <c r="I1900" s="66"/>
      <c r="J1900" s="9" t="s">
        <v>5</v>
      </c>
      <c r="K1900" s="9" t="s">
        <v>13</v>
      </c>
      <c r="L1900" s="9" t="s">
        <v>9</v>
      </c>
      <c r="M1900" s="66">
        <f>+M1880</f>
        <v>50</v>
      </c>
      <c r="N1900" s="66"/>
      <c r="O1900" s="9" t="s">
        <v>5</v>
      </c>
      <c r="P1900" s="9" t="s">
        <v>183</v>
      </c>
      <c r="Q1900" s="1" t="s">
        <v>173</v>
      </c>
      <c r="R1900" s="1">
        <v>2</v>
      </c>
      <c r="S1900" s="9" t="s">
        <v>7</v>
      </c>
      <c r="T1900" s="66">
        <f>+E1900</f>
        <v>-241</v>
      </c>
      <c r="U1900" s="66"/>
      <c r="V1900" s="9" t="s">
        <v>9</v>
      </c>
      <c r="W1900" s="66">
        <f>+H1900</f>
        <v>190</v>
      </c>
      <c r="X1900" s="66"/>
      <c r="Y1900" s="9" t="s">
        <v>5</v>
      </c>
      <c r="Z1900" s="9" t="s">
        <v>13</v>
      </c>
      <c r="AA1900" s="9" t="s">
        <v>9</v>
      </c>
      <c r="AB1900" s="66">
        <f>+M1900/R1900</f>
        <v>25</v>
      </c>
      <c r="AC1900" s="66"/>
      <c r="AD1900" s="9" t="s">
        <v>5</v>
      </c>
      <c r="AE1900" s="9" t="s">
        <v>183</v>
      </c>
      <c r="AG1900" s="1" t="s">
        <v>505</v>
      </c>
      <c r="CC1900" s="7"/>
    </row>
    <row r="1901" spans="2:81">
      <c r="B1901" s="6"/>
      <c r="C1901" s="1" t="s">
        <v>610</v>
      </c>
      <c r="E1901" s="66">
        <f>-E1885</f>
        <v>-241</v>
      </c>
      <c r="F1901" s="66"/>
      <c r="G1901" s="9" t="s">
        <v>9</v>
      </c>
      <c r="H1901" s="66">
        <f>+J1891</f>
        <v>190</v>
      </c>
      <c r="I1901" s="66"/>
      <c r="J1901" s="9" t="s">
        <v>14</v>
      </c>
      <c r="K1901" s="66">
        <f>+N1892</f>
        <v>0.8</v>
      </c>
      <c r="L1901" s="66"/>
      <c r="M1901" s="9" t="s">
        <v>9</v>
      </c>
      <c r="N1901" s="9" t="s">
        <v>428</v>
      </c>
      <c r="O1901" s="1" t="s">
        <v>306</v>
      </c>
      <c r="P1901" s="66">
        <f>+M1880</f>
        <v>50</v>
      </c>
      <c r="Q1901" s="66"/>
      <c r="R1901" s="9" t="s">
        <v>5</v>
      </c>
      <c r="S1901" s="66">
        <f>+N1892</f>
        <v>0.8</v>
      </c>
      <c r="T1901" s="66"/>
      <c r="U1901" s="1" t="s">
        <v>14</v>
      </c>
      <c r="V1901" s="66">
        <f>+N1892/2</f>
        <v>0.4</v>
      </c>
      <c r="W1901" s="66"/>
      <c r="X1901" s="9" t="s">
        <v>9</v>
      </c>
      <c r="Y1901" s="1" t="s">
        <v>428</v>
      </c>
      <c r="Z1901" s="1" t="s">
        <v>201</v>
      </c>
      <c r="AA1901" s="66">
        <f>+E1901</f>
        <v>-241</v>
      </c>
      <c r="AB1901" s="66"/>
      <c r="AC1901" s="9" t="s">
        <v>9</v>
      </c>
      <c r="AD1901" s="66">
        <f>+H1901</f>
        <v>190</v>
      </c>
      <c r="AE1901" s="66"/>
      <c r="AF1901" s="9" t="s">
        <v>14</v>
      </c>
      <c r="AG1901" s="66">
        <f>+K1901</f>
        <v>0.8</v>
      </c>
      <c r="AH1901" s="66"/>
      <c r="AI1901" s="9" t="s">
        <v>9</v>
      </c>
      <c r="AJ1901" s="9" t="s">
        <v>428</v>
      </c>
      <c r="AK1901" s="1" t="s">
        <v>306</v>
      </c>
      <c r="AL1901" s="66">
        <f>+P1901*S1901</f>
        <v>40</v>
      </c>
      <c r="AM1901" s="66"/>
      <c r="AN1901" s="1" t="s">
        <v>14</v>
      </c>
      <c r="AO1901" s="66">
        <f>+V1901</f>
        <v>0.4</v>
      </c>
      <c r="AP1901" s="66"/>
      <c r="AQ1901" s="9" t="s">
        <v>9</v>
      </c>
      <c r="AR1901" s="1" t="s">
        <v>428</v>
      </c>
      <c r="AS1901" s="1" t="s">
        <v>40</v>
      </c>
      <c r="AV1901" s="1" t="s">
        <v>504</v>
      </c>
      <c r="CC1901" s="7"/>
    </row>
    <row r="1902" spans="2:81">
      <c r="B1902" s="6"/>
      <c r="C1902" s="24" t="s">
        <v>303</v>
      </c>
      <c r="F1902" s="9"/>
      <c r="G1902" s="9"/>
      <c r="H1902" s="9"/>
      <c r="U1902" s="9"/>
      <c r="V1902" s="9"/>
      <c r="AK1902" s="51"/>
      <c r="AL1902" s="51"/>
      <c r="AM1902" s="51"/>
      <c r="AN1902" s="51"/>
      <c r="CC1902" s="7"/>
    </row>
    <row r="1903" spans="2:81">
      <c r="B1903" s="6"/>
      <c r="C1903" s="1" t="s">
        <v>429</v>
      </c>
      <c r="E1903" s="66">
        <f>+T1900</f>
        <v>-241</v>
      </c>
      <c r="F1903" s="66"/>
      <c r="G1903" s="9" t="s">
        <v>173</v>
      </c>
      <c r="H1903" s="66">
        <f>+AL1898</f>
        <v>107895.66666666667</v>
      </c>
      <c r="I1903" s="66"/>
      <c r="J1903" s="66"/>
      <c r="K1903" s="66"/>
      <c r="L1903" s="9" t="s">
        <v>9</v>
      </c>
      <c r="M1903" s="66">
        <f>+W1900</f>
        <v>190</v>
      </c>
      <c r="N1903" s="66"/>
      <c r="O1903" s="1" t="s">
        <v>173</v>
      </c>
      <c r="P1903" s="66">
        <f>+H1903</f>
        <v>107895.66666666667</v>
      </c>
      <c r="Q1903" s="66"/>
      <c r="R1903" s="66"/>
      <c r="S1903" s="66"/>
      <c r="T1903" s="9" t="s">
        <v>5</v>
      </c>
      <c r="U1903" s="9" t="s">
        <v>13</v>
      </c>
      <c r="V1903" s="9" t="s">
        <v>9</v>
      </c>
      <c r="W1903" s="66">
        <f>+AB1900</f>
        <v>25</v>
      </c>
      <c r="X1903" s="66"/>
      <c r="Y1903" s="1" t="s">
        <v>173</v>
      </c>
      <c r="Z1903" s="66">
        <f>+P1903</f>
        <v>107895.66666666667</v>
      </c>
      <c r="AA1903" s="66"/>
      <c r="AB1903" s="66"/>
      <c r="AC1903" s="66"/>
      <c r="AD1903" s="9" t="s">
        <v>5</v>
      </c>
      <c r="AE1903" s="9" t="s">
        <v>183</v>
      </c>
      <c r="AF1903" s="9" t="s">
        <v>7</v>
      </c>
      <c r="AG1903" s="66">
        <f>+E1903/H1903</f>
        <v>-2.2336392873362229E-3</v>
      </c>
      <c r="AH1903" s="66"/>
      <c r="AI1903" s="66"/>
      <c r="AJ1903" s="9" t="s">
        <v>9</v>
      </c>
      <c r="AK1903" s="66">
        <f>+M1903/P1903</f>
        <v>1.7609604339995119E-3</v>
      </c>
      <c r="AL1903" s="66"/>
      <c r="AM1903" s="66"/>
      <c r="AN1903" s="9" t="s">
        <v>5</v>
      </c>
      <c r="AO1903" s="9" t="s">
        <v>13</v>
      </c>
      <c r="AP1903" s="9" t="s">
        <v>9</v>
      </c>
      <c r="AQ1903" s="66">
        <f>+W1903/Z1903</f>
        <v>2.3170532026309365E-4</v>
      </c>
      <c r="AR1903" s="66"/>
      <c r="AS1903" s="66"/>
      <c r="AT1903" s="9" t="s">
        <v>5</v>
      </c>
      <c r="AU1903" s="9" t="s">
        <v>183</v>
      </c>
      <c r="CC1903" s="7"/>
    </row>
    <row r="1904" spans="2:81">
      <c r="B1904" s="6"/>
      <c r="C1904" s="1" t="s">
        <v>432</v>
      </c>
      <c r="E1904" s="66">
        <f>+AG1903</f>
        <v>-2.2336392873362229E-3</v>
      </c>
      <c r="F1904" s="66"/>
      <c r="G1904" s="66"/>
      <c r="H1904" s="9" t="s">
        <v>5</v>
      </c>
      <c r="I1904" s="9" t="s">
        <v>13</v>
      </c>
      <c r="J1904" s="9" t="s">
        <v>9</v>
      </c>
      <c r="K1904" s="66">
        <f>+AK1903</f>
        <v>1.7609604339995119E-3</v>
      </c>
      <c r="L1904" s="66"/>
      <c r="M1904" s="66"/>
      <c r="N1904" s="9" t="s">
        <v>5</v>
      </c>
      <c r="O1904" s="9" t="s">
        <v>183</v>
      </c>
      <c r="P1904" s="9" t="s">
        <v>173</v>
      </c>
      <c r="Q1904" s="9">
        <v>2</v>
      </c>
      <c r="R1904" s="9" t="s">
        <v>9</v>
      </c>
      <c r="S1904" s="66">
        <f>+AQ1903</f>
        <v>2.3170532026309365E-4</v>
      </c>
      <c r="T1904" s="66"/>
      <c r="U1904" s="66"/>
      <c r="V1904" s="9" t="s">
        <v>5</v>
      </c>
      <c r="W1904" s="9" t="s">
        <v>184</v>
      </c>
      <c r="X1904" s="1" t="s">
        <v>173</v>
      </c>
      <c r="Y1904" s="1">
        <v>3</v>
      </c>
      <c r="Z1904" s="9" t="s">
        <v>9</v>
      </c>
      <c r="AA1904" s="1" t="s">
        <v>24</v>
      </c>
      <c r="CC1904" s="7"/>
    </row>
    <row r="1905" spans="2:81">
      <c r="B1905" s="6"/>
      <c r="C1905" s="1" t="s">
        <v>431</v>
      </c>
      <c r="E1905" s="66">
        <f>+E1904</f>
        <v>-2.2336392873362229E-3</v>
      </c>
      <c r="F1905" s="66"/>
      <c r="G1905" s="66"/>
      <c r="H1905" s="9" t="s">
        <v>5</v>
      </c>
      <c r="I1905" s="9" t="s">
        <v>183</v>
      </c>
      <c r="J1905" s="9" t="s">
        <v>173</v>
      </c>
      <c r="K1905" s="9">
        <v>2</v>
      </c>
      <c r="L1905" s="9" t="s">
        <v>9</v>
      </c>
      <c r="M1905" s="66">
        <f>+K1904</f>
        <v>1.7609604339995119E-3</v>
      </c>
      <c r="N1905" s="66"/>
      <c r="O1905" s="66"/>
      <c r="P1905" s="9" t="s">
        <v>5</v>
      </c>
      <c r="Q1905" s="9" t="s">
        <v>184</v>
      </c>
      <c r="R1905" s="1" t="s">
        <v>173</v>
      </c>
      <c r="S1905" s="1">
        <v>6</v>
      </c>
      <c r="T1905" s="9" t="s">
        <v>9</v>
      </c>
      <c r="U1905" s="66">
        <f>+S1904</f>
        <v>2.3170532026309365E-4</v>
      </c>
      <c r="V1905" s="66"/>
      <c r="W1905" s="66"/>
      <c r="X1905" s="9" t="s">
        <v>5</v>
      </c>
      <c r="Y1905" s="9" t="s">
        <v>185</v>
      </c>
      <c r="Z1905" s="1" t="s">
        <v>173</v>
      </c>
      <c r="AA1905" s="66">
        <v>12</v>
      </c>
      <c r="AB1905" s="66"/>
      <c r="AC1905" s="9" t="s">
        <v>9</v>
      </c>
      <c r="AD1905" s="1" t="s">
        <v>24</v>
      </c>
      <c r="AE1905" s="9" t="s">
        <v>5</v>
      </c>
      <c r="AF1905" s="9" t="s">
        <v>13</v>
      </c>
      <c r="AG1905" s="9" t="s">
        <v>9</v>
      </c>
      <c r="AH1905" s="1" t="s">
        <v>307</v>
      </c>
      <c r="CC1905" s="7"/>
    </row>
    <row r="1906" spans="2:81">
      <c r="B1906" s="6"/>
      <c r="C1906" s="24" t="s">
        <v>308</v>
      </c>
      <c r="E1906" s="9"/>
      <c r="F1906" s="9"/>
      <c r="G1906" s="9"/>
      <c r="AC1906" s="9"/>
      <c r="AD1906" s="9"/>
      <c r="CC1906" s="7"/>
    </row>
    <row r="1907" spans="2:81">
      <c r="B1907" s="6"/>
      <c r="C1907" s="1" t="s">
        <v>433</v>
      </c>
      <c r="E1907" s="66">
        <f>+AA1901</f>
        <v>-241</v>
      </c>
      <c r="F1907" s="66"/>
      <c r="G1907" s="9" t="s">
        <v>5</v>
      </c>
      <c r="H1907" s="9" t="s">
        <v>428</v>
      </c>
      <c r="I1907" s="1" t="s">
        <v>173</v>
      </c>
      <c r="J1907" s="66">
        <f>+BA1897</f>
        <v>92080</v>
      </c>
      <c r="K1907" s="66"/>
      <c r="L1907" s="66"/>
      <c r="M1907" s="66"/>
      <c r="N1907" s="9" t="s">
        <v>9</v>
      </c>
      <c r="O1907" s="66">
        <f>+AD1901</f>
        <v>190</v>
      </c>
      <c r="P1907" s="66"/>
      <c r="Q1907" s="1" t="s">
        <v>173</v>
      </c>
      <c r="R1907" s="66">
        <f>+J1907</f>
        <v>92080</v>
      </c>
      <c r="S1907" s="66"/>
      <c r="T1907" s="66"/>
      <c r="U1907" s="66"/>
      <c r="V1907" s="9" t="s">
        <v>14</v>
      </c>
      <c r="W1907" s="66">
        <f>+AG1901</f>
        <v>0.8</v>
      </c>
      <c r="X1907" s="66"/>
      <c r="Y1907" s="9" t="s">
        <v>9</v>
      </c>
      <c r="Z1907" s="9" t="s">
        <v>428</v>
      </c>
      <c r="AA1907" s="1" t="s">
        <v>306</v>
      </c>
      <c r="AB1907" s="66">
        <f>+AL1901</f>
        <v>40</v>
      </c>
      <c r="AC1907" s="66"/>
      <c r="AD1907" s="1" t="s">
        <v>173</v>
      </c>
      <c r="AE1907" s="66">
        <f>+R1907</f>
        <v>92080</v>
      </c>
      <c r="AF1907" s="66"/>
      <c r="AG1907" s="66"/>
      <c r="AH1907" s="66"/>
      <c r="AI1907" s="1" t="s">
        <v>14</v>
      </c>
      <c r="AJ1907" s="66">
        <f>+AO1901</f>
        <v>0.4</v>
      </c>
      <c r="AK1907" s="66"/>
      <c r="AL1907" s="9" t="s">
        <v>9</v>
      </c>
      <c r="AM1907" s="1" t="s">
        <v>428</v>
      </c>
      <c r="AN1907" s="1" t="s">
        <v>201</v>
      </c>
      <c r="AO1907" s="66">
        <f>+E1907/J1907</f>
        <v>-2.6172893136403126E-3</v>
      </c>
      <c r="AP1907" s="66"/>
      <c r="AQ1907" s="66"/>
      <c r="AR1907" s="9" t="s">
        <v>5</v>
      </c>
      <c r="AS1907" s="9" t="s">
        <v>428</v>
      </c>
      <c r="AT1907" s="9" t="s">
        <v>9</v>
      </c>
      <c r="AU1907" s="66">
        <f>+O1907/R1907</f>
        <v>2.0634231103388357E-3</v>
      </c>
      <c r="AV1907" s="66"/>
      <c r="AW1907" s="66"/>
      <c r="AX1907" s="9" t="s">
        <v>14</v>
      </c>
      <c r="AY1907" s="66">
        <f>+W1907</f>
        <v>0.8</v>
      </c>
      <c r="AZ1907" s="66"/>
      <c r="BA1907" s="9" t="s">
        <v>9</v>
      </c>
      <c r="BB1907" s="9" t="s">
        <v>428</v>
      </c>
      <c r="BC1907" s="1" t="s">
        <v>306</v>
      </c>
      <c r="BD1907" s="66">
        <f>+AB1907/AE1907</f>
        <v>4.3440486533449172E-4</v>
      </c>
      <c r="BE1907" s="66"/>
      <c r="BF1907" s="66"/>
      <c r="BG1907" s="1" t="s">
        <v>14</v>
      </c>
      <c r="BH1907" s="66">
        <f>+AJ1907</f>
        <v>0.4</v>
      </c>
      <c r="BI1907" s="66"/>
      <c r="BJ1907" s="9" t="s">
        <v>9</v>
      </c>
      <c r="BK1907" s="1" t="s">
        <v>428</v>
      </c>
      <c r="BL1907" s="1" t="s">
        <v>40</v>
      </c>
      <c r="CC1907" s="7"/>
    </row>
    <row r="1908" spans="2:81">
      <c r="B1908" s="6"/>
      <c r="C1908" s="1" t="s">
        <v>430</v>
      </c>
      <c r="E1908" s="66">
        <f>+AO1907</f>
        <v>-2.6172893136403126E-3</v>
      </c>
      <c r="F1908" s="66"/>
      <c r="G1908" s="66"/>
      <c r="H1908" s="9" t="s">
        <v>5</v>
      </c>
      <c r="I1908" s="9" t="s">
        <v>428</v>
      </c>
      <c r="J1908" s="9" t="s">
        <v>9</v>
      </c>
      <c r="K1908" s="66">
        <f>+AU1907</f>
        <v>2.0634231103388357E-3</v>
      </c>
      <c r="L1908" s="66"/>
      <c r="M1908" s="66"/>
      <c r="N1908" s="9" t="s">
        <v>14</v>
      </c>
      <c r="O1908" s="66">
        <f>+AY1907</f>
        <v>0.8</v>
      </c>
      <c r="P1908" s="66"/>
      <c r="Q1908" s="9" t="s">
        <v>9</v>
      </c>
      <c r="R1908" s="9" t="s">
        <v>428</v>
      </c>
      <c r="S1908" s="1" t="s">
        <v>200</v>
      </c>
      <c r="T1908" s="1" t="s">
        <v>173</v>
      </c>
      <c r="U1908" s="1">
        <v>2</v>
      </c>
      <c r="V1908" s="9" t="s">
        <v>9</v>
      </c>
      <c r="W1908" s="66">
        <f>+BD1907</f>
        <v>4.3440486533449172E-4</v>
      </c>
      <c r="X1908" s="66"/>
      <c r="Y1908" s="66"/>
      <c r="Z1908" s="1" t="s">
        <v>14</v>
      </c>
      <c r="AA1908" s="66">
        <f>+BH1907</f>
        <v>0.4</v>
      </c>
      <c r="AB1908" s="66"/>
      <c r="AC1908" s="9" t="s">
        <v>9</v>
      </c>
      <c r="AD1908" s="9" t="s">
        <v>428</v>
      </c>
      <c r="AE1908" s="1" t="s">
        <v>200</v>
      </c>
      <c r="AF1908" s="1" t="s">
        <v>173</v>
      </c>
      <c r="AG1908" s="1">
        <v>2</v>
      </c>
      <c r="AH1908" s="9" t="s">
        <v>9</v>
      </c>
      <c r="AI1908" s="1" t="s">
        <v>313</v>
      </c>
      <c r="CC1908" s="7"/>
    </row>
    <row r="1909" spans="2:81">
      <c r="B1909" s="6"/>
      <c r="C1909" s="1" t="s">
        <v>435</v>
      </c>
      <c r="E1909" s="66">
        <f>+E1908</f>
        <v>-2.6172893136403126E-3</v>
      </c>
      <c r="F1909" s="66"/>
      <c r="G1909" s="66"/>
      <c r="H1909" s="9" t="s">
        <v>5</v>
      </c>
      <c r="I1909" s="9" t="s">
        <v>443</v>
      </c>
      <c r="J1909" s="9" t="s">
        <v>173</v>
      </c>
      <c r="K1909" s="9">
        <v>2</v>
      </c>
      <c r="L1909" s="9" t="s">
        <v>9</v>
      </c>
      <c r="M1909" s="66">
        <f>+K1908</f>
        <v>2.0634231103388357E-3</v>
      </c>
      <c r="N1909" s="66"/>
      <c r="O1909" s="66"/>
      <c r="P1909" s="9" t="s">
        <v>14</v>
      </c>
      <c r="Q1909" s="66">
        <f>+O1908</f>
        <v>0.8</v>
      </c>
      <c r="R1909" s="66"/>
      <c r="S1909" s="9" t="s">
        <v>9</v>
      </c>
      <c r="T1909" s="9" t="s">
        <v>428</v>
      </c>
      <c r="U1909" s="1" t="s">
        <v>311</v>
      </c>
      <c r="V1909" s="1" t="s">
        <v>173</v>
      </c>
      <c r="W1909" s="1">
        <v>6</v>
      </c>
      <c r="X1909" s="9" t="s">
        <v>9</v>
      </c>
      <c r="Y1909" s="66">
        <f>+W1908</f>
        <v>4.3440486533449172E-4</v>
      </c>
      <c r="Z1909" s="66"/>
      <c r="AA1909" s="66"/>
      <c r="AB1909" s="1" t="s">
        <v>14</v>
      </c>
      <c r="AC1909" s="66">
        <f>+AA1908</f>
        <v>0.4</v>
      </c>
      <c r="AD1909" s="66"/>
      <c r="AE1909" s="9" t="s">
        <v>9</v>
      </c>
      <c r="AF1909" s="9" t="s">
        <v>428</v>
      </c>
      <c r="AG1909" s="1" t="s">
        <v>311</v>
      </c>
      <c r="AH1909" s="1" t="s">
        <v>173</v>
      </c>
      <c r="AI1909" s="1">
        <v>6</v>
      </c>
      <c r="AJ1909" s="9" t="s">
        <v>9</v>
      </c>
      <c r="AK1909" s="1" t="s">
        <v>313</v>
      </c>
      <c r="AL1909" s="9" t="s">
        <v>5</v>
      </c>
      <c r="AM1909" s="9" t="s">
        <v>428</v>
      </c>
      <c r="AN1909" s="9" t="s">
        <v>9</v>
      </c>
      <c r="AO1909" s="1" t="s">
        <v>315</v>
      </c>
      <c r="CC1909" s="7"/>
    </row>
    <row r="1910" spans="2:81">
      <c r="B1910" s="6"/>
      <c r="C1910" s="24" t="s">
        <v>318</v>
      </c>
      <c r="CC1910" s="7"/>
    </row>
    <row r="1911" spans="2:81">
      <c r="B1911" s="6"/>
      <c r="C1911" s="1" t="s">
        <v>436</v>
      </c>
      <c r="I1911" s="1" t="s">
        <v>416</v>
      </c>
      <c r="L1911" s="9"/>
      <c r="O1911" s="9"/>
      <c r="Q1911" s="9"/>
      <c r="R1911" s="9"/>
      <c r="CC1911" s="7"/>
    </row>
    <row r="1912" spans="2:81">
      <c r="B1912" s="6"/>
      <c r="C1912" s="1" t="s">
        <v>319</v>
      </c>
      <c r="I1912" s="1" t="s">
        <v>411</v>
      </c>
      <c r="L1912" s="9"/>
      <c r="Q1912" s="9"/>
      <c r="U1912" s="9"/>
      <c r="X1912" s="9"/>
      <c r="Z1912" s="9"/>
      <c r="AA1912" s="9"/>
      <c r="CC1912" s="7"/>
    </row>
    <row r="1913" spans="2:81">
      <c r="B1913" s="6"/>
      <c r="C1913" s="1" t="s">
        <v>320</v>
      </c>
      <c r="G1913" s="66">
        <f>+E1904</f>
        <v>-2.2336392873362229E-3</v>
      </c>
      <c r="H1913" s="66"/>
      <c r="I1913" s="66"/>
      <c r="J1913" s="9" t="s">
        <v>5</v>
      </c>
      <c r="K1913" s="66">
        <f>+N1892</f>
        <v>0.8</v>
      </c>
      <c r="L1913" s="66"/>
      <c r="M1913" s="9" t="s">
        <v>9</v>
      </c>
      <c r="N1913" s="66">
        <f>+K1904</f>
        <v>1.7609604339995119E-3</v>
      </c>
      <c r="O1913" s="66"/>
      <c r="P1913" s="66"/>
      <c r="Q1913" s="9" t="s">
        <v>5</v>
      </c>
      <c r="R1913" s="66">
        <f>+K1913</f>
        <v>0.8</v>
      </c>
      <c r="S1913" s="66"/>
      <c r="T1913" s="1" t="s">
        <v>254</v>
      </c>
      <c r="U1913" s="1">
        <v>2</v>
      </c>
      <c r="V1913" s="9" t="s">
        <v>9</v>
      </c>
      <c r="W1913" s="66">
        <f>+S1904</f>
        <v>2.3170532026309365E-4</v>
      </c>
      <c r="X1913" s="66"/>
      <c r="Y1913" s="66"/>
      <c r="Z1913" s="9" t="s">
        <v>5</v>
      </c>
      <c r="AA1913" s="66">
        <f>+R1913</f>
        <v>0.8</v>
      </c>
      <c r="AB1913" s="66"/>
      <c r="AC1913" s="1" t="s">
        <v>321</v>
      </c>
      <c r="AD1913" s="1">
        <v>3</v>
      </c>
      <c r="AE1913" s="9" t="s">
        <v>7</v>
      </c>
      <c r="AF1913" s="66">
        <f>G1913*K1913+N1913*R1913^2/U1913+W1913*AA1913^3/AD1913</f>
        <v>-1.1838597163309E-3</v>
      </c>
      <c r="AG1913" s="66"/>
      <c r="AH1913" s="66"/>
      <c r="CC1913" s="7"/>
    </row>
    <row r="1914" spans="2:81">
      <c r="B1914" s="6"/>
      <c r="C1914" s="1" t="s">
        <v>470</v>
      </c>
      <c r="G1914" s="66">
        <f>+K1908</f>
        <v>2.0634231103388357E-3</v>
      </c>
      <c r="H1914" s="66"/>
      <c r="I1914" s="66"/>
      <c r="J1914" s="9" t="s">
        <v>5</v>
      </c>
      <c r="K1914" s="66">
        <f>+O1908</f>
        <v>0.8</v>
      </c>
      <c r="L1914" s="66"/>
      <c r="M1914" s="1" t="s">
        <v>254</v>
      </c>
      <c r="N1914" s="1">
        <v>2</v>
      </c>
      <c r="O1914" s="9" t="s">
        <v>9</v>
      </c>
      <c r="P1914" s="66">
        <f>+W1908</f>
        <v>4.3440486533449172E-4</v>
      </c>
      <c r="Q1914" s="66"/>
      <c r="R1914" s="66"/>
      <c r="S1914" s="9" t="s">
        <v>5</v>
      </c>
      <c r="T1914" s="66">
        <f>+AA1908</f>
        <v>0.4</v>
      </c>
      <c r="U1914" s="66"/>
      <c r="V1914" s="1" t="s">
        <v>254</v>
      </c>
      <c r="W1914" s="1">
        <v>2</v>
      </c>
      <c r="X1914" s="9" t="s">
        <v>9</v>
      </c>
      <c r="Y1914" s="1" t="s">
        <v>313</v>
      </c>
      <c r="Z1914" s="9" t="s">
        <v>7</v>
      </c>
      <c r="AA1914" s="1" t="s">
        <v>313</v>
      </c>
      <c r="AB1914" s="9" t="s">
        <v>9</v>
      </c>
      <c r="AC1914" s="66">
        <f>G1914*K1914^2/N1914+P1914*T1914^2/W1914</f>
        <v>6.9504778453518688E-4</v>
      </c>
      <c r="AD1914" s="66"/>
      <c r="AE1914" s="66"/>
      <c r="CC1914" s="7"/>
    </row>
    <row r="1915" spans="2:81">
      <c r="B1915" s="6"/>
      <c r="C1915" s="1" t="s">
        <v>510</v>
      </c>
      <c r="M1915" s="1" t="s">
        <v>313</v>
      </c>
      <c r="N1915" s="1" t="s">
        <v>9</v>
      </c>
      <c r="O1915" s="66">
        <f>+AC1914</f>
        <v>6.9504778453518688E-4</v>
      </c>
      <c r="P1915" s="66"/>
      <c r="Q1915" s="66"/>
      <c r="R1915" s="9" t="s">
        <v>7</v>
      </c>
      <c r="S1915" s="66">
        <f>+AF1913</f>
        <v>-1.1838597163309E-3</v>
      </c>
      <c r="T1915" s="66"/>
      <c r="U1915" s="66"/>
      <c r="X1915" s="1" t="s">
        <v>313</v>
      </c>
      <c r="Y1915" s="1" t="s">
        <v>7</v>
      </c>
      <c r="Z1915" s="66">
        <f>+S1915-O1915</f>
        <v>-1.8789075008660869E-3</v>
      </c>
      <c r="AA1915" s="66"/>
      <c r="AB1915" s="66"/>
      <c r="AC1915" s="9"/>
      <c r="CC1915" s="7"/>
    </row>
    <row r="1916" spans="2:81">
      <c r="B1916" s="6"/>
      <c r="C1916" s="1" t="s">
        <v>358</v>
      </c>
      <c r="G1916" s="66">
        <f>+E1905</f>
        <v>-2.2336392873362229E-3</v>
      </c>
      <c r="H1916" s="66"/>
      <c r="I1916" s="66"/>
      <c r="J1916" s="9" t="s">
        <v>5</v>
      </c>
      <c r="K1916" s="66">
        <f>+N1892</f>
        <v>0.8</v>
      </c>
      <c r="L1916" s="66"/>
      <c r="M1916" s="1" t="s">
        <v>254</v>
      </c>
      <c r="N1916" s="1">
        <v>2</v>
      </c>
      <c r="O1916" s="9" t="s">
        <v>9</v>
      </c>
      <c r="P1916" s="66">
        <f>+M1905</f>
        <v>1.7609604339995119E-3</v>
      </c>
      <c r="Q1916" s="66"/>
      <c r="R1916" s="66"/>
      <c r="S1916" s="9" t="s">
        <v>5</v>
      </c>
      <c r="T1916" s="66">
        <f>+K1916</f>
        <v>0.8</v>
      </c>
      <c r="U1916" s="66"/>
      <c r="V1916" s="1" t="s">
        <v>455</v>
      </c>
      <c r="W1916" s="1">
        <v>6</v>
      </c>
      <c r="X1916" s="1" t="s">
        <v>9</v>
      </c>
      <c r="Y1916" s="66">
        <f>+U1905</f>
        <v>2.3170532026309365E-4</v>
      </c>
      <c r="Z1916" s="66"/>
      <c r="AA1916" s="66"/>
      <c r="AB1916" s="9" t="s">
        <v>5</v>
      </c>
      <c r="AC1916" s="66">
        <f>+T1916</f>
        <v>0.8</v>
      </c>
      <c r="AD1916" s="66"/>
      <c r="AE1916" s="1" t="s">
        <v>403</v>
      </c>
      <c r="AF1916" s="66">
        <v>12</v>
      </c>
      <c r="AG1916" s="66"/>
      <c r="AH1916" s="9" t="s">
        <v>7</v>
      </c>
      <c r="AI1916" s="79">
        <f>G1916*K1916^2/N1916+P1916*T1916^3/W1916+Y1916*AC1916^4/AF1916</f>
        <v>-5.5658707331465284E-4</v>
      </c>
      <c r="AJ1916" s="79"/>
      <c r="AK1916" s="79"/>
      <c r="CC1916" s="7"/>
    </row>
    <row r="1917" spans="2:81">
      <c r="B1917" s="6"/>
      <c r="C1917" s="1" t="s">
        <v>458</v>
      </c>
      <c r="G1917" s="66">
        <f>+M1909</f>
        <v>2.0634231103388357E-3</v>
      </c>
      <c r="H1917" s="66"/>
      <c r="I1917" s="66"/>
      <c r="J1917" s="9" t="s">
        <v>5</v>
      </c>
      <c r="K1917" s="66">
        <f>+Q1909</f>
        <v>0.8</v>
      </c>
      <c r="L1917" s="66"/>
      <c r="M1917" s="1" t="s">
        <v>455</v>
      </c>
      <c r="N1917" s="1">
        <v>6</v>
      </c>
      <c r="O1917" s="9" t="s">
        <v>9</v>
      </c>
      <c r="P1917" s="66">
        <f>+Y1909</f>
        <v>4.3440486533449172E-4</v>
      </c>
      <c r="Q1917" s="66"/>
      <c r="R1917" s="66"/>
      <c r="S1917" s="9" t="s">
        <v>5</v>
      </c>
      <c r="T1917" s="66">
        <f>+AC1909</f>
        <v>0.4</v>
      </c>
      <c r="U1917" s="66"/>
      <c r="V1917" s="1" t="s">
        <v>455</v>
      </c>
      <c r="W1917" s="1">
        <v>6</v>
      </c>
      <c r="X1917" s="9" t="s">
        <v>9</v>
      </c>
      <c r="Y1917" s="1" t="s">
        <v>315</v>
      </c>
      <c r="Z1917" s="9" t="s">
        <v>7</v>
      </c>
      <c r="AA1917" s="1" t="s">
        <v>315</v>
      </c>
      <c r="AB1917" s="9" t="s">
        <v>9</v>
      </c>
      <c r="AC1917" s="79">
        <f>G1917*K1917^3/N1917+P1917*T1917^3/W1917</f>
        <v>1.8071242397914861E-4</v>
      </c>
      <c r="AD1917" s="79"/>
      <c r="AE1917" s="79"/>
      <c r="AM1917" s="9"/>
      <c r="CC1917" s="7"/>
    </row>
    <row r="1918" spans="2:81">
      <c r="B1918" s="6"/>
      <c r="C1918" s="1" t="s">
        <v>461</v>
      </c>
      <c r="M1918" s="1" t="s">
        <v>315</v>
      </c>
      <c r="N1918" s="9" t="s">
        <v>9</v>
      </c>
      <c r="O1918" s="79">
        <f>+AC1917</f>
        <v>1.8071242397914861E-4</v>
      </c>
      <c r="P1918" s="79"/>
      <c r="Q1918" s="79"/>
      <c r="R1918" s="9" t="s">
        <v>7</v>
      </c>
      <c r="S1918" s="66">
        <f>+AI1916</f>
        <v>-5.5658707331465284E-4</v>
      </c>
      <c r="T1918" s="66"/>
      <c r="U1918" s="66"/>
      <c r="X1918" s="1" t="s">
        <v>315</v>
      </c>
      <c r="Y1918" s="9" t="s">
        <v>7</v>
      </c>
      <c r="Z1918" s="66">
        <f>+S1918-O1918</f>
        <v>-7.3729949729380148E-4</v>
      </c>
      <c r="AA1918" s="66"/>
      <c r="AB1918" s="66"/>
      <c r="AD1918" s="9"/>
      <c r="AH1918" s="9"/>
      <c r="AI1918" s="9"/>
      <c r="CC1918" s="7"/>
    </row>
    <row r="1919" spans="2:81">
      <c r="B1919" s="6"/>
      <c r="C1919" s="24" t="s">
        <v>303</v>
      </c>
      <c r="CC1919" s="7"/>
    </row>
    <row r="1920" spans="2:81">
      <c r="B1920" s="6"/>
      <c r="C1920" s="1" t="s">
        <v>625</v>
      </c>
      <c r="G1920" s="66">
        <f>+E1905</f>
        <v>-2.2336392873362229E-3</v>
      </c>
      <c r="H1920" s="66"/>
      <c r="I1920" s="66"/>
      <c r="J1920" s="9" t="s">
        <v>5</v>
      </c>
      <c r="K1920" s="9" t="s">
        <v>183</v>
      </c>
      <c r="L1920" s="9" t="s">
        <v>173</v>
      </c>
      <c r="M1920" s="9">
        <v>2</v>
      </c>
      <c r="N1920" s="9" t="s">
        <v>9</v>
      </c>
      <c r="O1920" s="66">
        <f>+M1905</f>
        <v>1.7609604339995119E-3</v>
      </c>
      <c r="P1920" s="66"/>
      <c r="Q1920" s="66"/>
      <c r="R1920" s="9" t="s">
        <v>5</v>
      </c>
      <c r="S1920" s="9" t="s">
        <v>184</v>
      </c>
      <c r="T1920" s="1" t="s">
        <v>173</v>
      </c>
      <c r="U1920" s="1">
        <v>6</v>
      </c>
      <c r="V1920" s="9" t="s">
        <v>9</v>
      </c>
      <c r="W1920" s="66">
        <f>+U1905</f>
        <v>2.3170532026309365E-4</v>
      </c>
      <c r="X1920" s="66"/>
      <c r="Y1920" s="66"/>
      <c r="Z1920" s="9" t="s">
        <v>5</v>
      </c>
      <c r="AA1920" s="9" t="s">
        <v>185</v>
      </c>
      <c r="AB1920" s="1" t="s">
        <v>173</v>
      </c>
      <c r="AC1920" s="66">
        <v>12</v>
      </c>
      <c r="AD1920" s="66"/>
      <c r="AE1920" s="9" t="s">
        <v>9</v>
      </c>
      <c r="AF1920" s="1" t="s">
        <v>24</v>
      </c>
      <c r="AG1920" s="9" t="s">
        <v>5</v>
      </c>
      <c r="AH1920" s="9" t="s">
        <v>13</v>
      </c>
      <c r="AI1920" s="9" t="s">
        <v>9</v>
      </c>
      <c r="AJ1920" s="1" t="s">
        <v>307</v>
      </c>
      <c r="CC1920" s="7"/>
    </row>
    <row r="1921" spans="2:81">
      <c r="B1921" s="6"/>
      <c r="C1921" s="1" t="s">
        <v>35</v>
      </c>
      <c r="E1921" s="66">
        <f>+G1920</f>
        <v>-2.2336392873362229E-3</v>
      </c>
      <c r="F1921" s="66"/>
      <c r="G1921" s="66"/>
      <c r="H1921" s="9" t="s">
        <v>5</v>
      </c>
      <c r="I1921" s="9" t="s">
        <v>183</v>
      </c>
      <c r="J1921" s="9" t="s">
        <v>173</v>
      </c>
      <c r="K1921" s="9">
        <v>2</v>
      </c>
      <c r="L1921" s="9" t="s">
        <v>9</v>
      </c>
      <c r="M1921" s="66">
        <f>+O1920</f>
        <v>1.7609604339995119E-3</v>
      </c>
      <c r="N1921" s="66"/>
      <c r="O1921" s="66"/>
      <c r="P1921" s="9" t="s">
        <v>5</v>
      </c>
      <c r="Q1921" s="9" t="s">
        <v>184</v>
      </c>
      <c r="R1921" s="1" t="s">
        <v>173</v>
      </c>
      <c r="S1921" s="1">
        <v>6</v>
      </c>
      <c r="T1921" s="9" t="s">
        <v>9</v>
      </c>
      <c r="U1921" s="66">
        <f>+W1920</f>
        <v>2.3170532026309365E-4</v>
      </c>
      <c r="V1921" s="66"/>
      <c r="W1921" s="66"/>
      <c r="X1921" s="9" t="s">
        <v>5</v>
      </c>
      <c r="Y1921" s="9" t="s">
        <v>185</v>
      </c>
      <c r="Z1921" s="1" t="s">
        <v>173</v>
      </c>
      <c r="AA1921" s="66">
        <v>12</v>
      </c>
      <c r="AB1921" s="66"/>
      <c r="AC1921" s="1" t="s">
        <v>611</v>
      </c>
      <c r="CC1921" s="7"/>
    </row>
    <row r="1922" spans="2:81">
      <c r="B1922" s="6"/>
      <c r="C1922" s="1" t="s">
        <v>27</v>
      </c>
      <c r="D1922" s="67">
        <v>0.8</v>
      </c>
      <c r="E1922" s="67"/>
      <c r="F1922" s="67"/>
      <c r="G1922" s="1" t="s">
        <v>42</v>
      </c>
      <c r="O1922" s="8" t="str">
        <f>IF(D1922&lt;=N1892,"","azalt.")</f>
        <v/>
      </c>
      <c r="P1922" s="8"/>
      <c r="CC1922" s="7"/>
    </row>
    <row r="1923" spans="2:81">
      <c r="B1923" s="6"/>
      <c r="C1923" s="1" t="s">
        <v>35</v>
      </c>
      <c r="E1923" s="66">
        <f>+E1921</f>
        <v>-2.2336392873362229E-3</v>
      </c>
      <c r="F1923" s="66"/>
      <c r="G1923" s="66"/>
      <c r="H1923" s="9" t="s">
        <v>5</v>
      </c>
      <c r="I1923" s="66">
        <f>+D1922</f>
        <v>0.8</v>
      </c>
      <c r="J1923" s="66"/>
      <c r="K1923" s="1" t="s">
        <v>254</v>
      </c>
      <c r="L1923" s="1">
        <v>2</v>
      </c>
      <c r="M1923" s="9" t="s">
        <v>9</v>
      </c>
      <c r="N1923" s="66">
        <f>+M1921</f>
        <v>1.7609604339995119E-3</v>
      </c>
      <c r="O1923" s="66"/>
      <c r="P1923" s="66"/>
      <c r="Q1923" s="9" t="s">
        <v>5</v>
      </c>
      <c r="R1923" s="66">
        <f>+I1923</f>
        <v>0.8</v>
      </c>
      <c r="S1923" s="66"/>
      <c r="T1923" s="1" t="s">
        <v>455</v>
      </c>
      <c r="U1923" s="1">
        <v>6</v>
      </c>
      <c r="V1923" s="9" t="s">
        <v>9</v>
      </c>
      <c r="W1923" s="66">
        <f>+U1921</f>
        <v>2.3170532026309365E-4</v>
      </c>
      <c r="X1923" s="66"/>
      <c r="Y1923" s="66"/>
      <c r="Z1923" s="9" t="s">
        <v>5</v>
      </c>
      <c r="AA1923" s="66">
        <f>+R1923</f>
        <v>0.8</v>
      </c>
      <c r="AB1923" s="66"/>
      <c r="AC1923" s="1" t="s">
        <v>403</v>
      </c>
      <c r="AD1923" s="66">
        <v>12</v>
      </c>
      <c r="AE1923" s="66"/>
      <c r="AF1923" s="1" t="s">
        <v>612</v>
      </c>
      <c r="AI1923" s="66">
        <f>+L1896</f>
        <v>200000</v>
      </c>
      <c r="AJ1923" s="66"/>
      <c r="AK1923" s="66"/>
      <c r="AL1923" s="66"/>
      <c r="CC1923" s="7"/>
    </row>
    <row r="1924" spans="2:81">
      <c r="B1924" s="6"/>
      <c r="C1924" s="1" t="s">
        <v>33</v>
      </c>
      <c r="E1924" s="66">
        <f>(E1923*I1923^2/L1923+N1923*R1923^3/U1923+W1923*AA1923^4/AD1923)*100000000/AI1923</f>
        <v>-0.27829353665732642</v>
      </c>
      <c r="F1924" s="66"/>
      <c r="G1924" s="66"/>
      <c r="H1924" s="1" t="s">
        <v>41</v>
      </c>
      <c r="CC1924" s="7"/>
    </row>
    <row r="1925" spans="2:81">
      <c r="B1925" s="6"/>
      <c r="C1925" s="1" t="s">
        <v>202</v>
      </c>
      <c r="H1925" s="66">
        <f>Q1894*1000</f>
        <v>1500</v>
      </c>
      <c r="I1925" s="66"/>
      <c r="J1925" s="66"/>
      <c r="K1925" s="1" t="s">
        <v>173</v>
      </c>
      <c r="L1925" s="66">
        <v>200</v>
      </c>
      <c r="M1925" s="66"/>
      <c r="N1925" s="9" t="s">
        <v>7</v>
      </c>
      <c r="O1925" s="66">
        <f>+H1925/L1925</f>
        <v>7.5</v>
      </c>
      <c r="P1925" s="66"/>
      <c r="Q1925" s="66"/>
      <c r="R1925" s="1" t="s">
        <v>41</v>
      </c>
      <c r="U1925" s="1" t="s">
        <v>192</v>
      </c>
      <c r="CC1925" s="7"/>
    </row>
    <row r="1926" spans="2:81">
      <c r="B1926" s="6"/>
      <c r="C1926" s="1" t="s">
        <v>34</v>
      </c>
      <c r="D1926" s="66">
        <f>+E1924</f>
        <v>-0.27829353665732642</v>
      </c>
      <c r="E1926" s="66"/>
      <c r="F1926" s="66"/>
      <c r="G1926" s="1" t="s">
        <v>41</v>
      </c>
      <c r="I1926" s="1" t="str">
        <f>IF(ABS(D1926)&lt;ABS(M1926),"&lt;","&gt;")</f>
        <v>&lt;</v>
      </c>
      <c r="J1926" s="1" t="s">
        <v>174</v>
      </c>
      <c r="M1926" s="66">
        <f>+O1925</f>
        <v>7.5</v>
      </c>
      <c r="N1926" s="66"/>
      <c r="O1926" s="66"/>
      <c r="P1926" s="1" t="s">
        <v>41</v>
      </c>
      <c r="R1926" s="8" t="str">
        <f>IF(ABS(D1926)&lt;ABS(M1926),"uygun.","uygun değil.")</f>
        <v>uygun.</v>
      </c>
      <c r="CC1926" s="7"/>
    </row>
    <row r="1927" spans="2:81">
      <c r="B1927" s="6"/>
      <c r="C1927" s="24" t="s">
        <v>308</v>
      </c>
      <c r="CC1927" s="7"/>
    </row>
    <row r="1928" spans="2:81">
      <c r="B1928" s="6"/>
      <c r="C1928" s="1" t="s">
        <v>625</v>
      </c>
      <c r="G1928" s="66">
        <f>+E1909</f>
        <v>-2.6172893136403126E-3</v>
      </c>
      <c r="H1928" s="66"/>
      <c r="I1928" s="66"/>
      <c r="J1928" s="9" t="s">
        <v>5</v>
      </c>
      <c r="K1928" s="9" t="s">
        <v>443</v>
      </c>
      <c r="L1928" s="9" t="s">
        <v>173</v>
      </c>
      <c r="M1928" s="9">
        <v>2</v>
      </c>
      <c r="N1928" s="9" t="s">
        <v>9</v>
      </c>
      <c r="O1928" s="66">
        <f>+M1909</f>
        <v>2.0634231103388357E-3</v>
      </c>
      <c r="P1928" s="66"/>
      <c r="Q1928" s="66"/>
      <c r="R1928" s="9" t="s">
        <v>14</v>
      </c>
      <c r="S1928" s="66">
        <f>+Q1909</f>
        <v>0.8</v>
      </c>
      <c r="T1928" s="66"/>
      <c r="U1928" s="9" t="s">
        <v>9</v>
      </c>
      <c r="V1928" s="9" t="s">
        <v>428</v>
      </c>
      <c r="W1928" s="1" t="s">
        <v>311</v>
      </c>
      <c r="X1928" s="1" t="s">
        <v>173</v>
      </c>
      <c r="Y1928" s="1">
        <v>6</v>
      </c>
      <c r="Z1928" s="9" t="s">
        <v>9</v>
      </c>
      <c r="AA1928" s="66">
        <f>+Y1909</f>
        <v>4.3440486533449172E-4</v>
      </c>
      <c r="AB1928" s="66"/>
      <c r="AC1928" s="66"/>
      <c r="AD1928" s="1" t="s">
        <v>14</v>
      </c>
      <c r="AE1928" s="66">
        <f>+AC1909</f>
        <v>0.4</v>
      </c>
      <c r="AF1928" s="66"/>
      <c r="AG1928" s="9" t="s">
        <v>9</v>
      </c>
      <c r="AH1928" s="9" t="s">
        <v>428</v>
      </c>
      <c r="AI1928" s="1" t="s">
        <v>311</v>
      </c>
      <c r="AJ1928" s="1" t="s">
        <v>173</v>
      </c>
      <c r="AK1928" s="1">
        <v>6</v>
      </c>
      <c r="AL1928" s="9" t="s">
        <v>9</v>
      </c>
      <c r="AM1928" s="1" t="s">
        <v>313</v>
      </c>
      <c r="AN1928" s="9" t="s">
        <v>5</v>
      </c>
      <c r="AO1928" s="9" t="s">
        <v>428</v>
      </c>
      <c r="AP1928" s="9" t="s">
        <v>9</v>
      </c>
      <c r="AQ1928" s="1" t="s">
        <v>315</v>
      </c>
      <c r="CC1928" s="7"/>
    </row>
    <row r="1929" spans="2:81">
      <c r="B1929" s="6"/>
      <c r="C1929" s="1" t="s">
        <v>35</v>
      </c>
      <c r="E1929" s="66">
        <f>+G1928</f>
        <v>-2.6172893136403126E-3</v>
      </c>
      <c r="F1929" s="66"/>
      <c r="G1929" s="66"/>
      <c r="H1929" s="9" t="s">
        <v>5</v>
      </c>
      <c r="I1929" s="9" t="s">
        <v>443</v>
      </c>
      <c r="J1929" s="9" t="s">
        <v>173</v>
      </c>
      <c r="K1929" s="9">
        <v>2</v>
      </c>
      <c r="L1929" s="9" t="s">
        <v>9</v>
      </c>
      <c r="M1929" s="66">
        <f>+O1928</f>
        <v>2.0634231103388357E-3</v>
      </c>
      <c r="N1929" s="66"/>
      <c r="O1929" s="66"/>
      <c r="P1929" s="9" t="s">
        <v>14</v>
      </c>
      <c r="Q1929" s="66">
        <f>+S1928</f>
        <v>0.8</v>
      </c>
      <c r="R1929" s="66"/>
      <c r="S1929" s="9" t="s">
        <v>9</v>
      </c>
      <c r="T1929" s="9" t="s">
        <v>428</v>
      </c>
      <c r="U1929" s="1" t="s">
        <v>311</v>
      </c>
      <c r="V1929" s="1" t="s">
        <v>173</v>
      </c>
      <c r="W1929" s="1">
        <v>6</v>
      </c>
      <c r="X1929" s="9" t="s">
        <v>9</v>
      </c>
      <c r="Y1929" s="66">
        <f>+AA1928</f>
        <v>4.3440486533449172E-4</v>
      </c>
      <c r="Z1929" s="66"/>
      <c r="AA1929" s="66"/>
      <c r="AB1929" s="1" t="s">
        <v>14</v>
      </c>
      <c r="AC1929" s="66">
        <f>+AE1928</f>
        <v>0.4</v>
      </c>
      <c r="AD1929" s="66"/>
      <c r="AE1929" s="9" t="s">
        <v>9</v>
      </c>
      <c r="AF1929" s="9" t="s">
        <v>428</v>
      </c>
      <c r="AG1929" s="1" t="s">
        <v>311</v>
      </c>
      <c r="AH1929" s="1" t="s">
        <v>173</v>
      </c>
      <c r="AI1929" s="1">
        <v>6</v>
      </c>
      <c r="AJ1929" s="9" t="s">
        <v>9</v>
      </c>
      <c r="AK1929" s="66">
        <f>+Z1915</f>
        <v>-1.8789075008660869E-3</v>
      </c>
      <c r="AL1929" s="66"/>
      <c r="AM1929" s="66"/>
      <c r="AN1929" s="9" t="s">
        <v>5</v>
      </c>
      <c r="AO1929" s="9" t="s">
        <v>428</v>
      </c>
      <c r="AP1929" s="9" t="s">
        <v>9</v>
      </c>
      <c r="AQ1929" s="66">
        <f>+Z1918</f>
        <v>-7.3729949729380148E-4</v>
      </c>
      <c r="AR1929" s="66"/>
      <c r="AS1929" s="66"/>
      <c r="AT1929" s="1" t="s">
        <v>611</v>
      </c>
      <c r="CC1929" s="7"/>
    </row>
    <row r="1930" spans="2:81">
      <c r="B1930" s="6"/>
      <c r="C1930" s="1" t="s">
        <v>482</v>
      </c>
      <c r="D1930" s="67">
        <v>0</v>
      </c>
      <c r="E1930" s="67"/>
      <c r="F1930" s="67"/>
      <c r="G1930" s="1" t="s">
        <v>42</v>
      </c>
      <c r="O1930" s="8" t="str">
        <f>IF(D1930&gt;T1892,"azalt.","")</f>
        <v/>
      </c>
      <c r="P1930" s="8"/>
      <c r="CC1930" s="7"/>
    </row>
    <row r="1931" spans="2:81">
      <c r="B1931" s="6"/>
      <c r="C1931" s="1" t="s">
        <v>35</v>
      </c>
      <c r="E1931" s="66">
        <f>+E1929</f>
        <v>-2.6172893136403126E-3</v>
      </c>
      <c r="F1931" s="66"/>
      <c r="G1931" s="66"/>
      <c r="H1931" s="9" t="s">
        <v>5</v>
      </c>
      <c r="I1931" s="66">
        <f>+D1930</f>
        <v>0</v>
      </c>
      <c r="J1931" s="66"/>
      <c r="K1931" s="1" t="s">
        <v>254</v>
      </c>
      <c r="L1931" s="1">
        <v>2</v>
      </c>
      <c r="M1931" s="9" t="s">
        <v>9</v>
      </c>
      <c r="N1931" s="66">
        <f>+M1929</f>
        <v>2.0634231103388357E-3</v>
      </c>
      <c r="O1931" s="66"/>
      <c r="P1931" s="66"/>
      <c r="Q1931" s="9" t="s">
        <v>14</v>
      </c>
      <c r="R1931" s="66">
        <f>+Q1929</f>
        <v>0.8</v>
      </c>
      <c r="S1931" s="66"/>
      <c r="T1931" s="9" t="s">
        <v>9</v>
      </c>
      <c r="U1931" s="66">
        <f>+I1931</f>
        <v>0</v>
      </c>
      <c r="V1931" s="66"/>
      <c r="W1931" s="1" t="s">
        <v>311</v>
      </c>
      <c r="X1931" s="1" t="s">
        <v>173</v>
      </c>
      <c r="Y1931" s="1">
        <v>6</v>
      </c>
      <c r="Z1931" s="9" t="s">
        <v>9</v>
      </c>
      <c r="AA1931" s="66">
        <f>+Y1929</f>
        <v>4.3440486533449172E-4</v>
      </c>
      <c r="AB1931" s="66"/>
      <c r="AC1931" s="66"/>
      <c r="AD1931" s="1" t="s">
        <v>14</v>
      </c>
      <c r="AE1931" s="66">
        <f>+AC1929</f>
        <v>0.4</v>
      </c>
      <c r="AF1931" s="66"/>
      <c r="AG1931" s="9" t="s">
        <v>9</v>
      </c>
      <c r="AH1931" s="66">
        <f>+I1931</f>
        <v>0</v>
      </c>
      <c r="AI1931" s="66"/>
      <c r="AJ1931" s="1" t="s">
        <v>311</v>
      </c>
      <c r="AK1931" s="1" t="s">
        <v>173</v>
      </c>
      <c r="AL1931" s="1">
        <v>6</v>
      </c>
      <c r="AM1931" s="9" t="s">
        <v>9</v>
      </c>
      <c r="AN1931" s="66">
        <f>+AK1929</f>
        <v>-1.8789075008660869E-3</v>
      </c>
      <c r="AO1931" s="66"/>
      <c r="AP1931" s="66"/>
      <c r="AQ1931" s="9" t="s">
        <v>5</v>
      </c>
      <c r="AR1931" s="66">
        <f>+I1931</f>
        <v>0</v>
      </c>
      <c r="AS1931" s="66"/>
      <c r="AT1931" s="9" t="s">
        <v>9</v>
      </c>
      <c r="AU1931" s="66">
        <f>+AQ1929</f>
        <v>-7.3729949729380148E-4</v>
      </c>
      <c r="AV1931" s="66"/>
      <c r="AW1931" s="66"/>
      <c r="AX1931" s="1" t="s">
        <v>612</v>
      </c>
      <c r="BA1931" s="66">
        <f>+AI1923</f>
        <v>200000</v>
      </c>
      <c r="BB1931" s="66"/>
      <c r="BC1931" s="66"/>
      <c r="BD1931" s="66"/>
      <c r="CC1931" s="7"/>
    </row>
    <row r="1932" spans="2:81">
      <c r="B1932" s="6"/>
      <c r="C1932" s="1" t="s">
        <v>33</v>
      </c>
      <c r="E1932" s="66">
        <f>(E1931*I1931^2/L1931+N1931*(R1931+U1931)^3/Y1931+AA1931*(AE1931+AH1931)^3/AL1931+AN1931*AR1931+AU1931)*100000000/BA1931</f>
        <v>-0.27829353665732642</v>
      </c>
      <c r="F1932" s="66"/>
      <c r="G1932" s="66"/>
      <c r="H1932" s="1" t="s">
        <v>41</v>
      </c>
      <c r="CC1932" s="7"/>
    </row>
    <row r="1933" spans="2:81">
      <c r="B1933" s="6"/>
      <c r="C1933" s="1" t="s">
        <v>202</v>
      </c>
      <c r="H1933" s="66">
        <f>Q1894*1000</f>
        <v>1500</v>
      </c>
      <c r="I1933" s="66"/>
      <c r="J1933" s="66"/>
      <c r="K1933" s="1" t="s">
        <v>173</v>
      </c>
      <c r="L1933" s="66">
        <v>200</v>
      </c>
      <c r="M1933" s="66"/>
      <c r="N1933" s="9" t="s">
        <v>7</v>
      </c>
      <c r="O1933" s="66">
        <f>+H1933/L1933</f>
        <v>7.5</v>
      </c>
      <c r="P1933" s="66"/>
      <c r="Q1933" s="66"/>
      <c r="R1933" s="1" t="s">
        <v>41</v>
      </c>
      <c r="U1933" s="1" t="s">
        <v>192</v>
      </c>
      <c r="CC1933" s="7"/>
    </row>
    <row r="1934" spans="2:81">
      <c r="B1934" s="6"/>
      <c r="C1934" s="1" t="s">
        <v>34</v>
      </c>
      <c r="D1934" s="66">
        <f>+E1932</f>
        <v>-0.27829353665732642</v>
      </c>
      <c r="E1934" s="66"/>
      <c r="F1934" s="66"/>
      <c r="G1934" s="1" t="s">
        <v>41</v>
      </c>
      <c r="I1934" s="1" t="str">
        <f>IF(ABS(D1934)&lt;ABS(M1934),"&lt;","&gt;")</f>
        <v>&lt;</v>
      </c>
      <c r="J1934" s="1" t="s">
        <v>174</v>
      </c>
      <c r="M1934" s="66">
        <f>+O1933</f>
        <v>7.5</v>
      </c>
      <c r="N1934" s="66"/>
      <c r="O1934" s="66"/>
      <c r="P1934" s="1" t="s">
        <v>41</v>
      </c>
      <c r="R1934" s="8" t="str">
        <f>IF(ABS(D1934)&lt;ABS(M1934),"uygun.","uygun değil.")</f>
        <v>uygun.</v>
      </c>
      <c r="CC1934" s="7"/>
    </row>
    <row r="1935" spans="2:81" ht="12" thickBot="1">
      <c r="B1935" s="12"/>
      <c r="C1935" s="13"/>
      <c r="D1935" s="13"/>
      <c r="E1935" s="13"/>
      <c r="F1935" s="13"/>
      <c r="G1935" s="13"/>
      <c r="H1935" s="13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  <c r="AK1935" s="13"/>
      <c r="AL1935" s="13"/>
      <c r="AM1935" s="13"/>
      <c r="AN1935" s="13"/>
      <c r="AO1935" s="13"/>
      <c r="AP1935" s="13"/>
      <c r="AQ1935" s="13"/>
      <c r="AR1935" s="13"/>
      <c r="AS1935" s="13"/>
      <c r="AT1935" s="13"/>
      <c r="AU1935" s="13"/>
      <c r="AV1935" s="13"/>
      <c r="AW1935" s="13"/>
      <c r="AX1935" s="13"/>
      <c r="AY1935" s="13"/>
      <c r="AZ1935" s="13"/>
      <c r="BA1935" s="13"/>
      <c r="BB1935" s="13"/>
      <c r="BC1935" s="13"/>
      <c r="BD1935" s="13"/>
      <c r="BE1935" s="13"/>
      <c r="BF1935" s="13"/>
      <c r="BG1935" s="13"/>
      <c r="BH1935" s="13"/>
      <c r="BI1935" s="13"/>
      <c r="BJ1935" s="13"/>
      <c r="BK1935" s="13"/>
      <c r="BL1935" s="13"/>
      <c r="BM1935" s="13"/>
      <c r="BN1935" s="13"/>
      <c r="BO1935" s="13"/>
      <c r="BP1935" s="13"/>
      <c r="BQ1935" s="13"/>
      <c r="BR1935" s="13"/>
      <c r="BS1935" s="13"/>
      <c r="BT1935" s="13"/>
      <c r="BU1935" s="13"/>
      <c r="BV1935" s="13"/>
      <c r="BW1935" s="13"/>
      <c r="BX1935" s="13"/>
      <c r="BY1935" s="13"/>
      <c r="BZ1935" s="13"/>
      <c r="CA1935" s="13"/>
      <c r="CB1935" s="13"/>
      <c r="CC1935" s="14"/>
    </row>
    <row r="1936" spans="2:81" ht="12" thickBot="1"/>
    <row r="1937" spans="2:81" ht="48" customHeight="1">
      <c r="B1937" s="73" t="s">
        <v>579</v>
      </c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Q1937" s="74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  <c r="AL1937" s="74"/>
      <c r="AM1937" s="74"/>
      <c r="AN1937" s="74"/>
      <c r="AO1937" s="74"/>
      <c r="AP1937" s="74"/>
      <c r="AQ1937" s="74"/>
      <c r="AR1937" s="74"/>
      <c r="AS1937" s="74"/>
      <c r="AT1937" s="74"/>
      <c r="AU1937" s="74"/>
      <c r="AV1937" s="74"/>
      <c r="AW1937" s="74"/>
      <c r="AX1937" s="74"/>
      <c r="AY1937" s="74"/>
      <c r="AZ1937" s="74"/>
      <c r="BA1937" s="74"/>
      <c r="BB1937" s="74"/>
      <c r="BC1937" s="74"/>
      <c r="BD1937" s="74"/>
      <c r="BE1937" s="74"/>
      <c r="BF1937" s="74"/>
      <c r="BG1937" s="74"/>
      <c r="BH1937" s="74"/>
      <c r="BI1937" s="74"/>
      <c r="BJ1937" s="74"/>
      <c r="BK1937" s="74"/>
      <c r="BL1937" s="74"/>
      <c r="BM1937" s="74"/>
      <c r="BN1937" s="74"/>
      <c r="BO1937" s="74"/>
      <c r="BP1937" s="74"/>
      <c r="BQ1937" s="74"/>
      <c r="BR1937" s="74"/>
      <c r="BS1937" s="74"/>
      <c r="BT1937" s="74"/>
      <c r="BU1937" s="74"/>
      <c r="BV1937" s="74"/>
      <c r="BW1937" s="74"/>
      <c r="BX1937" s="74"/>
      <c r="BY1937" s="74"/>
      <c r="BZ1937" s="74"/>
      <c r="CA1937" s="74"/>
      <c r="CB1937" s="74"/>
      <c r="CC1937" s="75"/>
    </row>
    <row r="1938" spans="2:81">
      <c r="B1938" s="6"/>
      <c r="S1938" s="8" t="s">
        <v>176</v>
      </c>
      <c r="CC1938" s="7"/>
    </row>
    <row r="1939" spans="2:81">
      <c r="B1939" s="6"/>
      <c r="C1939" s="9"/>
      <c r="D1939" s="9"/>
      <c r="AA1939" s="67">
        <v>150</v>
      </c>
      <c r="AB1939" s="67"/>
      <c r="AC1939" s="1" t="s">
        <v>0</v>
      </c>
      <c r="AF1939" s="1" t="s">
        <v>290</v>
      </c>
      <c r="AZ1939" s="23" t="s">
        <v>614</v>
      </c>
      <c r="BH1939" s="23" t="s">
        <v>615</v>
      </c>
      <c r="CC1939" s="7"/>
    </row>
    <row r="1940" spans="2:81">
      <c r="B1940" s="6"/>
      <c r="C1940" s="9"/>
      <c r="D1940" s="9"/>
      <c r="G1940" s="1" t="s">
        <v>559</v>
      </c>
      <c r="S1940" s="66">
        <f>+AT1943</f>
        <v>225</v>
      </c>
      <c r="T1940" s="66"/>
      <c r="U1940" s="1" t="s">
        <v>191</v>
      </c>
      <c r="BD1940" s="71" t="s">
        <v>41</v>
      </c>
      <c r="CC1940" s="7"/>
    </row>
    <row r="1941" spans="2:81">
      <c r="B1941" s="6"/>
      <c r="C1941" s="9"/>
      <c r="D1941" s="9"/>
      <c r="AE1941" s="1" t="s">
        <v>504</v>
      </c>
      <c r="AL1941" s="1" t="s">
        <v>505</v>
      </c>
      <c r="BD1941" s="71"/>
      <c r="BL1941" s="71" t="s">
        <v>41</v>
      </c>
      <c r="CC1941" s="7"/>
    </row>
    <row r="1942" spans="2:81">
      <c r="B1942" s="6"/>
      <c r="C1942" s="9"/>
      <c r="D1942" s="9"/>
      <c r="Q1942" s="1" t="s">
        <v>6</v>
      </c>
      <c r="BD1942" s="77">
        <v>300</v>
      </c>
      <c r="BL1942" s="71"/>
      <c r="CC1942" s="7"/>
    </row>
    <row r="1943" spans="2:81">
      <c r="B1943" s="6"/>
      <c r="C1943" s="9"/>
      <c r="D1943" s="9"/>
      <c r="AT1943" s="66">
        <f>+AA1939*AI1952</f>
        <v>225</v>
      </c>
      <c r="AU1943" s="66"/>
      <c r="AV1943" s="1" t="s">
        <v>191</v>
      </c>
      <c r="BD1943" s="77"/>
      <c r="BL1943" s="77">
        <v>500</v>
      </c>
      <c r="CC1943" s="7"/>
    </row>
    <row r="1944" spans="2:81">
      <c r="B1944" s="6"/>
      <c r="C1944" s="9"/>
      <c r="D1944" s="9"/>
      <c r="AT1944" s="9"/>
      <c r="AU1944" s="9"/>
      <c r="BD1944" s="77"/>
      <c r="BL1944" s="77"/>
      <c r="BM1944" s="8" t="str">
        <f>IF(BD1942&lt;BL1943,"","artır.")</f>
        <v/>
      </c>
      <c r="CC1944" s="7"/>
    </row>
    <row r="1945" spans="2:81">
      <c r="B1945" s="6"/>
      <c r="C1945" s="9"/>
      <c r="D1945" s="9"/>
      <c r="AT1945" s="9"/>
      <c r="AU1945" s="9"/>
      <c r="BL1945" s="77"/>
      <c r="CC1945" s="7"/>
    </row>
    <row r="1946" spans="2:81">
      <c r="B1946" s="6"/>
      <c r="C1946" s="9"/>
      <c r="D1946" s="9"/>
      <c r="H1946" s="1" t="s">
        <v>560</v>
      </c>
      <c r="AT1946" s="9"/>
      <c r="AU1946" s="9"/>
      <c r="BA1946" s="67">
        <v>200</v>
      </c>
      <c r="BB1946" s="67"/>
      <c r="BC1946" s="1" t="s">
        <v>41</v>
      </c>
      <c r="CC1946" s="7"/>
    </row>
    <row r="1947" spans="2:81">
      <c r="B1947" s="6"/>
      <c r="C1947" s="66">
        <f>+AQ1949</f>
        <v>150</v>
      </c>
      <c r="D1947" s="66"/>
      <c r="E1947" s="1" t="s">
        <v>0</v>
      </c>
      <c r="S1947" s="66">
        <f>+AQ1949</f>
        <v>150</v>
      </c>
      <c r="T1947" s="66"/>
      <c r="U1947" s="1" t="s">
        <v>0</v>
      </c>
      <c r="CC1947" s="7"/>
    </row>
    <row r="1948" spans="2:81">
      <c r="B1948" s="6"/>
      <c r="C1948" s="9"/>
      <c r="D1948" s="9"/>
      <c r="AF1948" s="1" t="s">
        <v>428</v>
      </c>
      <c r="AN1948" s="1" t="s">
        <v>13</v>
      </c>
      <c r="AY1948" s="10" t="s">
        <v>609</v>
      </c>
      <c r="BA1948" s="66">
        <f>BA1946*BD1942^3/12</f>
        <v>450000000</v>
      </c>
      <c r="BB1948" s="66"/>
      <c r="BC1948" s="66"/>
      <c r="BD1948" s="66"/>
      <c r="BE1948" s="66"/>
      <c r="BF1948" s="1" t="s">
        <v>270</v>
      </c>
      <c r="BI1948" s="66">
        <f>+BA1946</f>
        <v>200</v>
      </c>
      <c r="BJ1948" s="66"/>
      <c r="BK1948" s="1" t="s">
        <v>41</v>
      </c>
      <c r="CC1948" s="7"/>
    </row>
    <row r="1949" spans="2:81">
      <c r="B1949" s="6"/>
      <c r="C1949" s="9"/>
      <c r="D1949" s="9"/>
      <c r="L1949" s="1" t="s">
        <v>9</v>
      </c>
      <c r="AP1949" s="1" t="s">
        <v>2</v>
      </c>
      <c r="AQ1949" s="66">
        <f>+AA1939</f>
        <v>150</v>
      </c>
      <c r="AR1949" s="66"/>
      <c r="AS1949" s="1" t="s">
        <v>0</v>
      </c>
      <c r="CC1949" s="7"/>
    </row>
    <row r="1950" spans="2:81">
      <c r="B1950" s="6"/>
      <c r="C1950" s="9"/>
      <c r="D1950" s="9"/>
      <c r="AE1950" s="67">
        <v>0.8</v>
      </c>
      <c r="AF1950" s="67"/>
      <c r="AG1950" s="1" t="s">
        <v>1</v>
      </c>
      <c r="AM1950" s="66">
        <f>+AI1952-AE1950</f>
        <v>0.7</v>
      </c>
      <c r="AN1950" s="66"/>
      <c r="AO1950" s="1" t="s">
        <v>1</v>
      </c>
      <c r="AQ1950" s="9"/>
      <c r="AR1950" s="9"/>
      <c r="BG1950" s="10" t="s">
        <v>608</v>
      </c>
      <c r="BI1950" s="66">
        <f>BI1948*BL1943^3/12</f>
        <v>2083333333.3333333</v>
      </c>
      <c r="BJ1950" s="66"/>
      <c r="BK1950" s="66"/>
      <c r="BL1950" s="66"/>
      <c r="BM1950" s="66"/>
      <c r="BN1950" s="1" t="s">
        <v>270</v>
      </c>
      <c r="CC1950" s="7"/>
    </row>
    <row r="1951" spans="2:81">
      <c r="B1951" s="6"/>
      <c r="C1951" s="9"/>
      <c r="D1951" s="9"/>
      <c r="AQ1951" s="9"/>
      <c r="AR1951" s="9"/>
      <c r="CC1951" s="7"/>
    </row>
    <row r="1952" spans="2:81">
      <c r="B1952" s="6"/>
      <c r="AI1952" s="67">
        <v>1.5</v>
      </c>
      <c r="AJ1952" s="67"/>
      <c r="AK1952" s="1" t="s">
        <v>1</v>
      </c>
      <c r="CC1952" s="7"/>
    </row>
    <row r="1953" spans="2:81">
      <c r="B1953" s="6"/>
      <c r="BC1953" s="23" t="s">
        <v>562</v>
      </c>
      <c r="CC1953" s="7"/>
    </row>
    <row r="1954" spans="2:81">
      <c r="B1954" s="6"/>
      <c r="C1954" s="23" t="s">
        <v>223</v>
      </c>
      <c r="AF1954" s="1" t="s">
        <v>38</v>
      </c>
      <c r="AH1954" s="67">
        <v>200000</v>
      </c>
      <c r="AI1954" s="67"/>
      <c r="AJ1954" s="67"/>
      <c r="AK1954" s="67"/>
      <c r="AL1954" s="1" t="s">
        <v>39</v>
      </c>
      <c r="AO1954" s="1" t="s">
        <v>302</v>
      </c>
      <c r="CC1954" s="7"/>
    </row>
    <row r="1955" spans="2:81">
      <c r="B1955" s="6"/>
      <c r="C1955" s="1" t="s">
        <v>613</v>
      </c>
      <c r="F1955" s="9"/>
      <c r="G1955" s="9"/>
      <c r="H1955" s="9"/>
      <c r="I1955" s="66">
        <f>-AT1943</f>
        <v>-225</v>
      </c>
      <c r="J1955" s="66"/>
      <c r="K1955" s="9" t="s">
        <v>9</v>
      </c>
      <c r="L1955" s="66">
        <f>+AQ1949</f>
        <v>150</v>
      </c>
      <c r="M1955" s="66"/>
      <c r="N1955" s="9" t="s">
        <v>5</v>
      </c>
      <c r="O1955" s="9" t="s">
        <v>13</v>
      </c>
      <c r="Q1955" s="1" t="s">
        <v>505</v>
      </c>
      <c r="BR1955" s="66">
        <f>+BI1948</f>
        <v>200</v>
      </c>
      <c r="BS1955" s="66"/>
      <c r="BT1955" s="1" t="s">
        <v>41</v>
      </c>
      <c r="CC1955" s="7"/>
    </row>
    <row r="1956" spans="2:81">
      <c r="B1956" s="6"/>
      <c r="C1956" s="1" t="s">
        <v>610</v>
      </c>
      <c r="E1956" s="1" t="s">
        <v>407</v>
      </c>
      <c r="F1956" s="9"/>
      <c r="G1956" s="9" t="s">
        <v>4</v>
      </c>
      <c r="H1956" s="1" t="s">
        <v>14</v>
      </c>
      <c r="I1956" s="66">
        <f>+AM1950</f>
        <v>0.7</v>
      </c>
      <c r="J1956" s="66"/>
      <c r="K1956" s="9" t="s">
        <v>9</v>
      </c>
      <c r="L1956" s="9" t="s">
        <v>428</v>
      </c>
      <c r="M1956" s="1" t="s">
        <v>201</v>
      </c>
      <c r="N1956" s="66">
        <f>-AT1943</f>
        <v>-225</v>
      </c>
      <c r="O1956" s="66"/>
      <c r="P1956" s="9" t="s">
        <v>9</v>
      </c>
      <c r="Q1956" s="66">
        <f>+AQ1949</f>
        <v>150</v>
      </c>
      <c r="R1956" s="66"/>
      <c r="S1956" s="9" t="s">
        <v>14</v>
      </c>
      <c r="T1956" s="66">
        <f>+AM1950</f>
        <v>0.7</v>
      </c>
      <c r="U1956" s="66"/>
      <c r="V1956" s="9" t="s">
        <v>9</v>
      </c>
      <c r="W1956" s="9" t="s">
        <v>428</v>
      </c>
      <c r="X1956" s="1" t="s">
        <v>201</v>
      </c>
      <c r="Y1956" s="66">
        <f>+Q1956</f>
        <v>150</v>
      </c>
      <c r="Z1956" s="66"/>
      <c r="AA1956" s="9" t="s">
        <v>5</v>
      </c>
      <c r="AB1956" s="9" t="s">
        <v>428</v>
      </c>
      <c r="AC1956" s="9" t="s">
        <v>9</v>
      </c>
      <c r="AD1956" s="66">
        <f>+Q1956*T1956+N1956</f>
        <v>-120</v>
      </c>
      <c r="AE1956" s="66"/>
      <c r="AG1956" s="1" t="s">
        <v>504</v>
      </c>
      <c r="CC1956" s="7"/>
    </row>
    <row r="1957" spans="2:81">
      <c r="B1957" s="6"/>
      <c r="C1957" s="24" t="s">
        <v>303</v>
      </c>
      <c r="F1957" s="9"/>
      <c r="G1957" s="9"/>
      <c r="H1957" s="9"/>
      <c r="U1957" s="9"/>
      <c r="V1957" s="9"/>
      <c r="AK1957" s="51"/>
      <c r="AL1957" s="51"/>
      <c r="AM1957" s="51"/>
      <c r="AN1957" s="51"/>
      <c r="CC1957" s="7"/>
    </row>
    <row r="1958" spans="2:81">
      <c r="B1958" s="6"/>
      <c r="C1958" s="1" t="s">
        <v>429</v>
      </c>
      <c r="E1958" s="66">
        <f>+L1955</f>
        <v>150</v>
      </c>
      <c r="F1958" s="66"/>
      <c r="G1958" s="9" t="s">
        <v>5</v>
      </c>
      <c r="H1958" s="9" t="s">
        <v>13</v>
      </c>
      <c r="I1958" s="1" t="s">
        <v>173</v>
      </c>
      <c r="J1958" s="66">
        <f>+BI1950/10000</f>
        <v>208333.33333333331</v>
      </c>
      <c r="K1958" s="66"/>
      <c r="L1958" s="66"/>
      <c r="M1958" s="66"/>
      <c r="N1958" s="9" t="s">
        <v>9</v>
      </c>
      <c r="O1958" s="66">
        <f>+I1955</f>
        <v>-225</v>
      </c>
      <c r="P1958" s="66"/>
      <c r="Q1958" s="1" t="s">
        <v>173</v>
      </c>
      <c r="R1958" s="66">
        <f>+J1958</f>
        <v>208333.33333333331</v>
      </c>
      <c r="S1958" s="66"/>
      <c r="T1958" s="66"/>
      <c r="U1958" s="66"/>
      <c r="V1958" s="9" t="s">
        <v>7</v>
      </c>
      <c r="W1958" s="66">
        <f>+E1958/J1958</f>
        <v>7.2000000000000005E-4</v>
      </c>
      <c r="X1958" s="66"/>
      <c r="Y1958" s="66"/>
      <c r="Z1958" s="9" t="s">
        <v>5</v>
      </c>
      <c r="AA1958" s="9" t="s">
        <v>13</v>
      </c>
      <c r="AB1958" s="9" t="s">
        <v>9</v>
      </c>
      <c r="AC1958" s="66">
        <f>+O1958/R1958</f>
        <v>-1.08E-3</v>
      </c>
      <c r="AD1958" s="66"/>
      <c r="AE1958" s="66"/>
      <c r="CC1958" s="7"/>
    </row>
    <row r="1959" spans="2:81">
      <c r="B1959" s="6"/>
      <c r="C1959" s="1" t="s">
        <v>432</v>
      </c>
      <c r="E1959" s="66">
        <f>+W1958</f>
        <v>7.2000000000000005E-4</v>
      </c>
      <c r="F1959" s="66"/>
      <c r="G1959" s="66"/>
      <c r="H1959" s="9" t="s">
        <v>5</v>
      </c>
      <c r="I1959" s="1" t="s">
        <v>183</v>
      </c>
      <c r="J1959" s="1" t="s">
        <v>173</v>
      </c>
      <c r="K1959" s="1">
        <v>2</v>
      </c>
      <c r="L1959" s="9" t="s">
        <v>9</v>
      </c>
      <c r="M1959" s="66">
        <f>+AC1958</f>
        <v>-1.08E-3</v>
      </c>
      <c r="N1959" s="66"/>
      <c r="O1959" s="66"/>
      <c r="P1959" s="9" t="s">
        <v>5</v>
      </c>
      <c r="Q1959" s="9" t="s">
        <v>13</v>
      </c>
      <c r="R1959" s="9" t="s">
        <v>9</v>
      </c>
      <c r="S1959" s="1" t="s">
        <v>24</v>
      </c>
      <c r="AW1959" s="66">
        <f>+BD1942</f>
        <v>300</v>
      </c>
      <c r="AX1959" s="66"/>
      <c r="AY1959" s="79" t="s">
        <v>41</v>
      </c>
      <c r="AZ1959" s="79"/>
      <c r="BS1959" s="66">
        <f>+BL1943</f>
        <v>500</v>
      </c>
      <c r="BT1959" s="66"/>
      <c r="BU1959" s="1" t="s">
        <v>41</v>
      </c>
      <c r="CC1959" s="7"/>
    </row>
    <row r="1960" spans="2:81">
      <c r="B1960" s="6"/>
      <c r="C1960" s="1" t="s">
        <v>431</v>
      </c>
      <c r="E1960" s="66">
        <f>+E1959</f>
        <v>7.2000000000000005E-4</v>
      </c>
      <c r="F1960" s="66"/>
      <c r="G1960" s="66"/>
      <c r="H1960" s="9" t="s">
        <v>5</v>
      </c>
      <c r="I1960" s="1" t="s">
        <v>184</v>
      </c>
      <c r="J1960" s="1" t="s">
        <v>173</v>
      </c>
      <c r="K1960" s="1">
        <v>6</v>
      </c>
      <c r="L1960" s="9" t="s">
        <v>9</v>
      </c>
      <c r="M1960" s="66">
        <f>+M1959</f>
        <v>-1.08E-3</v>
      </c>
      <c r="N1960" s="66"/>
      <c r="O1960" s="66"/>
      <c r="P1960" s="9" t="s">
        <v>5</v>
      </c>
      <c r="Q1960" s="1" t="s">
        <v>183</v>
      </c>
      <c r="R1960" s="1" t="s">
        <v>173</v>
      </c>
      <c r="S1960" s="1">
        <v>2</v>
      </c>
      <c r="T1960" s="9" t="s">
        <v>9</v>
      </c>
      <c r="U1960" s="1" t="s">
        <v>24</v>
      </c>
      <c r="V1960" s="9" t="s">
        <v>5</v>
      </c>
      <c r="W1960" s="9" t="s">
        <v>13</v>
      </c>
      <c r="X1960" s="9" t="s">
        <v>9</v>
      </c>
      <c r="Y1960" s="1" t="s">
        <v>307</v>
      </c>
      <c r="AW1960" s="66"/>
      <c r="AX1960" s="66"/>
      <c r="AY1960" s="79"/>
      <c r="AZ1960" s="79"/>
      <c r="CC1960" s="7"/>
    </row>
    <row r="1961" spans="2:81">
      <c r="B1961" s="6"/>
      <c r="C1961" s="24" t="s">
        <v>308</v>
      </c>
      <c r="E1961" s="9"/>
      <c r="F1961" s="9"/>
      <c r="G1961" s="9"/>
      <c r="AC1961" s="9"/>
      <c r="AD1961" s="9"/>
      <c r="CC1961" s="7"/>
    </row>
    <row r="1962" spans="2:81">
      <c r="B1962" s="6"/>
      <c r="C1962" s="1" t="s">
        <v>433</v>
      </c>
      <c r="E1962" s="66">
        <f>+Y1956</f>
        <v>150</v>
      </c>
      <c r="F1962" s="66"/>
      <c r="G1962" s="9" t="s">
        <v>5</v>
      </c>
      <c r="H1962" s="9" t="s">
        <v>428</v>
      </c>
      <c r="I1962" s="1" t="s">
        <v>173</v>
      </c>
      <c r="J1962" s="66">
        <f>+BA1948/10000</f>
        <v>45000</v>
      </c>
      <c r="K1962" s="66"/>
      <c r="L1962" s="66"/>
      <c r="M1962" s="66"/>
      <c r="N1962" s="9" t="s">
        <v>9</v>
      </c>
      <c r="O1962" s="66">
        <f>+AD1956</f>
        <v>-120</v>
      </c>
      <c r="P1962" s="66"/>
      <c r="Q1962" s="1" t="s">
        <v>173</v>
      </c>
      <c r="R1962" s="66">
        <f>+J1962</f>
        <v>45000</v>
      </c>
      <c r="S1962" s="66"/>
      <c r="T1962" s="66"/>
      <c r="U1962" s="66"/>
      <c r="V1962" s="9" t="s">
        <v>7</v>
      </c>
      <c r="W1962" s="66">
        <f>+E1962/J1962</f>
        <v>3.3333333333333335E-3</v>
      </c>
      <c r="X1962" s="66"/>
      <c r="Y1962" s="66"/>
      <c r="Z1962" s="9" t="s">
        <v>5</v>
      </c>
      <c r="AA1962" s="9" t="s">
        <v>428</v>
      </c>
      <c r="AB1962" s="9" t="s">
        <v>9</v>
      </c>
      <c r="AC1962" s="66">
        <f>+O1962/R1962</f>
        <v>-2.6666666666666666E-3</v>
      </c>
      <c r="AD1962" s="66"/>
      <c r="AE1962" s="66"/>
      <c r="AX1962" s="66">
        <f>+BA1946</f>
        <v>200</v>
      </c>
      <c r="AY1962" s="66"/>
      <c r="AZ1962" s="1" t="s">
        <v>41</v>
      </c>
      <c r="CC1962" s="7"/>
    </row>
    <row r="1963" spans="2:81">
      <c r="B1963" s="6"/>
      <c r="C1963" s="1" t="s">
        <v>430</v>
      </c>
      <c r="E1963" s="66">
        <f>+W1962</f>
        <v>3.3333333333333335E-3</v>
      </c>
      <c r="F1963" s="66"/>
      <c r="G1963" s="66"/>
      <c r="H1963" s="9" t="s">
        <v>5</v>
      </c>
      <c r="I1963" s="1" t="s">
        <v>443</v>
      </c>
      <c r="J1963" s="1" t="s">
        <v>173</v>
      </c>
      <c r="K1963" s="1">
        <v>2</v>
      </c>
      <c r="L1963" s="9" t="s">
        <v>9</v>
      </c>
      <c r="M1963" s="66">
        <f>+AC1962</f>
        <v>-2.6666666666666666E-3</v>
      </c>
      <c r="N1963" s="66"/>
      <c r="O1963" s="66"/>
      <c r="P1963" s="9" t="s">
        <v>5</v>
      </c>
      <c r="Q1963" s="9" t="s">
        <v>428</v>
      </c>
      <c r="R1963" s="9" t="s">
        <v>9</v>
      </c>
      <c r="S1963" s="1" t="s">
        <v>313</v>
      </c>
      <c r="CC1963" s="7"/>
    </row>
    <row r="1964" spans="2:81">
      <c r="B1964" s="6"/>
      <c r="C1964" s="1" t="s">
        <v>435</v>
      </c>
      <c r="E1964" s="66">
        <f>+E1963</f>
        <v>3.3333333333333335E-3</v>
      </c>
      <c r="F1964" s="66"/>
      <c r="G1964" s="66"/>
      <c r="H1964" s="9" t="s">
        <v>5</v>
      </c>
      <c r="I1964" s="1" t="s">
        <v>444</v>
      </c>
      <c r="J1964" s="1" t="s">
        <v>173</v>
      </c>
      <c r="K1964" s="1">
        <v>6</v>
      </c>
      <c r="L1964" s="9" t="s">
        <v>9</v>
      </c>
      <c r="M1964" s="66">
        <f>+M1963</f>
        <v>-2.6666666666666666E-3</v>
      </c>
      <c r="N1964" s="66"/>
      <c r="O1964" s="66"/>
      <c r="P1964" s="9" t="s">
        <v>5</v>
      </c>
      <c r="Q1964" s="1" t="s">
        <v>443</v>
      </c>
      <c r="R1964" s="1" t="s">
        <v>173</v>
      </c>
      <c r="S1964" s="1">
        <v>2</v>
      </c>
      <c r="T1964" s="9" t="s">
        <v>9</v>
      </c>
      <c r="U1964" s="1" t="s">
        <v>313</v>
      </c>
      <c r="V1964" s="9" t="s">
        <v>5</v>
      </c>
      <c r="W1964" s="9" t="s">
        <v>428</v>
      </c>
      <c r="X1964" s="9" t="s">
        <v>9</v>
      </c>
      <c r="Y1964" s="1" t="s">
        <v>315</v>
      </c>
      <c r="CC1964" s="7"/>
    </row>
    <row r="1965" spans="2:81">
      <c r="B1965" s="6"/>
      <c r="C1965" s="24" t="s">
        <v>318</v>
      </c>
      <c r="BJ1965" s="66">
        <f>+AI1952*1000</f>
        <v>1500</v>
      </c>
      <c r="BK1965" s="66"/>
      <c r="BL1965" s="66"/>
      <c r="BM1965" s="1" t="s">
        <v>41</v>
      </c>
      <c r="CC1965" s="7"/>
    </row>
    <row r="1966" spans="2:81">
      <c r="B1966" s="6"/>
      <c r="C1966" s="1" t="s">
        <v>436</v>
      </c>
      <c r="I1966" s="1" t="s">
        <v>416</v>
      </c>
      <c r="L1966" s="9"/>
      <c r="O1966" s="9"/>
      <c r="Q1966" s="9"/>
      <c r="R1966" s="9"/>
      <c r="CC1966" s="7"/>
    </row>
    <row r="1967" spans="2:81">
      <c r="B1967" s="6"/>
      <c r="C1967" s="1" t="s">
        <v>319</v>
      </c>
      <c r="I1967" s="1" t="s">
        <v>411</v>
      </c>
      <c r="L1967" s="9"/>
      <c r="Q1967" s="9"/>
      <c r="U1967" s="9"/>
      <c r="X1967" s="9"/>
      <c r="Z1967" s="9"/>
      <c r="AA1967" s="9"/>
      <c r="CC1967" s="7"/>
    </row>
    <row r="1968" spans="2:81">
      <c r="B1968" s="6"/>
      <c r="C1968" s="1" t="s">
        <v>320</v>
      </c>
      <c r="G1968" s="66">
        <f>+E1959</f>
        <v>7.2000000000000005E-4</v>
      </c>
      <c r="H1968" s="66"/>
      <c r="I1968" s="66"/>
      <c r="J1968" s="9" t="s">
        <v>5</v>
      </c>
      <c r="K1968" s="66">
        <f>+AM1950</f>
        <v>0.7</v>
      </c>
      <c r="L1968" s="66"/>
      <c r="M1968" s="1" t="s">
        <v>254</v>
      </c>
      <c r="N1968" s="1">
        <v>2</v>
      </c>
      <c r="O1968" s="9" t="s">
        <v>9</v>
      </c>
      <c r="P1968" s="66">
        <f>+M1959</f>
        <v>-1.08E-3</v>
      </c>
      <c r="Q1968" s="66"/>
      <c r="R1968" s="66"/>
      <c r="S1968" s="9" t="s">
        <v>5</v>
      </c>
      <c r="T1968" s="66">
        <f>+K1968</f>
        <v>0.7</v>
      </c>
      <c r="U1968" s="66"/>
      <c r="V1968" s="9" t="s">
        <v>7</v>
      </c>
      <c r="W1968" s="66">
        <f>+G1968*K1968^2/N1968+P1968*T1968</f>
        <v>-5.7959999999999999E-4</v>
      </c>
      <c r="X1968" s="66"/>
      <c r="Y1968" s="66"/>
      <c r="Z1968" s="9"/>
      <c r="CC1968" s="7"/>
    </row>
    <row r="1969" spans="2:81">
      <c r="B1969" s="6"/>
      <c r="C1969" s="1" t="s">
        <v>470</v>
      </c>
      <c r="G1969" s="1" t="s">
        <v>313</v>
      </c>
      <c r="J1969" s="9"/>
      <c r="V1969" s="9"/>
      <c r="X1969" s="9"/>
      <c r="Z1969" s="9"/>
      <c r="AM1969" s="23" t="s">
        <v>298</v>
      </c>
      <c r="CC1969" s="7"/>
    </row>
    <row r="1970" spans="2:81">
      <c r="B1970" s="6"/>
      <c r="C1970" s="1" t="s">
        <v>510</v>
      </c>
      <c r="M1970" s="1" t="s">
        <v>313</v>
      </c>
      <c r="N1970" s="9" t="s">
        <v>7</v>
      </c>
      <c r="O1970" s="66">
        <f>+W1968</f>
        <v>-5.7959999999999999E-4</v>
      </c>
      <c r="P1970" s="66"/>
      <c r="Q1970" s="66"/>
      <c r="R1970" s="9"/>
      <c r="CC1970" s="7"/>
    </row>
    <row r="1971" spans="2:81">
      <c r="B1971" s="6"/>
      <c r="C1971" s="1" t="s">
        <v>358</v>
      </c>
      <c r="G1971" s="66">
        <f>+E1960</f>
        <v>7.2000000000000005E-4</v>
      </c>
      <c r="H1971" s="66"/>
      <c r="I1971" s="66"/>
      <c r="J1971" s="9" t="s">
        <v>5</v>
      </c>
      <c r="K1971" s="66">
        <f>+AM1950</f>
        <v>0.7</v>
      </c>
      <c r="L1971" s="66"/>
      <c r="M1971" s="1" t="s">
        <v>30</v>
      </c>
      <c r="N1971" s="1">
        <v>6</v>
      </c>
      <c r="O1971" s="9" t="s">
        <v>9</v>
      </c>
      <c r="P1971" s="66">
        <f>+M1960</f>
        <v>-1.08E-3</v>
      </c>
      <c r="Q1971" s="66"/>
      <c r="R1971" s="66"/>
      <c r="S1971" s="9" t="s">
        <v>5</v>
      </c>
      <c r="T1971" s="66">
        <f>+K1971</f>
        <v>0.7</v>
      </c>
      <c r="U1971" s="66"/>
      <c r="V1971" s="1" t="s">
        <v>254</v>
      </c>
      <c r="W1971" s="1">
        <v>2</v>
      </c>
      <c r="X1971" s="9" t="s">
        <v>7</v>
      </c>
      <c r="Y1971" s="66">
        <f>+G1971*K1971^3/N1971+P1971*T1971^2/W1971</f>
        <v>-2.2343999999999999E-4</v>
      </c>
      <c r="Z1971" s="66"/>
      <c r="AA1971" s="66"/>
      <c r="AB1971" s="9"/>
      <c r="AE1971" s="9"/>
      <c r="AI1971" s="9"/>
      <c r="AO1971" s="9"/>
      <c r="AR1971" s="9"/>
      <c r="AT1971" s="9"/>
      <c r="CC1971" s="7"/>
    </row>
    <row r="1972" spans="2:81">
      <c r="B1972" s="6"/>
      <c r="C1972" s="1" t="s">
        <v>458</v>
      </c>
      <c r="G1972" s="1" t="s">
        <v>315</v>
      </c>
      <c r="J1972" s="9"/>
      <c r="K1972" s="66"/>
      <c r="L1972" s="66"/>
      <c r="O1972" s="9"/>
      <c r="P1972" s="66"/>
      <c r="Q1972" s="66"/>
      <c r="R1972" s="66"/>
      <c r="S1972" s="9"/>
      <c r="T1972" s="66"/>
      <c r="U1972" s="66"/>
      <c r="V1972" s="9"/>
      <c r="Z1972" s="9"/>
      <c r="AA1972" s="66"/>
      <c r="AB1972" s="66"/>
      <c r="AC1972" s="66"/>
      <c r="AM1972" s="9"/>
      <c r="CC1972" s="7"/>
    </row>
    <row r="1973" spans="2:81">
      <c r="B1973" s="6"/>
      <c r="C1973" s="1" t="s">
        <v>461</v>
      </c>
      <c r="M1973" s="1" t="s">
        <v>315</v>
      </c>
      <c r="N1973" s="9" t="s">
        <v>7</v>
      </c>
      <c r="O1973" s="66">
        <f>+Y1971</f>
        <v>-2.2343999999999999E-4</v>
      </c>
      <c r="P1973" s="66"/>
      <c r="Q1973" s="66"/>
      <c r="R1973" s="9"/>
      <c r="AD1973" s="9"/>
      <c r="AH1973" s="9"/>
      <c r="AI1973" s="9"/>
      <c r="CC1973" s="7"/>
    </row>
    <row r="1974" spans="2:81">
      <c r="B1974" s="6"/>
      <c r="C1974" s="24" t="s">
        <v>303</v>
      </c>
      <c r="CC1974" s="7"/>
    </row>
    <row r="1975" spans="2:81">
      <c r="B1975" s="6"/>
      <c r="C1975" s="1" t="s">
        <v>625</v>
      </c>
      <c r="G1975" s="66">
        <f>+E1960</f>
        <v>7.2000000000000005E-4</v>
      </c>
      <c r="H1975" s="66"/>
      <c r="I1975" s="66"/>
      <c r="J1975" s="9" t="s">
        <v>5</v>
      </c>
      <c r="K1975" s="1" t="s">
        <v>184</v>
      </c>
      <c r="L1975" s="1" t="s">
        <v>173</v>
      </c>
      <c r="M1975" s="1">
        <v>6</v>
      </c>
      <c r="N1975" s="9" t="s">
        <v>9</v>
      </c>
      <c r="O1975" s="66">
        <f>+M1960</f>
        <v>-1.08E-3</v>
      </c>
      <c r="P1975" s="66"/>
      <c r="Q1975" s="66"/>
      <c r="R1975" s="9" t="s">
        <v>5</v>
      </c>
      <c r="S1975" s="1" t="s">
        <v>183</v>
      </c>
      <c r="T1975" s="1" t="s">
        <v>173</v>
      </c>
      <c r="U1975" s="1">
        <v>2</v>
      </c>
      <c r="V1975" s="9" t="s">
        <v>9</v>
      </c>
      <c r="W1975" s="1" t="s">
        <v>24</v>
      </c>
      <c r="X1975" s="9" t="s">
        <v>5</v>
      </c>
      <c r="Y1975" s="9" t="s">
        <v>13</v>
      </c>
      <c r="Z1975" s="9" t="s">
        <v>9</v>
      </c>
      <c r="AA1975" s="1" t="s">
        <v>307</v>
      </c>
      <c r="CC1975" s="7"/>
    </row>
    <row r="1976" spans="2:81">
      <c r="B1976" s="6"/>
      <c r="C1976" s="1" t="s">
        <v>35</v>
      </c>
      <c r="E1976" s="66">
        <f>+G1975</f>
        <v>7.2000000000000005E-4</v>
      </c>
      <c r="F1976" s="66"/>
      <c r="G1976" s="66"/>
      <c r="H1976" s="9" t="s">
        <v>5</v>
      </c>
      <c r="I1976" s="1" t="s">
        <v>184</v>
      </c>
      <c r="J1976" s="1" t="s">
        <v>173</v>
      </c>
      <c r="K1976" s="1">
        <v>6</v>
      </c>
      <c r="L1976" s="9" t="s">
        <v>9</v>
      </c>
      <c r="M1976" s="66">
        <f>+O1975</f>
        <v>-1.08E-3</v>
      </c>
      <c r="N1976" s="66"/>
      <c r="O1976" s="66"/>
      <c r="P1976" s="9" t="s">
        <v>5</v>
      </c>
      <c r="Q1976" s="9" t="s">
        <v>183</v>
      </c>
      <c r="R1976" s="9" t="s">
        <v>173</v>
      </c>
      <c r="S1976" s="1">
        <v>2</v>
      </c>
      <c r="T1976" s="1" t="s">
        <v>611</v>
      </c>
      <c r="CC1976" s="7"/>
    </row>
    <row r="1977" spans="2:81">
      <c r="B1977" s="6"/>
      <c r="C1977" s="1" t="s">
        <v>27</v>
      </c>
      <c r="D1977" s="67">
        <v>0.7</v>
      </c>
      <c r="E1977" s="67"/>
      <c r="F1977" s="67"/>
      <c r="G1977" s="1" t="s">
        <v>42</v>
      </c>
      <c r="O1977" s="8" t="str">
        <f>IF(D1977&lt;=AM1950,"","azalt.")</f>
        <v/>
      </c>
      <c r="P1977" s="8"/>
      <c r="CC1977" s="7"/>
    </row>
    <row r="1978" spans="2:81">
      <c r="B1978" s="6"/>
      <c r="C1978" s="1" t="s">
        <v>35</v>
      </c>
      <c r="E1978" s="66">
        <f>+E1976</f>
        <v>7.2000000000000005E-4</v>
      </c>
      <c r="F1978" s="66"/>
      <c r="G1978" s="66"/>
      <c r="H1978" s="9" t="s">
        <v>5</v>
      </c>
      <c r="I1978" s="66">
        <f>+D1977</f>
        <v>0.7</v>
      </c>
      <c r="J1978" s="66"/>
      <c r="K1978" s="1" t="s">
        <v>30</v>
      </c>
      <c r="L1978" s="1">
        <v>6</v>
      </c>
      <c r="M1978" s="9" t="s">
        <v>9</v>
      </c>
      <c r="N1978" s="66">
        <f>+M1976</f>
        <v>-1.08E-3</v>
      </c>
      <c r="O1978" s="66"/>
      <c r="P1978" s="66"/>
      <c r="Q1978" s="9" t="s">
        <v>5</v>
      </c>
      <c r="R1978" s="66">
        <f>+I1978</f>
        <v>0.7</v>
      </c>
      <c r="S1978" s="66"/>
      <c r="T1978" s="9" t="s">
        <v>254</v>
      </c>
      <c r="U1978" s="1">
        <v>2</v>
      </c>
      <c r="V1978" s="1" t="s">
        <v>612</v>
      </c>
      <c r="Y1978" s="66">
        <f>+AH1954</f>
        <v>200000</v>
      </c>
      <c r="Z1978" s="66"/>
      <c r="AA1978" s="66"/>
      <c r="AB1978" s="66"/>
      <c r="CC1978" s="7"/>
    </row>
    <row r="1979" spans="2:81">
      <c r="B1979" s="6"/>
      <c r="C1979" s="1" t="s">
        <v>33</v>
      </c>
      <c r="E1979" s="66">
        <f>(E1978*I1978^3/L1978+N1978*R1978^2/U1978)*100000000/Y1978</f>
        <v>-0.11172</v>
      </c>
      <c r="F1979" s="66"/>
      <c r="G1979" s="66"/>
      <c r="H1979" s="1" t="s">
        <v>41</v>
      </c>
      <c r="CC1979" s="7"/>
    </row>
    <row r="1980" spans="2:81">
      <c r="B1980" s="6"/>
      <c r="C1980" s="1" t="s">
        <v>202</v>
      </c>
      <c r="H1980" s="66">
        <f>AI1952*1000</f>
        <v>1500</v>
      </c>
      <c r="I1980" s="66"/>
      <c r="J1980" s="66"/>
      <c r="K1980" s="1" t="s">
        <v>173</v>
      </c>
      <c r="L1980" s="66">
        <v>200</v>
      </c>
      <c r="M1980" s="66"/>
      <c r="N1980" s="9" t="s">
        <v>7</v>
      </c>
      <c r="O1980" s="66">
        <f>+H1980/L1980</f>
        <v>7.5</v>
      </c>
      <c r="P1980" s="66"/>
      <c r="Q1980" s="66"/>
      <c r="R1980" s="1" t="s">
        <v>41</v>
      </c>
      <c r="U1980" s="1" t="s">
        <v>192</v>
      </c>
      <c r="CC1980" s="7"/>
    </row>
    <row r="1981" spans="2:81">
      <c r="B1981" s="6"/>
      <c r="C1981" s="1" t="s">
        <v>34</v>
      </c>
      <c r="D1981" s="66">
        <f>+E1979</f>
        <v>-0.11172</v>
      </c>
      <c r="E1981" s="66"/>
      <c r="F1981" s="66"/>
      <c r="G1981" s="1" t="s">
        <v>41</v>
      </c>
      <c r="I1981" s="1" t="str">
        <f>IF(ABS(D1981)&lt;ABS(M1981),"&lt;","&gt;")</f>
        <v>&lt;</v>
      </c>
      <c r="J1981" s="1" t="s">
        <v>174</v>
      </c>
      <c r="M1981" s="66">
        <f>+O1980</f>
        <v>7.5</v>
      </c>
      <c r="N1981" s="66"/>
      <c r="O1981" s="66"/>
      <c r="P1981" s="1" t="s">
        <v>41</v>
      </c>
      <c r="R1981" s="8" t="str">
        <f>IF(ABS(D1981)&lt;ABS(M1981),"uygun.","uygun değil.")</f>
        <v>uygun.</v>
      </c>
      <c r="CC1981" s="7"/>
    </row>
    <row r="1982" spans="2:81">
      <c r="B1982" s="6"/>
      <c r="C1982" s="24" t="s">
        <v>308</v>
      </c>
      <c r="CC1982" s="7"/>
    </row>
    <row r="1983" spans="2:81">
      <c r="B1983" s="6"/>
      <c r="C1983" s="1" t="s">
        <v>625</v>
      </c>
      <c r="G1983" s="66">
        <f>+E1964</f>
        <v>3.3333333333333335E-3</v>
      </c>
      <c r="H1983" s="66"/>
      <c r="I1983" s="66"/>
      <c r="J1983" s="9" t="s">
        <v>5</v>
      </c>
      <c r="K1983" s="1" t="s">
        <v>444</v>
      </c>
      <c r="L1983" s="1" t="s">
        <v>173</v>
      </c>
      <c r="M1983" s="1">
        <v>6</v>
      </c>
      <c r="N1983" s="9" t="s">
        <v>9</v>
      </c>
      <c r="O1983" s="66">
        <f>+M1964</f>
        <v>-2.6666666666666666E-3</v>
      </c>
      <c r="P1983" s="66"/>
      <c r="Q1983" s="66"/>
      <c r="R1983" s="9" t="s">
        <v>5</v>
      </c>
      <c r="S1983" s="1" t="s">
        <v>443</v>
      </c>
      <c r="T1983" s="1" t="s">
        <v>173</v>
      </c>
      <c r="U1983" s="1">
        <v>2</v>
      </c>
      <c r="V1983" s="9" t="s">
        <v>9</v>
      </c>
      <c r="W1983" s="1" t="s">
        <v>313</v>
      </c>
      <c r="X1983" s="9" t="s">
        <v>5</v>
      </c>
      <c r="Y1983" s="9" t="s">
        <v>428</v>
      </c>
      <c r="Z1983" s="9" t="s">
        <v>9</v>
      </c>
      <c r="AA1983" s="1" t="s">
        <v>315</v>
      </c>
      <c r="CC1983" s="7"/>
    </row>
    <row r="1984" spans="2:81">
      <c r="B1984" s="6"/>
      <c r="C1984" s="1" t="s">
        <v>35</v>
      </c>
      <c r="E1984" s="66">
        <f>+G1983</f>
        <v>3.3333333333333335E-3</v>
      </c>
      <c r="F1984" s="66"/>
      <c r="G1984" s="66"/>
      <c r="H1984" s="9" t="s">
        <v>5</v>
      </c>
      <c r="I1984" s="1" t="s">
        <v>444</v>
      </c>
      <c r="J1984" s="1" t="s">
        <v>173</v>
      </c>
      <c r="K1984" s="1">
        <v>6</v>
      </c>
      <c r="L1984" s="9" t="s">
        <v>9</v>
      </c>
      <c r="M1984" s="66">
        <f>+O1983</f>
        <v>-2.6666666666666666E-3</v>
      </c>
      <c r="N1984" s="66"/>
      <c r="O1984" s="66"/>
      <c r="P1984" s="9" t="s">
        <v>5</v>
      </c>
      <c r="Q1984" s="9" t="s">
        <v>443</v>
      </c>
      <c r="R1984" s="9" t="s">
        <v>173</v>
      </c>
      <c r="S1984" s="1">
        <v>2</v>
      </c>
      <c r="T1984" s="9" t="s">
        <v>9</v>
      </c>
      <c r="U1984" s="66">
        <f>+O1970</f>
        <v>-5.7959999999999999E-4</v>
      </c>
      <c r="V1984" s="66"/>
      <c r="W1984" s="66"/>
      <c r="X1984" s="9" t="s">
        <v>5</v>
      </c>
      <c r="Y1984" s="9" t="s">
        <v>428</v>
      </c>
      <c r="Z1984" s="9" t="s">
        <v>9</v>
      </c>
      <c r="AA1984" s="66">
        <f>+O1973</f>
        <v>-2.2343999999999999E-4</v>
      </c>
      <c r="AB1984" s="66"/>
      <c r="AC1984" s="66"/>
      <c r="AD1984" s="1" t="s">
        <v>611</v>
      </c>
      <c r="CC1984" s="7"/>
    </row>
    <row r="1985" spans="2:81">
      <c r="B1985" s="6"/>
      <c r="C1985" s="1" t="s">
        <v>482</v>
      </c>
      <c r="D1985" s="67">
        <v>0.8</v>
      </c>
      <c r="E1985" s="67"/>
      <c r="F1985" s="67"/>
      <c r="G1985" s="1" t="s">
        <v>42</v>
      </c>
      <c r="O1985" s="8" t="str">
        <f>IF(D1985&gt;AE1950,"azalt.","")</f>
        <v/>
      </c>
      <c r="P1985" s="8"/>
      <c r="CC1985" s="7"/>
    </row>
    <row r="1986" spans="2:81">
      <c r="B1986" s="6"/>
      <c r="C1986" s="1" t="s">
        <v>35</v>
      </c>
      <c r="E1986" s="66">
        <f>+E1984</f>
        <v>3.3333333333333335E-3</v>
      </c>
      <c r="F1986" s="66"/>
      <c r="G1986" s="66"/>
      <c r="H1986" s="9" t="s">
        <v>5</v>
      </c>
      <c r="I1986" s="66">
        <f>+D1985</f>
        <v>0.8</v>
      </c>
      <c r="J1986" s="66"/>
      <c r="K1986" s="1" t="s">
        <v>30</v>
      </c>
      <c r="L1986" s="1">
        <v>6</v>
      </c>
      <c r="M1986" s="9" t="s">
        <v>9</v>
      </c>
      <c r="N1986" s="66">
        <f>+M1984</f>
        <v>-2.6666666666666666E-3</v>
      </c>
      <c r="O1986" s="66"/>
      <c r="P1986" s="66"/>
      <c r="Q1986" s="9" t="s">
        <v>5</v>
      </c>
      <c r="R1986" s="66">
        <f>+I1986</f>
        <v>0.8</v>
      </c>
      <c r="S1986" s="66"/>
      <c r="T1986" s="9" t="s">
        <v>254</v>
      </c>
      <c r="U1986" s="1">
        <v>2</v>
      </c>
      <c r="V1986" s="9" t="s">
        <v>9</v>
      </c>
      <c r="W1986" s="66">
        <f>+U1984</f>
        <v>-5.7959999999999999E-4</v>
      </c>
      <c r="X1986" s="66"/>
      <c r="Y1986" s="66"/>
      <c r="Z1986" s="9" t="s">
        <v>5</v>
      </c>
      <c r="AA1986" s="66">
        <f>+R1986</f>
        <v>0.8</v>
      </c>
      <c r="AB1986" s="66"/>
      <c r="AC1986" s="9" t="s">
        <v>9</v>
      </c>
      <c r="AD1986" s="66">
        <f>+AA1984</f>
        <v>-2.2343999999999999E-4</v>
      </c>
      <c r="AE1986" s="66"/>
      <c r="AF1986" s="66"/>
      <c r="AG1986" s="1" t="s">
        <v>612</v>
      </c>
      <c r="AJ1986" s="66">
        <f>+Y1978</f>
        <v>200000</v>
      </c>
      <c r="AK1986" s="66"/>
      <c r="AL1986" s="66"/>
      <c r="AM1986" s="66"/>
      <c r="CC1986" s="7"/>
    </row>
    <row r="1987" spans="2:81">
      <c r="B1987" s="6"/>
      <c r="C1987" s="1" t="s">
        <v>33</v>
      </c>
      <c r="E1987" s="66">
        <f>(E1986*I1986^3/L1986+N1986*R1986^2/U1986+W1986*AA1986+AD1986)*100000000/AJ1986</f>
        <v>-0.62800444444444448</v>
      </c>
      <c r="F1987" s="66"/>
      <c r="G1987" s="66"/>
      <c r="H1987" s="1" t="s">
        <v>41</v>
      </c>
      <c r="CC1987" s="7"/>
    </row>
    <row r="1988" spans="2:81">
      <c r="B1988" s="6"/>
      <c r="C1988" s="1" t="s">
        <v>202</v>
      </c>
      <c r="H1988" s="66">
        <f>AI1952*1000</f>
        <v>1500</v>
      </c>
      <c r="I1988" s="66"/>
      <c r="J1988" s="66"/>
      <c r="K1988" s="1" t="s">
        <v>173</v>
      </c>
      <c r="L1988" s="66">
        <v>200</v>
      </c>
      <c r="M1988" s="66"/>
      <c r="N1988" s="9" t="s">
        <v>7</v>
      </c>
      <c r="O1988" s="66">
        <f>+H1988/L1988</f>
        <v>7.5</v>
      </c>
      <c r="P1988" s="66"/>
      <c r="Q1988" s="66"/>
      <c r="R1988" s="1" t="s">
        <v>41</v>
      </c>
      <c r="U1988" s="1" t="s">
        <v>192</v>
      </c>
      <c r="CC1988" s="7"/>
    </row>
    <row r="1989" spans="2:81">
      <c r="B1989" s="6"/>
      <c r="C1989" s="1" t="s">
        <v>34</v>
      </c>
      <c r="D1989" s="66">
        <f>+E1987</f>
        <v>-0.62800444444444448</v>
      </c>
      <c r="E1989" s="66"/>
      <c r="F1989" s="66"/>
      <c r="G1989" s="1" t="s">
        <v>41</v>
      </c>
      <c r="I1989" s="1" t="str">
        <f>IF(ABS(D1989)&lt;ABS(M1989),"&lt;","&gt;")</f>
        <v>&lt;</v>
      </c>
      <c r="J1989" s="1" t="s">
        <v>174</v>
      </c>
      <c r="M1989" s="66">
        <f>+O1988</f>
        <v>7.5</v>
      </c>
      <c r="N1989" s="66"/>
      <c r="O1989" s="66"/>
      <c r="P1989" s="1" t="s">
        <v>41</v>
      </c>
      <c r="R1989" s="8" t="str">
        <f>IF(ABS(D1989)&lt;ABS(M1989),"uygun.","uygun değil.")</f>
        <v>uygun.</v>
      </c>
      <c r="CC1989" s="7"/>
    </row>
    <row r="1990" spans="2:81" ht="12" thickBot="1">
      <c r="B1990" s="12"/>
      <c r="C1990" s="13"/>
      <c r="D1990" s="13"/>
      <c r="E1990" s="13"/>
      <c r="F1990" s="13"/>
      <c r="G1990" s="13"/>
      <c r="H1990" s="13"/>
      <c r="I1990" s="13"/>
      <c r="J1990" s="13"/>
      <c r="K1990" s="13"/>
      <c r="L1990" s="13"/>
      <c r="M1990" s="13"/>
      <c r="N1990" s="13"/>
      <c r="O1990" s="13"/>
      <c r="P1990" s="13"/>
      <c r="Q1990" s="1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  <c r="AK1990" s="13"/>
      <c r="AL1990" s="13"/>
      <c r="AM1990" s="13"/>
      <c r="AN1990" s="13"/>
      <c r="AO1990" s="13"/>
      <c r="AP1990" s="13"/>
      <c r="AQ1990" s="13"/>
      <c r="AR1990" s="13"/>
      <c r="AS1990" s="13"/>
      <c r="AT1990" s="13"/>
      <c r="AU1990" s="13"/>
      <c r="AV1990" s="13"/>
      <c r="AW1990" s="13"/>
      <c r="AX1990" s="13"/>
      <c r="AY1990" s="13"/>
      <c r="AZ1990" s="13"/>
      <c r="BA1990" s="13"/>
      <c r="BB1990" s="13"/>
      <c r="BC1990" s="13"/>
      <c r="BD1990" s="13"/>
      <c r="BE1990" s="13"/>
      <c r="BF1990" s="13"/>
      <c r="BG1990" s="13"/>
      <c r="BH1990" s="13"/>
      <c r="BI1990" s="13"/>
      <c r="BJ1990" s="13"/>
      <c r="BK1990" s="13"/>
      <c r="BL1990" s="13"/>
      <c r="BM1990" s="13"/>
      <c r="BN1990" s="13"/>
      <c r="BO1990" s="13"/>
      <c r="BP1990" s="13"/>
      <c r="BQ1990" s="13"/>
      <c r="BR1990" s="13"/>
      <c r="BS1990" s="13"/>
      <c r="BT1990" s="13"/>
      <c r="BU1990" s="13"/>
      <c r="BV1990" s="13"/>
      <c r="BW1990" s="13"/>
      <c r="BX1990" s="13"/>
      <c r="BY1990" s="13"/>
      <c r="BZ1990" s="13"/>
      <c r="CA1990" s="13"/>
      <c r="CB1990" s="13"/>
      <c r="CC1990" s="14"/>
    </row>
    <row r="1991" spans="2:81" ht="12" thickBot="1">
      <c r="B1991" s="44"/>
      <c r="C1991" s="44"/>
      <c r="D1991" s="44"/>
      <c r="E1991" s="44"/>
      <c r="F1991" s="44"/>
      <c r="G1991" s="44"/>
      <c r="H1991" s="44"/>
      <c r="I1991" s="44"/>
      <c r="J1991" s="44"/>
      <c r="K1991" s="44"/>
      <c r="L1991" s="44"/>
      <c r="M1991" s="44"/>
      <c r="N1991" s="44"/>
      <c r="O1991" s="44"/>
      <c r="P1991" s="44"/>
      <c r="Q1991" s="44"/>
      <c r="R1991" s="44"/>
      <c r="S1991" s="44"/>
      <c r="T1991" s="44"/>
      <c r="U1991" s="44"/>
      <c r="V1991" s="44"/>
      <c r="W1991" s="44"/>
      <c r="X1991" s="44"/>
      <c r="Y1991" s="44"/>
      <c r="Z1991" s="44"/>
      <c r="AA1991" s="44"/>
      <c r="AB1991" s="44"/>
      <c r="AC1991" s="44"/>
      <c r="AD1991" s="44"/>
      <c r="AE1991" s="44"/>
      <c r="AF1991" s="44"/>
      <c r="AG1991" s="44"/>
      <c r="AH1991" s="44"/>
      <c r="AI1991" s="44"/>
      <c r="AJ1991" s="44"/>
      <c r="AK1991" s="44"/>
      <c r="AL1991" s="44"/>
      <c r="AM1991" s="44"/>
      <c r="AN1991" s="44"/>
      <c r="AO1991" s="44"/>
      <c r="AP1991" s="44"/>
      <c r="AQ1991" s="44"/>
      <c r="AR1991" s="44"/>
      <c r="AS1991" s="44"/>
      <c r="AT1991" s="44"/>
      <c r="AU1991" s="44"/>
      <c r="AV1991" s="44"/>
      <c r="AW1991" s="44"/>
      <c r="AX1991" s="44"/>
      <c r="AY1991" s="44"/>
      <c r="AZ1991" s="44"/>
      <c r="BA1991" s="44"/>
      <c r="BB1991" s="44"/>
      <c r="BC1991" s="44"/>
      <c r="BD1991" s="44"/>
      <c r="BE1991" s="44"/>
      <c r="BF1991" s="44"/>
      <c r="BG1991" s="44"/>
      <c r="BH1991" s="44"/>
      <c r="BI1991" s="44"/>
      <c r="BJ1991" s="44"/>
      <c r="BK1991" s="44"/>
      <c r="BL1991" s="44"/>
      <c r="BM1991" s="44"/>
      <c r="BN1991" s="44"/>
      <c r="BO1991" s="44"/>
      <c r="BP1991" s="44"/>
      <c r="BQ1991" s="44"/>
      <c r="BR1991" s="44"/>
      <c r="BS1991" s="44"/>
      <c r="BT1991" s="44"/>
      <c r="BU1991" s="44"/>
      <c r="BV1991" s="44"/>
      <c r="BW1991" s="44"/>
      <c r="BX1991" s="44"/>
      <c r="BY1991" s="44"/>
      <c r="BZ1991" s="44"/>
      <c r="CA1991" s="44"/>
      <c r="CB1991" s="44"/>
      <c r="CC1991" s="44"/>
    </row>
    <row r="1992" spans="2:81" ht="48" customHeight="1">
      <c r="B1992" s="73" t="s">
        <v>579</v>
      </c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Q1992" s="74"/>
      <c r="R1992" s="74"/>
      <c r="S1992" s="74"/>
      <c r="T1992" s="74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/>
      <c r="AE1992" s="74"/>
      <c r="AF1992" s="74"/>
      <c r="AG1992" s="74"/>
      <c r="AH1992" s="74"/>
      <c r="AI1992" s="74"/>
      <c r="AJ1992" s="74"/>
      <c r="AK1992" s="74"/>
      <c r="AL1992" s="74"/>
      <c r="AM1992" s="74"/>
      <c r="AN1992" s="74"/>
      <c r="AO1992" s="74"/>
      <c r="AP1992" s="74"/>
      <c r="AQ1992" s="74"/>
      <c r="AR1992" s="74"/>
      <c r="AS1992" s="74"/>
      <c r="AT1992" s="74"/>
      <c r="AU1992" s="74"/>
      <c r="AV1992" s="74"/>
      <c r="AW1992" s="74"/>
      <c r="AX1992" s="74"/>
      <c r="AY1992" s="74"/>
      <c r="AZ1992" s="74"/>
      <c r="BA1992" s="74"/>
      <c r="BB1992" s="74"/>
      <c r="BC1992" s="74"/>
      <c r="BD1992" s="74"/>
      <c r="BE1992" s="74"/>
      <c r="BF1992" s="74"/>
      <c r="BG1992" s="74"/>
      <c r="BH1992" s="74"/>
      <c r="BI1992" s="74"/>
      <c r="BJ1992" s="74"/>
      <c r="BK1992" s="74"/>
      <c r="BL1992" s="74"/>
      <c r="BM1992" s="74"/>
      <c r="BN1992" s="74"/>
      <c r="BO1992" s="74"/>
      <c r="BP1992" s="74"/>
      <c r="BQ1992" s="74"/>
      <c r="BR1992" s="74"/>
      <c r="BS1992" s="74"/>
      <c r="BT1992" s="74"/>
      <c r="BU1992" s="74"/>
      <c r="BV1992" s="74"/>
      <c r="BW1992" s="74"/>
      <c r="BX1992" s="74"/>
      <c r="BY1992" s="74"/>
      <c r="BZ1992" s="74"/>
      <c r="CA1992" s="74"/>
      <c r="CB1992" s="74"/>
      <c r="CC1992" s="75"/>
    </row>
    <row r="1993" spans="2:81">
      <c r="B1993" s="6"/>
      <c r="AV1993" s="8" t="s">
        <v>176</v>
      </c>
      <c r="CC1993" s="7"/>
    </row>
    <row r="1994" spans="2:81">
      <c r="B1994" s="6"/>
      <c r="N1994" s="1" t="s">
        <v>505</v>
      </c>
      <c r="V1994" s="1" t="s">
        <v>504</v>
      </c>
      <c r="AD1994" s="1" t="s">
        <v>506</v>
      </c>
      <c r="AI1994" s="67">
        <v>150</v>
      </c>
      <c r="AJ1994" s="67"/>
      <c r="AK1994" s="1" t="s">
        <v>0</v>
      </c>
      <c r="BM1994" s="23" t="s">
        <v>655</v>
      </c>
      <c r="CC1994" s="7"/>
    </row>
    <row r="1995" spans="2:81">
      <c r="B1995" s="6"/>
      <c r="CC1995" s="7"/>
    </row>
    <row r="1996" spans="2:81">
      <c r="B1996" s="6"/>
      <c r="AO1996" s="23" t="s">
        <v>298</v>
      </c>
      <c r="CC1996" s="7"/>
    </row>
    <row r="1997" spans="2:81">
      <c r="B1997" s="6"/>
      <c r="CC1997" s="7"/>
    </row>
    <row r="1998" spans="2:81">
      <c r="B1998" s="6"/>
      <c r="D1998" s="1" t="s">
        <v>405</v>
      </c>
      <c r="F1998" s="66">
        <f>+W2006*AI1994</f>
        <v>330</v>
      </c>
      <c r="G1998" s="66"/>
      <c r="H1998" s="1" t="s">
        <v>191</v>
      </c>
      <c r="CC1998" s="7"/>
    </row>
    <row r="1999" spans="2:81">
      <c r="B1999" s="6"/>
      <c r="U1999" s="10" t="s">
        <v>627</v>
      </c>
      <c r="V1999" s="10"/>
      <c r="W1999" s="66">
        <f>INDEX($CM$24:$CM$138,MATCH(U2000,$CG$24:$CG$138,0),0)</f>
        <v>48200</v>
      </c>
      <c r="X1999" s="66"/>
      <c r="Y1999" s="66"/>
      <c r="Z1999" s="1" t="s">
        <v>37</v>
      </c>
      <c r="AC1999" s="10" t="s">
        <v>626</v>
      </c>
      <c r="AD1999" s="10"/>
      <c r="AE1999" s="66">
        <f>INDEX($CM$24:$CM$138,MATCH(AC2000,$CG$24:$CG$138,0),0)</f>
        <v>8360</v>
      </c>
      <c r="AF1999" s="66"/>
      <c r="AG1999" s="66"/>
      <c r="AH1999" s="1" t="s">
        <v>37</v>
      </c>
      <c r="CC1999" s="7"/>
    </row>
    <row r="2000" spans="2:81">
      <c r="B2000" s="6"/>
      <c r="M2000" s="10" t="s">
        <v>628</v>
      </c>
      <c r="N2000" s="10"/>
      <c r="O2000" s="66">
        <f>INDEX($CM$24:$CM$138,MATCH(M2001,$CG$24:$CG$138,0),0)</f>
        <v>92080</v>
      </c>
      <c r="P2000" s="66"/>
      <c r="Q2000" s="66"/>
      <c r="R2000" s="1" t="s">
        <v>37</v>
      </c>
      <c r="U2000" s="67" t="s">
        <v>637</v>
      </c>
      <c r="V2000" s="67"/>
      <c r="W2000" s="67"/>
      <c r="X2000" s="67"/>
      <c r="Y2000" s="67"/>
      <c r="Z2000" s="67"/>
      <c r="AC2000" s="67" t="s">
        <v>638</v>
      </c>
      <c r="AD2000" s="67"/>
      <c r="AE2000" s="67"/>
      <c r="AF2000" s="67"/>
      <c r="AG2000" s="67"/>
      <c r="AH2000" s="67"/>
      <c r="CC2000" s="7"/>
    </row>
    <row r="2001" spans="2:81">
      <c r="B2001" s="6"/>
      <c r="M2001" s="67" t="s">
        <v>171</v>
      </c>
      <c r="N2001" s="67"/>
      <c r="O2001" s="67"/>
      <c r="P2001" s="67"/>
      <c r="Q2001" s="67"/>
      <c r="R2001" s="67"/>
      <c r="AK2001" s="1" t="s">
        <v>38</v>
      </c>
      <c r="AM2001" s="67">
        <v>200000</v>
      </c>
      <c r="AN2001" s="67"/>
      <c r="AO2001" s="67"/>
      <c r="AP2001" s="67"/>
      <c r="AQ2001" s="1" t="s">
        <v>39</v>
      </c>
      <c r="AT2001" s="1" t="s">
        <v>302</v>
      </c>
      <c r="CC2001" s="7"/>
    </row>
    <row r="2002" spans="2:81">
      <c r="B2002" s="6"/>
      <c r="O2002" s="1" t="s">
        <v>13</v>
      </c>
      <c r="W2002" s="1" t="s">
        <v>428</v>
      </c>
      <c r="AE2002" s="1" t="s">
        <v>640</v>
      </c>
      <c r="CC2002" s="7"/>
    </row>
    <row r="2003" spans="2:81">
      <c r="B2003" s="6"/>
      <c r="J2003" s="1" t="s">
        <v>2</v>
      </c>
      <c r="K2003" s="66">
        <f>+AI1994</f>
        <v>150</v>
      </c>
      <c r="L2003" s="66"/>
      <c r="M2003" s="1" t="s">
        <v>0</v>
      </c>
      <c r="CC2003" s="7"/>
    </row>
    <row r="2004" spans="2:81">
      <c r="B2004" s="6"/>
      <c r="O2004" s="67">
        <v>0.8</v>
      </c>
      <c r="P2004" s="67"/>
      <c r="Q2004" s="1" t="s">
        <v>1</v>
      </c>
      <c r="W2004" s="67">
        <v>0.9</v>
      </c>
      <c r="X2004" s="67"/>
      <c r="Y2004" s="1" t="s">
        <v>1</v>
      </c>
      <c r="AE2004" s="67">
        <v>0.5</v>
      </c>
      <c r="AF2004" s="67"/>
      <c r="AG2004" s="1" t="s">
        <v>1</v>
      </c>
      <c r="AM2004" s="1" t="s">
        <v>290</v>
      </c>
      <c r="CC2004" s="7"/>
    </row>
    <row r="2005" spans="2:81">
      <c r="B2005" s="6"/>
      <c r="CC2005" s="7"/>
    </row>
    <row r="2006" spans="2:81">
      <c r="B2006" s="6"/>
      <c r="W2006" s="66">
        <f>+O2004+W2004+AE2004</f>
        <v>2.2000000000000002</v>
      </c>
      <c r="X2006" s="66"/>
      <c r="Y2006" s="1" t="s">
        <v>1</v>
      </c>
      <c r="CC2006" s="7"/>
    </row>
    <row r="2007" spans="2:81">
      <c r="B2007" s="6"/>
      <c r="C2007" s="23" t="s">
        <v>223</v>
      </c>
      <c r="CC2007" s="7"/>
    </row>
    <row r="2008" spans="2:81">
      <c r="B2008" s="6"/>
      <c r="C2008" s="1" t="s">
        <v>613</v>
      </c>
      <c r="F2008" s="9"/>
      <c r="G2008" s="9"/>
      <c r="H2008" s="9"/>
      <c r="I2008" s="66">
        <f>-F1998</f>
        <v>-330</v>
      </c>
      <c r="J2008" s="66"/>
      <c r="K2008" s="9" t="s">
        <v>9</v>
      </c>
      <c r="L2008" s="66">
        <f>+AI1994</f>
        <v>150</v>
      </c>
      <c r="M2008" s="66"/>
      <c r="N2008" s="9" t="s">
        <v>5</v>
      </c>
      <c r="O2008" s="9" t="s">
        <v>13</v>
      </c>
      <c r="Q2008" s="1" t="s">
        <v>505</v>
      </c>
      <c r="CC2008" s="7"/>
    </row>
    <row r="2009" spans="2:81">
      <c r="B2009" s="6"/>
      <c r="C2009" s="1" t="s">
        <v>610</v>
      </c>
      <c r="E2009" s="1" t="s">
        <v>407</v>
      </c>
      <c r="F2009" s="9"/>
      <c r="G2009" s="9" t="s">
        <v>4</v>
      </c>
      <c r="H2009" s="1" t="s">
        <v>14</v>
      </c>
      <c r="I2009" s="66">
        <f>+O2004</f>
        <v>0.8</v>
      </c>
      <c r="J2009" s="66"/>
      <c r="K2009" s="9" t="s">
        <v>9</v>
      </c>
      <c r="L2009" s="9" t="s">
        <v>428</v>
      </c>
      <c r="M2009" s="1" t="s">
        <v>201</v>
      </c>
      <c r="N2009" s="66">
        <f>-F1998</f>
        <v>-330</v>
      </c>
      <c r="O2009" s="66"/>
      <c r="P2009" s="9" t="s">
        <v>9</v>
      </c>
      <c r="Q2009" s="66">
        <f>+K2003</f>
        <v>150</v>
      </c>
      <c r="R2009" s="66"/>
      <c r="S2009" s="9" t="s">
        <v>14</v>
      </c>
      <c r="T2009" s="66">
        <f>+I2009</f>
        <v>0.8</v>
      </c>
      <c r="U2009" s="66"/>
      <c r="V2009" s="9" t="s">
        <v>9</v>
      </c>
      <c r="W2009" s="9" t="s">
        <v>428</v>
      </c>
      <c r="X2009" s="1" t="s">
        <v>201</v>
      </c>
      <c r="Y2009" s="66">
        <f>+Q2009</f>
        <v>150</v>
      </c>
      <c r="Z2009" s="66"/>
      <c r="AA2009" s="9" t="s">
        <v>5</v>
      </c>
      <c r="AB2009" s="9" t="s">
        <v>428</v>
      </c>
      <c r="AC2009" s="9" t="s">
        <v>9</v>
      </c>
      <c r="AD2009" s="66">
        <f>+Q2009*T2009+N2009</f>
        <v>-210</v>
      </c>
      <c r="AE2009" s="66"/>
      <c r="AG2009" s="1" t="s">
        <v>504</v>
      </c>
      <c r="CC2009" s="7"/>
    </row>
    <row r="2010" spans="2:81">
      <c r="B2010" s="6"/>
      <c r="C2010" s="1" t="s">
        <v>656</v>
      </c>
      <c r="E2010" s="1" t="s">
        <v>407</v>
      </c>
      <c r="F2010" s="9"/>
      <c r="G2010" s="9" t="s">
        <v>4</v>
      </c>
      <c r="H2010" s="1" t="s">
        <v>14</v>
      </c>
      <c r="I2010" s="66">
        <f>+O2004+W2004</f>
        <v>1.7000000000000002</v>
      </c>
      <c r="J2010" s="66"/>
      <c r="K2010" s="9" t="s">
        <v>9</v>
      </c>
      <c r="L2010" s="9" t="s">
        <v>640</v>
      </c>
      <c r="M2010" s="1" t="s">
        <v>201</v>
      </c>
      <c r="N2010" s="66">
        <f>-F1998</f>
        <v>-330</v>
      </c>
      <c r="O2010" s="66"/>
      <c r="P2010" s="9" t="s">
        <v>9</v>
      </c>
      <c r="Q2010" s="66">
        <f>+K2003</f>
        <v>150</v>
      </c>
      <c r="R2010" s="66"/>
      <c r="S2010" s="9" t="s">
        <v>14</v>
      </c>
      <c r="T2010" s="66">
        <f>+I2010</f>
        <v>1.7000000000000002</v>
      </c>
      <c r="U2010" s="66"/>
      <c r="V2010" s="9" t="s">
        <v>9</v>
      </c>
      <c r="W2010" s="9" t="s">
        <v>640</v>
      </c>
      <c r="X2010" s="1" t="s">
        <v>201</v>
      </c>
      <c r="Y2010" s="66">
        <f>+Q2010</f>
        <v>150</v>
      </c>
      <c r="Z2010" s="66"/>
      <c r="AA2010" s="9" t="s">
        <v>5</v>
      </c>
      <c r="AB2010" s="9" t="s">
        <v>640</v>
      </c>
      <c r="AC2010" s="9" t="s">
        <v>9</v>
      </c>
      <c r="AD2010" s="66">
        <f>+Q2010*T2010+N2010</f>
        <v>-74.999999999999972</v>
      </c>
      <c r="AE2010" s="66"/>
      <c r="AG2010" s="1" t="s">
        <v>506</v>
      </c>
      <c r="CC2010" s="7"/>
    </row>
    <row r="2011" spans="2:81">
      <c r="B2011" s="6"/>
      <c r="C2011" s="24" t="s">
        <v>303</v>
      </c>
      <c r="F2011" s="9"/>
      <c r="G2011" s="9"/>
      <c r="H2011" s="9"/>
      <c r="U2011" s="9"/>
      <c r="V2011" s="9"/>
      <c r="CC2011" s="7"/>
    </row>
    <row r="2012" spans="2:81">
      <c r="B2012" s="6"/>
      <c r="C2012" s="1" t="s">
        <v>429</v>
      </c>
      <c r="E2012" s="66">
        <f>+L2008</f>
        <v>150</v>
      </c>
      <c r="F2012" s="66"/>
      <c r="G2012" s="9" t="s">
        <v>5</v>
      </c>
      <c r="H2012" s="9" t="s">
        <v>13</v>
      </c>
      <c r="I2012" s="1" t="s">
        <v>173</v>
      </c>
      <c r="J2012" s="66">
        <f>+O2000</f>
        <v>92080</v>
      </c>
      <c r="K2012" s="66"/>
      <c r="L2012" s="66"/>
      <c r="M2012" s="66"/>
      <c r="N2012" s="9" t="s">
        <v>9</v>
      </c>
      <c r="O2012" s="66">
        <f>+I2008</f>
        <v>-330</v>
      </c>
      <c r="P2012" s="66"/>
      <c r="Q2012" s="1" t="s">
        <v>173</v>
      </c>
      <c r="R2012" s="66">
        <f>+J2012</f>
        <v>92080</v>
      </c>
      <c r="S2012" s="66"/>
      <c r="T2012" s="66"/>
      <c r="U2012" s="66"/>
      <c r="V2012" s="9" t="s">
        <v>7</v>
      </c>
      <c r="W2012" s="66">
        <f>+E2012/J2012</f>
        <v>1.6290182450043439E-3</v>
      </c>
      <c r="X2012" s="66"/>
      <c r="Y2012" s="66"/>
      <c r="Z2012" s="9" t="s">
        <v>5</v>
      </c>
      <c r="AA2012" s="9" t="s">
        <v>13</v>
      </c>
      <c r="AB2012" s="9" t="s">
        <v>9</v>
      </c>
      <c r="AC2012" s="66">
        <f>+O2012/R2012</f>
        <v>-3.5838401390095569E-3</v>
      </c>
      <c r="AD2012" s="66"/>
      <c r="AE2012" s="66"/>
      <c r="CC2012" s="7"/>
    </row>
    <row r="2013" spans="2:81">
      <c r="B2013" s="6"/>
      <c r="C2013" s="1" t="s">
        <v>432</v>
      </c>
      <c r="E2013" s="66">
        <f>+W2012</f>
        <v>1.6290182450043439E-3</v>
      </c>
      <c r="F2013" s="66"/>
      <c r="G2013" s="66"/>
      <c r="H2013" s="9" t="s">
        <v>5</v>
      </c>
      <c r="I2013" s="1" t="s">
        <v>183</v>
      </c>
      <c r="J2013" s="1" t="s">
        <v>173</v>
      </c>
      <c r="K2013" s="1">
        <v>2</v>
      </c>
      <c r="L2013" s="9" t="s">
        <v>9</v>
      </c>
      <c r="M2013" s="66">
        <f>+AC2012</f>
        <v>-3.5838401390095569E-3</v>
      </c>
      <c r="N2013" s="66"/>
      <c r="O2013" s="66"/>
      <c r="P2013" s="9" t="s">
        <v>5</v>
      </c>
      <c r="Q2013" s="9" t="s">
        <v>13</v>
      </c>
      <c r="R2013" s="9" t="s">
        <v>9</v>
      </c>
      <c r="S2013" s="1" t="s">
        <v>24</v>
      </c>
      <c r="CC2013" s="7"/>
    </row>
    <row r="2014" spans="2:81">
      <c r="B2014" s="6"/>
      <c r="C2014" s="1" t="s">
        <v>431</v>
      </c>
      <c r="E2014" s="66">
        <f>+E2013</f>
        <v>1.6290182450043439E-3</v>
      </c>
      <c r="F2014" s="66"/>
      <c r="G2014" s="66"/>
      <c r="H2014" s="9" t="s">
        <v>5</v>
      </c>
      <c r="I2014" s="1" t="s">
        <v>184</v>
      </c>
      <c r="J2014" s="1" t="s">
        <v>173</v>
      </c>
      <c r="K2014" s="1">
        <v>6</v>
      </c>
      <c r="L2014" s="9" t="s">
        <v>9</v>
      </c>
      <c r="M2014" s="66">
        <f>+M2013</f>
        <v>-3.5838401390095569E-3</v>
      </c>
      <c r="N2014" s="66"/>
      <c r="O2014" s="66"/>
      <c r="P2014" s="9" t="s">
        <v>5</v>
      </c>
      <c r="Q2014" s="1" t="s">
        <v>183</v>
      </c>
      <c r="R2014" s="1" t="s">
        <v>173</v>
      </c>
      <c r="S2014" s="1">
        <v>2</v>
      </c>
      <c r="T2014" s="9" t="s">
        <v>9</v>
      </c>
      <c r="U2014" s="1" t="s">
        <v>24</v>
      </c>
      <c r="V2014" s="9" t="s">
        <v>5</v>
      </c>
      <c r="W2014" s="9" t="s">
        <v>13</v>
      </c>
      <c r="X2014" s="9" t="s">
        <v>9</v>
      </c>
      <c r="Y2014" s="1" t="s">
        <v>307</v>
      </c>
      <c r="CC2014" s="7"/>
    </row>
    <row r="2015" spans="2:81">
      <c r="B2015" s="6"/>
      <c r="C2015" s="24" t="s">
        <v>308</v>
      </c>
      <c r="E2015" s="9"/>
      <c r="F2015" s="9"/>
      <c r="G2015" s="9"/>
      <c r="AC2015" s="9"/>
      <c r="AD2015" s="9"/>
      <c r="CC2015" s="7"/>
    </row>
    <row r="2016" spans="2:81">
      <c r="B2016" s="6"/>
      <c r="C2016" s="1" t="s">
        <v>433</v>
      </c>
      <c r="E2016" s="66">
        <f>+Y2009</f>
        <v>150</v>
      </c>
      <c r="F2016" s="66"/>
      <c r="G2016" s="9" t="s">
        <v>5</v>
      </c>
      <c r="H2016" s="9" t="s">
        <v>428</v>
      </c>
      <c r="I2016" s="1" t="s">
        <v>173</v>
      </c>
      <c r="J2016" s="66">
        <f>+W1999</f>
        <v>48200</v>
      </c>
      <c r="K2016" s="66"/>
      <c r="L2016" s="66"/>
      <c r="M2016" s="66"/>
      <c r="N2016" s="9" t="s">
        <v>9</v>
      </c>
      <c r="O2016" s="66">
        <f>+AD2010</f>
        <v>-74.999999999999972</v>
      </c>
      <c r="P2016" s="66"/>
      <c r="Q2016" s="1" t="s">
        <v>173</v>
      </c>
      <c r="R2016" s="66">
        <f>+J2016</f>
        <v>48200</v>
      </c>
      <c r="S2016" s="66"/>
      <c r="T2016" s="66"/>
      <c r="U2016" s="66"/>
      <c r="V2016" s="9" t="s">
        <v>7</v>
      </c>
      <c r="W2016" s="66">
        <f>+E2016/J2016</f>
        <v>3.1120331950207467E-3</v>
      </c>
      <c r="X2016" s="66"/>
      <c r="Y2016" s="66"/>
      <c r="Z2016" s="9" t="s">
        <v>5</v>
      </c>
      <c r="AA2016" s="9" t="s">
        <v>428</v>
      </c>
      <c r="AB2016" s="9" t="s">
        <v>9</v>
      </c>
      <c r="AC2016" s="66">
        <f>+O2016/R2016</f>
        <v>-1.5560165975103729E-3</v>
      </c>
      <c r="AD2016" s="66"/>
      <c r="AE2016" s="66"/>
      <c r="CC2016" s="7"/>
    </row>
    <row r="2017" spans="2:81">
      <c r="B2017" s="6"/>
      <c r="C2017" s="1" t="s">
        <v>430</v>
      </c>
      <c r="E2017" s="66">
        <f>+W2016</f>
        <v>3.1120331950207467E-3</v>
      </c>
      <c r="F2017" s="66"/>
      <c r="G2017" s="66"/>
      <c r="H2017" s="9" t="s">
        <v>5</v>
      </c>
      <c r="I2017" s="1" t="s">
        <v>443</v>
      </c>
      <c r="J2017" s="1" t="s">
        <v>173</v>
      </c>
      <c r="K2017" s="1">
        <v>2</v>
      </c>
      <c r="L2017" s="9" t="s">
        <v>9</v>
      </c>
      <c r="M2017" s="66">
        <f>+AC2016</f>
        <v>-1.5560165975103729E-3</v>
      </c>
      <c r="N2017" s="66"/>
      <c r="O2017" s="66"/>
      <c r="P2017" s="9" t="s">
        <v>5</v>
      </c>
      <c r="Q2017" s="9" t="s">
        <v>428</v>
      </c>
      <c r="R2017" s="9" t="s">
        <v>9</v>
      </c>
      <c r="S2017" s="1" t="s">
        <v>313</v>
      </c>
      <c r="CC2017" s="7"/>
    </row>
    <row r="2018" spans="2:81">
      <c r="B2018" s="6"/>
      <c r="C2018" s="1" t="s">
        <v>435</v>
      </c>
      <c r="E2018" s="66">
        <f>+E2017</f>
        <v>3.1120331950207467E-3</v>
      </c>
      <c r="F2018" s="66"/>
      <c r="G2018" s="66"/>
      <c r="H2018" s="9" t="s">
        <v>5</v>
      </c>
      <c r="I2018" s="1" t="s">
        <v>444</v>
      </c>
      <c r="J2018" s="1" t="s">
        <v>173</v>
      </c>
      <c r="K2018" s="1">
        <v>6</v>
      </c>
      <c r="L2018" s="9" t="s">
        <v>9</v>
      </c>
      <c r="M2018" s="66">
        <f>+M2017</f>
        <v>-1.5560165975103729E-3</v>
      </c>
      <c r="N2018" s="66"/>
      <c r="O2018" s="66"/>
      <c r="P2018" s="9" t="s">
        <v>5</v>
      </c>
      <c r="Q2018" s="1" t="s">
        <v>443</v>
      </c>
      <c r="R2018" s="1" t="s">
        <v>173</v>
      </c>
      <c r="S2018" s="1">
        <v>2</v>
      </c>
      <c r="T2018" s="9" t="s">
        <v>9</v>
      </c>
      <c r="U2018" s="1" t="s">
        <v>313</v>
      </c>
      <c r="V2018" s="9" t="s">
        <v>5</v>
      </c>
      <c r="W2018" s="9" t="s">
        <v>428</v>
      </c>
      <c r="X2018" s="9" t="s">
        <v>9</v>
      </c>
      <c r="Y2018" s="1" t="s">
        <v>315</v>
      </c>
      <c r="CC2018" s="7"/>
    </row>
    <row r="2019" spans="2:81">
      <c r="B2019" s="6"/>
      <c r="C2019" s="24" t="s">
        <v>332</v>
      </c>
      <c r="E2019" s="9"/>
      <c r="F2019" s="9"/>
      <c r="G2019" s="9"/>
      <c r="AC2019" s="9"/>
      <c r="AD2019" s="9"/>
      <c r="CC2019" s="7"/>
    </row>
    <row r="2020" spans="2:81">
      <c r="B2020" s="6"/>
      <c r="C2020" s="1" t="s">
        <v>617</v>
      </c>
      <c r="E2020" s="66">
        <f>+Y2010</f>
        <v>150</v>
      </c>
      <c r="F2020" s="66"/>
      <c r="G2020" s="9" t="s">
        <v>5</v>
      </c>
      <c r="H2020" s="9" t="s">
        <v>640</v>
      </c>
      <c r="I2020" s="1" t="s">
        <v>173</v>
      </c>
      <c r="J2020" s="66">
        <f>+AE1999</f>
        <v>8360</v>
      </c>
      <c r="K2020" s="66"/>
      <c r="L2020" s="66"/>
      <c r="M2020" s="66"/>
      <c r="N2020" s="9" t="s">
        <v>9</v>
      </c>
      <c r="O2020" s="66">
        <f>+AD2010</f>
        <v>-74.999999999999972</v>
      </c>
      <c r="P2020" s="66"/>
      <c r="Q2020" s="1" t="s">
        <v>173</v>
      </c>
      <c r="R2020" s="66">
        <f>+J2020</f>
        <v>8360</v>
      </c>
      <c r="S2020" s="66"/>
      <c r="T2020" s="66"/>
      <c r="U2020" s="66"/>
      <c r="V2020" s="9" t="s">
        <v>7</v>
      </c>
      <c r="W2020" s="66">
        <f>+E2020/J2020</f>
        <v>1.7942583732057416E-2</v>
      </c>
      <c r="X2020" s="66"/>
      <c r="Y2020" s="66"/>
      <c r="Z2020" s="9" t="s">
        <v>5</v>
      </c>
      <c r="AA2020" s="9" t="s">
        <v>640</v>
      </c>
      <c r="AB2020" s="9" t="s">
        <v>9</v>
      </c>
      <c r="AC2020" s="66">
        <f>+O2020/R2020</f>
        <v>-8.9712918660287046E-3</v>
      </c>
      <c r="AD2020" s="66"/>
      <c r="AE2020" s="66"/>
      <c r="CC2020" s="7"/>
    </row>
    <row r="2021" spans="2:81">
      <c r="B2021" s="6"/>
      <c r="C2021" s="1" t="s">
        <v>618</v>
      </c>
      <c r="E2021" s="66">
        <f>+W2020</f>
        <v>1.7942583732057416E-2</v>
      </c>
      <c r="F2021" s="66"/>
      <c r="G2021" s="66"/>
      <c r="H2021" s="9" t="s">
        <v>5</v>
      </c>
      <c r="I2021" s="1" t="s">
        <v>641</v>
      </c>
      <c r="J2021" s="1" t="s">
        <v>173</v>
      </c>
      <c r="K2021" s="1">
        <v>2</v>
      </c>
      <c r="L2021" s="9" t="s">
        <v>9</v>
      </c>
      <c r="M2021" s="66">
        <f>+AC2020</f>
        <v>-8.9712918660287046E-3</v>
      </c>
      <c r="N2021" s="66"/>
      <c r="O2021" s="66"/>
      <c r="P2021" s="9" t="s">
        <v>5</v>
      </c>
      <c r="Q2021" s="9" t="s">
        <v>640</v>
      </c>
      <c r="R2021" s="9" t="s">
        <v>9</v>
      </c>
      <c r="S2021" s="1" t="s">
        <v>335</v>
      </c>
      <c r="CC2021" s="7"/>
    </row>
    <row r="2022" spans="2:81">
      <c r="B2022" s="6"/>
      <c r="C2022" s="1" t="s">
        <v>619</v>
      </c>
      <c r="E2022" s="66">
        <f>+E2021</f>
        <v>1.7942583732057416E-2</v>
      </c>
      <c r="F2022" s="66"/>
      <c r="G2022" s="66"/>
      <c r="H2022" s="9" t="s">
        <v>5</v>
      </c>
      <c r="I2022" s="1" t="s">
        <v>642</v>
      </c>
      <c r="J2022" s="1" t="s">
        <v>173</v>
      </c>
      <c r="K2022" s="1">
        <v>6</v>
      </c>
      <c r="L2022" s="9" t="s">
        <v>9</v>
      </c>
      <c r="M2022" s="66">
        <f>+M2021</f>
        <v>-8.9712918660287046E-3</v>
      </c>
      <c r="N2022" s="66"/>
      <c r="O2022" s="66"/>
      <c r="P2022" s="9" t="s">
        <v>5</v>
      </c>
      <c r="Q2022" s="1" t="s">
        <v>641</v>
      </c>
      <c r="R2022" s="1" t="s">
        <v>173</v>
      </c>
      <c r="S2022" s="1">
        <v>2</v>
      </c>
      <c r="T2022" s="9" t="s">
        <v>9</v>
      </c>
      <c r="U2022" s="1" t="s">
        <v>335</v>
      </c>
      <c r="V2022" s="9" t="s">
        <v>5</v>
      </c>
      <c r="W2022" s="9" t="s">
        <v>640</v>
      </c>
      <c r="X2022" s="9" t="s">
        <v>9</v>
      </c>
      <c r="Y2022" s="1" t="s">
        <v>337</v>
      </c>
      <c r="CC2022" s="7"/>
    </row>
    <row r="2023" spans="2:81">
      <c r="B2023" s="6"/>
      <c r="C2023" s="24" t="s">
        <v>318</v>
      </c>
      <c r="CC2023" s="7"/>
    </row>
    <row r="2024" spans="2:81">
      <c r="B2024" s="6"/>
      <c r="C2024" s="1" t="s">
        <v>436</v>
      </c>
      <c r="I2024" s="1" t="s">
        <v>416</v>
      </c>
      <c r="CC2024" s="7"/>
    </row>
    <row r="2025" spans="2:81">
      <c r="B2025" s="6"/>
      <c r="C2025" s="1" t="s">
        <v>319</v>
      </c>
      <c r="I2025" s="1" t="s">
        <v>411</v>
      </c>
      <c r="CC2025" s="7"/>
    </row>
    <row r="2026" spans="2:81">
      <c r="B2026" s="6"/>
      <c r="C2026" s="1" t="s">
        <v>320</v>
      </c>
      <c r="G2026" s="66">
        <f>+E2013</f>
        <v>1.6290182450043439E-3</v>
      </c>
      <c r="H2026" s="66"/>
      <c r="I2026" s="66"/>
      <c r="J2026" s="9" t="s">
        <v>5</v>
      </c>
      <c r="K2026" s="66">
        <f>+O2004</f>
        <v>0.8</v>
      </c>
      <c r="L2026" s="66"/>
      <c r="M2026" s="1" t="s">
        <v>254</v>
      </c>
      <c r="N2026" s="1">
        <v>2</v>
      </c>
      <c r="O2026" s="9" t="s">
        <v>9</v>
      </c>
      <c r="P2026" s="66">
        <f>+M2013</f>
        <v>-3.5838401390095569E-3</v>
      </c>
      <c r="Q2026" s="66"/>
      <c r="R2026" s="66"/>
      <c r="S2026" s="9" t="s">
        <v>5</v>
      </c>
      <c r="T2026" s="66">
        <f>+K2026</f>
        <v>0.8</v>
      </c>
      <c r="U2026" s="66"/>
      <c r="V2026" s="9" t="s">
        <v>7</v>
      </c>
      <c r="W2026" s="66">
        <f>+G2026*K2026^2/N2026+P2026*T2026</f>
        <v>-2.3457862728062553E-3</v>
      </c>
      <c r="X2026" s="66"/>
      <c r="Y2026" s="66"/>
      <c r="Z2026" s="9"/>
      <c r="CC2026" s="7"/>
    </row>
    <row r="2027" spans="2:81">
      <c r="B2027" s="6"/>
      <c r="C2027" s="1" t="s">
        <v>470</v>
      </c>
      <c r="G2027" s="1" t="s">
        <v>313</v>
      </c>
      <c r="J2027" s="9"/>
      <c r="V2027" s="9"/>
      <c r="X2027" s="9"/>
      <c r="Z2027" s="9"/>
      <c r="CC2027" s="7"/>
    </row>
    <row r="2028" spans="2:81">
      <c r="B2028" s="6"/>
      <c r="C2028" s="1" t="s">
        <v>510</v>
      </c>
      <c r="M2028" s="1" t="s">
        <v>313</v>
      </c>
      <c r="N2028" s="9" t="s">
        <v>7</v>
      </c>
      <c r="O2028" s="66">
        <f>+W2026</f>
        <v>-2.3457862728062553E-3</v>
      </c>
      <c r="P2028" s="66"/>
      <c r="Q2028" s="66"/>
      <c r="R2028" s="9"/>
      <c r="CC2028" s="7"/>
    </row>
    <row r="2029" spans="2:81">
      <c r="B2029" s="6"/>
      <c r="C2029" s="1" t="s">
        <v>358</v>
      </c>
      <c r="G2029" s="66">
        <f>+E2014</f>
        <v>1.6290182450043439E-3</v>
      </c>
      <c r="H2029" s="66"/>
      <c r="I2029" s="66"/>
      <c r="J2029" s="9" t="s">
        <v>5</v>
      </c>
      <c r="K2029" s="66">
        <f>+O2004</f>
        <v>0.8</v>
      </c>
      <c r="L2029" s="66"/>
      <c r="M2029" s="1" t="s">
        <v>30</v>
      </c>
      <c r="N2029" s="1">
        <v>6</v>
      </c>
      <c r="O2029" s="9" t="s">
        <v>9</v>
      </c>
      <c r="P2029" s="66">
        <f>+M2014</f>
        <v>-3.5838401390095569E-3</v>
      </c>
      <c r="Q2029" s="66"/>
      <c r="R2029" s="66"/>
      <c r="S2029" s="9" t="s">
        <v>5</v>
      </c>
      <c r="T2029" s="66">
        <f>+K2029</f>
        <v>0.8</v>
      </c>
      <c r="U2029" s="66"/>
      <c r="V2029" s="1" t="s">
        <v>254</v>
      </c>
      <c r="W2029" s="1">
        <v>2</v>
      </c>
      <c r="X2029" s="9" t="s">
        <v>7</v>
      </c>
      <c r="Y2029" s="66">
        <f>+G2029*K2029^3/N2029+P2029*T2029^2/W2029</f>
        <v>-1.007819287576021E-3</v>
      </c>
      <c r="Z2029" s="66"/>
      <c r="AA2029" s="66"/>
      <c r="AB2029" s="9"/>
      <c r="CC2029" s="7"/>
    </row>
    <row r="2030" spans="2:81">
      <c r="B2030" s="6"/>
      <c r="C2030" s="1" t="s">
        <v>458</v>
      </c>
      <c r="G2030" s="1" t="s">
        <v>315</v>
      </c>
      <c r="J2030" s="9"/>
      <c r="K2030" s="66"/>
      <c r="L2030" s="66"/>
      <c r="O2030" s="9"/>
      <c r="P2030" s="66"/>
      <c r="Q2030" s="66"/>
      <c r="R2030" s="66"/>
      <c r="S2030" s="9"/>
      <c r="T2030" s="66"/>
      <c r="U2030" s="66"/>
      <c r="V2030" s="9"/>
      <c r="Z2030" s="9"/>
      <c r="CC2030" s="7"/>
    </row>
    <row r="2031" spans="2:81">
      <c r="B2031" s="6"/>
      <c r="C2031" s="1" t="s">
        <v>461</v>
      </c>
      <c r="M2031" s="1" t="s">
        <v>315</v>
      </c>
      <c r="N2031" s="9" t="s">
        <v>7</v>
      </c>
      <c r="O2031" s="66">
        <f>+Y2029</f>
        <v>-1.007819287576021E-3</v>
      </c>
      <c r="P2031" s="66"/>
      <c r="Q2031" s="66"/>
      <c r="R2031" s="9"/>
      <c r="CC2031" s="7"/>
    </row>
    <row r="2032" spans="2:81">
      <c r="B2032" s="6"/>
      <c r="C2032" s="1" t="s">
        <v>652</v>
      </c>
      <c r="G2032" s="66">
        <f>+E2017</f>
        <v>3.1120331950207467E-3</v>
      </c>
      <c r="H2032" s="66"/>
      <c r="I2032" s="66"/>
      <c r="J2032" s="9" t="s">
        <v>5</v>
      </c>
      <c r="K2032" s="66">
        <f>+W2004</f>
        <v>0.9</v>
      </c>
      <c r="L2032" s="66"/>
      <c r="M2032" s="1" t="s">
        <v>254</v>
      </c>
      <c r="N2032" s="1">
        <v>2</v>
      </c>
      <c r="O2032" s="9" t="s">
        <v>9</v>
      </c>
      <c r="P2032" s="66">
        <f>+M2017</f>
        <v>-1.5560165975103729E-3</v>
      </c>
      <c r="Q2032" s="66"/>
      <c r="R2032" s="66"/>
      <c r="S2032" s="9" t="s">
        <v>5</v>
      </c>
      <c r="T2032" s="66">
        <f>+K2032</f>
        <v>0.9</v>
      </c>
      <c r="U2032" s="66"/>
      <c r="V2032" s="9" t="s">
        <v>9</v>
      </c>
      <c r="W2032" s="66">
        <f>+O2028</f>
        <v>-2.3457862728062553E-3</v>
      </c>
      <c r="X2032" s="66"/>
      <c r="Y2032" s="66"/>
      <c r="Z2032" s="9" t="s">
        <v>7</v>
      </c>
      <c r="AA2032" s="66">
        <f>+G2032*K2032^2/N2032+P2032*T2032+W2032</f>
        <v>-2.4858277665821887E-3</v>
      </c>
      <c r="AB2032" s="66"/>
      <c r="AC2032" s="66"/>
      <c r="CC2032" s="7"/>
    </row>
    <row r="2033" spans="2:81">
      <c r="B2033" s="6"/>
      <c r="C2033" s="1" t="s">
        <v>653</v>
      </c>
      <c r="G2033" s="1" t="s">
        <v>335</v>
      </c>
      <c r="J2033" s="9"/>
      <c r="V2033" s="9"/>
      <c r="X2033" s="9"/>
      <c r="Z2033" s="9"/>
      <c r="CC2033" s="7"/>
    </row>
    <row r="2034" spans="2:81">
      <c r="B2034" s="6"/>
      <c r="C2034" s="1" t="s">
        <v>657</v>
      </c>
      <c r="M2034" s="1" t="s">
        <v>335</v>
      </c>
      <c r="N2034" s="9" t="s">
        <v>7</v>
      </c>
      <c r="O2034" s="66">
        <f>+AA2032</f>
        <v>-2.4858277665821887E-3</v>
      </c>
      <c r="P2034" s="66"/>
      <c r="Q2034" s="66"/>
      <c r="R2034" s="9"/>
      <c r="W2034" s="9"/>
      <c r="Y2034" s="9"/>
      <c r="AE2034" s="9"/>
      <c r="AI2034" s="9"/>
      <c r="AM2034" s="9"/>
      <c r="AP2034" s="9"/>
      <c r="CC2034" s="7"/>
    </row>
    <row r="2035" spans="2:81">
      <c r="B2035" s="6"/>
      <c r="C2035" s="1" t="s">
        <v>658</v>
      </c>
      <c r="G2035" s="66">
        <f>+E2018</f>
        <v>3.1120331950207467E-3</v>
      </c>
      <c r="H2035" s="66"/>
      <c r="I2035" s="66"/>
      <c r="J2035" s="9" t="s">
        <v>5</v>
      </c>
      <c r="K2035" s="66">
        <f>+W2004</f>
        <v>0.9</v>
      </c>
      <c r="L2035" s="66"/>
      <c r="M2035" s="1" t="s">
        <v>30</v>
      </c>
      <c r="N2035" s="1">
        <v>6</v>
      </c>
      <c r="O2035" s="9" t="s">
        <v>9</v>
      </c>
      <c r="P2035" s="66">
        <f>+M2018</f>
        <v>-1.5560165975103729E-3</v>
      </c>
      <c r="Q2035" s="66"/>
      <c r="R2035" s="66"/>
      <c r="S2035" s="9" t="s">
        <v>5</v>
      </c>
      <c r="T2035" s="66">
        <f>+K2035</f>
        <v>0.9</v>
      </c>
      <c r="U2035" s="66"/>
      <c r="V2035" s="1" t="s">
        <v>254</v>
      </c>
      <c r="W2035" s="1">
        <v>2</v>
      </c>
      <c r="X2035" s="9" t="s">
        <v>9</v>
      </c>
      <c r="Y2035" s="66">
        <f>+O2028</f>
        <v>-2.3457862728062553E-3</v>
      </c>
      <c r="Z2035" s="66"/>
      <c r="AA2035" s="66"/>
      <c r="AB2035" s="9" t="s">
        <v>5</v>
      </c>
      <c r="AC2035" s="66">
        <f>+T2035</f>
        <v>0.9</v>
      </c>
      <c r="AD2035" s="66"/>
      <c r="AE2035" s="9" t="s">
        <v>9</v>
      </c>
      <c r="AF2035" s="66">
        <f>+O2031</f>
        <v>-1.007819287576021E-3</v>
      </c>
      <c r="AG2035" s="66"/>
      <c r="AH2035" s="66"/>
      <c r="AI2035" s="9" t="s">
        <v>7</v>
      </c>
      <c r="AJ2035" s="66">
        <f>+G2035*K2035^3/N2035+P2035*T2035^2/W2035+Y2035*AC2035+AF2035</f>
        <v>-3.3711016218983311E-3</v>
      </c>
      <c r="AK2035" s="66"/>
      <c r="AL2035" s="66"/>
      <c r="CC2035" s="7"/>
    </row>
    <row r="2036" spans="2:81">
      <c r="B2036" s="6"/>
      <c r="C2036" s="1" t="s">
        <v>651</v>
      </c>
      <c r="G2036" s="1" t="s">
        <v>337</v>
      </c>
      <c r="J2036" s="9"/>
      <c r="K2036" s="66"/>
      <c r="L2036" s="66"/>
      <c r="O2036" s="9"/>
      <c r="S2036" s="9"/>
      <c r="T2036" s="66"/>
      <c r="U2036" s="66"/>
      <c r="V2036" s="9"/>
      <c r="CC2036" s="7"/>
    </row>
    <row r="2037" spans="2:81">
      <c r="B2037" s="6"/>
      <c r="C2037" s="1" t="s">
        <v>659</v>
      </c>
      <c r="M2037" s="1" t="s">
        <v>337</v>
      </c>
      <c r="N2037" s="9" t="s">
        <v>7</v>
      </c>
      <c r="O2037" s="66">
        <f>+AJ2035</f>
        <v>-3.3711016218983311E-3</v>
      </c>
      <c r="P2037" s="66"/>
      <c r="Q2037" s="66"/>
      <c r="S2037" s="9"/>
      <c r="W2037" s="9"/>
      <c r="AB2037" s="9"/>
      <c r="AE2037" s="9"/>
      <c r="AG2037" s="9"/>
      <c r="AI2037" s="9"/>
      <c r="AM2037" s="55"/>
      <c r="AN2037" s="55"/>
      <c r="CC2037" s="7"/>
    </row>
    <row r="2038" spans="2:81">
      <c r="B2038" s="6"/>
      <c r="C2038" s="24" t="s">
        <v>303</v>
      </c>
      <c r="CC2038" s="7"/>
    </row>
    <row r="2039" spans="2:81">
      <c r="B2039" s="6"/>
      <c r="C2039" s="1" t="s">
        <v>625</v>
      </c>
      <c r="G2039" s="66">
        <f>+E2014</f>
        <v>1.6290182450043439E-3</v>
      </c>
      <c r="H2039" s="66"/>
      <c r="I2039" s="66"/>
      <c r="J2039" s="9" t="s">
        <v>5</v>
      </c>
      <c r="K2039" s="1" t="s">
        <v>184</v>
      </c>
      <c r="L2039" s="1" t="s">
        <v>173</v>
      </c>
      <c r="M2039" s="1">
        <v>6</v>
      </c>
      <c r="N2039" s="9" t="s">
        <v>9</v>
      </c>
      <c r="O2039" s="66">
        <f>+M2014</f>
        <v>-3.5838401390095569E-3</v>
      </c>
      <c r="P2039" s="66"/>
      <c r="Q2039" s="66"/>
      <c r="R2039" s="9" t="s">
        <v>5</v>
      </c>
      <c r="S2039" s="1" t="s">
        <v>183</v>
      </c>
      <c r="T2039" s="1" t="s">
        <v>173</v>
      </c>
      <c r="U2039" s="1">
        <v>2</v>
      </c>
      <c r="V2039" s="9" t="s">
        <v>9</v>
      </c>
      <c r="W2039" s="1" t="s">
        <v>24</v>
      </c>
      <c r="X2039" s="9" t="s">
        <v>5</v>
      </c>
      <c r="Y2039" s="9" t="s">
        <v>13</v>
      </c>
      <c r="Z2039" s="9" t="s">
        <v>9</v>
      </c>
      <c r="AA2039" s="1" t="s">
        <v>307</v>
      </c>
      <c r="CC2039" s="7"/>
    </row>
    <row r="2040" spans="2:81">
      <c r="B2040" s="6"/>
      <c r="C2040" s="1" t="s">
        <v>35</v>
      </c>
      <c r="E2040" s="66">
        <f>+G2039</f>
        <v>1.6290182450043439E-3</v>
      </c>
      <c r="F2040" s="66"/>
      <c r="G2040" s="66"/>
      <c r="H2040" s="9" t="s">
        <v>5</v>
      </c>
      <c r="I2040" s="1" t="s">
        <v>184</v>
      </c>
      <c r="J2040" s="1" t="s">
        <v>173</v>
      </c>
      <c r="K2040" s="1">
        <v>6</v>
      </c>
      <c r="L2040" s="9" t="s">
        <v>9</v>
      </c>
      <c r="M2040" s="66">
        <f>+O2039</f>
        <v>-3.5838401390095569E-3</v>
      </c>
      <c r="N2040" s="66"/>
      <c r="O2040" s="66"/>
      <c r="P2040" s="9" t="s">
        <v>5</v>
      </c>
      <c r="Q2040" s="9" t="s">
        <v>183</v>
      </c>
      <c r="R2040" s="9" t="s">
        <v>173</v>
      </c>
      <c r="S2040" s="1">
        <v>2</v>
      </c>
      <c r="T2040" s="1" t="s">
        <v>611</v>
      </c>
      <c r="CC2040" s="7"/>
    </row>
    <row r="2041" spans="2:81">
      <c r="B2041" s="6"/>
      <c r="C2041" s="1" t="s">
        <v>27</v>
      </c>
      <c r="D2041" s="67">
        <v>0.8</v>
      </c>
      <c r="E2041" s="67"/>
      <c r="F2041" s="67"/>
      <c r="G2041" s="1" t="s">
        <v>42</v>
      </c>
      <c r="O2041" s="8" t="str">
        <f>IF(D2041&lt;=O2004,"","azalt.")</f>
        <v/>
      </c>
      <c r="P2041" s="8"/>
      <c r="CC2041" s="7"/>
    </row>
    <row r="2042" spans="2:81">
      <c r="B2042" s="6"/>
      <c r="C2042" s="1" t="s">
        <v>35</v>
      </c>
      <c r="E2042" s="66">
        <f>+E2040</f>
        <v>1.6290182450043439E-3</v>
      </c>
      <c r="F2042" s="66"/>
      <c r="G2042" s="66"/>
      <c r="H2042" s="9" t="s">
        <v>5</v>
      </c>
      <c r="I2042" s="66">
        <f>+D2041</f>
        <v>0.8</v>
      </c>
      <c r="J2042" s="66"/>
      <c r="K2042" s="1" t="s">
        <v>30</v>
      </c>
      <c r="L2042" s="1">
        <v>6</v>
      </c>
      <c r="M2042" s="9" t="s">
        <v>9</v>
      </c>
      <c r="N2042" s="66">
        <f>+M2040</f>
        <v>-3.5838401390095569E-3</v>
      </c>
      <c r="O2042" s="66"/>
      <c r="P2042" s="66"/>
      <c r="Q2042" s="9" t="s">
        <v>5</v>
      </c>
      <c r="R2042" s="66">
        <f>+I2042</f>
        <v>0.8</v>
      </c>
      <c r="S2042" s="66"/>
      <c r="T2042" s="9" t="s">
        <v>254</v>
      </c>
      <c r="U2042" s="1">
        <v>2</v>
      </c>
      <c r="V2042" s="1" t="s">
        <v>612</v>
      </c>
      <c r="Y2042" s="66">
        <f>+AM2001</f>
        <v>200000</v>
      </c>
      <c r="Z2042" s="66"/>
      <c r="AA2042" s="66"/>
      <c r="AB2042" s="66"/>
      <c r="CC2042" s="7"/>
    </row>
    <row r="2043" spans="2:81">
      <c r="B2043" s="6"/>
      <c r="C2043" s="1" t="s">
        <v>33</v>
      </c>
      <c r="E2043" s="66">
        <f>(E2042*I2042^3/L2042+N2042*R2042^2/U2042)*100000000/Y2042</f>
        <v>-0.50390964378801051</v>
      </c>
      <c r="F2043" s="66"/>
      <c r="G2043" s="66"/>
      <c r="H2043" s="1" t="s">
        <v>41</v>
      </c>
      <c r="CC2043" s="7"/>
    </row>
    <row r="2044" spans="2:81">
      <c r="B2044" s="6"/>
      <c r="C2044" s="1" t="s">
        <v>202</v>
      </c>
      <c r="H2044" s="66">
        <f>W2006*1000</f>
        <v>2200</v>
      </c>
      <c r="I2044" s="66"/>
      <c r="J2044" s="66"/>
      <c r="K2044" s="1" t="s">
        <v>173</v>
      </c>
      <c r="L2044" s="66">
        <v>200</v>
      </c>
      <c r="M2044" s="66"/>
      <c r="N2044" s="9" t="s">
        <v>7</v>
      </c>
      <c r="O2044" s="66">
        <f>+H2044/L2044</f>
        <v>11</v>
      </c>
      <c r="P2044" s="66"/>
      <c r="Q2044" s="66"/>
      <c r="R2044" s="1" t="s">
        <v>41</v>
      </c>
      <c r="U2044" s="1" t="s">
        <v>192</v>
      </c>
      <c r="CC2044" s="7"/>
    </row>
    <row r="2045" spans="2:81">
      <c r="B2045" s="6"/>
      <c r="C2045" s="1" t="s">
        <v>34</v>
      </c>
      <c r="D2045" s="66">
        <f>+E2043</f>
        <v>-0.50390964378801051</v>
      </c>
      <c r="E2045" s="66"/>
      <c r="F2045" s="66"/>
      <c r="G2045" s="1" t="s">
        <v>41</v>
      </c>
      <c r="I2045" s="1" t="str">
        <f>IF(ABS(D2045)&lt;ABS(M2045),"&lt;","&gt;")</f>
        <v>&lt;</v>
      </c>
      <c r="J2045" s="1" t="s">
        <v>174</v>
      </c>
      <c r="M2045" s="66">
        <f>+O2044</f>
        <v>11</v>
      </c>
      <c r="N2045" s="66"/>
      <c r="O2045" s="66"/>
      <c r="P2045" s="1" t="s">
        <v>41</v>
      </c>
      <c r="R2045" s="8" t="str">
        <f>IF(ABS(D2045)&lt;ABS(M2045),"uygun.","uygun değil.")</f>
        <v>uygun.</v>
      </c>
      <c r="CC2045" s="7"/>
    </row>
    <row r="2046" spans="2:81">
      <c r="B2046" s="6"/>
      <c r="C2046" s="24" t="s">
        <v>308</v>
      </c>
      <c r="CC2046" s="7"/>
    </row>
    <row r="2047" spans="2:81">
      <c r="B2047" s="6"/>
      <c r="C2047" s="1" t="s">
        <v>625</v>
      </c>
      <c r="G2047" s="66">
        <f>+E2018</f>
        <v>3.1120331950207467E-3</v>
      </c>
      <c r="H2047" s="66"/>
      <c r="I2047" s="66"/>
      <c r="J2047" s="9" t="s">
        <v>5</v>
      </c>
      <c r="K2047" s="1" t="s">
        <v>444</v>
      </c>
      <c r="L2047" s="1" t="s">
        <v>173</v>
      </c>
      <c r="M2047" s="1">
        <v>6</v>
      </c>
      <c r="N2047" s="9" t="s">
        <v>9</v>
      </c>
      <c r="O2047" s="66">
        <f>+M2018</f>
        <v>-1.5560165975103729E-3</v>
      </c>
      <c r="P2047" s="66"/>
      <c r="Q2047" s="66"/>
      <c r="R2047" s="9" t="s">
        <v>5</v>
      </c>
      <c r="S2047" s="1" t="s">
        <v>443</v>
      </c>
      <c r="T2047" s="1" t="s">
        <v>173</v>
      </c>
      <c r="U2047" s="1">
        <v>2</v>
      </c>
      <c r="V2047" s="9" t="s">
        <v>9</v>
      </c>
      <c r="W2047" s="1" t="s">
        <v>313</v>
      </c>
      <c r="X2047" s="9" t="s">
        <v>5</v>
      </c>
      <c r="Y2047" s="9" t="s">
        <v>428</v>
      </c>
      <c r="Z2047" s="9" t="s">
        <v>9</v>
      </c>
      <c r="AA2047" s="1" t="s">
        <v>315</v>
      </c>
      <c r="CC2047" s="7"/>
    </row>
    <row r="2048" spans="2:81">
      <c r="B2048" s="6"/>
      <c r="C2048" s="1" t="s">
        <v>35</v>
      </c>
      <c r="E2048" s="66">
        <f>+G2047</f>
        <v>3.1120331950207467E-3</v>
      </c>
      <c r="F2048" s="66"/>
      <c r="G2048" s="66"/>
      <c r="H2048" s="9" t="s">
        <v>5</v>
      </c>
      <c r="I2048" s="1" t="s">
        <v>444</v>
      </c>
      <c r="J2048" s="1" t="s">
        <v>173</v>
      </c>
      <c r="K2048" s="1">
        <v>6</v>
      </c>
      <c r="L2048" s="9" t="s">
        <v>9</v>
      </c>
      <c r="M2048" s="66">
        <f>+O2047</f>
        <v>-1.5560165975103729E-3</v>
      </c>
      <c r="N2048" s="66"/>
      <c r="O2048" s="66"/>
      <c r="P2048" s="9" t="s">
        <v>5</v>
      </c>
      <c r="Q2048" s="9" t="s">
        <v>443</v>
      </c>
      <c r="R2048" s="9" t="s">
        <v>173</v>
      </c>
      <c r="S2048" s="1">
        <v>2</v>
      </c>
      <c r="T2048" s="9" t="s">
        <v>9</v>
      </c>
      <c r="U2048" s="66">
        <f>+O2028</f>
        <v>-2.3457862728062553E-3</v>
      </c>
      <c r="V2048" s="66"/>
      <c r="W2048" s="66"/>
      <c r="X2048" s="9" t="s">
        <v>5</v>
      </c>
      <c r="Y2048" s="9" t="s">
        <v>428</v>
      </c>
      <c r="Z2048" s="9" t="s">
        <v>9</v>
      </c>
      <c r="AA2048" s="66">
        <f>+O2031</f>
        <v>-1.007819287576021E-3</v>
      </c>
      <c r="AB2048" s="66"/>
      <c r="AC2048" s="66"/>
      <c r="AD2048" s="1" t="s">
        <v>611</v>
      </c>
      <c r="CC2048" s="7"/>
    </row>
    <row r="2049" spans="2:81">
      <c r="B2049" s="6"/>
      <c r="C2049" s="1" t="s">
        <v>482</v>
      </c>
      <c r="D2049" s="67">
        <v>0.9</v>
      </c>
      <c r="E2049" s="67"/>
      <c r="F2049" s="67"/>
      <c r="G2049" s="1" t="s">
        <v>42</v>
      </c>
      <c r="O2049" s="8" t="str">
        <f>IF(D2049&gt;W2004,"azalt.","")</f>
        <v/>
      </c>
      <c r="P2049" s="8"/>
      <c r="CC2049" s="7"/>
    </row>
    <row r="2050" spans="2:81">
      <c r="B2050" s="6"/>
      <c r="C2050" s="1" t="s">
        <v>35</v>
      </c>
      <c r="E2050" s="66">
        <f>+E2048</f>
        <v>3.1120331950207467E-3</v>
      </c>
      <c r="F2050" s="66"/>
      <c r="G2050" s="66"/>
      <c r="H2050" s="9" t="s">
        <v>5</v>
      </c>
      <c r="I2050" s="66">
        <f>+D2049</f>
        <v>0.9</v>
      </c>
      <c r="J2050" s="66"/>
      <c r="K2050" s="1" t="s">
        <v>30</v>
      </c>
      <c r="L2050" s="1">
        <v>6</v>
      </c>
      <c r="M2050" s="9" t="s">
        <v>9</v>
      </c>
      <c r="N2050" s="66">
        <f>+M2048</f>
        <v>-1.5560165975103729E-3</v>
      </c>
      <c r="O2050" s="66"/>
      <c r="P2050" s="66"/>
      <c r="Q2050" s="9" t="s">
        <v>5</v>
      </c>
      <c r="R2050" s="66">
        <f>+I2050</f>
        <v>0.9</v>
      </c>
      <c r="S2050" s="66"/>
      <c r="T2050" s="9" t="s">
        <v>254</v>
      </c>
      <c r="U2050" s="1">
        <v>2</v>
      </c>
      <c r="V2050" s="9" t="s">
        <v>9</v>
      </c>
      <c r="W2050" s="66">
        <f>+U2048</f>
        <v>-2.3457862728062553E-3</v>
      </c>
      <c r="X2050" s="66"/>
      <c r="Y2050" s="66"/>
      <c r="Z2050" s="9" t="s">
        <v>5</v>
      </c>
      <c r="AA2050" s="66">
        <f>+R2050</f>
        <v>0.9</v>
      </c>
      <c r="AB2050" s="66"/>
      <c r="AC2050" s="9" t="s">
        <v>9</v>
      </c>
      <c r="AD2050" s="66">
        <f>+AA2048</f>
        <v>-1.007819287576021E-3</v>
      </c>
      <c r="AE2050" s="66"/>
      <c r="AF2050" s="66"/>
      <c r="AG2050" s="1" t="s">
        <v>612</v>
      </c>
      <c r="AJ2050" s="66">
        <f>+Y2042</f>
        <v>200000</v>
      </c>
      <c r="AK2050" s="66"/>
      <c r="AL2050" s="66"/>
      <c r="AM2050" s="66"/>
      <c r="CC2050" s="7"/>
    </row>
    <row r="2051" spans="2:81">
      <c r="B2051" s="6"/>
      <c r="C2051" s="1" t="s">
        <v>33</v>
      </c>
      <c r="E2051" s="66">
        <f>(E2050*I2050^3/L2050+N2050*R2050^2/U2050+W2050*AA2050+AD2050)*100000000/AJ2050</f>
        <v>-1.6855508109491657</v>
      </c>
      <c r="F2051" s="66"/>
      <c r="G2051" s="66"/>
      <c r="H2051" s="1" t="s">
        <v>41</v>
      </c>
      <c r="CC2051" s="7"/>
    </row>
    <row r="2052" spans="2:81">
      <c r="B2052" s="6"/>
      <c r="C2052" s="1" t="s">
        <v>202</v>
      </c>
      <c r="H2052" s="66">
        <f>W2006*1000</f>
        <v>2200</v>
      </c>
      <c r="I2052" s="66"/>
      <c r="J2052" s="66"/>
      <c r="K2052" s="1" t="s">
        <v>173</v>
      </c>
      <c r="L2052" s="66">
        <v>200</v>
      </c>
      <c r="M2052" s="66"/>
      <c r="N2052" s="9" t="s">
        <v>7</v>
      </c>
      <c r="O2052" s="66">
        <f>+H2052/L2052</f>
        <v>11</v>
      </c>
      <c r="P2052" s="66"/>
      <c r="Q2052" s="66"/>
      <c r="R2052" s="1" t="s">
        <v>41</v>
      </c>
      <c r="U2052" s="1" t="s">
        <v>192</v>
      </c>
      <c r="CC2052" s="7"/>
    </row>
    <row r="2053" spans="2:81">
      <c r="B2053" s="6"/>
      <c r="C2053" s="1" t="s">
        <v>34</v>
      </c>
      <c r="D2053" s="66">
        <f>+E2051</f>
        <v>-1.6855508109491657</v>
      </c>
      <c r="E2053" s="66"/>
      <c r="F2053" s="66"/>
      <c r="G2053" s="1" t="s">
        <v>41</v>
      </c>
      <c r="I2053" s="1" t="str">
        <f>IF(ABS(D2053)&lt;ABS(M2053),"&lt;","&gt;")</f>
        <v>&lt;</v>
      </c>
      <c r="J2053" s="1" t="s">
        <v>174</v>
      </c>
      <c r="M2053" s="66">
        <f>+O2052</f>
        <v>11</v>
      </c>
      <c r="N2053" s="66"/>
      <c r="O2053" s="66"/>
      <c r="P2053" s="1" t="s">
        <v>41</v>
      </c>
      <c r="R2053" s="8" t="str">
        <f>IF(ABS(D2053)&lt;ABS(M2053),"uygun.","uygun değil.")</f>
        <v>uygun.</v>
      </c>
      <c r="CC2053" s="7"/>
    </row>
    <row r="2054" spans="2:81">
      <c r="B2054" s="6"/>
      <c r="C2054" s="24" t="s">
        <v>332</v>
      </c>
      <c r="CC2054" s="7"/>
    </row>
    <row r="2055" spans="2:81">
      <c r="B2055" s="6"/>
      <c r="C2055" s="1" t="s">
        <v>625</v>
      </c>
      <c r="G2055" s="66">
        <f>+E2022</f>
        <v>1.7942583732057416E-2</v>
      </c>
      <c r="H2055" s="66"/>
      <c r="I2055" s="66"/>
      <c r="J2055" s="9" t="s">
        <v>5</v>
      </c>
      <c r="K2055" s="1" t="s">
        <v>642</v>
      </c>
      <c r="L2055" s="1" t="s">
        <v>173</v>
      </c>
      <c r="M2055" s="1">
        <v>6</v>
      </c>
      <c r="N2055" s="9" t="s">
        <v>9</v>
      </c>
      <c r="O2055" s="66">
        <f>+M2022</f>
        <v>-8.9712918660287046E-3</v>
      </c>
      <c r="P2055" s="66"/>
      <c r="Q2055" s="66"/>
      <c r="R2055" s="9" t="s">
        <v>5</v>
      </c>
      <c r="S2055" s="1" t="s">
        <v>641</v>
      </c>
      <c r="T2055" s="1" t="s">
        <v>173</v>
      </c>
      <c r="U2055" s="1">
        <v>2</v>
      </c>
      <c r="V2055" s="9" t="s">
        <v>9</v>
      </c>
      <c r="W2055" s="1" t="s">
        <v>335</v>
      </c>
      <c r="X2055" s="9" t="s">
        <v>5</v>
      </c>
      <c r="Y2055" s="9" t="s">
        <v>640</v>
      </c>
      <c r="Z2055" s="9" t="s">
        <v>9</v>
      </c>
      <c r="AA2055" s="1" t="s">
        <v>337</v>
      </c>
      <c r="CC2055" s="7"/>
    </row>
    <row r="2056" spans="2:81">
      <c r="B2056" s="6"/>
      <c r="C2056" s="1" t="s">
        <v>35</v>
      </c>
      <c r="E2056" s="66">
        <f>+G2055</f>
        <v>1.7942583732057416E-2</v>
      </c>
      <c r="F2056" s="66"/>
      <c r="G2056" s="66"/>
      <c r="H2056" s="9" t="s">
        <v>5</v>
      </c>
      <c r="I2056" s="1" t="s">
        <v>642</v>
      </c>
      <c r="J2056" s="1" t="s">
        <v>173</v>
      </c>
      <c r="K2056" s="1">
        <v>6</v>
      </c>
      <c r="L2056" s="9" t="s">
        <v>9</v>
      </c>
      <c r="M2056" s="66">
        <f>+O2055</f>
        <v>-8.9712918660287046E-3</v>
      </c>
      <c r="N2056" s="66"/>
      <c r="O2056" s="66"/>
      <c r="P2056" s="9" t="s">
        <v>5</v>
      </c>
      <c r="Q2056" s="9" t="s">
        <v>641</v>
      </c>
      <c r="R2056" s="9" t="s">
        <v>173</v>
      </c>
      <c r="S2056" s="1">
        <v>2</v>
      </c>
      <c r="T2056" s="9" t="s">
        <v>9</v>
      </c>
      <c r="U2056" s="66">
        <f>+O2034</f>
        <v>-2.4858277665821887E-3</v>
      </c>
      <c r="V2056" s="66"/>
      <c r="W2056" s="66"/>
      <c r="X2056" s="9" t="s">
        <v>5</v>
      </c>
      <c r="Y2056" s="9" t="s">
        <v>640</v>
      </c>
      <c r="Z2056" s="9" t="s">
        <v>9</v>
      </c>
      <c r="AA2056" s="66">
        <f>+O2037</f>
        <v>-3.3711016218983311E-3</v>
      </c>
      <c r="AB2056" s="66"/>
      <c r="AC2056" s="66"/>
      <c r="AD2056" s="1" t="s">
        <v>611</v>
      </c>
      <c r="CC2056" s="7"/>
    </row>
    <row r="2057" spans="2:81">
      <c r="B2057" s="6"/>
      <c r="C2057" s="1" t="s">
        <v>654</v>
      </c>
      <c r="D2057" s="67">
        <v>0.5</v>
      </c>
      <c r="E2057" s="67"/>
      <c r="F2057" s="67"/>
      <c r="G2057" s="1" t="s">
        <v>42</v>
      </c>
      <c r="O2057" s="8" t="str">
        <f>IF(D2057&gt;AE2004,"azalt.","")</f>
        <v/>
      </c>
      <c r="P2057" s="8"/>
      <c r="CC2057" s="7"/>
    </row>
    <row r="2058" spans="2:81">
      <c r="B2058" s="6"/>
      <c r="C2058" s="1" t="s">
        <v>35</v>
      </c>
      <c r="E2058" s="66">
        <f>+E2056</f>
        <v>1.7942583732057416E-2</v>
      </c>
      <c r="F2058" s="66"/>
      <c r="G2058" s="66"/>
      <c r="H2058" s="9" t="s">
        <v>5</v>
      </c>
      <c r="I2058" s="66">
        <f>+D2057</f>
        <v>0.5</v>
      </c>
      <c r="J2058" s="66"/>
      <c r="K2058" s="1" t="s">
        <v>30</v>
      </c>
      <c r="L2058" s="1">
        <v>6</v>
      </c>
      <c r="M2058" s="9" t="s">
        <v>9</v>
      </c>
      <c r="N2058" s="66">
        <f>+M2056</f>
        <v>-8.9712918660287046E-3</v>
      </c>
      <c r="O2058" s="66"/>
      <c r="P2058" s="66"/>
      <c r="Q2058" s="9" t="s">
        <v>5</v>
      </c>
      <c r="R2058" s="66">
        <f>+I2058</f>
        <v>0.5</v>
      </c>
      <c r="S2058" s="66"/>
      <c r="T2058" s="9" t="s">
        <v>254</v>
      </c>
      <c r="U2058" s="1">
        <v>2</v>
      </c>
      <c r="V2058" s="9" t="s">
        <v>9</v>
      </c>
      <c r="W2058" s="66">
        <f>+U2056</f>
        <v>-2.4858277665821887E-3</v>
      </c>
      <c r="X2058" s="66"/>
      <c r="Y2058" s="66"/>
      <c r="Z2058" s="9" t="s">
        <v>5</v>
      </c>
      <c r="AA2058" s="66">
        <f>+R2058</f>
        <v>0.5</v>
      </c>
      <c r="AB2058" s="66"/>
      <c r="AC2058" s="9" t="s">
        <v>9</v>
      </c>
      <c r="AD2058" s="66">
        <f>+AA2056</f>
        <v>-3.3711016218983311E-3</v>
      </c>
      <c r="AE2058" s="66"/>
      <c r="AF2058" s="66"/>
      <c r="AG2058" s="1" t="s">
        <v>612</v>
      </c>
      <c r="AJ2058" s="66">
        <f>+AJ2050</f>
        <v>200000</v>
      </c>
      <c r="AK2058" s="66"/>
      <c r="AL2058" s="66"/>
      <c r="AM2058" s="66"/>
      <c r="CC2058" s="7"/>
    </row>
    <row r="2059" spans="2:81">
      <c r="B2059" s="6"/>
      <c r="C2059" s="1" t="s">
        <v>33</v>
      </c>
      <c r="E2059" s="66">
        <f>(E2058*I2058^3/L2058+N2058*R2058^2/U2058+W2058*AA2058+AD2058)*100000000/AJ2058</f>
        <v>-2.6808115803459085</v>
      </c>
      <c r="F2059" s="66"/>
      <c r="G2059" s="66"/>
      <c r="H2059" s="1" t="s">
        <v>41</v>
      </c>
      <c r="CC2059" s="7"/>
    </row>
    <row r="2060" spans="2:81">
      <c r="B2060" s="6"/>
      <c r="C2060" s="1" t="s">
        <v>202</v>
      </c>
      <c r="H2060" s="66">
        <f>W2006*1000</f>
        <v>2200</v>
      </c>
      <c r="I2060" s="66"/>
      <c r="J2060" s="66"/>
      <c r="K2060" s="1" t="s">
        <v>173</v>
      </c>
      <c r="L2060" s="66">
        <v>200</v>
      </c>
      <c r="M2060" s="66"/>
      <c r="N2060" s="9" t="s">
        <v>7</v>
      </c>
      <c r="O2060" s="66">
        <f>+H2060/L2060</f>
        <v>11</v>
      </c>
      <c r="P2060" s="66"/>
      <c r="Q2060" s="66"/>
      <c r="R2060" s="1" t="s">
        <v>41</v>
      </c>
      <c r="U2060" s="1" t="s">
        <v>192</v>
      </c>
      <c r="CC2060" s="7"/>
    </row>
    <row r="2061" spans="2:81">
      <c r="B2061" s="6"/>
      <c r="C2061" s="1" t="s">
        <v>34</v>
      </c>
      <c r="D2061" s="66">
        <f>+E2059</f>
        <v>-2.6808115803459085</v>
      </c>
      <c r="E2061" s="66"/>
      <c r="F2061" s="66"/>
      <c r="G2061" s="1" t="s">
        <v>41</v>
      </c>
      <c r="I2061" s="1" t="str">
        <f>IF(ABS(D2061)&lt;ABS(M2061),"&lt;","&gt;")</f>
        <v>&lt;</v>
      </c>
      <c r="J2061" s="1" t="s">
        <v>174</v>
      </c>
      <c r="M2061" s="66">
        <f>+O2060</f>
        <v>11</v>
      </c>
      <c r="N2061" s="66"/>
      <c r="O2061" s="66"/>
      <c r="P2061" s="1" t="s">
        <v>41</v>
      </c>
      <c r="R2061" s="8" t="str">
        <f>IF(ABS(D2061)&lt;ABS(M2061),"uygun.","uygun değil.")</f>
        <v>uygun.</v>
      </c>
      <c r="CC2061" s="7"/>
    </row>
    <row r="2062" spans="2:81" ht="12" thickBot="1">
      <c r="B2062" s="12"/>
      <c r="C2062" s="13"/>
      <c r="D2062" s="13"/>
      <c r="E2062" s="13"/>
      <c r="F2062" s="13"/>
      <c r="G2062" s="13"/>
      <c r="H2062" s="13"/>
      <c r="I2062" s="13"/>
      <c r="J2062" s="13"/>
      <c r="K2062" s="13"/>
      <c r="L2062" s="13"/>
      <c r="M2062" s="13"/>
      <c r="N2062" s="13"/>
      <c r="O2062" s="13"/>
      <c r="P2062" s="13"/>
      <c r="Q2062" s="1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  <c r="AK2062" s="13"/>
      <c r="AL2062" s="13"/>
      <c r="AM2062" s="13"/>
      <c r="AN2062" s="13"/>
      <c r="AO2062" s="13"/>
      <c r="AP2062" s="13"/>
      <c r="AQ2062" s="13"/>
      <c r="AR2062" s="13"/>
      <c r="AS2062" s="13"/>
      <c r="AT2062" s="13"/>
      <c r="AU2062" s="13"/>
      <c r="AV2062" s="13"/>
      <c r="AW2062" s="13"/>
      <c r="AX2062" s="13"/>
      <c r="AY2062" s="13"/>
      <c r="AZ2062" s="13"/>
      <c r="BA2062" s="13"/>
      <c r="BB2062" s="13"/>
      <c r="BC2062" s="13"/>
      <c r="BD2062" s="13"/>
      <c r="BE2062" s="13"/>
      <c r="BF2062" s="13"/>
      <c r="BG2062" s="13"/>
      <c r="BH2062" s="13"/>
      <c r="BI2062" s="13"/>
      <c r="BJ2062" s="13"/>
      <c r="BK2062" s="13"/>
      <c r="BL2062" s="13"/>
      <c r="BM2062" s="13"/>
      <c r="BN2062" s="13"/>
      <c r="BO2062" s="13"/>
      <c r="BP2062" s="13"/>
      <c r="BQ2062" s="13"/>
      <c r="BR2062" s="13"/>
      <c r="BS2062" s="13"/>
      <c r="BT2062" s="13"/>
      <c r="BU2062" s="13"/>
      <c r="BV2062" s="13"/>
      <c r="BW2062" s="13"/>
      <c r="BX2062" s="13"/>
      <c r="BY2062" s="13"/>
      <c r="BZ2062" s="13"/>
      <c r="CA2062" s="13"/>
      <c r="CB2062" s="13"/>
      <c r="CC2062" s="14"/>
    </row>
    <row r="2063" spans="2:81" ht="12" thickBot="1"/>
    <row r="2064" spans="2:81" ht="48" customHeight="1">
      <c r="B2064" s="73" t="s">
        <v>629</v>
      </c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  <c r="Q2064" s="74"/>
      <c r="R2064" s="74"/>
      <c r="S2064" s="74"/>
      <c r="T2064" s="74"/>
      <c r="U2064" s="74"/>
      <c r="V2064" s="74"/>
      <c r="W2064" s="74"/>
      <c r="X2064" s="74"/>
      <c r="Y2064" s="74"/>
      <c r="Z2064" s="74"/>
      <c r="AA2064" s="74"/>
      <c r="AB2064" s="74"/>
      <c r="AC2064" s="74"/>
      <c r="AD2064" s="74"/>
      <c r="AE2064" s="74"/>
      <c r="AF2064" s="74"/>
      <c r="AG2064" s="74"/>
      <c r="AH2064" s="74"/>
      <c r="AI2064" s="74"/>
      <c r="AJ2064" s="74"/>
      <c r="AK2064" s="74"/>
      <c r="AL2064" s="74"/>
      <c r="AM2064" s="74"/>
      <c r="AN2064" s="74"/>
      <c r="AO2064" s="74"/>
      <c r="AP2064" s="74"/>
      <c r="AQ2064" s="74"/>
      <c r="AR2064" s="74"/>
      <c r="AS2064" s="74"/>
      <c r="AT2064" s="74"/>
      <c r="AU2064" s="74"/>
      <c r="AV2064" s="74"/>
      <c r="AW2064" s="74"/>
      <c r="AX2064" s="74"/>
      <c r="AY2064" s="74"/>
      <c r="AZ2064" s="74"/>
      <c r="BA2064" s="74"/>
      <c r="BB2064" s="74"/>
      <c r="BC2064" s="74"/>
      <c r="BD2064" s="74"/>
      <c r="BE2064" s="74"/>
      <c r="BF2064" s="74"/>
      <c r="BG2064" s="74"/>
      <c r="BH2064" s="74"/>
      <c r="BI2064" s="74"/>
      <c r="BJ2064" s="74"/>
      <c r="BK2064" s="74"/>
      <c r="BL2064" s="74"/>
      <c r="BM2064" s="74"/>
      <c r="BN2064" s="74"/>
      <c r="BO2064" s="74"/>
      <c r="BP2064" s="74"/>
      <c r="BQ2064" s="74"/>
      <c r="BR2064" s="74"/>
      <c r="BS2064" s="74"/>
      <c r="BT2064" s="74"/>
      <c r="BU2064" s="74"/>
      <c r="BV2064" s="74"/>
      <c r="BW2064" s="74"/>
      <c r="BX2064" s="74"/>
      <c r="BY2064" s="74"/>
      <c r="BZ2064" s="74"/>
      <c r="CA2064" s="74"/>
      <c r="CB2064" s="74"/>
      <c r="CC2064" s="75"/>
    </row>
    <row r="2065" spans="2:81">
      <c r="B2065" s="6"/>
      <c r="S2065" s="8" t="s">
        <v>176</v>
      </c>
      <c r="CC2065" s="7"/>
    </row>
    <row r="2066" spans="2:81">
      <c r="B2066" s="6"/>
      <c r="J2066" s="1" t="s">
        <v>505</v>
      </c>
      <c r="R2066" s="1" t="s">
        <v>504</v>
      </c>
      <c r="Z2066" s="1" t="s">
        <v>616</v>
      </c>
      <c r="AJ2066" s="1" t="s">
        <v>290</v>
      </c>
      <c r="BM2066" s="23" t="s">
        <v>655</v>
      </c>
      <c r="CC2066" s="7"/>
    </row>
    <row r="2067" spans="2:81">
      <c r="B2067" s="6"/>
      <c r="S2067" s="67">
        <v>12</v>
      </c>
      <c r="T2067" s="67"/>
      <c r="U2067" s="1" t="s">
        <v>187</v>
      </c>
      <c r="CC2067" s="7"/>
    </row>
    <row r="2068" spans="2:81">
      <c r="B2068" s="6"/>
      <c r="K2068" s="67">
        <v>8</v>
      </c>
      <c r="L2068" s="67"/>
      <c r="M2068" s="1" t="s">
        <v>187</v>
      </c>
      <c r="AA2068" s="67">
        <v>5</v>
      </c>
      <c r="AB2068" s="67"/>
      <c r="AC2068" s="1" t="s">
        <v>187</v>
      </c>
      <c r="CC2068" s="7"/>
    </row>
    <row r="2069" spans="2:81">
      <c r="B2069" s="6"/>
      <c r="AL2069" s="23" t="s">
        <v>341</v>
      </c>
      <c r="CC2069" s="7"/>
    </row>
    <row r="2070" spans="2:81">
      <c r="B2070" s="6"/>
      <c r="AL2070" s="1" t="s">
        <v>301</v>
      </c>
      <c r="AN2070" s="66">
        <f>+AK2115</f>
        <v>1.1683963872378638</v>
      </c>
      <c r="AO2070" s="66"/>
      <c r="AP2070" s="66"/>
      <c r="CC2070" s="7"/>
    </row>
    <row r="2071" spans="2:81">
      <c r="B2071" s="6"/>
      <c r="AL2071" s="1" t="s">
        <v>297</v>
      </c>
      <c r="AN2071" s="66">
        <f>+AI2107</f>
        <v>50.741611785468322</v>
      </c>
      <c r="AO2071" s="66"/>
      <c r="AP2071" s="66"/>
      <c r="AQ2071" s="1" t="s">
        <v>191</v>
      </c>
      <c r="AS2071" s="1" t="s">
        <v>329</v>
      </c>
      <c r="CC2071" s="7"/>
    </row>
    <row r="2072" spans="2:81">
      <c r="B2072" s="6"/>
      <c r="AL2072" s="1" t="s">
        <v>330</v>
      </c>
      <c r="AO2072" s="79">
        <f>MAX(ABS(AN2073),ABS(AO2073),ABS(AP2073),ABS(AQ2073))</f>
        <v>29.94318181818182</v>
      </c>
      <c r="AP2072" s="79"/>
      <c r="AQ2072" s="79"/>
      <c r="AR2072" s="1" t="s">
        <v>0</v>
      </c>
      <c r="AT2072" s="1" t="s">
        <v>331</v>
      </c>
      <c r="CC2072" s="7"/>
    </row>
    <row r="2073" spans="2:81">
      <c r="B2073" s="6"/>
      <c r="I2073" s="10" t="s">
        <v>628</v>
      </c>
      <c r="J2073" s="10"/>
      <c r="K2073" s="66">
        <f>INDEX($CM$24:$CM$138,MATCH(I2074,$CG$24:$CG$138,0),0)</f>
        <v>8360</v>
      </c>
      <c r="L2073" s="66"/>
      <c r="M2073" s="66"/>
      <c r="N2073" s="1" t="s">
        <v>37</v>
      </c>
      <c r="Y2073" s="10" t="s">
        <v>626</v>
      </c>
      <c r="Z2073" s="10"/>
      <c r="AA2073" s="66">
        <f>INDEX($CM$24:$CM$138,MATCH(Y2074,$CG$24:$CG$138,0),0)</f>
        <v>48200</v>
      </c>
      <c r="AB2073" s="66"/>
      <c r="AC2073" s="66"/>
      <c r="AD2073" s="1" t="s">
        <v>37</v>
      </c>
      <c r="AN2073" s="40">
        <f>+G2075</f>
        <v>29.94318181818182</v>
      </c>
      <c r="AO2073" s="40">
        <f>+AN2073-K2068*K2077</f>
        <v>15.94318181818182</v>
      </c>
      <c r="AP2073" s="40">
        <f>+AO2073-S2067*S2077</f>
        <v>-11.05681818181818</v>
      </c>
      <c r="AQ2073" s="40">
        <f>+AP2073-AA2068*AA2077</f>
        <v>-24.05681818181818</v>
      </c>
      <c r="CC2073" s="7"/>
    </row>
    <row r="2074" spans="2:81">
      <c r="B2074" s="6"/>
      <c r="I2074" s="67" t="s">
        <v>638</v>
      </c>
      <c r="J2074" s="67"/>
      <c r="K2074" s="67"/>
      <c r="L2074" s="67"/>
      <c r="M2074" s="67"/>
      <c r="N2074" s="67"/>
      <c r="Q2074" s="10" t="s">
        <v>627</v>
      </c>
      <c r="R2074" s="10"/>
      <c r="S2074" s="66">
        <f>INDEX($CM$24:$CM$138,MATCH(Q2075,$CG$24:$CG$138,0),0)</f>
        <v>92080</v>
      </c>
      <c r="T2074" s="66"/>
      <c r="U2074" s="66"/>
      <c r="V2074" s="1" t="s">
        <v>37</v>
      </c>
      <c r="Y2074" s="67" t="s">
        <v>637</v>
      </c>
      <c r="Z2074" s="67"/>
      <c r="AA2074" s="67"/>
      <c r="AB2074" s="67"/>
      <c r="AC2074" s="67"/>
      <c r="AD2074" s="67"/>
      <c r="CC2074" s="7"/>
    </row>
    <row r="2075" spans="2:81">
      <c r="B2075" s="6"/>
      <c r="F2075" s="1" t="s">
        <v>2</v>
      </c>
      <c r="G2075" s="66">
        <f>+E2088</f>
        <v>29.94318181818182</v>
      </c>
      <c r="H2075" s="66"/>
      <c r="I2075" s="1" t="s">
        <v>0</v>
      </c>
      <c r="Q2075" s="67" t="s">
        <v>171</v>
      </c>
      <c r="R2075" s="67"/>
      <c r="S2075" s="67"/>
      <c r="T2075" s="67"/>
      <c r="U2075" s="67"/>
      <c r="V2075" s="67"/>
      <c r="AD2075" s="1" t="s">
        <v>3</v>
      </c>
      <c r="AE2075" s="66">
        <f>+E2091</f>
        <v>24.05681818181818</v>
      </c>
      <c r="AF2075" s="66"/>
      <c r="AG2075" s="1" t="s">
        <v>0</v>
      </c>
      <c r="AL2075" s="1" t="s">
        <v>38</v>
      </c>
      <c r="AN2075" s="67">
        <v>200000</v>
      </c>
      <c r="AO2075" s="67"/>
      <c r="AP2075" s="67"/>
      <c r="AQ2075" s="67"/>
      <c r="AR2075" s="1" t="s">
        <v>39</v>
      </c>
      <c r="AU2075" s="1" t="s">
        <v>302</v>
      </c>
      <c r="CC2075" s="7"/>
    </row>
    <row r="2076" spans="2:81">
      <c r="B2076" s="6"/>
      <c r="K2076" s="1" t="s">
        <v>13</v>
      </c>
      <c r="S2076" s="1" t="s">
        <v>428</v>
      </c>
      <c r="AA2076" s="1" t="s">
        <v>640</v>
      </c>
      <c r="CC2076" s="7"/>
    </row>
    <row r="2077" spans="2:81">
      <c r="B2077" s="6"/>
      <c r="K2077" s="67">
        <v>1.75</v>
      </c>
      <c r="L2077" s="67"/>
      <c r="M2077" s="1" t="s">
        <v>1</v>
      </c>
      <c r="S2077" s="67">
        <v>2.25</v>
      </c>
      <c r="T2077" s="67"/>
      <c r="U2077" s="1" t="s">
        <v>1</v>
      </c>
      <c r="AA2077" s="67">
        <v>2.6</v>
      </c>
      <c r="AB2077" s="67"/>
      <c r="AC2077" s="1" t="s">
        <v>1</v>
      </c>
      <c r="AL2077" s="23" t="s">
        <v>266</v>
      </c>
      <c r="CC2077" s="7"/>
    </row>
    <row r="2078" spans="2:81">
      <c r="B2078" s="6"/>
      <c r="AL2078" s="11" t="s">
        <v>265</v>
      </c>
      <c r="CC2078" s="7"/>
    </row>
    <row r="2079" spans="2:81">
      <c r="B2079" s="6"/>
      <c r="S2079" s="66">
        <f>+K2077+S2077+AA2077</f>
        <v>6.6</v>
      </c>
      <c r="T2079" s="66"/>
      <c r="U2079" s="1" t="s">
        <v>1</v>
      </c>
      <c r="AL2079" s="11" t="s">
        <v>263</v>
      </c>
      <c r="CC2079" s="7"/>
    </row>
    <row r="2080" spans="2:81">
      <c r="B2080" s="6"/>
      <c r="AL2080" s="11" t="s">
        <v>264</v>
      </c>
      <c r="CC2080" s="7"/>
    </row>
    <row r="2081" spans="2:81">
      <c r="B2081" s="6"/>
      <c r="Q2081" s="23" t="s">
        <v>317</v>
      </c>
      <c r="CC2081" s="7"/>
    </row>
    <row r="2082" spans="2:81">
      <c r="B2082" s="6"/>
      <c r="K2082" s="1" t="s">
        <v>646</v>
      </c>
      <c r="U2082" s="1" t="s">
        <v>645</v>
      </c>
      <c r="CC2082" s="7"/>
    </row>
    <row r="2083" spans="2:81">
      <c r="B2083" s="6"/>
      <c r="E2083" s="1" t="s">
        <v>319</v>
      </c>
      <c r="K2083" s="1" t="s">
        <v>647</v>
      </c>
      <c r="U2083" s="1" t="s">
        <v>644</v>
      </c>
      <c r="AE2083" s="1" t="s">
        <v>346</v>
      </c>
      <c r="CC2083" s="7"/>
    </row>
    <row r="2084" spans="2:81">
      <c r="B2084" s="6"/>
      <c r="CC2084" s="7"/>
    </row>
    <row r="2085" spans="2:81">
      <c r="B2085" s="6"/>
      <c r="C2085" s="23" t="s">
        <v>221</v>
      </c>
      <c r="CC2085" s="7"/>
    </row>
    <row r="2086" spans="2:81">
      <c r="B2086" s="6"/>
      <c r="C2086" s="1" t="s">
        <v>177</v>
      </c>
      <c r="CC2086" s="7"/>
    </row>
    <row r="2087" spans="2:81">
      <c r="B2087" s="6"/>
      <c r="C2087" s="1" t="s">
        <v>4</v>
      </c>
      <c r="D2087" s="9" t="s">
        <v>5</v>
      </c>
      <c r="E2087" s="66">
        <f>+S2079</f>
        <v>6.6</v>
      </c>
      <c r="F2087" s="66"/>
      <c r="G2087" s="9" t="s">
        <v>6</v>
      </c>
      <c r="H2087" s="66">
        <f>+K2068</f>
        <v>8</v>
      </c>
      <c r="I2087" s="66"/>
      <c r="J2087" s="9" t="s">
        <v>5</v>
      </c>
      <c r="K2087" s="66">
        <f>+K2077</f>
        <v>1.75</v>
      </c>
      <c r="L2087" s="66"/>
      <c r="M2087" s="9" t="s">
        <v>5</v>
      </c>
      <c r="N2087" s="66">
        <f>+K2077/2+S2077+AA2077</f>
        <v>5.7249999999999996</v>
      </c>
      <c r="O2087" s="66"/>
      <c r="P2087" s="9" t="s">
        <v>6</v>
      </c>
      <c r="Q2087" s="66">
        <f>+S2067</f>
        <v>12</v>
      </c>
      <c r="R2087" s="66"/>
      <c r="S2087" s="9" t="s">
        <v>5</v>
      </c>
      <c r="T2087" s="66">
        <f>+S2077</f>
        <v>2.25</v>
      </c>
      <c r="U2087" s="66"/>
      <c r="V2087" s="9" t="s">
        <v>5</v>
      </c>
      <c r="W2087" s="66">
        <f>+S2077/2+AA2077</f>
        <v>3.7250000000000001</v>
      </c>
      <c r="X2087" s="66"/>
      <c r="Y2087" s="9" t="s">
        <v>6</v>
      </c>
      <c r="Z2087" s="66">
        <f>+AA2068</f>
        <v>5</v>
      </c>
      <c r="AA2087" s="66"/>
      <c r="AB2087" s="9" t="s">
        <v>5</v>
      </c>
      <c r="AC2087" s="66">
        <f>+AA2077</f>
        <v>2.6</v>
      </c>
      <c r="AD2087" s="66"/>
      <c r="AE2087" s="9" t="s">
        <v>5</v>
      </c>
      <c r="AF2087" s="66">
        <f>+AA2077/2</f>
        <v>1.3</v>
      </c>
      <c r="AG2087" s="66"/>
      <c r="AH2087" s="9" t="s">
        <v>7</v>
      </c>
      <c r="AI2087" s="1">
        <v>0</v>
      </c>
      <c r="CC2087" s="7"/>
    </row>
    <row r="2088" spans="2:81">
      <c r="B2088" s="6"/>
      <c r="C2088" s="1" t="s">
        <v>8</v>
      </c>
      <c r="D2088" s="9"/>
      <c r="E2088" s="66">
        <f>(H2087*K2087*N2087+Q2087*T2087*W2087+Z2087*AC2087*AF2087)/E2087</f>
        <v>29.94318181818182</v>
      </c>
      <c r="F2088" s="66"/>
      <c r="G2088" s="1" t="s">
        <v>0</v>
      </c>
      <c r="I2088" s="1" t="s">
        <v>178</v>
      </c>
      <c r="CC2088" s="7"/>
    </row>
    <row r="2089" spans="2:81">
      <c r="B2089" s="6"/>
      <c r="C2089" s="1" t="s">
        <v>189</v>
      </c>
      <c r="CC2089" s="7"/>
    </row>
    <row r="2090" spans="2:81">
      <c r="B2090" s="6"/>
      <c r="C2090" s="1" t="s">
        <v>4</v>
      </c>
      <c r="D2090" s="9" t="s">
        <v>9</v>
      </c>
      <c r="E2090" s="9" t="s">
        <v>10</v>
      </c>
      <c r="F2090" s="9" t="s">
        <v>6</v>
      </c>
      <c r="G2090" s="66">
        <f>+K2068</f>
        <v>8</v>
      </c>
      <c r="H2090" s="66"/>
      <c r="I2090" s="9" t="s">
        <v>5</v>
      </c>
      <c r="J2090" s="66">
        <f>+K2077</f>
        <v>1.75</v>
      </c>
      <c r="K2090" s="66"/>
      <c r="L2090" s="9" t="s">
        <v>6</v>
      </c>
      <c r="M2090" s="66">
        <f>+S2067</f>
        <v>12</v>
      </c>
      <c r="N2090" s="66"/>
      <c r="O2090" s="9" t="s">
        <v>5</v>
      </c>
      <c r="P2090" s="66">
        <f>+S2077</f>
        <v>2.25</v>
      </c>
      <c r="Q2090" s="66"/>
      <c r="R2090" s="9" t="s">
        <v>6</v>
      </c>
      <c r="S2090" s="66">
        <f>+AA2068</f>
        <v>5</v>
      </c>
      <c r="T2090" s="66"/>
      <c r="U2090" s="9" t="s">
        <v>5</v>
      </c>
      <c r="V2090" s="66">
        <f>+AA2077</f>
        <v>2.6</v>
      </c>
      <c r="W2090" s="66"/>
      <c r="X2090" s="9" t="s">
        <v>7</v>
      </c>
      <c r="Y2090" s="1">
        <v>0</v>
      </c>
      <c r="CC2090" s="7"/>
    </row>
    <row r="2091" spans="2:81">
      <c r="B2091" s="6"/>
      <c r="C2091" s="1" t="s">
        <v>11</v>
      </c>
      <c r="D2091" s="9"/>
      <c r="E2091" s="66">
        <f>+G2090*J2090+M2090*P2090+S2090*V2090-E2088</f>
        <v>24.05681818181818</v>
      </c>
      <c r="F2091" s="66"/>
      <c r="G2091" s="1" t="s">
        <v>0</v>
      </c>
      <c r="I2091" s="1" t="s">
        <v>179</v>
      </c>
      <c r="CC2091" s="7"/>
    </row>
    <row r="2092" spans="2:81">
      <c r="B2092" s="6"/>
      <c r="C2092" s="23" t="s">
        <v>222</v>
      </c>
      <c r="D2092" s="9"/>
      <c r="E2092" s="9"/>
      <c r="F2092" s="9"/>
      <c r="CC2092" s="7"/>
    </row>
    <row r="2093" spans="2:81">
      <c r="B2093" s="6"/>
      <c r="C2093" s="24" t="s">
        <v>303</v>
      </c>
      <c r="D2093" s="9"/>
      <c r="E2093" s="9"/>
      <c r="F2093" s="9"/>
      <c r="CC2093" s="7"/>
    </row>
    <row r="2094" spans="2:81">
      <c r="B2094" s="6"/>
      <c r="C2094" s="1" t="s">
        <v>27</v>
      </c>
      <c r="D2094" s="67">
        <v>1</v>
      </c>
      <c r="E2094" s="67"/>
      <c r="F2094" s="67"/>
      <c r="G2094" s="1" t="s">
        <v>213</v>
      </c>
      <c r="H2094" s="9"/>
      <c r="I2094" s="9"/>
      <c r="J2094" s="9"/>
      <c r="M2094" s="9"/>
      <c r="N2094" s="21"/>
      <c r="P2094" s="9"/>
      <c r="Q2094" s="9"/>
      <c r="V2094" s="8" t="str">
        <f>IF(D2094&lt;=K2077,"","azalt.")</f>
        <v/>
      </c>
      <c r="CC2094" s="7"/>
    </row>
    <row r="2095" spans="2:81">
      <c r="B2095" s="6"/>
      <c r="C2095" s="1" t="s">
        <v>12</v>
      </c>
      <c r="E2095" s="66">
        <f>+G2075</f>
        <v>29.94318181818182</v>
      </c>
      <c r="F2095" s="66"/>
      <c r="G2095" s="9" t="s">
        <v>5</v>
      </c>
      <c r="H2095" s="66">
        <f>+D2094</f>
        <v>1</v>
      </c>
      <c r="I2095" s="66"/>
      <c r="J2095" s="9" t="s">
        <v>6</v>
      </c>
      <c r="K2095" s="66">
        <f>+K2068</f>
        <v>8</v>
      </c>
      <c r="L2095" s="66"/>
      <c r="M2095" s="9" t="s">
        <v>5</v>
      </c>
      <c r="N2095" s="66">
        <f>+D2094</f>
        <v>1</v>
      </c>
      <c r="O2095" s="66"/>
      <c r="P2095" s="9" t="s">
        <v>254</v>
      </c>
      <c r="Q2095" s="1">
        <v>2</v>
      </c>
      <c r="R2095" s="9" t="s">
        <v>7</v>
      </c>
      <c r="S2095" s="66">
        <f>+E2095*H2095-K2095*N2095^2/Q2095</f>
        <v>25.94318181818182</v>
      </c>
      <c r="T2095" s="66"/>
      <c r="U2095" s="66"/>
      <c r="V2095" s="11" t="s">
        <v>191</v>
      </c>
      <c r="AB2095" s="9"/>
      <c r="CC2095" s="7"/>
    </row>
    <row r="2096" spans="2:81">
      <c r="B2096" s="6"/>
      <c r="C2096" s="1" t="s">
        <v>220</v>
      </c>
      <c r="E2096" s="66">
        <f>+E2095</f>
        <v>29.94318181818182</v>
      </c>
      <c r="F2096" s="66"/>
      <c r="G2096" s="9" t="s">
        <v>6</v>
      </c>
      <c r="H2096" s="66">
        <f>+K2095</f>
        <v>8</v>
      </c>
      <c r="I2096" s="66"/>
      <c r="J2096" s="9" t="s">
        <v>5</v>
      </c>
      <c r="K2096" s="66">
        <f>+N2095</f>
        <v>1</v>
      </c>
      <c r="L2096" s="66"/>
      <c r="M2096" s="9" t="s">
        <v>7</v>
      </c>
      <c r="N2096" s="66">
        <f>+E2096-H2096*K2096</f>
        <v>21.94318181818182</v>
      </c>
      <c r="O2096" s="66"/>
      <c r="P2096" s="66"/>
      <c r="Q2096" s="11" t="s">
        <v>0</v>
      </c>
      <c r="S2096" s="9"/>
      <c r="V2096" s="9"/>
      <c r="Z2096" s="9"/>
      <c r="CC2096" s="7"/>
    </row>
    <row r="2097" spans="2:81">
      <c r="B2097" s="6"/>
      <c r="C2097" s="24" t="s">
        <v>308</v>
      </c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11"/>
      <c r="S2097" s="9"/>
      <c r="V2097" s="9"/>
      <c r="Z2097" s="9"/>
      <c r="CC2097" s="7"/>
    </row>
    <row r="2098" spans="2:81">
      <c r="B2098" s="6"/>
      <c r="C2098" s="1" t="s">
        <v>482</v>
      </c>
      <c r="D2098" s="67">
        <v>1</v>
      </c>
      <c r="E2098" s="67"/>
      <c r="F2098" s="67"/>
      <c r="G2098" s="1" t="s">
        <v>213</v>
      </c>
      <c r="H2098" s="9"/>
      <c r="I2098" s="9"/>
      <c r="J2098" s="9"/>
      <c r="M2098" s="9"/>
      <c r="N2098" s="21"/>
      <c r="P2098" s="9"/>
      <c r="Q2098" s="9"/>
      <c r="V2098" s="8" t="str">
        <f>IF(D2098&lt;=S2077,"","azalt.")</f>
        <v/>
      </c>
      <c r="CC2098" s="7"/>
    </row>
    <row r="2099" spans="2:81">
      <c r="B2099" s="6"/>
      <c r="C2099" s="1" t="s">
        <v>12</v>
      </c>
      <c r="E2099" s="66">
        <f>+G2075</f>
        <v>29.94318181818182</v>
      </c>
      <c r="F2099" s="66"/>
      <c r="G2099" s="9" t="s">
        <v>14</v>
      </c>
      <c r="H2099" s="66">
        <f>+K2077</f>
        <v>1.75</v>
      </c>
      <c r="I2099" s="66"/>
      <c r="J2099" s="9" t="s">
        <v>9</v>
      </c>
      <c r="K2099" s="66">
        <f>+D2098</f>
        <v>1</v>
      </c>
      <c r="L2099" s="66"/>
      <c r="M2099" s="1" t="s">
        <v>16</v>
      </c>
      <c r="N2099" s="66">
        <f>+K2068</f>
        <v>8</v>
      </c>
      <c r="O2099" s="66"/>
      <c r="P2099" s="9" t="s">
        <v>5</v>
      </c>
      <c r="Q2099" s="66">
        <f>+K2077</f>
        <v>1.75</v>
      </c>
      <c r="R2099" s="66"/>
      <c r="S2099" s="1" t="s">
        <v>14</v>
      </c>
      <c r="T2099" s="66">
        <f>+K2077/2</f>
        <v>0.875</v>
      </c>
      <c r="U2099" s="66"/>
      <c r="V2099" s="9" t="s">
        <v>9</v>
      </c>
      <c r="W2099" s="66">
        <f>+D2098</f>
        <v>1</v>
      </c>
      <c r="X2099" s="66"/>
      <c r="Y2099" s="1" t="s">
        <v>16</v>
      </c>
      <c r="Z2099" s="66">
        <f>+S2067</f>
        <v>12</v>
      </c>
      <c r="AA2099" s="66"/>
      <c r="AB2099" s="9" t="s">
        <v>5</v>
      </c>
      <c r="AC2099" s="66">
        <f>+D2098</f>
        <v>1</v>
      </c>
      <c r="AD2099" s="66"/>
      <c r="AE2099" s="1" t="s">
        <v>254</v>
      </c>
      <c r="AF2099" s="1">
        <v>2</v>
      </c>
      <c r="AG2099" s="9" t="s">
        <v>7</v>
      </c>
      <c r="AH2099" s="79">
        <f>+E2099*(H2099+K2099)-N2099*Q2099*(T2099+W2099)-Z2099*AC2099^2/AF2099</f>
        <v>50.09375</v>
      </c>
      <c r="AI2099" s="79"/>
      <c r="AJ2099" s="79"/>
      <c r="AK2099" s="11" t="s">
        <v>191</v>
      </c>
      <c r="AS2099" s="9"/>
      <c r="BH2099" s="9"/>
      <c r="BK2099" s="9"/>
      <c r="BX2099" s="9"/>
      <c r="CC2099" s="7"/>
    </row>
    <row r="2100" spans="2:81">
      <c r="B2100" s="6"/>
      <c r="C2100" s="1" t="s">
        <v>220</v>
      </c>
      <c r="E2100" s="66">
        <f>+E2099</f>
        <v>29.94318181818182</v>
      </c>
      <c r="F2100" s="66"/>
      <c r="G2100" s="9" t="s">
        <v>6</v>
      </c>
      <c r="H2100" s="66">
        <f>+N2099</f>
        <v>8</v>
      </c>
      <c r="I2100" s="66"/>
      <c r="J2100" s="9" t="s">
        <v>5</v>
      </c>
      <c r="K2100" s="66">
        <f>+Q2099</f>
        <v>1.75</v>
      </c>
      <c r="L2100" s="66"/>
      <c r="M2100" s="9" t="s">
        <v>6</v>
      </c>
      <c r="N2100" s="66">
        <f>+Z2099</f>
        <v>12</v>
      </c>
      <c r="O2100" s="66"/>
      <c r="P2100" s="9" t="s">
        <v>5</v>
      </c>
      <c r="Q2100" s="66">
        <f>+AC2099</f>
        <v>1</v>
      </c>
      <c r="R2100" s="66"/>
      <c r="S2100" s="9" t="s">
        <v>7</v>
      </c>
      <c r="T2100" s="66">
        <f>+E2100-H2100*K2100-N2100*Q2100</f>
        <v>3.9431818181818201</v>
      </c>
      <c r="U2100" s="66"/>
      <c r="V2100" s="66"/>
      <c r="W2100" s="11" t="s">
        <v>0</v>
      </c>
      <c r="Z2100" s="9"/>
      <c r="CC2100" s="7"/>
    </row>
    <row r="2101" spans="2:81">
      <c r="B2101" s="6"/>
      <c r="C2101" s="24" t="s">
        <v>332</v>
      </c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11"/>
      <c r="Z2101" s="9"/>
      <c r="CC2101" s="7"/>
    </row>
    <row r="2102" spans="2:81">
      <c r="B2102" s="6"/>
      <c r="C2102" s="1" t="s">
        <v>654</v>
      </c>
      <c r="D2102" s="67">
        <v>1</v>
      </c>
      <c r="E2102" s="67"/>
      <c r="F2102" s="67"/>
      <c r="G2102" s="1" t="s">
        <v>213</v>
      </c>
      <c r="H2102" s="9"/>
      <c r="I2102" s="9"/>
      <c r="J2102" s="9"/>
      <c r="M2102" s="9"/>
      <c r="N2102" s="21"/>
      <c r="P2102" s="9"/>
      <c r="Q2102" s="9"/>
      <c r="V2102" s="8" t="str">
        <f>IF(D2102&lt;=AA2077,"","azalt.")</f>
        <v/>
      </c>
      <c r="CC2102" s="7"/>
    </row>
    <row r="2103" spans="2:81">
      <c r="B2103" s="6"/>
      <c r="C2103" s="1" t="s">
        <v>12</v>
      </c>
      <c r="E2103" s="66">
        <f>+G2075</f>
        <v>29.94318181818182</v>
      </c>
      <c r="F2103" s="66"/>
      <c r="G2103" s="9" t="s">
        <v>14</v>
      </c>
      <c r="H2103" s="66">
        <f>+K2077+S2077</f>
        <v>4</v>
      </c>
      <c r="I2103" s="66"/>
      <c r="J2103" s="9" t="s">
        <v>9</v>
      </c>
      <c r="K2103" s="66">
        <f>+D2102</f>
        <v>1</v>
      </c>
      <c r="L2103" s="66"/>
      <c r="M2103" s="1" t="s">
        <v>16</v>
      </c>
      <c r="N2103" s="66">
        <f>+K2068</f>
        <v>8</v>
      </c>
      <c r="O2103" s="66"/>
      <c r="P2103" s="9" t="s">
        <v>5</v>
      </c>
      <c r="Q2103" s="66">
        <f>+K2077</f>
        <v>1.75</v>
      </c>
      <c r="R2103" s="66"/>
      <c r="S2103" s="9" t="s">
        <v>14</v>
      </c>
      <c r="T2103" s="66">
        <f>+K2077/2+S2077</f>
        <v>3.125</v>
      </c>
      <c r="U2103" s="66"/>
      <c r="V2103" s="9" t="s">
        <v>9</v>
      </c>
      <c r="W2103" s="66">
        <f>+D2102</f>
        <v>1</v>
      </c>
      <c r="X2103" s="66"/>
      <c r="Y2103" s="1" t="s">
        <v>16</v>
      </c>
      <c r="Z2103" s="66">
        <f>+S2067</f>
        <v>12</v>
      </c>
      <c r="AA2103" s="66"/>
      <c r="AB2103" s="9" t="s">
        <v>5</v>
      </c>
      <c r="AC2103" s="66">
        <f>+S2077</f>
        <v>2.25</v>
      </c>
      <c r="AD2103" s="66"/>
      <c r="AE2103" s="9" t="s">
        <v>14</v>
      </c>
      <c r="AF2103" s="66">
        <f>+S2077/2</f>
        <v>1.125</v>
      </c>
      <c r="AG2103" s="66"/>
      <c r="AH2103" s="9" t="s">
        <v>9</v>
      </c>
      <c r="AI2103" s="66">
        <f>+D2102</f>
        <v>1</v>
      </c>
      <c r="AJ2103" s="66"/>
      <c r="AK2103" s="1" t="s">
        <v>16</v>
      </c>
      <c r="AL2103" s="66">
        <f>+AA2068</f>
        <v>5</v>
      </c>
      <c r="AM2103" s="66"/>
      <c r="AN2103" s="9" t="s">
        <v>5</v>
      </c>
      <c r="AO2103" s="66">
        <f>+D2102</f>
        <v>1</v>
      </c>
      <c r="AP2103" s="66"/>
      <c r="AQ2103" s="1" t="s">
        <v>254</v>
      </c>
      <c r="AR2103" s="1">
        <v>2</v>
      </c>
      <c r="AS2103" s="9" t="s">
        <v>7</v>
      </c>
      <c r="AT2103" s="66">
        <f>+E2103*(H2103+K2103)-N2103*Q2103*(T2103+W2103)-Z2103*AC2103*(AF2103+AI2103)-AL2103*AO2103^2/AR2103</f>
        <v>32.090909090909093</v>
      </c>
      <c r="AU2103" s="66"/>
      <c r="AV2103" s="66"/>
      <c r="AW2103" s="11" t="s">
        <v>191</v>
      </c>
      <c r="CC2103" s="7"/>
    </row>
    <row r="2104" spans="2:81">
      <c r="B2104" s="6"/>
      <c r="C2104" s="1" t="s">
        <v>220</v>
      </c>
      <c r="E2104" s="66">
        <f>+E2103</f>
        <v>29.94318181818182</v>
      </c>
      <c r="F2104" s="66"/>
      <c r="G2104" s="9" t="s">
        <v>6</v>
      </c>
      <c r="H2104" s="66">
        <f>+N2103</f>
        <v>8</v>
      </c>
      <c r="I2104" s="66"/>
      <c r="J2104" s="9" t="s">
        <v>5</v>
      </c>
      <c r="K2104" s="66">
        <f>+Q2103</f>
        <v>1.75</v>
      </c>
      <c r="L2104" s="66"/>
      <c r="M2104" s="9" t="s">
        <v>6</v>
      </c>
      <c r="N2104" s="66">
        <f>+Z2103</f>
        <v>12</v>
      </c>
      <c r="O2104" s="66"/>
      <c r="P2104" s="9" t="s">
        <v>5</v>
      </c>
      <c r="Q2104" s="66">
        <f>+AC2103</f>
        <v>2.25</v>
      </c>
      <c r="R2104" s="66"/>
      <c r="S2104" s="9" t="s">
        <v>6</v>
      </c>
      <c r="T2104" s="66">
        <f>+AL2103</f>
        <v>5</v>
      </c>
      <c r="U2104" s="66"/>
      <c r="V2104" s="9" t="s">
        <v>5</v>
      </c>
      <c r="W2104" s="66">
        <f>+AO2103</f>
        <v>1</v>
      </c>
      <c r="X2104" s="66"/>
      <c r="Y2104" s="9" t="s">
        <v>7</v>
      </c>
      <c r="Z2104" s="66">
        <f>+E2104-H2104*K2104-N2104*Q2104-T2104*W2104</f>
        <v>-16.05681818181818</v>
      </c>
      <c r="AA2104" s="66"/>
      <c r="AB2104" s="66"/>
      <c r="AC2104" s="11" t="s">
        <v>0</v>
      </c>
      <c r="CC2104" s="7"/>
    </row>
    <row r="2105" spans="2:81">
      <c r="B2105" s="6"/>
      <c r="C2105" s="23" t="s">
        <v>253</v>
      </c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CC2105" s="7"/>
    </row>
    <row r="2106" spans="2:81">
      <c r="B2106" s="6"/>
      <c r="C2106" s="1" t="s">
        <v>482</v>
      </c>
      <c r="D2106" s="66">
        <f>((G2075-K2068*K2077+S2067*K2077)/S2067)-K2077</f>
        <v>1.3285984848484849</v>
      </c>
      <c r="E2106" s="66"/>
      <c r="F2106" s="66"/>
      <c r="G2106" s="1" t="s">
        <v>257</v>
      </c>
      <c r="H2106" s="9"/>
      <c r="I2106" s="9"/>
      <c r="J2106" s="9"/>
      <c r="M2106" s="9"/>
      <c r="P2106" s="4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BC2106" s="2"/>
      <c r="CC2106" s="7"/>
    </row>
    <row r="2107" spans="2:81">
      <c r="B2107" s="6"/>
      <c r="C2107" s="1" t="s">
        <v>260</v>
      </c>
      <c r="D2107" s="9"/>
      <c r="E2107" s="9"/>
      <c r="F2107" s="66">
        <f>+E2099</f>
        <v>29.94318181818182</v>
      </c>
      <c r="G2107" s="66"/>
      <c r="H2107" s="9" t="s">
        <v>14</v>
      </c>
      <c r="I2107" s="66">
        <f>+H2099</f>
        <v>1.75</v>
      </c>
      <c r="J2107" s="66"/>
      <c r="K2107" s="9" t="s">
        <v>9</v>
      </c>
      <c r="L2107" s="66">
        <f>+D2106</f>
        <v>1.3285984848484849</v>
      </c>
      <c r="M2107" s="66"/>
      <c r="N2107" s="1" t="s">
        <v>16</v>
      </c>
      <c r="O2107" s="66">
        <f>+N2099</f>
        <v>8</v>
      </c>
      <c r="P2107" s="66"/>
      <c r="Q2107" s="9" t="s">
        <v>5</v>
      </c>
      <c r="R2107" s="66">
        <f>+Q2099</f>
        <v>1.75</v>
      </c>
      <c r="S2107" s="66"/>
      <c r="T2107" s="1" t="s">
        <v>14</v>
      </c>
      <c r="U2107" s="66">
        <f>+T2099</f>
        <v>0.875</v>
      </c>
      <c r="V2107" s="66"/>
      <c r="W2107" s="9" t="s">
        <v>9</v>
      </c>
      <c r="X2107" s="66">
        <f>+D2106</f>
        <v>1.3285984848484849</v>
      </c>
      <c r="Y2107" s="66"/>
      <c r="Z2107" s="1" t="s">
        <v>16</v>
      </c>
      <c r="AA2107" s="66">
        <f>+Z2099</f>
        <v>12</v>
      </c>
      <c r="AB2107" s="66"/>
      <c r="AC2107" s="9" t="s">
        <v>5</v>
      </c>
      <c r="AD2107" s="66">
        <f>+D2106</f>
        <v>1.3285984848484849</v>
      </c>
      <c r="AE2107" s="66"/>
      <c r="AF2107" s="1" t="s">
        <v>254</v>
      </c>
      <c r="AG2107" s="1">
        <v>2</v>
      </c>
      <c r="AH2107" s="9" t="s">
        <v>7</v>
      </c>
      <c r="AI2107" s="79">
        <f>F2107*(I2107+L2107)-O2107*R2107*(U2107+X2107)-AA2107*AD2107^2/AG2107</f>
        <v>50.741611785468322</v>
      </c>
      <c r="AJ2107" s="79"/>
      <c r="AK2107" s="79"/>
      <c r="AL2107" s="1" t="s">
        <v>191</v>
      </c>
      <c r="AS2107" s="40"/>
      <c r="AT2107" s="40"/>
      <c r="AU2107" s="40"/>
      <c r="AV2107" s="40"/>
      <c r="BC2107" s="9"/>
      <c r="BF2107" s="9"/>
      <c r="BR2107" s="40"/>
      <c r="BS2107" s="40"/>
      <c r="CC2107" s="7"/>
    </row>
    <row r="2108" spans="2:81">
      <c r="B2108" s="6"/>
      <c r="C2108" s="1" t="s">
        <v>482</v>
      </c>
      <c r="D2108" s="1" t="s">
        <v>247</v>
      </c>
      <c r="F2108" s="66">
        <f>+S2079/2-K2077</f>
        <v>1.5499999999999998</v>
      </c>
      <c r="G2108" s="66"/>
      <c r="H2108" s="66"/>
      <c r="I2108" s="1" t="s">
        <v>252</v>
      </c>
      <c r="J2108" s="9"/>
      <c r="K2108" s="9"/>
      <c r="S2108" s="9"/>
      <c r="T2108" s="8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V2108" s="9"/>
      <c r="AW2108" s="21"/>
      <c r="AY2108" s="9"/>
      <c r="AZ2108" s="9"/>
      <c r="BC2108" s="2"/>
      <c r="CC2108" s="7"/>
    </row>
    <row r="2109" spans="2:81">
      <c r="B2109" s="6"/>
      <c r="C2109" s="1" t="s">
        <v>261</v>
      </c>
      <c r="D2109" s="9"/>
      <c r="E2109" s="66">
        <f>+F2107</f>
        <v>29.94318181818182</v>
      </c>
      <c r="F2109" s="66"/>
      <c r="G2109" s="9" t="s">
        <v>14</v>
      </c>
      <c r="H2109" s="66">
        <f>+I2107</f>
        <v>1.75</v>
      </c>
      <c r="I2109" s="66"/>
      <c r="J2109" s="9" t="s">
        <v>9</v>
      </c>
      <c r="K2109" s="66">
        <f>+F2108</f>
        <v>1.5499999999999998</v>
      </c>
      <c r="L2109" s="66"/>
      <c r="M2109" s="1" t="s">
        <v>16</v>
      </c>
      <c r="N2109" s="66">
        <f>+O2107</f>
        <v>8</v>
      </c>
      <c r="O2109" s="66"/>
      <c r="P2109" s="9" t="s">
        <v>5</v>
      </c>
      <c r="Q2109" s="66">
        <f>+R2107</f>
        <v>1.75</v>
      </c>
      <c r="R2109" s="66"/>
      <c r="S2109" s="1" t="s">
        <v>14</v>
      </c>
      <c r="T2109" s="66">
        <f>+U2107</f>
        <v>0.875</v>
      </c>
      <c r="U2109" s="66"/>
      <c r="V2109" s="9" t="s">
        <v>9</v>
      </c>
      <c r="W2109" s="66">
        <f>+F2108</f>
        <v>1.5499999999999998</v>
      </c>
      <c r="X2109" s="66"/>
      <c r="Y2109" s="1" t="s">
        <v>16</v>
      </c>
      <c r="Z2109" s="66">
        <f>+AA2107</f>
        <v>12</v>
      </c>
      <c r="AA2109" s="66"/>
      <c r="AB2109" s="9" t="s">
        <v>5</v>
      </c>
      <c r="AC2109" s="66">
        <f>+F2108</f>
        <v>1.5499999999999998</v>
      </c>
      <c r="AD2109" s="66"/>
      <c r="AE2109" s="1" t="s">
        <v>254</v>
      </c>
      <c r="AF2109" s="1">
        <v>2</v>
      </c>
      <c r="AG2109" s="9" t="s">
        <v>7</v>
      </c>
      <c r="AH2109" s="79">
        <f>E2109*(H2109+K2109)-N2109*Q2109*(T2109+W2109)-Z2109*AC2109^2/AF2109</f>
        <v>50.447500000000019</v>
      </c>
      <c r="AI2109" s="79"/>
      <c r="AJ2109" s="79"/>
      <c r="AK2109" s="1" t="s">
        <v>191</v>
      </c>
      <c r="AO2109" s="40"/>
      <c r="AP2109" s="40"/>
      <c r="CC2109" s="7"/>
    </row>
    <row r="2110" spans="2:81">
      <c r="B2110" s="6"/>
      <c r="C2110" s="2" t="s">
        <v>27</v>
      </c>
      <c r="D2110" s="1" t="s">
        <v>248</v>
      </c>
      <c r="F2110" s="66">
        <f>+S2079/4</f>
        <v>1.65</v>
      </c>
      <c r="G2110" s="66"/>
      <c r="H2110" s="66"/>
      <c r="I2110" s="1" t="s">
        <v>252</v>
      </c>
      <c r="J2110" s="9"/>
      <c r="K2110" s="9"/>
      <c r="N2110" s="9"/>
      <c r="O2110" s="21"/>
      <c r="Q2110" s="9"/>
      <c r="S2110" s="9"/>
      <c r="T2110" s="8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O2110" s="40"/>
      <c r="AP2110" s="40"/>
      <c r="CC2110" s="7"/>
    </row>
    <row r="2111" spans="2:81">
      <c r="B2111" s="6"/>
      <c r="C2111" s="1" t="s">
        <v>249</v>
      </c>
      <c r="E2111" s="66">
        <f>+E2109</f>
        <v>29.94318181818182</v>
      </c>
      <c r="F2111" s="66"/>
      <c r="G2111" s="9" t="s">
        <v>5</v>
      </c>
      <c r="H2111" s="66">
        <f>+F2110</f>
        <v>1.65</v>
      </c>
      <c r="I2111" s="66"/>
      <c r="J2111" s="9" t="s">
        <v>6</v>
      </c>
      <c r="K2111" s="66">
        <f>+K2068</f>
        <v>8</v>
      </c>
      <c r="L2111" s="66"/>
      <c r="M2111" s="9" t="s">
        <v>5</v>
      </c>
      <c r="N2111" s="66">
        <f>+F2110</f>
        <v>1.65</v>
      </c>
      <c r="O2111" s="66"/>
      <c r="P2111" s="1" t="s">
        <v>254</v>
      </c>
      <c r="Q2111" s="1">
        <v>2</v>
      </c>
      <c r="R2111" s="9" t="s">
        <v>7</v>
      </c>
      <c r="S2111" s="79">
        <f>+E2111*H2111-K2111*N2111^2/Q2111</f>
        <v>38.516249999999999</v>
      </c>
      <c r="T2111" s="79"/>
      <c r="U2111" s="79"/>
      <c r="V2111" s="1" t="s">
        <v>191</v>
      </c>
      <c r="AQ2111" s="9"/>
      <c r="BQ2111" s="9"/>
      <c r="CC2111" s="7"/>
    </row>
    <row r="2112" spans="2:81">
      <c r="B2112" s="6"/>
      <c r="C2112" s="1" t="s">
        <v>654</v>
      </c>
      <c r="D2112" s="1" t="s">
        <v>250</v>
      </c>
      <c r="G2112" s="66">
        <f>+S2079*3/4-K2077-S2077</f>
        <v>0.94999999999999929</v>
      </c>
      <c r="H2112" s="66"/>
      <c r="I2112" s="66"/>
      <c r="J2112" s="1" t="s">
        <v>252</v>
      </c>
      <c r="K2112" s="9"/>
      <c r="N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BH2112" s="21"/>
      <c r="BJ2112" s="9"/>
      <c r="BK2112" s="9"/>
      <c r="CC2112" s="7"/>
    </row>
    <row r="2113" spans="2:81">
      <c r="B2113" s="6"/>
      <c r="C2113" s="1" t="s">
        <v>251</v>
      </c>
      <c r="E2113" s="66">
        <f>+E2103</f>
        <v>29.94318181818182</v>
      </c>
      <c r="F2113" s="66"/>
      <c r="G2113" s="9" t="s">
        <v>14</v>
      </c>
      <c r="H2113" s="66">
        <f>+H2103</f>
        <v>4</v>
      </c>
      <c r="I2113" s="66"/>
      <c r="J2113" s="9" t="s">
        <v>9</v>
      </c>
      <c r="K2113" s="66">
        <f>+G2112</f>
        <v>0.94999999999999929</v>
      </c>
      <c r="L2113" s="66"/>
      <c r="M2113" s="1" t="s">
        <v>16</v>
      </c>
      <c r="N2113" s="66">
        <f>+N2103</f>
        <v>8</v>
      </c>
      <c r="O2113" s="66"/>
      <c r="P2113" s="9" t="s">
        <v>5</v>
      </c>
      <c r="Q2113" s="66">
        <f>+Q2103</f>
        <v>1.75</v>
      </c>
      <c r="R2113" s="66"/>
      <c r="S2113" s="9" t="s">
        <v>14</v>
      </c>
      <c r="T2113" s="66">
        <f>+T2103</f>
        <v>3.125</v>
      </c>
      <c r="U2113" s="66"/>
      <c r="V2113" s="9" t="s">
        <v>9</v>
      </c>
      <c r="W2113" s="66">
        <f>+G2112</f>
        <v>0.94999999999999929</v>
      </c>
      <c r="X2113" s="66"/>
      <c r="Y2113" s="1" t="s">
        <v>16</v>
      </c>
      <c r="Z2113" s="66">
        <f>+Z2103</f>
        <v>12</v>
      </c>
      <c r="AA2113" s="66"/>
      <c r="AB2113" s="9" t="s">
        <v>5</v>
      </c>
      <c r="AC2113" s="66">
        <f>+AC2103</f>
        <v>2.25</v>
      </c>
      <c r="AD2113" s="66"/>
      <c r="AE2113" s="9" t="s">
        <v>14</v>
      </c>
      <c r="AF2113" s="66">
        <f>+AF2103</f>
        <v>1.125</v>
      </c>
      <c r="AG2113" s="66"/>
      <c r="AH2113" s="9" t="s">
        <v>9</v>
      </c>
      <c r="AI2113" s="66">
        <f>+G2112</f>
        <v>0.94999999999999929</v>
      </c>
      <c r="AJ2113" s="66"/>
      <c r="AK2113" s="1" t="s">
        <v>16</v>
      </c>
      <c r="AL2113" s="66">
        <f>+AL2103</f>
        <v>5</v>
      </c>
      <c r="AM2113" s="66"/>
      <c r="AN2113" s="9" t="s">
        <v>5</v>
      </c>
      <c r="AO2113" s="66">
        <f>+G2112</f>
        <v>0.94999999999999929</v>
      </c>
      <c r="AP2113" s="66"/>
      <c r="AQ2113" s="1" t="s">
        <v>254</v>
      </c>
      <c r="AR2113" s="1">
        <v>2</v>
      </c>
      <c r="AS2113" s="9" t="s">
        <v>7</v>
      </c>
      <c r="AT2113" s="66">
        <f>E2113*(H2113+K2113)-N2113*Q2113*(T2113+W2113)-Z2113*AC2113*(AF2113+AI2113)-AL2113*AO2113^2/AR2113</f>
        <v>32.887500000000045</v>
      </c>
      <c r="AU2113" s="66"/>
      <c r="AV2113" s="66"/>
      <c r="AW2113" s="1" t="s">
        <v>191</v>
      </c>
      <c r="BQ2113" s="9"/>
      <c r="BS2113" s="9"/>
      <c r="CC2113" s="7"/>
    </row>
    <row r="2114" spans="2:81">
      <c r="B2114" s="6"/>
      <c r="C2114" s="1" t="s">
        <v>300</v>
      </c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U2114" s="9"/>
      <c r="V2114" s="9"/>
      <c r="W2114" s="9"/>
      <c r="X2114" s="9"/>
      <c r="Y2114" s="9"/>
      <c r="Z2114" s="9"/>
      <c r="AA2114" s="9"/>
      <c r="AB2114" s="9"/>
      <c r="AD2114" s="9"/>
      <c r="AE2114" s="9"/>
      <c r="AF2114" s="9"/>
      <c r="AG2114" s="9"/>
      <c r="AH2114" s="9"/>
      <c r="AI2114" s="9"/>
      <c r="AJ2114" s="9"/>
      <c r="AK2114" s="9"/>
      <c r="AM2114" s="9"/>
      <c r="AN2114" s="9"/>
      <c r="AO2114" s="9"/>
      <c r="AP2114" s="9"/>
      <c r="AQ2114" s="9"/>
      <c r="AR2114" s="9"/>
      <c r="CC2114" s="7"/>
    </row>
    <row r="2115" spans="2:81">
      <c r="B2115" s="6"/>
      <c r="C2115" s="1" t="s">
        <v>301</v>
      </c>
      <c r="E2115" s="66">
        <v>12.5</v>
      </c>
      <c r="F2115" s="66"/>
      <c r="G2115" s="9" t="s">
        <v>5</v>
      </c>
      <c r="H2115" s="66">
        <f>ABS(AI2107)</f>
        <v>50.741611785468322</v>
      </c>
      <c r="I2115" s="66"/>
      <c r="J2115" s="66"/>
      <c r="K2115" s="9" t="s">
        <v>275</v>
      </c>
      <c r="L2115" s="66">
        <v>2.5</v>
      </c>
      <c r="M2115" s="66"/>
      <c r="N2115" s="9" t="s">
        <v>5</v>
      </c>
      <c r="O2115" s="66">
        <f>+H2115</f>
        <v>50.741611785468322</v>
      </c>
      <c r="P2115" s="66"/>
      <c r="Q2115" s="66"/>
      <c r="R2115" s="9" t="s">
        <v>9</v>
      </c>
      <c r="S2115" s="9">
        <v>3</v>
      </c>
      <c r="T2115" s="9" t="s">
        <v>5</v>
      </c>
      <c r="U2115" s="66">
        <f>ABS(S2111)</f>
        <v>38.516249999999999</v>
      </c>
      <c r="V2115" s="66"/>
      <c r="W2115" s="66"/>
      <c r="X2115" s="9" t="s">
        <v>9</v>
      </c>
      <c r="Y2115" s="9">
        <v>4</v>
      </c>
      <c r="Z2115" s="9" t="s">
        <v>5</v>
      </c>
      <c r="AA2115" s="66">
        <f>ABS(AH2109)</f>
        <v>50.447500000000019</v>
      </c>
      <c r="AB2115" s="66"/>
      <c r="AC2115" s="66"/>
      <c r="AD2115" s="9" t="s">
        <v>9</v>
      </c>
      <c r="AE2115" s="9">
        <v>3</v>
      </c>
      <c r="AF2115" s="9" t="s">
        <v>5</v>
      </c>
      <c r="AG2115" s="66">
        <f>ABS(AT2113)</f>
        <v>32.887500000000045</v>
      </c>
      <c r="AH2115" s="66"/>
      <c r="AI2115" s="66"/>
      <c r="AJ2115" s="9" t="s">
        <v>201</v>
      </c>
      <c r="AK2115" s="66">
        <f>E2115*H2115/(L2115*O2115+S2115*U2115+Y2115*AA2115+AE2115*AG2115)</f>
        <v>1.1683963872378638</v>
      </c>
      <c r="AL2115" s="66"/>
      <c r="AM2115" s="66"/>
      <c r="AN2115" s="9"/>
      <c r="AO2115" s="9"/>
      <c r="AP2115" s="9"/>
      <c r="AQ2115" s="9"/>
      <c r="AR2115" s="9"/>
      <c r="CC2115" s="7"/>
    </row>
    <row r="2116" spans="2:81">
      <c r="B2116" s="6"/>
      <c r="C2116" s="23" t="s">
        <v>223</v>
      </c>
      <c r="CC2116" s="7"/>
    </row>
    <row r="2117" spans="2:81">
      <c r="B2117" s="6"/>
      <c r="C2117" s="24" t="s">
        <v>303</v>
      </c>
      <c r="CC2117" s="7"/>
    </row>
    <row r="2118" spans="2:81">
      <c r="B2118" s="6"/>
      <c r="C2118" s="1" t="s">
        <v>429</v>
      </c>
      <c r="E2118" s="66">
        <f>+G2075</f>
        <v>29.94318181818182</v>
      </c>
      <c r="F2118" s="66"/>
      <c r="G2118" s="9" t="s">
        <v>5</v>
      </c>
      <c r="H2118" s="9" t="s">
        <v>13</v>
      </c>
      <c r="I2118" s="1" t="s">
        <v>173</v>
      </c>
      <c r="J2118" s="66">
        <f>+K2073</f>
        <v>8360</v>
      </c>
      <c r="K2118" s="66"/>
      <c r="L2118" s="66"/>
      <c r="M2118" s="9" t="s">
        <v>6</v>
      </c>
      <c r="N2118" s="66">
        <f>+K2068</f>
        <v>8</v>
      </c>
      <c r="O2118" s="66"/>
      <c r="P2118" s="9" t="s">
        <v>5</v>
      </c>
      <c r="Q2118" s="1" t="s">
        <v>183</v>
      </c>
      <c r="R2118" s="1" t="s">
        <v>173</v>
      </c>
      <c r="S2118" s="1">
        <v>2</v>
      </c>
      <c r="T2118" s="1" t="s">
        <v>173</v>
      </c>
      <c r="U2118" s="66">
        <f>+J2118</f>
        <v>8360</v>
      </c>
      <c r="V2118" s="66"/>
      <c r="W2118" s="66"/>
      <c r="X2118" s="9" t="s">
        <v>7</v>
      </c>
      <c r="Y2118" s="66">
        <f>+E2118/J2118</f>
        <v>3.5817203131796437E-3</v>
      </c>
      <c r="Z2118" s="66"/>
      <c r="AA2118" s="66"/>
      <c r="AB2118" s="9" t="s">
        <v>5</v>
      </c>
      <c r="AC2118" s="9" t="s">
        <v>13</v>
      </c>
      <c r="AD2118" s="9" t="s">
        <v>6</v>
      </c>
      <c r="AE2118" s="66">
        <f>+N2118/S2118/U2118</f>
        <v>4.7846889952153111E-4</v>
      </c>
      <c r="AF2118" s="66"/>
      <c r="AG2118" s="66"/>
      <c r="AH2118" s="9" t="s">
        <v>5</v>
      </c>
      <c r="AI2118" s="1" t="s">
        <v>183</v>
      </c>
      <c r="CC2118" s="7"/>
    </row>
    <row r="2119" spans="2:81">
      <c r="B2119" s="6"/>
      <c r="C2119" s="1" t="s">
        <v>432</v>
      </c>
      <c r="E2119" s="66">
        <f>+Y2118</f>
        <v>3.5817203131796437E-3</v>
      </c>
      <c r="F2119" s="66"/>
      <c r="G2119" s="66"/>
      <c r="H2119" s="9" t="s">
        <v>5</v>
      </c>
      <c r="I2119" s="9" t="s">
        <v>183</v>
      </c>
      <c r="J2119" s="1" t="s">
        <v>173</v>
      </c>
      <c r="K2119" s="1">
        <v>2</v>
      </c>
      <c r="L2119" s="9" t="s">
        <v>6</v>
      </c>
      <c r="M2119" s="66">
        <f>+AE2118</f>
        <v>4.7846889952153111E-4</v>
      </c>
      <c r="N2119" s="66"/>
      <c r="O2119" s="66"/>
      <c r="P2119" s="9" t="s">
        <v>5</v>
      </c>
      <c r="Q2119" s="1" t="s">
        <v>184</v>
      </c>
      <c r="R2119" s="1" t="s">
        <v>173</v>
      </c>
      <c r="S2119" s="1">
        <v>3</v>
      </c>
      <c r="T2119" s="9" t="s">
        <v>9</v>
      </c>
      <c r="U2119" s="1" t="s">
        <v>24</v>
      </c>
      <c r="CC2119" s="7"/>
    </row>
    <row r="2120" spans="2:81">
      <c r="B2120" s="6"/>
      <c r="C2120" s="1" t="s">
        <v>431</v>
      </c>
      <c r="E2120" s="66">
        <f>+E2119</f>
        <v>3.5817203131796437E-3</v>
      </c>
      <c r="F2120" s="66"/>
      <c r="G2120" s="66"/>
      <c r="H2120" s="9" t="s">
        <v>5</v>
      </c>
      <c r="I2120" s="1" t="s">
        <v>184</v>
      </c>
      <c r="J2120" s="1" t="s">
        <v>173</v>
      </c>
      <c r="K2120" s="1">
        <v>6</v>
      </c>
      <c r="L2120" s="9" t="s">
        <v>6</v>
      </c>
      <c r="M2120" s="66">
        <f>+M2119</f>
        <v>4.7846889952153111E-4</v>
      </c>
      <c r="N2120" s="66"/>
      <c r="O2120" s="66"/>
      <c r="P2120" s="9" t="s">
        <v>5</v>
      </c>
      <c r="Q2120" s="1" t="s">
        <v>185</v>
      </c>
      <c r="R2120" s="1" t="s">
        <v>173</v>
      </c>
      <c r="S2120" s="66">
        <v>12</v>
      </c>
      <c r="T2120" s="66"/>
      <c r="U2120" s="9" t="s">
        <v>9</v>
      </c>
      <c r="V2120" s="1" t="s">
        <v>24</v>
      </c>
      <c r="W2120" s="9" t="s">
        <v>5</v>
      </c>
      <c r="X2120" s="9" t="s">
        <v>13</v>
      </c>
      <c r="Y2120" s="9" t="s">
        <v>9</v>
      </c>
      <c r="Z2120" s="1" t="s">
        <v>307</v>
      </c>
      <c r="CC2120" s="7"/>
    </row>
    <row r="2121" spans="2:81">
      <c r="B2121" s="6"/>
      <c r="C2121" s="24" t="s">
        <v>308</v>
      </c>
      <c r="E2121" s="9"/>
      <c r="F2121" s="9"/>
      <c r="G2121" s="9"/>
      <c r="CC2121" s="7"/>
    </row>
    <row r="2122" spans="2:81">
      <c r="B2122" s="6"/>
      <c r="C2122" s="1" t="s">
        <v>433</v>
      </c>
      <c r="E2122" s="66">
        <f>+G2075</f>
        <v>29.94318181818182</v>
      </c>
      <c r="F2122" s="66"/>
      <c r="G2122" s="9" t="s">
        <v>14</v>
      </c>
      <c r="H2122" s="66">
        <f>+K2077</f>
        <v>1.75</v>
      </c>
      <c r="I2122" s="66"/>
      <c r="J2122" s="9" t="s">
        <v>9</v>
      </c>
      <c r="K2122" s="9" t="s">
        <v>428</v>
      </c>
      <c r="L2122" s="9" t="s">
        <v>287</v>
      </c>
      <c r="M2122" s="66">
        <f>+S2074</f>
        <v>92080</v>
      </c>
      <c r="N2122" s="66"/>
      <c r="O2122" s="66"/>
      <c r="P2122" s="9" t="s">
        <v>6</v>
      </c>
      <c r="Q2122" s="66">
        <f>+K2068</f>
        <v>8</v>
      </c>
      <c r="R2122" s="66"/>
      <c r="S2122" s="9" t="s">
        <v>5</v>
      </c>
      <c r="T2122" s="66">
        <f>+K2077</f>
        <v>1.75</v>
      </c>
      <c r="U2122" s="66"/>
      <c r="V2122" s="1" t="s">
        <v>14</v>
      </c>
      <c r="W2122" s="66">
        <f>+K2077/2</f>
        <v>0.875</v>
      </c>
      <c r="X2122" s="66"/>
      <c r="Y2122" s="9" t="s">
        <v>9</v>
      </c>
      <c r="Z2122" s="9" t="s">
        <v>428</v>
      </c>
      <c r="AA2122" s="9" t="s">
        <v>287</v>
      </c>
      <c r="AB2122" s="66">
        <f>+M2122</f>
        <v>92080</v>
      </c>
      <c r="AC2122" s="66"/>
      <c r="AD2122" s="66"/>
      <c r="AE2122" s="9" t="s">
        <v>6</v>
      </c>
      <c r="AF2122" s="66">
        <f>+S2067</f>
        <v>12</v>
      </c>
      <c r="AG2122" s="66"/>
      <c r="AH2122" s="9" t="s">
        <v>5</v>
      </c>
      <c r="AI2122" s="1" t="s">
        <v>443</v>
      </c>
      <c r="AJ2122" s="1" t="s">
        <v>173</v>
      </c>
      <c r="AK2122" s="1">
        <v>2</v>
      </c>
      <c r="AL2122" s="1" t="s">
        <v>173</v>
      </c>
      <c r="AM2122" s="66">
        <f>+AB2122</f>
        <v>92080</v>
      </c>
      <c r="AN2122" s="66"/>
      <c r="AO2122" s="66"/>
      <c r="AP2122" s="9" t="s">
        <v>7</v>
      </c>
      <c r="AQ2122" s="66">
        <f>+E2122/M2122</f>
        <v>3.2518659663533688E-4</v>
      </c>
      <c r="AR2122" s="66"/>
      <c r="AS2122" s="66"/>
      <c r="AT2122" s="9" t="s">
        <v>14</v>
      </c>
      <c r="AU2122" s="66">
        <f>+H2122</f>
        <v>1.75</v>
      </c>
      <c r="AV2122" s="66"/>
      <c r="AW2122" s="9" t="s">
        <v>9</v>
      </c>
      <c r="AX2122" s="9" t="s">
        <v>428</v>
      </c>
      <c r="AY2122" s="9" t="s">
        <v>16</v>
      </c>
      <c r="AZ2122" s="66">
        <f>+Q2122*T2122/AB2122</f>
        <v>1.5204170286707211E-4</v>
      </c>
      <c r="BA2122" s="66"/>
      <c r="BB2122" s="66"/>
      <c r="BC2122" s="1" t="s">
        <v>14</v>
      </c>
      <c r="BD2122" s="66">
        <f>+W2122</f>
        <v>0.875</v>
      </c>
      <c r="BE2122" s="66"/>
      <c r="BF2122" s="9" t="s">
        <v>9</v>
      </c>
      <c r="BG2122" s="9" t="s">
        <v>428</v>
      </c>
      <c r="BH2122" s="9" t="s">
        <v>16</v>
      </c>
      <c r="BI2122" s="66">
        <f>+AF2122/AK2122/AM2122</f>
        <v>6.5160729800173764E-5</v>
      </c>
      <c r="BJ2122" s="66"/>
      <c r="BK2122" s="66"/>
      <c r="BL2122" s="9" t="s">
        <v>5</v>
      </c>
      <c r="BM2122" s="1" t="s">
        <v>443</v>
      </c>
      <c r="CC2122" s="7"/>
    </row>
    <row r="2123" spans="2:81">
      <c r="B2123" s="6"/>
      <c r="C2123" s="1" t="s">
        <v>430</v>
      </c>
      <c r="E2123" s="66">
        <f>+AQ2122</f>
        <v>3.2518659663533688E-4</v>
      </c>
      <c r="F2123" s="66"/>
      <c r="G2123" s="66"/>
      <c r="H2123" s="9" t="s">
        <v>14</v>
      </c>
      <c r="I2123" s="66">
        <f>+AU2122</f>
        <v>1.75</v>
      </c>
      <c r="J2123" s="66"/>
      <c r="K2123" s="9" t="s">
        <v>9</v>
      </c>
      <c r="L2123" s="9" t="s">
        <v>428</v>
      </c>
      <c r="M2123" s="9" t="s">
        <v>200</v>
      </c>
      <c r="N2123" s="1" t="s">
        <v>173</v>
      </c>
      <c r="O2123" s="1">
        <v>2</v>
      </c>
      <c r="P2123" s="9" t="s">
        <v>6</v>
      </c>
      <c r="Q2123" s="66">
        <f>+AZ2122</f>
        <v>1.5204170286707211E-4</v>
      </c>
      <c r="R2123" s="66"/>
      <c r="S2123" s="66"/>
      <c r="T2123" s="1" t="s">
        <v>14</v>
      </c>
      <c r="U2123" s="66">
        <f>+BD2122</f>
        <v>0.875</v>
      </c>
      <c r="V2123" s="66"/>
      <c r="W2123" s="9" t="s">
        <v>9</v>
      </c>
      <c r="X2123" s="9" t="s">
        <v>428</v>
      </c>
      <c r="Y2123" s="9" t="s">
        <v>200</v>
      </c>
      <c r="Z2123" s="1" t="s">
        <v>173</v>
      </c>
      <c r="AA2123" s="1">
        <v>2</v>
      </c>
      <c r="AB2123" s="9" t="s">
        <v>6</v>
      </c>
      <c r="AC2123" s="66">
        <f>+BI2122</f>
        <v>6.5160729800173764E-5</v>
      </c>
      <c r="AD2123" s="66"/>
      <c r="AE2123" s="66"/>
      <c r="AF2123" s="9" t="s">
        <v>5</v>
      </c>
      <c r="AG2123" s="1" t="s">
        <v>444</v>
      </c>
      <c r="AH2123" s="1" t="s">
        <v>173</v>
      </c>
      <c r="AI2123" s="1">
        <v>3</v>
      </c>
      <c r="AJ2123" s="9" t="s">
        <v>9</v>
      </c>
      <c r="AK2123" s="1" t="s">
        <v>313</v>
      </c>
      <c r="CC2123" s="7"/>
    </row>
    <row r="2124" spans="2:81">
      <c r="B2124" s="6"/>
      <c r="C2124" s="1" t="s">
        <v>435</v>
      </c>
      <c r="E2124" s="66">
        <f>+E2123</f>
        <v>3.2518659663533688E-4</v>
      </c>
      <c r="F2124" s="66"/>
      <c r="G2124" s="66"/>
      <c r="H2124" s="9" t="s">
        <v>14</v>
      </c>
      <c r="I2124" s="66">
        <f>+I2123</f>
        <v>1.75</v>
      </c>
      <c r="J2124" s="66"/>
      <c r="K2124" s="9" t="s">
        <v>9</v>
      </c>
      <c r="L2124" s="9" t="s">
        <v>428</v>
      </c>
      <c r="M2124" s="9" t="s">
        <v>311</v>
      </c>
      <c r="N2124" s="1" t="s">
        <v>173</v>
      </c>
      <c r="O2124" s="1">
        <v>6</v>
      </c>
      <c r="P2124" s="9" t="s">
        <v>6</v>
      </c>
      <c r="Q2124" s="66">
        <f>+Q2123</f>
        <v>1.5204170286707211E-4</v>
      </c>
      <c r="R2124" s="66"/>
      <c r="S2124" s="66"/>
      <c r="T2124" s="1" t="s">
        <v>14</v>
      </c>
      <c r="U2124" s="66">
        <f>+U2123</f>
        <v>0.875</v>
      </c>
      <c r="V2124" s="66"/>
      <c r="W2124" s="9" t="s">
        <v>9</v>
      </c>
      <c r="X2124" s="9" t="s">
        <v>428</v>
      </c>
      <c r="Y2124" s="9" t="s">
        <v>311</v>
      </c>
      <c r="Z2124" s="1" t="s">
        <v>173</v>
      </c>
      <c r="AA2124" s="1">
        <v>6</v>
      </c>
      <c r="AB2124" s="9" t="s">
        <v>6</v>
      </c>
      <c r="AC2124" s="66">
        <f>+AC2123</f>
        <v>6.5160729800173764E-5</v>
      </c>
      <c r="AD2124" s="66"/>
      <c r="AE2124" s="66"/>
      <c r="AF2124" s="9" t="s">
        <v>5</v>
      </c>
      <c r="AG2124" s="1" t="s">
        <v>445</v>
      </c>
      <c r="AH2124" s="1" t="s">
        <v>173</v>
      </c>
      <c r="AI2124" s="66">
        <v>12</v>
      </c>
      <c r="AJ2124" s="66"/>
      <c r="AK2124" s="9" t="s">
        <v>9</v>
      </c>
      <c r="AL2124" s="1" t="s">
        <v>313</v>
      </c>
      <c r="AM2124" s="9" t="s">
        <v>5</v>
      </c>
      <c r="AN2124" s="9" t="s">
        <v>428</v>
      </c>
      <c r="AO2124" s="9" t="s">
        <v>9</v>
      </c>
      <c r="AP2124" s="1" t="s">
        <v>315</v>
      </c>
      <c r="CC2124" s="7"/>
    </row>
    <row r="2125" spans="2:81">
      <c r="B2125" s="6"/>
      <c r="C2125" s="24" t="s">
        <v>332</v>
      </c>
      <c r="E2125" s="9"/>
      <c r="F2125" s="9"/>
      <c r="CC2125" s="7"/>
    </row>
    <row r="2126" spans="2:81">
      <c r="B2126" s="6"/>
      <c r="C2126" s="1" t="s">
        <v>617</v>
      </c>
      <c r="E2126" s="66">
        <f>+G2075</f>
        <v>29.94318181818182</v>
      </c>
      <c r="F2126" s="66"/>
      <c r="G2126" s="9" t="s">
        <v>14</v>
      </c>
      <c r="H2126" s="66">
        <f>+K2077+S2077</f>
        <v>4</v>
      </c>
      <c r="I2126" s="66"/>
      <c r="J2126" s="9" t="s">
        <v>9</v>
      </c>
      <c r="K2126" s="9" t="s">
        <v>640</v>
      </c>
      <c r="L2126" s="9" t="s">
        <v>287</v>
      </c>
      <c r="M2126" s="66">
        <f>+AA2073</f>
        <v>48200</v>
      </c>
      <c r="N2126" s="66"/>
      <c r="O2126" s="66"/>
      <c r="P2126" s="9" t="s">
        <v>6</v>
      </c>
      <c r="Q2126" s="66">
        <f>+K2068</f>
        <v>8</v>
      </c>
      <c r="R2126" s="66"/>
      <c r="S2126" s="9" t="s">
        <v>5</v>
      </c>
      <c r="T2126" s="66">
        <f>+K2077</f>
        <v>1.75</v>
      </c>
      <c r="U2126" s="66"/>
      <c r="V2126" s="1" t="s">
        <v>14</v>
      </c>
      <c r="W2126" s="66">
        <f>+K2077/2+S2077</f>
        <v>3.125</v>
      </c>
      <c r="X2126" s="66"/>
      <c r="Y2126" s="9" t="s">
        <v>9</v>
      </c>
      <c r="Z2126" s="9" t="s">
        <v>640</v>
      </c>
      <c r="AA2126" s="9" t="s">
        <v>287</v>
      </c>
      <c r="AB2126" s="66">
        <f>+M2126</f>
        <v>48200</v>
      </c>
      <c r="AC2126" s="66"/>
      <c r="AD2126" s="66"/>
      <c r="AE2126" s="9" t="s">
        <v>6</v>
      </c>
      <c r="AF2126" s="66">
        <f>+S2067</f>
        <v>12</v>
      </c>
      <c r="AG2126" s="66"/>
      <c r="AH2126" s="9" t="s">
        <v>5</v>
      </c>
      <c r="AI2126" s="66">
        <f>+S2077</f>
        <v>2.25</v>
      </c>
      <c r="AJ2126" s="66"/>
      <c r="AK2126" s="1" t="s">
        <v>14</v>
      </c>
      <c r="AL2126" s="66">
        <f>+S2077/2</f>
        <v>1.125</v>
      </c>
      <c r="AM2126" s="66"/>
      <c r="AN2126" s="9" t="s">
        <v>9</v>
      </c>
      <c r="AO2126" s="9" t="s">
        <v>640</v>
      </c>
      <c r="AP2126" s="9" t="s">
        <v>287</v>
      </c>
      <c r="AQ2126" s="66">
        <f>+AB2126</f>
        <v>48200</v>
      </c>
      <c r="AR2126" s="66"/>
      <c r="AS2126" s="66"/>
      <c r="AT2126" s="9" t="s">
        <v>6</v>
      </c>
      <c r="AU2126" s="66">
        <f>+AA2068</f>
        <v>5</v>
      </c>
      <c r="AV2126" s="66"/>
      <c r="AW2126" s="9" t="s">
        <v>5</v>
      </c>
      <c r="AX2126" s="1" t="s">
        <v>641</v>
      </c>
      <c r="AY2126" s="1" t="s">
        <v>173</v>
      </c>
      <c r="AZ2126" s="1">
        <v>2</v>
      </c>
      <c r="BA2126" s="9" t="s">
        <v>173</v>
      </c>
      <c r="BB2126" s="66">
        <f>+AQ2126</f>
        <v>48200</v>
      </c>
      <c r="BC2126" s="66"/>
      <c r="BD2126" s="66"/>
      <c r="BH2126" s="9"/>
      <c r="BI2126" s="9"/>
      <c r="BO2126" s="9"/>
      <c r="BQ2126" s="9"/>
      <c r="CC2126" s="7"/>
    </row>
    <row r="2127" spans="2:81">
      <c r="B2127" s="6"/>
      <c r="C2127" s="1" t="s">
        <v>617</v>
      </c>
      <c r="E2127" s="66">
        <f>+E2126/M2126</f>
        <v>6.2122783855149009E-4</v>
      </c>
      <c r="F2127" s="66"/>
      <c r="G2127" s="66"/>
      <c r="H2127" s="9" t="s">
        <v>14</v>
      </c>
      <c r="I2127" s="66">
        <f>+H2126</f>
        <v>4</v>
      </c>
      <c r="J2127" s="66"/>
      <c r="K2127" s="9" t="s">
        <v>9</v>
      </c>
      <c r="L2127" s="9" t="s">
        <v>640</v>
      </c>
      <c r="M2127" s="9" t="s">
        <v>16</v>
      </c>
      <c r="N2127" s="66">
        <f>+Q2126*T2126/AB2126</f>
        <v>2.9045643153526973E-4</v>
      </c>
      <c r="O2127" s="66"/>
      <c r="P2127" s="66"/>
      <c r="Q2127" s="1" t="s">
        <v>14</v>
      </c>
      <c r="R2127" s="66">
        <f>+W2126</f>
        <v>3.125</v>
      </c>
      <c r="S2127" s="66"/>
      <c r="T2127" s="9" t="s">
        <v>9</v>
      </c>
      <c r="U2127" s="9" t="s">
        <v>640</v>
      </c>
      <c r="V2127" s="9" t="s">
        <v>16</v>
      </c>
      <c r="W2127" s="66">
        <f>+AF2126*AI2126/AQ2126</f>
        <v>5.6016597510373447E-4</v>
      </c>
      <c r="X2127" s="66"/>
      <c r="Y2127" s="66"/>
      <c r="Z2127" s="1" t="s">
        <v>14</v>
      </c>
      <c r="AA2127" s="66">
        <f>+AL2126</f>
        <v>1.125</v>
      </c>
      <c r="AB2127" s="66"/>
      <c r="AC2127" s="9" t="s">
        <v>9</v>
      </c>
      <c r="AD2127" s="9" t="s">
        <v>640</v>
      </c>
      <c r="AE2127" s="9" t="s">
        <v>16</v>
      </c>
      <c r="AF2127" s="66">
        <f>+AU2126/AZ2126/BB2126</f>
        <v>5.1867219917012447E-5</v>
      </c>
      <c r="AG2127" s="66"/>
      <c r="AH2127" s="66"/>
      <c r="AI2127" s="9" t="s">
        <v>5</v>
      </c>
      <c r="AJ2127" s="1" t="s">
        <v>641</v>
      </c>
      <c r="AL2127" s="9"/>
      <c r="AM2127" s="9"/>
      <c r="AN2127" s="9"/>
      <c r="AO2127" s="9"/>
      <c r="AP2127" s="9"/>
      <c r="AQ2127" s="9"/>
      <c r="AR2127" s="9"/>
      <c r="AS2127" s="9"/>
      <c r="AT2127" s="9"/>
      <c r="AU2127" s="9"/>
      <c r="AV2127" s="9"/>
      <c r="AW2127" s="9"/>
      <c r="BA2127" s="9"/>
      <c r="BB2127" s="9"/>
      <c r="BC2127" s="9"/>
      <c r="BD2127" s="9"/>
      <c r="BH2127" s="9"/>
      <c r="BI2127" s="9"/>
      <c r="BO2127" s="9"/>
      <c r="BQ2127" s="9"/>
      <c r="CC2127" s="7"/>
    </row>
    <row r="2128" spans="2:81">
      <c r="B2128" s="6"/>
      <c r="C2128" s="1" t="s">
        <v>618</v>
      </c>
      <c r="E2128" s="66">
        <f>+E2127</f>
        <v>6.2122783855149009E-4</v>
      </c>
      <c r="F2128" s="66"/>
      <c r="G2128" s="66"/>
      <c r="H2128" s="9" t="s">
        <v>14</v>
      </c>
      <c r="I2128" s="66">
        <f>+I2127</f>
        <v>4</v>
      </c>
      <c r="J2128" s="66"/>
      <c r="K2128" s="9" t="s">
        <v>9</v>
      </c>
      <c r="L2128" s="9" t="s">
        <v>640</v>
      </c>
      <c r="M2128" s="9" t="s">
        <v>200</v>
      </c>
      <c r="N2128" s="1" t="s">
        <v>173</v>
      </c>
      <c r="O2128" s="1">
        <v>2</v>
      </c>
      <c r="P2128" s="9" t="s">
        <v>6</v>
      </c>
      <c r="Q2128" s="66">
        <f>+N2127</f>
        <v>2.9045643153526973E-4</v>
      </c>
      <c r="R2128" s="66"/>
      <c r="S2128" s="66"/>
      <c r="T2128" s="1" t="s">
        <v>14</v>
      </c>
      <c r="U2128" s="66">
        <f>+R2127</f>
        <v>3.125</v>
      </c>
      <c r="V2128" s="66"/>
      <c r="W2128" s="9" t="s">
        <v>9</v>
      </c>
      <c r="X2128" s="9" t="s">
        <v>640</v>
      </c>
      <c r="Y2128" s="9" t="s">
        <v>200</v>
      </c>
      <c r="Z2128" s="1" t="s">
        <v>173</v>
      </c>
      <c r="AA2128" s="1">
        <v>2</v>
      </c>
      <c r="AB2128" s="9" t="s">
        <v>6</v>
      </c>
      <c r="AC2128" s="66">
        <f>+W2127</f>
        <v>5.6016597510373447E-4</v>
      </c>
      <c r="AD2128" s="66"/>
      <c r="AE2128" s="66"/>
      <c r="AF2128" s="1" t="s">
        <v>14</v>
      </c>
      <c r="AG2128" s="66">
        <f>+AA2127</f>
        <v>1.125</v>
      </c>
      <c r="AH2128" s="66"/>
      <c r="AI2128" s="9" t="s">
        <v>9</v>
      </c>
      <c r="AJ2128" s="9" t="s">
        <v>640</v>
      </c>
      <c r="AK2128" s="9" t="s">
        <v>200</v>
      </c>
      <c r="AL2128" s="1" t="s">
        <v>173</v>
      </c>
      <c r="AM2128" s="1">
        <v>2</v>
      </c>
      <c r="AN2128" s="9" t="s">
        <v>6</v>
      </c>
      <c r="AO2128" s="66">
        <f>+AF2127</f>
        <v>5.1867219917012447E-5</v>
      </c>
      <c r="AP2128" s="66"/>
      <c r="AQ2128" s="66"/>
      <c r="AR2128" s="9" t="s">
        <v>5</v>
      </c>
      <c r="AS2128" s="1" t="s">
        <v>642</v>
      </c>
      <c r="AT2128" s="1" t="s">
        <v>173</v>
      </c>
      <c r="AU2128" s="1">
        <v>3</v>
      </c>
      <c r="AV2128" s="9" t="s">
        <v>9</v>
      </c>
      <c r="AW2128" s="1" t="s">
        <v>335</v>
      </c>
      <c r="CC2128" s="7"/>
    </row>
    <row r="2129" spans="2:81">
      <c r="B2129" s="6"/>
      <c r="C2129" s="1" t="s">
        <v>619</v>
      </c>
      <c r="E2129" s="66">
        <f>+E2128</f>
        <v>6.2122783855149009E-4</v>
      </c>
      <c r="F2129" s="66"/>
      <c r="G2129" s="66"/>
      <c r="H2129" s="9" t="s">
        <v>14</v>
      </c>
      <c r="I2129" s="66">
        <f>+I2128</f>
        <v>4</v>
      </c>
      <c r="J2129" s="66"/>
      <c r="K2129" s="9" t="s">
        <v>9</v>
      </c>
      <c r="L2129" s="9" t="s">
        <v>640</v>
      </c>
      <c r="M2129" s="9" t="s">
        <v>311</v>
      </c>
      <c r="N2129" s="1" t="s">
        <v>173</v>
      </c>
      <c r="O2129" s="1">
        <v>6</v>
      </c>
      <c r="P2129" s="9" t="s">
        <v>6</v>
      </c>
      <c r="Q2129" s="66">
        <f>+Q2128</f>
        <v>2.9045643153526973E-4</v>
      </c>
      <c r="R2129" s="66"/>
      <c r="S2129" s="66"/>
      <c r="T2129" s="1" t="s">
        <v>14</v>
      </c>
      <c r="U2129" s="66">
        <f>+U2128</f>
        <v>3.125</v>
      </c>
      <c r="V2129" s="66"/>
      <c r="W2129" s="9" t="s">
        <v>9</v>
      </c>
      <c r="X2129" s="9" t="s">
        <v>640</v>
      </c>
      <c r="Y2129" s="9" t="s">
        <v>311</v>
      </c>
      <c r="Z2129" s="1" t="s">
        <v>173</v>
      </c>
      <c r="AA2129" s="1">
        <v>6</v>
      </c>
      <c r="AB2129" s="9" t="s">
        <v>6</v>
      </c>
      <c r="AC2129" s="66">
        <f>+AC2128</f>
        <v>5.6016597510373447E-4</v>
      </c>
      <c r="AD2129" s="66"/>
      <c r="AE2129" s="66"/>
      <c r="AF2129" s="1" t="s">
        <v>14</v>
      </c>
      <c r="AG2129" s="66">
        <f>+AG2128</f>
        <v>1.125</v>
      </c>
      <c r="AH2129" s="66"/>
      <c r="AI2129" s="9" t="s">
        <v>9</v>
      </c>
      <c r="AJ2129" s="9" t="s">
        <v>640</v>
      </c>
      <c r="AK2129" s="9" t="s">
        <v>311</v>
      </c>
      <c r="AL2129" s="1" t="s">
        <v>173</v>
      </c>
      <c r="AM2129" s="1">
        <v>6</v>
      </c>
      <c r="AN2129" s="9" t="s">
        <v>6</v>
      </c>
      <c r="AO2129" s="66">
        <f>+AO2128</f>
        <v>5.1867219917012447E-5</v>
      </c>
      <c r="AP2129" s="66"/>
      <c r="AQ2129" s="66"/>
      <c r="AR2129" s="9" t="s">
        <v>5</v>
      </c>
      <c r="AS2129" s="1" t="s">
        <v>643</v>
      </c>
      <c r="AT2129" s="1" t="s">
        <v>173</v>
      </c>
      <c r="AU2129" s="66">
        <v>12</v>
      </c>
      <c r="AV2129" s="66"/>
      <c r="AW2129" s="9" t="s">
        <v>9</v>
      </c>
      <c r="AX2129" s="1" t="s">
        <v>335</v>
      </c>
      <c r="AY2129" s="9" t="s">
        <v>5</v>
      </c>
      <c r="AZ2129" s="9" t="s">
        <v>640</v>
      </c>
      <c r="BA2129" s="9" t="s">
        <v>9</v>
      </c>
      <c r="BB2129" s="1" t="s">
        <v>337</v>
      </c>
      <c r="CC2129" s="7"/>
    </row>
    <row r="2130" spans="2:81">
      <c r="B2130" s="6"/>
      <c r="C2130" s="24" t="s">
        <v>318</v>
      </c>
      <c r="CC2130" s="7"/>
    </row>
    <row r="2131" spans="2:81">
      <c r="B2131" s="6"/>
      <c r="C2131" s="1" t="s">
        <v>319</v>
      </c>
      <c r="I2131" s="1" t="s">
        <v>411</v>
      </c>
      <c r="CC2131" s="7"/>
    </row>
    <row r="2132" spans="2:81">
      <c r="B2132" s="6"/>
      <c r="C2132" s="1" t="s">
        <v>648</v>
      </c>
      <c r="I2132" s="66">
        <f>+E2129</f>
        <v>6.2122783855149009E-4</v>
      </c>
      <c r="J2132" s="66"/>
      <c r="K2132" s="66"/>
      <c r="L2132" s="9" t="s">
        <v>14</v>
      </c>
      <c r="M2132" s="66">
        <f>+I2129</f>
        <v>4</v>
      </c>
      <c r="N2132" s="66"/>
      <c r="O2132" s="9" t="s">
        <v>9</v>
      </c>
      <c r="P2132" s="66">
        <f>+AA2077</f>
        <v>2.6</v>
      </c>
      <c r="Q2132" s="66"/>
      <c r="R2132" s="1" t="s">
        <v>311</v>
      </c>
      <c r="S2132" s="1" t="s">
        <v>173</v>
      </c>
      <c r="T2132" s="1">
        <v>6</v>
      </c>
      <c r="U2132" s="9" t="s">
        <v>6</v>
      </c>
      <c r="V2132" s="66">
        <f>+Q2129</f>
        <v>2.9045643153526973E-4</v>
      </c>
      <c r="W2132" s="66"/>
      <c r="X2132" s="66"/>
      <c r="Y2132" s="1" t="s">
        <v>14</v>
      </c>
      <c r="Z2132" s="66">
        <f>+U2129</f>
        <v>3.125</v>
      </c>
      <c r="AA2132" s="66"/>
      <c r="AB2132" s="9" t="s">
        <v>9</v>
      </c>
      <c r="AC2132" s="66">
        <f>+P2132</f>
        <v>2.6</v>
      </c>
      <c r="AD2132" s="66"/>
      <c r="AE2132" s="1" t="s">
        <v>311</v>
      </c>
      <c r="AF2132" s="1" t="s">
        <v>173</v>
      </c>
      <c r="AG2132" s="1">
        <v>6</v>
      </c>
      <c r="AH2132" s="9" t="s">
        <v>6</v>
      </c>
      <c r="AI2132" s="66">
        <f>+AC2129</f>
        <v>5.6016597510373447E-4</v>
      </c>
      <c r="AJ2132" s="66"/>
      <c r="AK2132" s="66"/>
      <c r="AL2132" s="1" t="s">
        <v>14</v>
      </c>
      <c r="AM2132" s="66">
        <f>+AG2129</f>
        <v>1.125</v>
      </c>
      <c r="AN2132" s="66"/>
      <c r="AO2132" s="9" t="s">
        <v>9</v>
      </c>
      <c r="AP2132" s="66">
        <f>+AC2132</f>
        <v>2.6</v>
      </c>
      <c r="AQ2132" s="66"/>
      <c r="AR2132" s="1" t="s">
        <v>311</v>
      </c>
      <c r="AS2132" s="1" t="s">
        <v>173</v>
      </c>
      <c r="AT2132" s="1">
        <v>6</v>
      </c>
      <c r="AU2132" s="9" t="s">
        <v>6</v>
      </c>
      <c r="AV2132" s="66">
        <f>+AO2129</f>
        <v>5.1867219917012447E-5</v>
      </c>
      <c r="AW2132" s="66"/>
      <c r="AX2132" s="66"/>
      <c r="AY2132" s="9" t="s">
        <v>5</v>
      </c>
      <c r="AZ2132" s="66">
        <f>+AP2132</f>
        <v>2.6</v>
      </c>
      <c r="BA2132" s="66"/>
      <c r="BB2132" s="1" t="s">
        <v>509</v>
      </c>
      <c r="BC2132" s="66">
        <v>12</v>
      </c>
      <c r="BD2132" s="66"/>
      <c r="BE2132" s="9" t="s">
        <v>9</v>
      </c>
      <c r="BF2132" s="1" t="s">
        <v>335</v>
      </c>
      <c r="BG2132" s="9" t="s">
        <v>5</v>
      </c>
      <c r="BH2132" s="66">
        <f>+AZ2132</f>
        <v>2.6</v>
      </c>
      <c r="BI2132" s="66"/>
      <c r="BJ2132" s="9" t="s">
        <v>9</v>
      </c>
      <c r="BK2132" s="9" t="s">
        <v>337</v>
      </c>
      <c r="BL2132" s="9" t="s">
        <v>7</v>
      </c>
      <c r="BM2132" s="9">
        <v>0</v>
      </c>
      <c r="CC2132" s="7"/>
    </row>
    <row r="2133" spans="2:81">
      <c r="B2133" s="6"/>
      <c r="I2133" s="9"/>
      <c r="K2133" s="1" t="s">
        <v>335</v>
      </c>
      <c r="L2133" s="9" t="s">
        <v>5</v>
      </c>
      <c r="M2133" s="66">
        <f>+BH2132</f>
        <v>2.6</v>
      </c>
      <c r="N2133" s="66"/>
      <c r="O2133" s="9" t="s">
        <v>9</v>
      </c>
      <c r="P2133" s="1" t="s">
        <v>337</v>
      </c>
      <c r="Q2133" s="9" t="s">
        <v>9</v>
      </c>
      <c r="R2133" s="66">
        <f>I2132*(M2132+P2132)^3/T2132-V2132*(Z2132+AC2132)^3/AG2132-AI2132*(AM2132+AP2132)^3/AT2132-AV2132*AZ2132^4/BC2132</f>
        <v>1.5660151009249654E-2</v>
      </c>
      <c r="S2133" s="66"/>
      <c r="T2133" s="66"/>
      <c r="U2133" s="9" t="s">
        <v>7</v>
      </c>
      <c r="V2133" s="9">
        <v>0</v>
      </c>
      <c r="X2133" s="1" t="s">
        <v>620</v>
      </c>
      <c r="CC2133" s="7"/>
    </row>
    <row r="2134" spans="2:81">
      <c r="B2134" s="6"/>
      <c r="C2134" s="1" t="s">
        <v>358</v>
      </c>
      <c r="G2134" s="66">
        <f>+E2120</f>
        <v>3.5817203131796437E-3</v>
      </c>
      <c r="H2134" s="66"/>
      <c r="I2134" s="66"/>
      <c r="J2134" s="9" t="s">
        <v>5</v>
      </c>
      <c r="K2134" s="66">
        <f>+K2077</f>
        <v>1.75</v>
      </c>
      <c r="L2134" s="66"/>
      <c r="M2134" s="1" t="s">
        <v>321</v>
      </c>
      <c r="N2134" s="1">
        <v>6</v>
      </c>
      <c r="O2134" s="9" t="s">
        <v>6</v>
      </c>
      <c r="P2134" s="66">
        <f>+M2120</f>
        <v>4.7846889952153111E-4</v>
      </c>
      <c r="Q2134" s="66"/>
      <c r="R2134" s="66"/>
      <c r="S2134" s="9" t="s">
        <v>5</v>
      </c>
      <c r="T2134" s="66">
        <f>+K2134</f>
        <v>1.75</v>
      </c>
      <c r="U2134" s="66"/>
      <c r="V2134" s="1" t="s">
        <v>509</v>
      </c>
      <c r="W2134" s="66">
        <v>12</v>
      </c>
      <c r="X2134" s="66"/>
      <c r="Y2134" s="9" t="s">
        <v>9</v>
      </c>
      <c r="Z2134" s="1" t="s">
        <v>24</v>
      </c>
      <c r="AA2134" s="9" t="s">
        <v>5</v>
      </c>
      <c r="AB2134" s="66">
        <f>+T2134</f>
        <v>1.75</v>
      </c>
      <c r="AC2134" s="66"/>
      <c r="AD2134" s="9" t="s">
        <v>7</v>
      </c>
      <c r="AE2134" s="1" t="s">
        <v>24</v>
      </c>
      <c r="AF2134" s="9" t="s">
        <v>5</v>
      </c>
      <c r="AG2134" s="66">
        <f>+AB2134</f>
        <v>1.75</v>
      </c>
      <c r="AH2134" s="66"/>
      <c r="AI2134" s="9" t="s">
        <v>9</v>
      </c>
      <c r="AJ2134" s="66">
        <f>G2134*K2134^3/N2134-P2134*T2134^4/W2134</f>
        <v>2.8253374712284333E-3</v>
      </c>
      <c r="AK2134" s="66"/>
      <c r="AL2134" s="66"/>
      <c r="CC2134" s="7"/>
    </row>
    <row r="2135" spans="2:81">
      <c r="B2135" s="6"/>
      <c r="C2135" s="1" t="s">
        <v>458</v>
      </c>
      <c r="G2135" s="66">
        <f>+E2124</f>
        <v>3.2518659663533688E-4</v>
      </c>
      <c r="H2135" s="66"/>
      <c r="I2135" s="66"/>
      <c r="J2135" s="9" t="s">
        <v>5</v>
      </c>
      <c r="K2135" s="66">
        <f>+I2124</f>
        <v>1.75</v>
      </c>
      <c r="L2135" s="66"/>
      <c r="M2135" s="1" t="s">
        <v>321</v>
      </c>
      <c r="N2135" s="1">
        <v>6</v>
      </c>
      <c r="O2135" s="9" t="s">
        <v>6</v>
      </c>
      <c r="P2135" s="66">
        <f>+Q2124</f>
        <v>1.5204170286707211E-4</v>
      </c>
      <c r="Q2135" s="66"/>
      <c r="R2135" s="66"/>
      <c r="S2135" s="9" t="s">
        <v>5</v>
      </c>
      <c r="T2135" s="66">
        <f>+U2124</f>
        <v>0.875</v>
      </c>
      <c r="U2135" s="66"/>
      <c r="V2135" s="1" t="s">
        <v>321</v>
      </c>
      <c r="W2135" s="1">
        <v>6</v>
      </c>
      <c r="X2135" s="9" t="s">
        <v>9</v>
      </c>
      <c r="Y2135" s="9" t="s">
        <v>315</v>
      </c>
      <c r="Z2135" s="9" t="s">
        <v>7</v>
      </c>
      <c r="AA2135" s="1" t="s">
        <v>315</v>
      </c>
      <c r="AB2135" s="9" t="s">
        <v>9</v>
      </c>
      <c r="AC2135" s="66">
        <f>+G2135*K2135^3/N2135-P2135*T2135^3/W2135</f>
        <v>2.7349014227993446E-4</v>
      </c>
      <c r="AD2135" s="66"/>
      <c r="AE2135" s="66"/>
      <c r="CC2135" s="7"/>
    </row>
    <row r="2136" spans="2:81">
      <c r="B2136" s="6"/>
      <c r="C2136" s="1" t="s">
        <v>646</v>
      </c>
      <c r="M2136" s="1" t="s">
        <v>24</v>
      </c>
      <c r="N2136" s="9" t="s">
        <v>5</v>
      </c>
      <c r="O2136" s="66">
        <f>+AG2134</f>
        <v>1.75</v>
      </c>
      <c r="P2136" s="66"/>
      <c r="Q2136" s="9" t="s">
        <v>9</v>
      </c>
      <c r="R2136" s="66">
        <f>+AJ2134</f>
        <v>2.8253374712284333E-3</v>
      </c>
      <c r="S2136" s="66"/>
      <c r="T2136" s="66"/>
      <c r="U2136" s="9" t="s">
        <v>7</v>
      </c>
      <c r="V2136" s="1" t="s">
        <v>315</v>
      </c>
      <c r="W2136" s="9" t="s">
        <v>9</v>
      </c>
      <c r="X2136" s="66">
        <f>+AC2135</f>
        <v>2.7349014227993446E-4</v>
      </c>
      <c r="Y2136" s="66"/>
      <c r="Z2136" s="66"/>
      <c r="AC2136" s="1" t="s">
        <v>24</v>
      </c>
      <c r="AD2136" s="9" t="s">
        <v>5</v>
      </c>
      <c r="AE2136" s="66">
        <f>+O2136</f>
        <v>1.75</v>
      </c>
      <c r="AF2136" s="66"/>
      <c r="AG2136" s="9" t="s">
        <v>6</v>
      </c>
      <c r="AH2136" s="1" t="s">
        <v>315</v>
      </c>
      <c r="AI2136" s="9" t="s">
        <v>9</v>
      </c>
      <c r="AJ2136" s="66">
        <f>+R2136-X2136</f>
        <v>2.551847328948499E-3</v>
      </c>
      <c r="AK2136" s="66"/>
      <c r="AL2136" s="66"/>
      <c r="AM2136" s="9" t="s">
        <v>7</v>
      </c>
      <c r="AN2136" s="9">
        <v>0</v>
      </c>
      <c r="AP2136" s="1" t="s">
        <v>621</v>
      </c>
      <c r="CC2136" s="7"/>
    </row>
    <row r="2137" spans="2:81">
      <c r="B2137" s="6"/>
      <c r="C2137" s="1" t="s">
        <v>320</v>
      </c>
      <c r="G2137" s="66">
        <f>+E2119</f>
        <v>3.5817203131796437E-3</v>
      </c>
      <c r="H2137" s="66"/>
      <c r="I2137" s="66"/>
      <c r="J2137" s="9" t="s">
        <v>5</v>
      </c>
      <c r="K2137" s="66">
        <f>+K2077</f>
        <v>1.75</v>
      </c>
      <c r="L2137" s="66"/>
      <c r="M2137" s="1" t="s">
        <v>254</v>
      </c>
      <c r="N2137" s="1">
        <v>2</v>
      </c>
      <c r="O2137" s="9" t="s">
        <v>6</v>
      </c>
      <c r="P2137" s="66">
        <f>+M2119</f>
        <v>4.7846889952153111E-4</v>
      </c>
      <c r="Q2137" s="66"/>
      <c r="R2137" s="66"/>
      <c r="S2137" s="9" t="s">
        <v>5</v>
      </c>
      <c r="T2137" s="66">
        <f>+K2137</f>
        <v>1.75</v>
      </c>
      <c r="U2137" s="66"/>
      <c r="V2137" s="1" t="s">
        <v>321</v>
      </c>
      <c r="W2137" s="1">
        <v>3</v>
      </c>
      <c r="X2137" s="9" t="s">
        <v>9</v>
      </c>
      <c r="Y2137" s="1" t="s">
        <v>24</v>
      </c>
      <c r="Z2137" s="9" t="s">
        <v>7</v>
      </c>
      <c r="AA2137" s="1" t="s">
        <v>24</v>
      </c>
      <c r="AB2137" s="9" t="s">
        <v>9</v>
      </c>
      <c r="AC2137" s="66">
        <f>+G2137*K2137^2/N2137-P2137*T2137^3/W2137</f>
        <v>4.6297444767652608E-3</v>
      </c>
      <c r="AD2137" s="66"/>
      <c r="AE2137" s="66"/>
      <c r="AS2137" s="9"/>
      <c r="CC2137" s="7"/>
    </row>
    <row r="2138" spans="2:81">
      <c r="B2138" s="6"/>
      <c r="C2138" s="1" t="s">
        <v>649</v>
      </c>
      <c r="G2138" s="66">
        <f>+E2123</f>
        <v>3.2518659663533688E-4</v>
      </c>
      <c r="H2138" s="66"/>
      <c r="I2138" s="66"/>
      <c r="J2138" s="9" t="s">
        <v>5</v>
      </c>
      <c r="K2138" s="66">
        <f>+I2123</f>
        <v>1.75</v>
      </c>
      <c r="L2138" s="66"/>
      <c r="M2138" s="1" t="s">
        <v>254</v>
      </c>
      <c r="N2138" s="1">
        <v>2</v>
      </c>
      <c r="O2138" s="9" t="s">
        <v>6</v>
      </c>
      <c r="P2138" s="66">
        <f>+Q2123</f>
        <v>1.5204170286707211E-4</v>
      </c>
      <c r="Q2138" s="66"/>
      <c r="R2138" s="66"/>
      <c r="S2138" s="9" t="s">
        <v>5</v>
      </c>
      <c r="T2138" s="66">
        <f>+U2123</f>
        <v>0.875</v>
      </c>
      <c r="U2138" s="66"/>
      <c r="V2138" s="1" t="s">
        <v>254</v>
      </c>
      <c r="W2138" s="1">
        <v>2</v>
      </c>
      <c r="X2138" s="9" t="s">
        <v>9</v>
      </c>
      <c r="Y2138" s="1" t="s">
        <v>313</v>
      </c>
      <c r="Z2138" s="9" t="s">
        <v>7</v>
      </c>
      <c r="AA2138" s="1" t="s">
        <v>313</v>
      </c>
      <c r="AB2138" s="9" t="s">
        <v>9</v>
      </c>
      <c r="AC2138" s="66">
        <f>+G2138*K2138^2/N2138-P2138*T2138^2/W2138</f>
        <v>4.3973851171905852E-4</v>
      </c>
      <c r="AD2138" s="66"/>
      <c r="AE2138" s="66"/>
      <c r="CC2138" s="7"/>
    </row>
    <row r="2139" spans="2:81">
      <c r="B2139" s="6"/>
      <c r="C2139" s="1" t="s">
        <v>647</v>
      </c>
      <c r="M2139" s="1" t="s">
        <v>24</v>
      </c>
      <c r="N2139" s="9" t="s">
        <v>9</v>
      </c>
      <c r="O2139" s="66">
        <f>+AC2137</f>
        <v>4.6297444767652608E-3</v>
      </c>
      <c r="P2139" s="66"/>
      <c r="Q2139" s="66"/>
      <c r="R2139" s="9" t="s">
        <v>7</v>
      </c>
      <c r="S2139" s="1" t="s">
        <v>313</v>
      </c>
      <c r="T2139" s="9" t="s">
        <v>9</v>
      </c>
      <c r="U2139" s="66">
        <f>+AC2138</f>
        <v>4.3973851171905852E-4</v>
      </c>
      <c r="V2139" s="66"/>
      <c r="W2139" s="66"/>
      <c r="Z2139" s="1" t="s">
        <v>24</v>
      </c>
      <c r="AA2139" s="9" t="s">
        <v>6</v>
      </c>
      <c r="AB2139" s="1" t="s">
        <v>313</v>
      </c>
      <c r="AC2139" s="9" t="s">
        <v>9</v>
      </c>
      <c r="AD2139" s="66">
        <f>+O2139-U2139</f>
        <v>4.1900059650462019E-3</v>
      </c>
      <c r="AE2139" s="66"/>
      <c r="AF2139" s="66"/>
      <c r="AG2139" s="9" t="s">
        <v>7</v>
      </c>
      <c r="AH2139" s="9">
        <v>0</v>
      </c>
      <c r="AJ2139" s="1" t="s">
        <v>622</v>
      </c>
      <c r="CC2139" s="7"/>
    </row>
    <row r="2140" spans="2:81">
      <c r="B2140" s="6"/>
      <c r="C2140" s="1" t="s">
        <v>650</v>
      </c>
      <c r="G2140" s="66">
        <f>+E2124</f>
        <v>3.2518659663533688E-4</v>
      </c>
      <c r="H2140" s="66"/>
      <c r="I2140" s="66"/>
      <c r="J2140" s="9" t="s">
        <v>14</v>
      </c>
      <c r="K2140" s="66">
        <f>+I2124</f>
        <v>1.75</v>
      </c>
      <c r="L2140" s="66"/>
      <c r="M2140" s="9" t="s">
        <v>9</v>
      </c>
      <c r="N2140" s="66">
        <f>+S2077</f>
        <v>2.25</v>
      </c>
      <c r="O2140" s="66"/>
      <c r="P2140" s="1" t="s">
        <v>311</v>
      </c>
      <c r="Q2140" s="1" t="s">
        <v>173</v>
      </c>
      <c r="R2140" s="1">
        <v>6</v>
      </c>
      <c r="S2140" s="9" t="s">
        <v>6</v>
      </c>
      <c r="T2140" s="66">
        <f>+Q2124</f>
        <v>1.5204170286707211E-4</v>
      </c>
      <c r="U2140" s="66"/>
      <c r="V2140" s="66"/>
      <c r="W2140" s="9" t="s">
        <v>14</v>
      </c>
      <c r="X2140" s="66">
        <f>+U2124</f>
        <v>0.875</v>
      </c>
      <c r="Y2140" s="66"/>
      <c r="Z2140" s="9" t="s">
        <v>9</v>
      </c>
      <c r="AA2140" s="66">
        <f>+N2140</f>
        <v>2.25</v>
      </c>
      <c r="AB2140" s="66"/>
      <c r="AC2140" s="1" t="s">
        <v>311</v>
      </c>
      <c r="AD2140" s="1" t="s">
        <v>173</v>
      </c>
      <c r="AE2140" s="1">
        <v>6</v>
      </c>
      <c r="AF2140" s="9" t="s">
        <v>6</v>
      </c>
      <c r="AG2140" s="66">
        <f>+AC2124</f>
        <v>6.5160729800173764E-5</v>
      </c>
      <c r="AH2140" s="66"/>
      <c r="AI2140" s="66"/>
      <c r="AJ2140" s="9" t="s">
        <v>5</v>
      </c>
      <c r="AK2140" s="66">
        <f>+AA2140</f>
        <v>2.25</v>
      </c>
      <c r="AL2140" s="66"/>
      <c r="AM2140" s="1" t="s">
        <v>509</v>
      </c>
      <c r="AN2140" s="66">
        <v>12</v>
      </c>
      <c r="AO2140" s="66"/>
      <c r="AP2140" s="9" t="s">
        <v>9</v>
      </c>
      <c r="AQ2140" s="1" t="s">
        <v>313</v>
      </c>
      <c r="AR2140" s="9" t="s">
        <v>5</v>
      </c>
      <c r="AS2140" s="66">
        <f>+AK2140</f>
        <v>2.25</v>
      </c>
      <c r="AT2140" s="66"/>
      <c r="AU2140" s="9" t="s">
        <v>9</v>
      </c>
      <c r="AV2140" s="1" t="s">
        <v>315</v>
      </c>
      <c r="AW2140" s="9" t="s">
        <v>7</v>
      </c>
      <c r="AX2140" s="1" t="s">
        <v>313</v>
      </c>
      <c r="AY2140" s="9" t="s">
        <v>5</v>
      </c>
      <c r="AZ2140" s="66">
        <f>+AS2140</f>
        <v>2.25</v>
      </c>
      <c r="BA2140" s="66"/>
      <c r="BB2140" s="9" t="s">
        <v>9</v>
      </c>
      <c r="BC2140" s="1" t="s">
        <v>315</v>
      </c>
      <c r="BD2140" s="9" t="s">
        <v>9</v>
      </c>
      <c r="BE2140" s="79">
        <f>G2140*(K2140+N2140)^3/R2140-T2140*(X2140+AA2140)^3/AE2140-AG2140*AK2140^4/AN2140</f>
        <v>2.556166420257089E-3</v>
      </c>
      <c r="BF2140" s="79"/>
      <c r="BG2140" s="79"/>
      <c r="CC2140" s="7"/>
    </row>
    <row r="2141" spans="2:81">
      <c r="B2141" s="6"/>
      <c r="C2141" s="1" t="s">
        <v>651</v>
      </c>
      <c r="G2141" s="66">
        <f>+E2129</f>
        <v>6.2122783855149009E-4</v>
      </c>
      <c r="H2141" s="66"/>
      <c r="I2141" s="66"/>
      <c r="J2141" s="9" t="s">
        <v>5</v>
      </c>
      <c r="K2141" s="66">
        <f>+I2129</f>
        <v>4</v>
      </c>
      <c r="L2141" s="66"/>
      <c r="M2141" s="1" t="s">
        <v>321</v>
      </c>
      <c r="N2141" s="1">
        <v>6</v>
      </c>
      <c r="O2141" s="9" t="s">
        <v>6</v>
      </c>
      <c r="P2141" s="66">
        <f>+Q2129</f>
        <v>2.9045643153526973E-4</v>
      </c>
      <c r="Q2141" s="66"/>
      <c r="R2141" s="66"/>
      <c r="S2141" s="9" t="s">
        <v>5</v>
      </c>
      <c r="T2141" s="66">
        <f>+U2129</f>
        <v>3.125</v>
      </c>
      <c r="U2141" s="66"/>
      <c r="V2141" s="1" t="s">
        <v>321</v>
      </c>
      <c r="W2141" s="1">
        <v>6</v>
      </c>
      <c r="X2141" s="9" t="s">
        <v>6</v>
      </c>
      <c r="Y2141" s="66">
        <f>+AC2129</f>
        <v>5.6016597510373447E-4</v>
      </c>
      <c r="Z2141" s="66"/>
      <c r="AA2141" s="66"/>
      <c r="AB2141" s="9" t="s">
        <v>5</v>
      </c>
      <c r="AC2141" s="66">
        <f>+AG2129</f>
        <v>1.125</v>
      </c>
      <c r="AD2141" s="66"/>
      <c r="AE2141" s="1" t="s">
        <v>321</v>
      </c>
      <c r="AF2141" s="1">
        <v>6</v>
      </c>
      <c r="AG2141" s="9" t="s">
        <v>9</v>
      </c>
      <c r="AH2141" s="1" t="s">
        <v>337</v>
      </c>
      <c r="AI2141" s="9" t="s">
        <v>7</v>
      </c>
      <c r="AJ2141" s="1" t="s">
        <v>337</v>
      </c>
      <c r="AK2141" s="9" t="s">
        <v>9</v>
      </c>
      <c r="AL2141" s="66">
        <f>G2141*K2141^3/N2141-P2141*T2141^3/W2141-Y2141*AC2141^3/AF2141</f>
        <v>5.0161624593313848E-3</v>
      </c>
      <c r="AM2141" s="66"/>
      <c r="AN2141" s="66"/>
      <c r="AO2141" s="9"/>
      <c r="CC2141" s="7"/>
    </row>
    <row r="2142" spans="2:81">
      <c r="B2142" s="6"/>
      <c r="C2142" s="1" t="s">
        <v>645</v>
      </c>
      <c r="M2142" s="1" t="s">
        <v>313</v>
      </c>
      <c r="N2142" s="9" t="s">
        <v>5</v>
      </c>
      <c r="O2142" s="66">
        <f>+AZ2140</f>
        <v>2.25</v>
      </c>
      <c r="P2142" s="66"/>
      <c r="Q2142" s="9" t="s">
        <v>9</v>
      </c>
      <c r="R2142" s="1" t="s">
        <v>315</v>
      </c>
      <c r="S2142" s="9" t="s">
        <v>9</v>
      </c>
      <c r="T2142" s="66">
        <f>+BE2140</f>
        <v>2.556166420257089E-3</v>
      </c>
      <c r="U2142" s="66"/>
      <c r="V2142" s="66"/>
      <c r="W2142" s="9" t="s">
        <v>7</v>
      </c>
      <c r="X2142" s="1" t="s">
        <v>337</v>
      </c>
      <c r="Y2142" s="9" t="s">
        <v>9</v>
      </c>
      <c r="Z2142" s="66">
        <f>+AL2141</f>
        <v>5.0161624593313848E-3</v>
      </c>
      <c r="AA2142" s="66"/>
      <c r="AB2142" s="66"/>
      <c r="AE2142" s="1" t="s">
        <v>313</v>
      </c>
      <c r="AF2142" s="9" t="s">
        <v>5</v>
      </c>
      <c r="AG2142" s="66">
        <f>+O2142</f>
        <v>2.25</v>
      </c>
      <c r="AH2142" s="66"/>
      <c r="AI2142" s="9" t="s">
        <v>9</v>
      </c>
      <c r="AJ2142" s="1" t="s">
        <v>315</v>
      </c>
      <c r="AK2142" s="9" t="s">
        <v>6</v>
      </c>
      <c r="AL2142" s="1" t="s">
        <v>337</v>
      </c>
      <c r="AM2142" s="9" t="s">
        <v>9</v>
      </c>
      <c r="AN2142" s="66">
        <f>+T2142-Z2142</f>
        <v>-2.4599960390742958E-3</v>
      </c>
      <c r="AO2142" s="66"/>
      <c r="AP2142" s="66"/>
      <c r="AQ2142" s="9" t="s">
        <v>7</v>
      </c>
      <c r="AR2142" s="9">
        <v>0</v>
      </c>
      <c r="AT2142" s="1" t="s">
        <v>623</v>
      </c>
      <c r="CC2142" s="7"/>
    </row>
    <row r="2143" spans="2:81">
      <c r="B2143" s="6"/>
      <c r="C2143" s="1" t="s">
        <v>652</v>
      </c>
      <c r="G2143" s="66">
        <f>+E2123</f>
        <v>3.2518659663533688E-4</v>
      </c>
      <c r="H2143" s="66"/>
      <c r="I2143" s="66"/>
      <c r="J2143" s="9" t="s">
        <v>14</v>
      </c>
      <c r="K2143" s="66">
        <f>+I2123</f>
        <v>1.75</v>
      </c>
      <c r="L2143" s="66"/>
      <c r="M2143" s="9" t="s">
        <v>9</v>
      </c>
      <c r="N2143" s="66">
        <f>+S2077</f>
        <v>2.25</v>
      </c>
      <c r="O2143" s="66"/>
      <c r="P2143" s="1" t="s">
        <v>200</v>
      </c>
      <c r="Q2143" s="1" t="s">
        <v>173</v>
      </c>
      <c r="R2143" s="1">
        <v>2</v>
      </c>
      <c r="S2143" s="9" t="s">
        <v>9</v>
      </c>
      <c r="T2143" s="66">
        <f>+Q2123</f>
        <v>1.5204170286707211E-4</v>
      </c>
      <c r="U2143" s="66"/>
      <c r="V2143" s="66"/>
      <c r="W2143" s="9" t="s">
        <v>14</v>
      </c>
      <c r="X2143" s="66">
        <f>+U2123</f>
        <v>0.875</v>
      </c>
      <c r="Y2143" s="66"/>
      <c r="Z2143" s="9" t="s">
        <v>9</v>
      </c>
      <c r="AA2143" s="66">
        <f>+N2143</f>
        <v>2.25</v>
      </c>
      <c r="AB2143" s="66"/>
      <c r="AC2143" s="1" t="s">
        <v>200</v>
      </c>
      <c r="AD2143" s="1" t="s">
        <v>173</v>
      </c>
      <c r="AE2143" s="1">
        <v>2</v>
      </c>
      <c r="AF2143" s="9" t="s">
        <v>6</v>
      </c>
      <c r="AG2143" s="66">
        <f>+AC2123</f>
        <v>6.5160729800173764E-5</v>
      </c>
      <c r="AH2143" s="66"/>
      <c r="AI2143" s="66"/>
      <c r="AJ2143" s="9" t="s">
        <v>5</v>
      </c>
      <c r="AK2143" s="66">
        <f>+AA2143</f>
        <v>2.25</v>
      </c>
      <c r="AL2143" s="66"/>
      <c r="AM2143" s="1" t="s">
        <v>321</v>
      </c>
      <c r="AN2143" s="1">
        <v>3</v>
      </c>
      <c r="AO2143" s="9" t="s">
        <v>9</v>
      </c>
      <c r="AP2143" s="1" t="s">
        <v>313</v>
      </c>
      <c r="AQ2143" s="9" t="s">
        <v>7</v>
      </c>
      <c r="AR2143" s="1" t="s">
        <v>313</v>
      </c>
      <c r="AS2143" s="9" t="s">
        <v>9</v>
      </c>
      <c r="AT2143" s="66">
        <f>G2143*(K2143+N2143)^2/R2143+T2143*(X2143+AA2143)^2/AE2143-AG2143*AK2143^3/AN2143</f>
        <v>3.0964767544032859E-3</v>
      </c>
      <c r="AU2143" s="66"/>
      <c r="AV2143" s="66"/>
      <c r="CC2143" s="7"/>
    </row>
    <row r="2144" spans="2:81">
      <c r="B2144" s="6"/>
      <c r="C2144" s="1" t="s">
        <v>653</v>
      </c>
      <c r="G2144" s="66">
        <f>+E2128</f>
        <v>6.2122783855149009E-4</v>
      </c>
      <c r="H2144" s="66"/>
      <c r="I2144" s="66"/>
      <c r="J2144" s="9" t="s">
        <v>5</v>
      </c>
      <c r="K2144" s="66">
        <f>+I2128</f>
        <v>4</v>
      </c>
      <c r="L2144" s="66"/>
      <c r="M2144" s="1" t="s">
        <v>254</v>
      </c>
      <c r="N2144" s="1">
        <v>2</v>
      </c>
      <c r="O2144" s="9" t="s">
        <v>6</v>
      </c>
      <c r="P2144" s="66">
        <f>+Q2128</f>
        <v>2.9045643153526973E-4</v>
      </c>
      <c r="Q2144" s="66"/>
      <c r="R2144" s="66"/>
      <c r="S2144" s="9" t="s">
        <v>5</v>
      </c>
      <c r="T2144" s="66">
        <f>+U2128</f>
        <v>3.125</v>
      </c>
      <c r="U2144" s="66"/>
      <c r="V2144" s="1" t="s">
        <v>254</v>
      </c>
      <c r="W2144" s="1">
        <v>2</v>
      </c>
      <c r="X2144" s="9" t="s">
        <v>6</v>
      </c>
      <c r="Y2144" s="66">
        <f>+AC2128</f>
        <v>5.6016597510373447E-4</v>
      </c>
      <c r="Z2144" s="66"/>
      <c r="AA2144" s="66"/>
      <c r="AB2144" s="9" t="s">
        <v>5</v>
      </c>
      <c r="AC2144" s="66">
        <f>+AG2128</f>
        <v>1.125</v>
      </c>
      <c r="AD2144" s="66"/>
      <c r="AE2144" s="1" t="s">
        <v>254</v>
      </c>
      <c r="AF2144" s="1">
        <v>2</v>
      </c>
      <c r="AG2144" s="9" t="s">
        <v>9</v>
      </c>
      <c r="AH2144" s="1" t="s">
        <v>335</v>
      </c>
      <c r="AI2144" s="9" t="s">
        <v>7</v>
      </c>
      <c r="AJ2144" s="1" t="s">
        <v>335</v>
      </c>
      <c r="AK2144" s="9" t="s">
        <v>9</v>
      </c>
      <c r="AL2144" s="66">
        <f>G2144*K2144^2/N2144-P2144*T2144^2/W2144-Y2144*AC2144^2/AF2144</f>
        <v>3.1970983826857795E-3</v>
      </c>
      <c r="AM2144" s="66"/>
      <c r="AN2144" s="66"/>
      <c r="CC2144" s="7"/>
    </row>
    <row r="2145" spans="2:81">
      <c r="B2145" s="6"/>
      <c r="C2145" s="1" t="s">
        <v>644</v>
      </c>
      <c r="M2145" s="1" t="s">
        <v>313</v>
      </c>
      <c r="N2145" s="9" t="s">
        <v>9</v>
      </c>
      <c r="O2145" s="66">
        <f>+AT2143</f>
        <v>3.0964767544032859E-3</v>
      </c>
      <c r="P2145" s="66"/>
      <c r="Q2145" s="66"/>
      <c r="R2145" s="9" t="s">
        <v>7</v>
      </c>
      <c r="S2145" s="1" t="s">
        <v>335</v>
      </c>
      <c r="T2145" s="9" t="s">
        <v>9</v>
      </c>
      <c r="U2145" s="66">
        <f>+AL2144</f>
        <v>3.1970983826857795E-3</v>
      </c>
      <c r="V2145" s="66"/>
      <c r="W2145" s="66"/>
      <c r="Z2145" s="1" t="s">
        <v>313</v>
      </c>
      <c r="AA2145" s="9" t="s">
        <v>6</v>
      </c>
      <c r="AB2145" s="1" t="s">
        <v>335</v>
      </c>
      <c r="AC2145" s="9" t="s">
        <v>9</v>
      </c>
      <c r="AD2145" s="66">
        <f>+O2145-U2145</f>
        <v>-1.006216282824937E-4</v>
      </c>
      <c r="AE2145" s="66"/>
      <c r="AF2145" s="66"/>
      <c r="AG2145" s="9" t="s">
        <v>7</v>
      </c>
      <c r="AH2145" s="9">
        <v>0</v>
      </c>
      <c r="AJ2145" s="1" t="s">
        <v>624</v>
      </c>
      <c r="CC2145" s="7"/>
    </row>
    <row r="2146" spans="2:81">
      <c r="B2146" s="6"/>
      <c r="C2146" s="24" t="s">
        <v>367</v>
      </c>
      <c r="CC2146" s="7"/>
    </row>
    <row r="2147" spans="2:81">
      <c r="B2147" s="6"/>
      <c r="C2147" s="1" t="s">
        <v>32</v>
      </c>
      <c r="E2147" s="66">
        <f>+U2147</f>
        <v>-5.4260477266762815E-3</v>
      </c>
      <c r="F2147" s="66"/>
      <c r="G2147" s="66"/>
      <c r="H2147" s="2"/>
      <c r="I2147" s="40">
        <v>0</v>
      </c>
      <c r="J2147" s="40">
        <v>0</v>
      </c>
      <c r="K2147" s="40">
        <v>0</v>
      </c>
      <c r="L2147" s="40">
        <f>+M2133</f>
        <v>2.6</v>
      </c>
      <c r="M2147" s="40">
        <v>1</v>
      </c>
      <c r="N2147" s="40">
        <f>-R2133</f>
        <v>-1.5660151009249654E-2</v>
      </c>
      <c r="O2147" s="40"/>
      <c r="P2147" s="40" cm="1">
        <f t="array" ref="P2147:T2151">MINVERSE(I2147:M2151)</f>
        <v>0.15151515151515152</v>
      </c>
      <c r="Q2147" s="40">
        <v>0.15151515151515152</v>
      </c>
      <c r="R2147" s="40">
        <v>0.73484848484848497</v>
      </c>
      <c r="S2147" s="40">
        <v>0.15151515151515152</v>
      </c>
      <c r="T2147" s="40">
        <v>0.39393939393939398</v>
      </c>
      <c r="U2147" s="40" cm="1">
        <f t="array" ref="U2147:U2151">MMULT(P2147:T2151,N2147:N2151)</f>
        <v>-5.4260477266762815E-3</v>
      </c>
      <c r="V2147" s="2"/>
      <c r="W2147" s="2"/>
      <c r="X2147" s="2"/>
      <c r="Y2147" s="2"/>
      <c r="Z2147" s="2"/>
      <c r="AA2147" s="2"/>
      <c r="AB2147" s="2"/>
      <c r="AC2147" s="2"/>
      <c r="AD2147" s="2"/>
      <c r="CC2147" s="7"/>
    </row>
    <row r="2148" spans="2:81">
      <c r="B2148" s="6"/>
      <c r="C2148" s="1" t="s">
        <v>354</v>
      </c>
      <c r="E2148" s="66">
        <f t="shared" ref="E2148:E2151" si="11">+U2148</f>
        <v>-1.2360417616300787E-3</v>
      </c>
      <c r="F2148" s="66"/>
      <c r="G2148" s="66"/>
      <c r="H2148" s="2"/>
      <c r="I2148" s="40">
        <f>+AE2136</f>
        <v>1.75</v>
      </c>
      <c r="J2148" s="40">
        <v>0</v>
      </c>
      <c r="K2148" s="40">
        <v>-1</v>
      </c>
      <c r="L2148" s="40">
        <v>0</v>
      </c>
      <c r="M2148" s="40">
        <v>0</v>
      </c>
      <c r="N2148" s="40">
        <f>-AJ2136</f>
        <v>-2.551847328948499E-3</v>
      </c>
      <c r="O2148" s="40"/>
      <c r="P2148" s="40">
        <v>0.15151515151515152</v>
      </c>
      <c r="Q2148" s="40">
        <v>0.15151515151515149</v>
      </c>
      <c r="R2148" s="40">
        <v>-0.26515151515151519</v>
      </c>
      <c r="S2148" s="40">
        <v>0.15151515151515149</v>
      </c>
      <c r="T2148" s="40">
        <v>0.39393939393939398</v>
      </c>
      <c r="U2148" s="40">
        <v>-1.2360417616300787E-3</v>
      </c>
      <c r="V2148" s="2"/>
      <c r="W2148" s="2"/>
      <c r="X2148" s="2"/>
      <c r="Y2148" s="2"/>
      <c r="Z2148" s="2"/>
      <c r="AA2148" s="2"/>
      <c r="AB2148" s="2"/>
      <c r="AC2148" s="2"/>
      <c r="AD2148" s="2"/>
      <c r="CC2148" s="7"/>
    </row>
    <row r="2149" spans="2:81">
      <c r="B2149" s="6"/>
      <c r="C2149" s="1" t="s">
        <v>355</v>
      </c>
      <c r="E2149" s="66">
        <f t="shared" si="11"/>
        <v>-6.9437361927349919E-3</v>
      </c>
      <c r="F2149" s="66"/>
      <c r="G2149" s="66"/>
      <c r="H2149" s="2"/>
      <c r="I2149" s="40">
        <v>1</v>
      </c>
      <c r="J2149" s="40">
        <v>-1</v>
      </c>
      <c r="K2149" s="40">
        <v>0</v>
      </c>
      <c r="L2149" s="40">
        <v>0</v>
      </c>
      <c r="M2149" s="40">
        <v>0</v>
      </c>
      <c r="N2149" s="40">
        <f>-AD2139</f>
        <v>-4.1900059650462019E-3</v>
      </c>
      <c r="O2149" s="40"/>
      <c r="P2149" s="40">
        <v>0.26515151515151514</v>
      </c>
      <c r="Q2149" s="40">
        <v>-0.73484848484848486</v>
      </c>
      <c r="R2149" s="40">
        <v>1.2859848484848486</v>
      </c>
      <c r="S2149" s="40">
        <v>0.26515151515151514</v>
      </c>
      <c r="T2149" s="40">
        <v>0.68939393939393945</v>
      </c>
      <c r="U2149" s="40">
        <v>-6.9437361927349919E-3</v>
      </c>
      <c r="V2149" s="2"/>
      <c r="W2149" s="2"/>
      <c r="X2149" s="2"/>
      <c r="Y2149" s="2"/>
      <c r="Z2149" s="2"/>
      <c r="AA2149" s="2"/>
      <c r="AB2149" s="2"/>
      <c r="AC2149" s="2"/>
      <c r="AD2149" s="2"/>
      <c r="CC2149" s="7"/>
    </row>
    <row r="2150" spans="2:81">
      <c r="B2150" s="6"/>
      <c r="C2150" s="1" t="s">
        <v>356</v>
      </c>
      <c r="E2150" s="66">
        <f t="shared" si="11"/>
        <v>-1.3366633899125719E-3</v>
      </c>
      <c r="F2150" s="66"/>
      <c r="G2150" s="66"/>
      <c r="H2150" s="2"/>
      <c r="I2150" s="40">
        <v>0</v>
      </c>
      <c r="J2150" s="40">
        <f>+AG2142</f>
        <v>2.25</v>
      </c>
      <c r="K2150" s="40">
        <v>1</v>
      </c>
      <c r="L2150" s="40">
        <v>0</v>
      </c>
      <c r="M2150" s="40">
        <v>-1</v>
      </c>
      <c r="N2150" s="40">
        <f>-AN2142</f>
        <v>2.4599960390742958E-3</v>
      </c>
      <c r="O2150" s="40"/>
      <c r="P2150" s="40">
        <v>0.15151515151515149</v>
      </c>
      <c r="Q2150" s="40">
        <v>0.15151515151515152</v>
      </c>
      <c r="R2150" s="40">
        <v>-0.26515151515151514</v>
      </c>
      <c r="S2150" s="40">
        <v>0.15151515151515152</v>
      </c>
      <c r="T2150" s="40">
        <v>-0.60606060606060608</v>
      </c>
      <c r="U2150" s="40">
        <v>-1.3366633899125719E-3</v>
      </c>
      <c r="V2150" s="2"/>
      <c r="W2150" s="2"/>
      <c r="X2150" s="2"/>
      <c r="Y2150" s="2"/>
      <c r="Z2150" s="2"/>
      <c r="AA2150" s="2"/>
      <c r="AB2150" s="2"/>
      <c r="AC2150" s="2"/>
      <c r="AD2150" s="2"/>
      <c r="CC2150" s="7"/>
    </row>
    <row r="2151" spans="2:81">
      <c r="B2151" s="6"/>
      <c r="C2151" s="1" t="s">
        <v>357</v>
      </c>
      <c r="E2151" s="66">
        <f t="shared" si="11"/>
        <v>-1.2184826195476964E-2</v>
      </c>
      <c r="F2151" s="66"/>
      <c r="G2151" s="66"/>
      <c r="H2151" s="2"/>
      <c r="I2151" s="40">
        <v>0</v>
      </c>
      <c r="J2151" s="40">
        <v>1</v>
      </c>
      <c r="K2151" s="40">
        <v>0</v>
      </c>
      <c r="L2151" s="40">
        <v>-1</v>
      </c>
      <c r="M2151" s="40">
        <v>0</v>
      </c>
      <c r="N2151" s="40">
        <f>-AD2145</f>
        <v>1.006216282824937E-4</v>
      </c>
      <c r="O2151" s="40"/>
      <c r="P2151" s="40">
        <v>0.60606060606060608</v>
      </c>
      <c r="Q2151" s="40">
        <v>-0.39393939393939398</v>
      </c>
      <c r="R2151" s="40">
        <v>0.68939393939393945</v>
      </c>
      <c r="S2151" s="40">
        <v>-0.39393939393939398</v>
      </c>
      <c r="T2151" s="40">
        <v>1.5757575757575759</v>
      </c>
      <c r="U2151" s="40">
        <v>-1.2184826195476964E-2</v>
      </c>
      <c r="V2151" s="2"/>
      <c r="W2151" s="2"/>
      <c r="X2151" s="2"/>
      <c r="Y2151" s="2"/>
      <c r="Z2151" s="2"/>
      <c r="AA2151" s="2"/>
      <c r="AB2151" s="2"/>
      <c r="AC2151" s="2"/>
      <c r="AD2151" s="2"/>
      <c r="CC2151" s="7"/>
    </row>
    <row r="2152" spans="2:81">
      <c r="B2152" s="6"/>
      <c r="C2152" s="24" t="s">
        <v>303</v>
      </c>
      <c r="CC2152" s="7"/>
    </row>
    <row r="2153" spans="2:81">
      <c r="B2153" s="6"/>
      <c r="C2153" s="1" t="s">
        <v>625</v>
      </c>
      <c r="G2153" s="66">
        <f>+E2120</f>
        <v>3.5817203131796437E-3</v>
      </c>
      <c r="H2153" s="66"/>
      <c r="I2153" s="66"/>
      <c r="J2153" s="9" t="s">
        <v>5</v>
      </c>
      <c r="K2153" s="1" t="s">
        <v>184</v>
      </c>
      <c r="L2153" s="1" t="s">
        <v>173</v>
      </c>
      <c r="M2153" s="1">
        <v>6</v>
      </c>
      <c r="N2153" s="9" t="s">
        <v>6</v>
      </c>
      <c r="O2153" s="66">
        <f>+M2120</f>
        <v>4.7846889952153111E-4</v>
      </c>
      <c r="P2153" s="66"/>
      <c r="Q2153" s="66"/>
      <c r="R2153" s="9" t="s">
        <v>5</v>
      </c>
      <c r="S2153" s="1" t="s">
        <v>185</v>
      </c>
      <c r="T2153" s="1" t="s">
        <v>173</v>
      </c>
      <c r="U2153" s="66">
        <v>12</v>
      </c>
      <c r="V2153" s="66"/>
      <c r="W2153" s="9" t="s">
        <v>9</v>
      </c>
      <c r="X2153" s="1" t="s">
        <v>24</v>
      </c>
      <c r="Y2153" s="9" t="s">
        <v>5</v>
      </c>
      <c r="Z2153" s="9" t="s">
        <v>13</v>
      </c>
      <c r="AA2153" s="9" t="s">
        <v>9</v>
      </c>
      <c r="AB2153" s="1" t="s">
        <v>307</v>
      </c>
      <c r="CC2153" s="7"/>
    </row>
    <row r="2154" spans="2:81">
      <c r="B2154" s="6"/>
      <c r="C2154" s="1" t="s">
        <v>27</v>
      </c>
      <c r="D2154" s="67">
        <v>1.75</v>
      </c>
      <c r="E2154" s="67"/>
      <c r="F2154" s="67"/>
      <c r="G2154" s="1" t="s">
        <v>42</v>
      </c>
      <c r="P2154" s="8" t="str">
        <f>IF(D2154&lt;=K2077,"","azalt.")</f>
        <v/>
      </c>
      <c r="CC2154" s="7"/>
    </row>
    <row r="2155" spans="2:81">
      <c r="B2155" s="6"/>
      <c r="C2155" s="1" t="s">
        <v>35</v>
      </c>
      <c r="E2155" s="66">
        <f>+G2153</f>
        <v>3.5817203131796437E-3</v>
      </c>
      <c r="F2155" s="66"/>
      <c r="G2155" s="66"/>
      <c r="H2155" s="9" t="s">
        <v>5</v>
      </c>
      <c r="I2155" s="66">
        <f>+D2154</f>
        <v>1.75</v>
      </c>
      <c r="J2155" s="66"/>
      <c r="K2155" s="1" t="s">
        <v>321</v>
      </c>
      <c r="L2155" s="1">
        <v>6</v>
      </c>
      <c r="M2155" s="9" t="s">
        <v>6</v>
      </c>
      <c r="N2155" s="66">
        <f>+O2153</f>
        <v>4.7846889952153111E-4</v>
      </c>
      <c r="O2155" s="66"/>
      <c r="P2155" s="66"/>
      <c r="Q2155" s="9" t="s">
        <v>5</v>
      </c>
      <c r="R2155" s="66">
        <f>+I2155</f>
        <v>1.75</v>
      </c>
      <c r="S2155" s="66"/>
      <c r="T2155" s="1" t="s">
        <v>509</v>
      </c>
      <c r="U2155" s="66">
        <v>12</v>
      </c>
      <c r="V2155" s="66"/>
      <c r="W2155" s="9" t="s">
        <v>9</v>
      </c>
      <c r="X2155" s="66">
        <f>+E2147</f>
        <v>-5.4260477266762815E-3</v>
      </c>
      <c r="Y2155" s="66"/>
      <c r="Z2155" s="66"/>
      <c r="AA2155" s="9" t="s">
        <v>5</v>
      </c>
      <c r="AB2155" s="66">
        <f>+R2155</f>
        <v>1.75</v>
      </c>
      <c r="AC2155" s="66"/>
      <c r="AD2155" s="1" t="s">
        <v>680</v>
      </c>
      <c r="AG2155" s="66">
        <f>+AN2075</f>
        <v>200000</v>
      </c>
      <c r="AH2155" s="66"/>
      <c r="AI2155" s="66"/>
      <c r="CC2155" s="7"/>
    </row>
    <row r="2156" spans="2:81">
      <c r="B2156" s="6"/>
      <c r="C2156" s="1" t="s">
        <v>33</v>
      </c>
      <c r="E2156" s="66">
        <f>(E2155*I2155^3/L2155-N2155*R2155^4/U2155+X2155*AB2155)*100000000/AG2155</f>
        <v>-3.3351230252275297</v>
      </c>
      <c r="F2156" s="66"/>
      <c r="G2156" s="66"/>
      <c r="H2156" s="1" t="s">
        <v>41</v>
      </c>
      <c r="CC2156" s="7"/>
    </row>
    <row r="2157" spans="2:81">
      <c r="B2157" s="6"/>
      <c r="C2157" s="1" t="s">
        <v>172</v>
      </c>
      <c r="H2157" s="66">
        <f>S2079*1000</f>
        <v>6600</v>
      </c>
      <c r="I2157" s="66"/>
      <c r="J2157" s="66"/>
      <c r="K2157" s="1" t="s">
        <v>173</v>
      </c>
      <c r="L2157" s="66">
        <v>300</v>
      </c>
      <c r="M2157" s="66"/>
      <c r="N2157" s="9" t="s">
        <v>7</v>
      </c>
      <c r="O2157" s="66">
        <f>+H2157/L2157</f>
        <v>22</v>
      </c>
      <c r="P2157" s="66"/>
      <c r="Q2157" s="66"/>
      <c r="R2157" s="1" t="s">
        <v>41</v>
      </c>
      <c r="U2157" s="1" t="s">
        <v>192</v>
      </c>
      <c r="CC2157" s="7"/>
    </row>
    <row r="2158" spans="2:81" ht="11.25" customHeight="1">
      <c r="B2158" s="6"/>
      <c r="C2158" s="1" t="s">
        <v>34</v>
      </c>
      <c r="D2158" s="66">
        <f>+E2156</f>
        <v>-3.3351230252275297</v>
      </c>
      <c r="E2158" s="66"/>
      <c r="F2158" s="66"/>
      <c r="G2158" s="1" t="s">
        <v>41</v>
      </c>
      <c r="I2158" s="1" t="str">
        <f>IF(ABS(D2158)&lt;ABS(M2158),"&lt;","&gt;")</f>
        <v>&lt;</v>
      </c>
      <c r="J2158" s="1" t="s">
        <v>174</v>
      </c>
      <c r="M2158" s="66">
        <f>+O2157</f>
        <v>22</v>
      </c>
      <c r="N2158" s="66"/>
      <c r="O2158" s="66"/>
      <c r="P2158" s="1" t="s">
        <v>41</v>
      </c>
      <c r="R2158" s="8" t="str">
        <f>IF(ABS(D2158)&lt;ABS(M2158),"uygun.","uygun değil.")</f>
        <v>uygun.</v>
      </c>
      <c r="CC2158" s="7"/>
    </row>
    <row r="2159" spans="2:81">
      <c r="B2159" s="6"/>
      <c r="C2159" s="24" t="s">
        <v>308</v>
      </c>
      <c r="CC2159" s="7"/>
    </row>
    <row r="2160" spans="2:81">
      <c r="B2160" s="6"/>
      <c r="C2160" s="1" t="s">
        <v>625</v>
      </c>
      <c r="G2160" s="66">
        <f>+E2124</f>
        <v>3.2518659663533688E-4</v>
      </c>
      <c r="H2160" s="66"/>
      <c r="I2160" s="66"/>
      <c r="J2160" s="9" t="s">
        <v>14</v>
      </c>
      <c r="K2160" s="66">
        <f>+I2124</f>
        <v>1.75</v>
      </c>
      <c r="L2160" s="66"/>
      <c r="M2160" s="9" t="s">
        <v>9</v>
      </c>
      <c r="N2160" s="9" t="s">
        <v>428</v>
      </c>
      <c r="O2160" s="9" t="s">
        <v>311</v>
      </c>
      <c r="P2160" s="1" t="s">
        <v>173</v>
      </c>
      <c r="Q2160" s="1">
        <v>6</v>
      </c>
      <c r="R2160" s="9" t="s">
        <v>6</v>
      </c>
      <c r="S2160" s="66">
        <f>+Q2124</f>
        <v>1.5204170286707211E-4</v>
      </c>
      <c r="T2160" s="66"/>
      <c r="U2160" s="66"/>
      <c r="V2160" s="1" t="s">
        <v>14</v>
      </c>
      <c r="W2160" s="66">
        <f>+U2124</f>
        <v>0.875</v>
      </c>
      <c r="X2160" s="66"/>
      <c r="Y2160" s="9" t="s">
        <v>9</v>
      </c>
      <c r="Z2160" s="9" t="s">
        <v>428</v>
      </c>
      <c r="AA2160" s="9" t="s">
        <v>311</v>
      </c>
      <c r="AB2160" s="1" t="s">
        <v>173</v>
      </c>
      <c r="AC2160" s="1">
        <v>6</v>
      </c>
      <c r="AD2160" s="9" t="s">
        <v>6</v>
      </c>
      <c r="AE2160" s="66">
        <f>+AC2124</f>
        <v>6.5160729800173764E-5</v>
      </c>
      <c r="AF2160" s="66"/>
      <c r="AG2160" s="66"/>
      <c r="AH2160" s="9" t="s">
        <v>5</v>
      </c>
      <c r="AI2160" s="1" t="s">
        <v>445</v>
      </c>
      <c r="AJ2160" s="1" t="s">
        <v>173</v>
      </c>
      <c r="AK2160" s="66">
        <v>12</v>
      </c>
      <c r="AL2160" s="66"/>
      <c r="AM2160" s="9" t="s">
        <v>9</v>
      </c>
      <c r="AN2160" s="1" t="s">
        <v>313</v>
      </c>
      <c r="AO2160" s="9" t="s">
        <v>5</v>
      </c>
      <c r="AP2160" s="9" t="s">
        <v>428</v>
      </c>
      <c r="AQ2160" s="9" t="s">
        <v>9</v>
      </c>
      <c r="AR2160" s="1" t="s">
        <v>315</v>
      </c>
      <c r="CC2160" s="7"/>
    </row>
    <row r="2161" spans="2:81">
      <c r="B2161" s="6"/>
      <c r="C2161" s="1" t="s">
        <v>482</v>
      </c>
      <c r="D2161" s="67">
        <v>2.25</v>
      </c>
      <c r="E2161" s="67"/>
      <c r="F2161" s="67"/>
      <c r="G2161" s="1" t="s">
        <v>42</v>
      </c>
      <c r="P2161" s="8" t="str">
        <f>IF(D2161&lt;=S2077,"","azalt.")</f>
        <v/>
      </c>
      <c r="CC2161" s="7"/>
    </row>
    <row r="2162" spans="2:81">
      <c r="B2162" s="6"/>
      <c r="C2162" s="1" t="s">
        <v>35</v>
      </c>
      <c r="E2162" s="66">
        <f>+G2160</f>
        <v>3.2518659663533688E-4</v>
      </c>
      <c r="F2162" s="66"/>
      <c r="G2162" s="66"/>
      <c r="H2162" s="9" t="s">
        <v>14</v>
      </c>
      <c r="I2162" s="66">
        <f>+K2160</f>
        <v>1.75</v>
      </c>
      <c r="J2162" s="66"/>
      <c r="K2162" s="9" t="s">
        <v>9</v>
      </c>
      <c r="L2162" s="66">
        <f>+D2161</f>
        <v>2.25</v>
      </c>
      <c r="M2162" s="66"/>
      <c r="N2162" s="1" t="s">
        <v>311</v>
      </c>
      <c r="O2162" s="1" t="s">
        <v>173</v>
      </c>
      <c r="P2162" s="1">
        <v>6</v>
      </c>
      <c r="Q2162" s="9" t="s">
        <v>6</v>
      </c>
      <c r="R2162" s="66">
        <f>+S2160</f>
        <v>1.5204170286707211E-4</v>
      </c>
      <c r="S2162" s="66"/>
      <c r="T2162" s="66"/>
      <c r="U2162" s="9" t="s">
        <v>14</v>
      </c>
      <c r="V2162" s="66">
        <f>+W2160</f>
        <v>0.875</v>
      </c>
      <c r="W2162" s="66"/>
      <c r="X2162" s="9" t="s">
        <v>9</v>
      </c>
      <c r="Y2162" s="66">
        <f>+L2162</f>
        <v>2.25</v>
      </c>
      <c r="Z2162" s="66"/>
      <c r="AA2162" s="1" t="s">
        <v>311</v>
      </c>
      <c r="AB2162" s="1" t="s">
        <v>173</v>
      </c>
      <c r="AC2162" s="1">
        <v>6</v>
      </c>
      <c r="AD2162" s="9" t="s">
        <v>6</v>
      </c>
      <c r="AE2162" s="66">
        <f>+AE2160</f>
        <v>6.5160729800173764E-5</v>
      </c>
      <c r="AF2162" s="66"/>
      <c r="AG2162" s="66"/>
      <c r="AH2162" s="9" t="s">
        <v>5</v>
      </c>
      <c r="AI2162" s="66">
        <f>+Y2162</f>
        <v>2.25</v>
      </c>
      <c r="AJ2162" s="66"/>
      <c r="AK2162" s="1" t="s">
        <v>509</v>
      </c>
      <c r="AL2162" s="66">
        <f>+AK2160</f>
        <v>12</v>
      </c>
      <c r="AM2162" s="66"/>
      <c r="AN2162" s="9" t="s">
        <v>9</v>
      </c>
      <c r="AO2162" s="66">
        <f>+E2148</f>
        <v>-1.2360417616300787E-3</v>
      </c>
      <c r="AP2162" s="66"/>
      <c r="AQ2162" s="66"/>
      <c r="AR2162" s="9" t="s">
        <v>5</v>
      </c>
      <c r="AS2162" s="66">
        <f>+D2161</f>
        <v>2.25</v>
      </c>
      <c r="AT2162" s="66"/>
      <c r="AU2162" s="9" t="s">
        <v>9</v>
      </c>
      <c r="AV2162" s="66">
        <f>+E2149</f>
        <v>-6.9437361927349919E-3</v>
      </c>
      <c r="AW2162" s="66"/>
      <c r="AX2162" s="66"/>
      <c r="AY2162" s="1" t="s">
        <v>679</v>
      </c>
      <c r="BB2162" s="66">
        <f>+AG2155</f>
        <v>200000</v>
      </c>
      <c r="BC2162" s="66"/>
      <c r="BD2162" s="66"/>
      <c r="CC2162" s="7"/>
    </row>
    <row r="2163" spans="2:81">
      <c r="B2163" s="6"/>
      <c r="C2163" s="1" t="s">
        <v>33</v>
      </c>
      <c r="E2163" s="66">
        <f>(E2162*(I2162+L2162)^3/P2162-R2162*(V2162+Y2162)^3/AC2162-AE2162*AI2162^4/AL2162+AO2162*AS2162+AV2162)*100000000/BB2162</f>
        <v>-3.5843318680727903</v>
      </c>
      <c r="F2163" s="66"/>
      <c r="G2163" s="66"/>
      <c r="H2163" s="1" t="s">
        <v>41</v>
      </c>
      <c r="CC2163" s="7"/>
    </row>
    <row r="2164" spans="2:81">
      <c r="B2164" s="6"/>
      <c r="C2164" s="1" t="s">
        <v>172</v>
      </c>
      <c r="H2164" s="66">
        <f>S2079*1000</f>
        <v>6600</v>
      </c>
      <c r="I2164" s="66"/>
      <c r="J2164" s="66"/>
      <c r="K2164" s="1" t="s">
        <v>173</v>
      </c>
      <c r="L2164" s="66">
        <v>300</v>
      </c>
      <c r="M2164" s="66"/>
      <c r="N2164" s="9" t="s">
        <v>7</v>
      </c>
      <c r="O2164" s="66">
        <f>+H2164/L2164</f>
        <v>22</v>
      </c>
      <c r="P2164" s="66"/>
      <c r="Q2164" s="66"/>
      <c r="R2164" s="1" t="s">
        <v>41</v>
      </c>
      <c r="U2164" s="1" t="s">
        <v>192</v>
      </c>
      <c r="CC2164" s="7"/>
    </row>
    <row r="2165" spans="2:81" ht="11.25" customHeight="1">
      <c r="B2165" s="6"/>
      <c r="C2165" s="1" t="s">
        <v>34</v>
      </c>
      <c r="D2165" s="66">
        <f>+E2163</f>
        <v>-3.5843318680727903</v>
      </c>
      <c r="E2165" s="66"/>
      <c r="F2165" s="66"/>
      <c r="G2165" s="1" t="s">
        <v>41</v>
      </c>
      <c r="I2165" s="1" t="str">
        <f>IF(ABS(D2165)&lt;ABS(M2165),"&lt;","&gt;")</f>
        <v>&lt;</v>
      </c>
      <c r="J2165" s="1" t="s">
        <v>174</v>
      </c>
      <c r="M2165" s="66">
        <f>+O2164</f>
        <v>22</v>
      </c>
      <c r="N2165" s="66"/>
      <c r="O2165" s="66"/>
      <c r="P2165" s="1" t="s">
        <v>41</v>
      </c>
      <c r="R2165" s="8" t="str">
        <f>IF(ABS(D2165)&lt;ABS(M2165),"uygun.","uygun değil.")</f>
        <v>uygun.</v>
      </c>
      <c r="CC2165" s="7"/>
    </row>
    <row r="2166" spans="2:81">
      <c r="B2166" s="6"/>
      <c r="C2166" s="24" t="s">
        <v>343</v>
      </c>
      <c r="CC2166" s="7"/>
    </row>
    <row r="2167" spans="2:81">
      <c r="B2167" s="6"/>
      <c r="C2167" s="1" t="s">
        <v>625</v>
      </c>
      <c r="G2167" s="66">
        <f>+E2129</f>
        <v>6.2122783855149009E-4</v>
      </c>
      <c r="H2167" s="66"/>
      <c r="I2167" s="66"/>
      <c r="J2167" s="9" t="s">
        <v>14</v>
      </c>
      <c r="K2167" s="66">
        <f>+I2129</f>
        <v>4</v>
      </c>
      <c r="L2167" s="66"/>
      <c r="M2167" s="9" t="s">
        <v>9</v>
      </c>
      <c r="N2167" s="9" t="s">
        <v>640</v>
      </c>
      <c r="O2167" s="9" t="s">
        <v>311</v>
      </c>
      <c r="P2167" s="1" t="s">
        <v>173</v>
      </c>
      <c r="Q2167" s="1">
        <v>6</v>
      </c>
      <c r="R2167" s="9" t="s">
        <v>6</v>
      </c>
      <c r="S2167" s="66">
        <f>+Q2129</f>
        <v>2.9045643153526973E-4</v>
      </c>
      <c r="T2167" s="66"/>
      <c r="U2167" s="66"/>
      <c r="V2167" s="1" t="s">
        <v>14</v>
      </c>
      <c r="W2167" s="66">
        <f>+U2129</f>
        <v>3.125</v>
      </c>
      <c r="X2167" s="66"/>
      <c r="Y2167" s="9" t="s">
        <v>9</v>
      </c>
      <c r="Z2167" s="9" t="s">
        <v>640</v>
      </c>
      <c r="AA2167" s="9" t="s">
        <v>311</v>
      </c>
      <c r="AB2167" s="1" t="s">
        <v>173</v>
      </c>
      <c r="AC2167" s="1">
        <v>6</v>
      </c>
      <c r="AD2167" s="9" t="s">
        <v>6</v>
      </c>
      <c r="AE2167" s="66">
        <f>+AC2129</f>
        <v>5.6016597510373447E-4</v>
      </c>
      <c r="AF2167" s="66"/>
      <c r="AG2167" s="66"/>
      <c r="AH2167" s="1" t="s">
        <v>14</v>
      </c>
      <c r="AI2167" s="66">
        <f>+AG2129</f>
        <v>1.125</v>
      </c>
      <c r="AJ2167" s="66"/>
      <c r="AK2167" s="9" t="s">
        <v>9</v>
      </c>
      <c r="AL2167" s="9" t="s">
        <v>640</v>
      </c>
      <c r="AM2167" s="9" t="s">
        <v>311</v>
      </c>
      <c r="AN2167" s="1" t="s">
        <v>173</v>
      </c>
      <c r="AO2167" s="1">
        <v>6</v>
      </c>
      <c r="AP2167" s="9" t="s">
        <v>6</v>
      </c>
      <c r="AQ2167" s="66">
        <f>+AO2129</f>
        <v>5.1867219917012447E-5</v>
      </c>
      <c r="AR2167" s="66"/>
      <c r="AS2167" s="66"/>
      <c r="AT2167" s="9" t="s">
        <v>5</v>
      </c>
      <c r="AU2167" s="1" t="s">
        <v>643</v>
      </c>
      <c r="AV2167" s="1" t="s">
        <v>173</v>
      </c>
      <c r="AW2167" s="66">
        <v>12</v>
      </c>
      <c r="AX2167" s="66"/>
      <c r="AY2167" s="9" t="s">
        <v>9</v>
      </c>
      <c r="AZ2167" s="1" t="s">
        <v>335</v>
      </c>
      <c r="BA2167" s="9" t="s">
        <v>5</v>
      </c>
      <c r="BB2167" s="9" t="s">
        <v>640</v>
      </c>
      <c r="BC2167" s="9" t="s">
        <v>9</v>
      </c>
      <c r="BD2167" s="1" t="s">
        <v>337</v>
      </c>
      <c r="CC2167" s="7"/>
    </row>
    <row r="2168" spans="2:81">
      <c r="B2168" s="6"/>
      <c r="C2168" s="1" t="s">
        <v>654</v>
      </c>
      <c r="D2168" s="67">
        <v>0</v>
      </c>
      <c r="E2168" s="67"/>
      <c r="F2168" s="67"/>
      <c r="G2168" s="1" t="s">
        <v>42</v>
      </c>
      <c r="P2168" s="8" t="str">
        <f>IF(D2168&lt;=AA2077,"","azalt.")</f>
        <v/>
      </c>
      <c r="CC2168" s="7"/>
    </row>
    <row r="2169" spans="2:81">
      <c r="B2169" s="6"/>
      <c r="C2169" s="1" t="s">
        <v>35</v>
      </c>
      <c r="E2169" s="66">
        <f>+G2167</f>
        <v>6.2122783855149009E-4</v>
      </c>
      <c r="F2169" s="66"/>
      <c r="G2169" s="66"/>
      <c r="H2169" s="9" t="s">
        <v>14</v>
      </c>
      <c r="I2169" s="66">
        <f>+K2167</f>
        <v>4</v>
      </c>
      <c r="J2169" s="66"/>
      <c r="K2169" s="9" t="s">
        <v>9</v>
      </c>
      <c r="L2169" s="66">
        <f>+D2168</f>
        <v>0</v>
      </c>
      <c r="M2169" s="66"/>
      <c r="N2169" s="1" t="s">
        <v>311</v>
      </c>
      <c r="O2169" s="1" t="s">
        <v>173</v>
      </c>
      <c r="P2169" s="1">
        <v>6</v>
      </c>
      <c r="Q2169" s="9" t="s">
        <v>6</v>
      </c>
      <c r="R2169" s="66">
        <f>+S2167</f>
        <v>2.9045643153526973E-4</v>
      </c>
      <c r="S2169" s="66"/>
      <c r="T2169" s="66"/>
      <c r="U2169" s="9" t="s">
        <v>14</v>
      </c>
      <c r="V2169" s="66">
        <f>+W2167</f>
        <v>3.125</v>
      </c>
      <c r="W2169" s="66"/>
      <c r="X2169" s="9" t="s">
        <v>9</v>
      </c>
      <c r="Y2169" s="66">
        <f>+L2169</f>
        <v>0</v>
      </c>
      <c r="Z2169" s="66"/>
      <c r="AA2169" s="1" t="s">
        <v>311</v>
      </c>
      <c r="AB2169" s="1" t="s">
        <v>173</v>
      </c>
      <c r="AC2169" s="1">
        <v>6</v>
      </c>
      <c r="AD2169" s="9" t="s">
        <v>6</v>
      </c>
      <c r="AE2169" s="66">
        <f>+AE2167</f>
        <v>5.6016597510373447E-4</v>
      </c>
      <c r="AF2169" s="66"/>
      <c r="AG2169" s="66"/>
      <c r="AH2169" s="9" t="s">
        <v>14</v>
      </c>
      <c r="AI2169" s="66">
        <f>+AI2167</f>
        <v>1.125</v>
      </c>
      <c r="AJ2169" s="66"/>
      <c r="AK2169" s="9" t="s">
        <v>9</v>
      </c>
      <c r="AL2169" s="66">
        <f>+Y2169</f>
        <v>0</v>
      </c>
      <c r="AM2169" s="66"/>
      <c r="AN2169" s="1" t="s">
        <v>311</v>
      </c>
      <c r="AO2169" s="1" t="s">
        <v>173</v>
      </c>
      <c r="AP2169" s="1">
        <v>6</v>
      </c>
      <c r="AQ2169" s="9" t="s">
        <v>6</v>
      </c>
      <c r="AR2169" s="66">
        <f>+AQ2167</f>
        <v>5.1867219917012447E-5</v>
      </c>
      <c r="AS2169" s="66"/>
      <c r="AT2169" s="66"/>
      <c r="AU2169" s="9" t="s">
        <v>5</v>
      </c>
      <c r="AV2169" s="66">
        <f>+AL2169</f>
        <v>0</v>
      </c>
      <c r="AW2169" s="66"/>
      <c r="AX2169" s="1" t="s">
        <v>509</v>
      </c>
      <c r="AY2169" s="66">
        <v>12</v>
      </c>
      <c r="AZ2169" s="66"/>
      <c r="BA2169" s="9" t="s">
        <v>9</v>
      </c>
      <c r="BB2169" s="66">
        <f>+E2150</f>
        <v>-1.3366633899125719E-3</v>
      </c>
      <c r="BC2169" s="66"/>
      <c r="BD2169" s="66"/>
      <c r="BE2169" s="9" t="s">
        <v>5</v>
      </c>
      <c r="BF2169" s="66">
        <f>+AV2169</f>
        <v>0</v>
      </c>
      <c r="BG2169" s="66"/>
      <c r="BH2169" s="9" t="s">
        <v>9</v>
      </c>
      <c r="BI2169" s="66">
        <f>+E2151</f>
        <v>-1.2184826195476964E-2</v>
      </c>
      <c r="BJ2169" s="66"/>
      <c r="BK2169" s="66"/>
      <c r="BL2169" s="1" t="s">
        <v>679</v>
      </c>
      <c r="BO2169" s="66">
        <f>+BB2162</f>
        <v>200000</v>
      </c>
      <c r="BP2169" s="66"/>
      <c r="BQ2169" s="66"/>
      <c r="CC2169" s="7"/>
    </row>
    <row r="2170" spans="2:81">
      <c r="B2170" s="6"/>
      <c r="C2170" s="1" t="s">
        <v>33</v>
      </c>
      <c r="E2170" s="66">
        <f>(E2169*(I2169+L2169)^3/P2169-R2169*(V2169+Y2169)^3/AC2169-AE2169*(AI2169+AL2169)^3/AP2169-AR2169*AV2169^4/AY2169+BB2169*BF2169+BI2169)*100000000/BO2169</f>
        <v>-3.5843318680727894</v>
      </c>
      <c r="F2170" s="66"/>
      <c r="G2170" s="66"/>
      <c r="H2170" s="1" t="s">
        <v>41</v>
      </c>
      <c r="CC2170" s="7"/>
    </row>
    <row r="2171" spans="2:81">
      <c r="B2171" s="6"/>
      <c r="C2171" s="1" t="s">
        <v>172</v>
      </c>
      <c r="H2171" s="66">
        <f>S2079*1000</f>
        <v>6600</v>
      </c>
      <c r="I2171" s="66"/>
      <c r="J2171" s="66"/>
      <c r="K2171" s="1" t="s">
        <v>173</v>
      </c>
      <c r="L2171" s="66">
        <v>300</v>
      </c>
      <c r="M2171" s="66"/>
      <c r="N2171" s="9" t="s">
        <v>7</v>
      </c>
      <c r="O2171" s="66">
        <f>+H2171/L2171</f>
        <v>22</v>
      </c>
      <c r="P2171" s="66"/>
      <c r="Q2171" s="66"/>
      <c r="R2171" s="1" t="s">
        <v>41</v>
      </c>
      <c r="U2171" s="1" t="s">
        <v>192</v>
      </c>
      <c r="CC2171" s="7"/>
    </row>
    <row r="2172" spans="2:81" ht="11.25" customHeight="1">
      <c r="B2172" s="6"/>
      <c r="C2172" s="1" t="s">
        <v>34</v>
      </c>
      <c r="D2172" s="66">
        <f>+E2170</f>
        <v>-3.5843318680727894</v>
      </c>
      <c r="E2172" s="66"/>
      <c r="F2172" s="66"/>
      <c r="G2172" s="1" t="s">
        <v>41</v>
      </c>
      <c r="I2172" s="1" t="str">
        <f>IF(ABS(D2172)&lt;ABS(M2172),"&lt;","&gt;")</f>
        <v>&lt;</v>
      </c>
      <c r="J2172" s="1" t="s">
        <v>174</v>
      </c>
      <c r="M2172" s="66">
        <f>+O2171</f>
        <v>22</v>
      </c>
      <c r="N2172" s="66"/>
      <c r="O2172" s="66"/>
      <c r="P2172" s="1" t="s">
        <v>41</v>
      </c>
      <c r="R2172" s="8" t="str">
        <f>IF(ABS(D2172)&lt;ABS(M2172),"uygun.","uygun değil.")</f>
        <v>uygun.</v>
      </c>
      <c r="CC2172" s="7"/>
    </row>
    <row r="2173" spans="2:81" ht="12" thickBot="1">
      <c r="B2173" s="12"/>
      <c r="C2173" s="13"/>
      <c r="D2173" s="13"/>
      <c r="E2173" s="13"/>
      <c r="F2173" s="13"/>
      <c r="G2173" s="13"/>
      <c r="H2173" s="13"/>
      <c r="I2173" s="13"/>
      <c r="J2173" s="13"/>
      <c r="K2173" s="13"/>
      <c r="L2173" s="13"/>
      <c r="M2173" s="13"/>
      <c r="N2173" s="13"/>
      <c r="O2173" s="13"/>
      <c r="P2173" s="13"/>
      <c r="Q2173" s="1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  <c r="AK2173" s="13"/>
      <c r="AL2173" s="13"/>
      <c r="AM2173" s="13"/>
      <c r="AN2173" s="13"/>
      <c r="AO2173" s="13"/>
      <c r="AP2173" s="13"/>
      <c r="AQ2173" s="13"/>
      <c r="AR2173" s="13"/>
      <c r="AS2173" s="13"/>
      <c r="AT2173" s="13"/>
      <c r="AU2173" s="13"/>
      <c r="AV2173" s="13"/>
      <c r="AW2173" s="13"/>
      <c r="AX2173" s="13"/>
      <c r="AY2173" s="13"/>
      <c r="AZ2173" s="13"/>
      <c r="BA2173" s="13"/>
      <c r="BB2173" s="13"/>
      <c r="BC2173" s="13"/>
      <c r="BD2173" s="13"/>
      <c r="BE2173" s="13"/>
      <c r="BF2173" s="13"/>
      <c r="BG2173" s="13"/>
      <c r="BH2173" s="13"/>
      <c r="BI2173" s="13"/>
      <c r="BJ2173" s="13"/>
      <c r="BK2173" s="13"/>
      <c r="BL2173" s="13"/>
      <c r="BM2173" s="13"/>
      <c r="BN2173" s="13"/>
      <c r="BO2173" s="13"/>
      <c r="BP2173" s="13"/>
      <c r="BQ2173" s="13"/>
      <c r="BR2173" s="13"/>
      <c r="BS2173" s="13"/>
      <c r="BT2173" s="13"/>
      <c r="BU2173" s="13"/>
      <c r="BV2173" s="13"/>
      <c r="BW2173" s="13"/>
      <c r="BX2173" s="13"/>
      <c r="BY2173" s="13"/>
      <c r="BZ2173" s="13"/>
      <c r="CA2173" s="13"/>
      <c r="CB2173" s="13"/>
      <c r="CC2173" s="14"/>
    </row>
    <row r="2174" spans="2:81" ht="12" thickBot="1"/>
    <row r="2175" spans="2:81" ht="48" customHeight="1">
      <c r="B2175" s="73" t="s">
        <v>580</v>
      </c>
      <c r="C2175" s="74"/>
      <c r="D2175" s="74"/>
      <c r="E2175" s="74"/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/>
      <c r="Q2175" s="74"/>
      <c r="R2175" s="74"/>
      <c r="S2175" s="74"/>
      <c r="T2175" s="74"/>
      <c r="U2175" s="74"/>
      <c r="V2175" s="74"/>
      <c r="W2175" s="74"/>
      <c r="X2175" s="74"/>
      <c r="Y2175" s="74"/>
      <c r="Z2175" s="74"/>
      <c r="AA2175" s="74"/>
      <c r="AB2175" s="74"/>
      <c r="AC2175" s="74"/>
      <c r="AD2175" s="74"/>
      <c r="AE2175" s="74"/>
      <c r="AF2175" s="74"/>
      <c r="AG2175" s="74"/>
      <c r="AH2175" s="74"/>
      <c r="AI2175" s="74"/>
      <c r="AJ2175" s="74"/>
      <c r="AK2175" s="74"/>
      <c r="AL2175" s="74"/>
      <c r="AM2175" s="74"/>
      <c r="AN2175" s="74"/>
      <c r="AO2175" s="74"/>
      <c r="AP2175" s="74"/>
      <c r="AQ2175" s="74"/>
      <c r="AR2175" s="74"/>
      <c r="AS2175" s="74"/>
      <c r="AT2175" s="74"/>
      <c r="AU2175" s="74"/>
      <c r="AV2175" s="74"/>
      <c r="AW2175" s="74"/>
      <c r="AX2175" s="74"/>
      <c r="AY2175" s="74"/>
      <c r="AZ2175" s="74"/>
      <c r="BA2175" s="74"/>
      <c r="BB2175" s="74"/>
      <c r="BC2175" s="74"/>
      <c r="BD2175" s="74"/>
      <c r="BE2175" s="74"/>
      <c r="BF2175" s="74"/>
      <c r="BG2175" s="74"/>
      <c r="BH2175" s="74"/>
      <c r="BI2175" s="74"/>
      <c r="BJ2175" s="74"/>
      <c r="BK2175" s="74"/>
      <c r="BL2175" s="74"/>
      <c r="BM2175" s="74"/>
      <c r="BN2175" s="74"/>
      <c r="BO2175" s="74"/>
      <c r="BP2175" s="74"/>
      <c r="BQ2175" s="74"/>
      <c r="BR2175" s="74"/>
      <c r="BS2175" s="74"/>
      <c r="BT2175" s="74"/>
      <c r="BU2175" s="74"/>
      <c r="BV2175" s="74"/>
      <c r="BW2175" s="74"/>
      <c r="BX2175" s="74"/>
      <c r="BY2175" s="74"/>
      <c r="BZ2175" s="74"/>
      <c r="CA2175" s="74"/>
      <c r="CB2175" s="74"/>
      <c r="CC2175" s="75"/>
    </row>
    <row r="2176" spans="2:81">
      <c r="B2176" s="6"/>
      <c r="S2176" s="8" t="s">
        <v>176</v>
      </c>
      <c r="AK2176" s="1" t="s">
        <v>290</v>
      </c>
      <c r="CC2176" s="7"/>
    </row>
    <row r="2177" spans="2:81">
      <c r="B2177" s="6"/>
      <c r="H2177" s="23" t="s">
        <v>587</v>
      </c>
      <c r="BM2177" s="23" t="s">
        <v>588</v>
      </c>
      <c r="CC2177" s="7"/>
    </row>
    <row r="2178" spans="2:81">
      <c r="B2178" s="6"/>
      <c r="AF2178" s="1" t="s">
        <v>505</v>
      </c>
      <c r="AM2178" s="67">
        <v>15</v>
      </c>
      <c r="AN2178" s="67"/>
      <c r="AO2178" s="1" t="s">
        <v>0</v>
      </c>
      <c r="AR2178" s="1" t="s">
        <v>504</v>
      </c>
      <c r="CC2178" s="7"/>
    </row>
    <row r="2179" spans="2:81">
      <c r="B2179" s="6"/>
      <c r="O2179" s="67" t="s">
        <v>171</v>
      </c>
      <c r="P2179" s="67"/>
      <c r="Q2179" s="67"/>
      <c r="R2179" s="67"/>
      <c r="S2179" s="67"/>
      <c r="T2179" s="67"/>
      <c r="AF2179" s="1" t="s">
        <v>209</v>
      </c>
      <c r="AH2179" s="67">
        <v>30</v>
      </c>
      <c r="AI2179" s="67"/>
      <c r="AJ2179" s="1" t="s">
        <v>187</v>
      </c>
      <c r="AR2179" s="1" t="s">
        <v>209</v>
      </c>
      <c r="AT2179" s="67">
        <v>20</v>
      </c>
      <c r="AU2179" s="67"/>
      <c r="AV2179" s="1" t="s">
        <v>187</v>
      </c>
      <c r="BB2179" s="67" t="s">
        <v>638</v>
      </c>
      <c r="BC2179" s="67"/>
      <c r="BD2179" s="67"/>
      <c r="BE2179" s="67"/>
      <c r="BF2179" s="67"/>
      <c r="BG2179" s="67"/>
      <c r="CC2179" s="7"/>
    </row>
    <row r="2180" spans="2:81">
      <c r="B2180" s="6"/>
      <c r="CC2180" s="7"/>
    </row>
    <row r="2181" spans="2:81">
      <c r="B2181" s="6"/>
      <c r="CC2181" s="7"/>
    </row>
    <row r="2182" spans="2:81">
      <c r="B2182" s="6"/>
      <c r="CC2182" s="7"/>
    </row>
    <row r="2183" spans="2:81">
      <c r="B2183" s="6"/>
      <c r="C2183" s="71">
        <f>INDEX($CI$24:$CI$138,MATCH(O2179,$CG$24:$CG$138,0),0)</f>
        <v>600</v>
      </c>
      <c r="BI2183" s="71">
        <f>INDEX($CI$24:$CI$138,MATCH(BB2179,$CG$24:$CG$138,0),0)</f>
        <v>300</v>
      </c>
      <c r="CC2183" s="7"/>
    </row>
    <row r="2184" spans="2:81">
      <c r="B2184" s="6"/>
      <c r="C2184" s="71"/>
      <c r="BI2184" s="71"/>
      <c r="CC2184" s="7"/>
    </row>
    <row r="2185" spans="2:81">
      <c r="B2185" s="6"/>
      <c r="C2185" s="71"/>
      <c r="J2185" s="66">
        <f>INDEX($CK$24:$CK$138,MATCH(O2179,$CG$24:$CG$138,0),0)</f>
        <v>12</v>
      </c>
      <c r="K2185" s="66"/>
      <c r="BI2185" s="71"/>
      <c r="BP2185" s="66">
        <f>INDEX($CK$24:$CK$138,MATCH(BB2179,$CG$24:$CG$138,0),0)</f>
        <v>7.1</v>
      </c>
      <c r="BQ2185" s="66"/>
      <c r="CC2185" s="7"/>
    </row>
    <row r="2186" spans="2:81">
      <c r="B2186" s="6"/>
      <c r="AM2186" s="66" t="s">
        <v>581</v>
      </c>
      <c r="AN2186" s="66"/>
      <c r="CC2186" s="7"/>
    </row>
    <row r="2187" spans="2:81">
      <c r="B2187" s="6"/>
      <c r="CC2187" s="7"/>
    </row>
    <row r="2188" spans="2:81">
      <c r="B2188" s="6"/>
      <c r="K2188" s="66">
        <f>INDEX($CL$24:$CL$138,MATCH(O2179,$CG$24:$CG$138,0),0)</f>
        <v>19</v>
      </c>
      <c r="L2188" s="66"/>
      <c r="AF2188" s="1" t="s">
        <v>13</v>
      </c>
      <c r="AQ2188" s="1" t="s">
        <v>428</v>
      </c>
      <c r="AV2188" s="1" t="s">
        <v>11</v>
      </c>
      <c r="AX2188" s="66">
        <f>+E2204</f>
        <v>71.305327868852459</v>
      </c>
      <c r="AY2188" s="66"/>
      <c r="AZ2188" s="1" t="s">
        <v>0</v>
      </c>
      <c r="BQ2188" s="66">
        <f>INDEX($CL$24:$CL$138,MATCH(BB2179,$CG$24:$CG$138,0),0)</f>
        <v>10.7</v>
      </c>
      <c r="BR2188" s="66"/>
      <c r="CC2188" s="7"/>
    </row>
    <row r="2189" spans="2:81">
      <c r="B2189" s="6"/>
      <c r="Z2189" s="1" t="s">
        <v>8</v>
      </c>
      <c r="AB2189" s="66">
        <f>+E2201</f>
        <v>89.194672131147541</v>
      </c>
      <c r="AC2189" s="66"/>
      <c r="AD2189" s="1" t="s">
        <v>0</v>
      </c>
      <c r="CC2189" s="7"/>
    </row>
    <row r="2190" spans="2:81">
      <c r="B2190" s="6"/>
      <c r="AG2190" s="67">
        <v>2.35</v>
      </c>
      <c r="AH2190" s="67"/>
      <c r="AI2190" s="1" t="s">
        <v>1</v>
      </c>
      <c r="AR2190" s="67">
        <v>3.75</v>
      </c>
      <c r="AS2190" s="67"/>
      <c r="AT2190" s="1" t="s">
        <v>1</v>
      </c>
      <c r="CC2190" s="7"/>
    </row>
    <row r="2191" spans="2:81">
      <c r="B2191" s="6"/>
      <c r="I2191" s="66">
        <f>INDEX($CJ$24:$CJ$138,MATCH(O2179,$CG$24:$CG$138,0),0)</f>
        <v>220</v>
      </c>
      <c r="J2191" s="66"/>
      <c r="BO2191" s="66">
        <f>INDEX($CJ$24:$CJ$138,MATCH(BB2179,$CG$24:$CG$138,0),0)</f>
        <v>150</v>
      </c>
      <c r="BP2191" s="66"/>
      <c r="CC2191" s="7"/>
    </row>
    <row r="2192" spans="2:81">
      <c r="B2192" s="6"/>
      <c r="AM2192" s="66">
        <f>+AG2190+AR2190</f>
        <v>6.1</v>
      </c>
      <c r="AN2192" s="66"/>
      <c r="AO2192" s="1" t="s">
        <v>1</v>
      </c>
      <c r="CC2192" s="7"/>
    </row>
    <row r="2193" spans="2:81">
      <c r="B2193" s="6"/>
      <c r="D2193" s="10" t="s">
        <v>36</v>
      </c>
      <c r="F2193" s="66">
        <f>INDEX($CM$24:$CM$138,MATCH(O2179,$CG$24:$CG$138,0),0)</f>
        <v>92080</v>
      </c>
      <c r="G2193" s="66"/>
      <c r="H2193" s="66"/>
      <c r="I2193" s="66"/>
      <c r="J2193" s="1" t="s">
        <v>37</v>
      </c>
      <c r="M2193" s="1" t="s">
        <v>175</v>
      </c>
      <c r="BJ2193" s="10" t="s">
        <v>36</v>
      </c>
      <c r="BL2193" s="66">
        <f>INDEX($CM$24:$CM$138,MATCH(BB2179,$CG$24:$CG$138,0),0)</f>
        <v>8360</v>
      </c>
      <c r="BM2193" s="66"/>
      <c r="BN2193" s="66"/>
      <c r="BO2193" s="66"/>
      <c r="BP2193" s="1" t="s">
        <v>37</v>
      </c>
      <c r="BS2193" s="1" t="s">
        <v>175</v>
      </c>
      <c r="CC2193" s="7"/>
    </row>
    <row r="2194" spans="2:81">
      <c r="B2194" s="6"/>
      <c r="D2194" s="1" t="s">
        <v>38</v>
      </c>
      <c r="F2194" s="67">
        <v>200000</v>
      </c>
      <c r="G2194" s="67"/>
      <c r="H2194" s="67"/>
      <c r="I2194" s="67"/>
      <c r="J2194" s="1" t="s">
        <v>39</v>
      </c>
      <c r="M2194" s="1" t="s">
        <v>302</v>
      </c>
      <c r="BJ2194" s="1" t="s">
        <v>38</v>
      </c>
      <c r="BL2194" s="67">
        <v>200000</v>
      </c>
      <c r="BM2194" s="67"/>
      <c r="BN2194" s="67"/>
      <c r="BO2194" s="67"/>
      <c r="BP2194" s="1" t="s">
        <v>39</v>
      </c>
      <c r="BS2194" s="1" t="s">
        <v>302</v>
      </c>
      <c r="CC2194" s="7"/>
    </row>
    <row r="2195" spans="2:81">
      <c r="B2195" s="6"/>
      <c r="AK2195" s="23" t="s">
        <v>317</v>
      </c>
      <c r="CC2195" s="7"/>
    </row>
    <row r="2196" spans="2:81">
      <c r="B2196" s="6"/>
      <c r="CC2196" s="7"/>
    </row>
    <row r="2197" spans="2:81">
      <c r="B2197" s="6"/>
      <c r="BE2197" s="23" t="s">
        <v>341</v>
      </c>
      <c r="CC2197" s="7"/>
    </row>
    <row r="2198" spans="2:81">
      <c r="B2198" s="6"/>
      <c r="C2198" s="23" t="s">
        <v>221</v>
      </c>
      <c r="AA2198" s="1" t="s">
        <v>319</v>
      </c>
      <c r="AJ2198" s="1" t="s">
        <v>461</v>
      </c>
      <c r="AW2198" s="1" t="s">
        <v>453</v>
      </c>
      <c r="BE2198" s="1" t="s">
        <v>301</v>
      </c>
      <c r="BG2198" s="66">
        <f>+AK2224</f>
        <v>1.1416835277834068</v>
      </c>
      <c r="BH2198" s="66"/>
      <c r="BI2198" s="66"/>
      <c r="CC2198" s="7"/>
    </row>
    <row r="2199" spans="2:81">
      <c r="B2199" s="6"/>
      <c r="C2199" s="1" t="s">
        <v>177</v>
      </c>
      <c r="AJ2199" s="1" t="s">
        <v>639</v>
      </c>
      <c r="BE2199" s="1" t="s">
        <v>297</v>
      </c>
      <c r="BG2199" s="66">
        <f>+BA2216</f>
        <v>169.1215844195109</v>
      </c>
      <c r="BH2199" s="66"/>
      <c r="BI2199" s="66"/>
      <c r="BJ2199" s="1" t="s">
        <v>191</v>
      </c>
      <c r="BL2199" s="1" t="s">
        <v>583</v>
      </c>
      <c r="CC2199" s="7"/>
    </row>
    <row r="2200" spans="2:81">
      <c r="B2200" s="6"/>
      <c r="C2200" s="1" t="s">
        <v>4</v>
      </c>
      <c r="D2200" s="9" t="s">
        <v>5</v>
      </c>
      <c r="E2200" s="66">
        <f>+AM2192</f>
        <v>6.1</v>
      </c>
      <c r="F2200" s="66"/>
      <c r="G2200" s="9" t="s">
        <v>6</v>
      </c>
      <c r="H2200" s="66">
        <f>+AM2178</f>
        <v>15</v>
      </c>
      <c r="I2200" s="66"/>
      <c r="J2200" s="9" t="s">
        <v>5</v>
      </c>
      <c r="K2200" s="66">
        <f>+AR2190</f>
        <v>3.75</v>
      </c>
      <c r="L2200" s="66"/>
      <c r="M2200" s="9" t="s">
        <v>6</v>
      </c>
      <c r="N2200" s="66">
        <f>+AH2179</f>
        <v>30</v>
      </c>
      <c r="O2200" s="66"/>
      <c r="P2200" s="9" t="s">
        <v>5</v>
      </c>
      <c r="Q2200" s="66">
        <f>+AG2190</f>
        <v>2.35</v>
      </c>
      <c r="R2200" s="66"/>
      <c r="S2200" s="9" t="s">
        <v>5</v>
      </c>
      <c r="T2200" s="66">
        <f>+AG2190/2+AR2190</f>
        <v>4.9249999999999998</v>
      </c>
      <c r="U2200" s="66"/>
      <c r="V2200" s="9" t="s">
        <v>6</v>
      </c>
      <c r="W2200" s="66">
        <f>+AT2179</f>
        <v>20</v>
      </c>
      <c r="X2200" s="66"/>
      <c r="Y2200" s="9" t="s">
        <v>5</v>
      </c>
      <c r="Z2200" s="66">
        <f>+AR2190</f>
        <v>3.75</v>
      </c>
      <c r="AA2200" s="66"/>
      <c r="AB2200" s="9" t="s">
        <v>5</v>
      </c>
      <c r="AC2200" s="66">
        <f>+AR2190/2</f>
        <v>1.875</v>
      </c>
      <c r="AD2200" s="66"/>
      <c r="AE2200" s="9" t="s">
        <v>7</v>
      </c>
      <c r="AF2200" s="1">
        <v>0</v>
      </c>
      <c r="BE2200" s="1" t="s">
        <v>297</v>
      </c>
      <c r="BG2200" s="66">
        <f>+BA2217</f>
        <v>140.13496382440871</v>
      </c>
      <c r="BH2200" s="66"/>
      <c r="BI2200" s="66"/>
      <c r="BJ2200" s="1" t="s">
        <v>191</v>
      </c>
      <c r="BL2200" s="1" t="s">
        <v>584</v>
      </c>
      <c r="CC2200" s="7"/>
    </row>
    <row r="2201" spans="2:81">
      <c r="B2201" s="6"/>
      <c r="C2201" s="1" t="s">
        <v>8</v>
      </c>
      <c r="D2201" s="9"/>
      <c r="E2201" s="66">
        <f>(H2200*K2200+N2200*Q2200*T2200+W2200*Z2200*AC2200)/E2200</f>
        <v>89.194672131147541</v>
      </c>
      <c r="F2201" s="66"/>
      <c r="G2201" s="1" t="s">
        <v>0</v>
      </c>
      <c r="I2201" s="1" t="s">
        <v>178</v>
      </c>
      <c r="AZ2201" s="40">
        <f>+AB2189</f>
        <v>89.194672131147541</v>
      </c>
      <c r="BA2201" s="40">
        <f>AZ2201-AY2216*AH2179</f>
        <v>0</v>
      </c>
      <c r="BB2201" s="40"/>
      <c r="BC2201" s="40"/>
      <c r="BE2201" s="1" t="s">
        <v>330</v>
      </c>
      <c r="BH2201" s="66">
        <f>MAX(ABS(AZ2201),ABS(BA2201))</f>
        <v>89.194672131147541</v>
      </c>
      <c r="BI2201" s="66"/>
      <c r="BJ2201" s="66"/>
      <c r="BK2201" s="1" t="s">
        <v>0</v>
      </c>
      <c r="BM2201" s="1" t="s">
        <v>585</v>
      </c>
      <c r="BT2201" s="46"/>
      <c r="CC2201" s="7"/>
    </row>
    <row r="2202" spans="2:81">
      <c r="B2202" s="6"/>
      <c r="C2202" s="1" t="s">
        <v>189</v>
      </c>
      <c r="AZ2202" s="40">
        <f>+AB2189</f>
        <v>89.194672131147541</v>
      </c>
      <c r="BA2202" s="40">
        <f>+AZ2202-AH2179*AG2190</f>
        <v>18.694672131147541</v>
      </c>
      <c r="BB2202" s="40">
        <f>BA2202-AM2178</f>
        <v>3.6946721311475414</v>
      </c>
      <c r="BC2202" s="40">
        <f>+BB2202-AT2179*AR2190</f>
        <v>-71.305327868852459</v>
      </c>
      <c r="BE2202" s="1" t="s">
        <v>330</v>
      </c>
      <c r="BH2202" s="66">
        <f>MAX(ABS(AZ2202),ABS(BA2202),ABS(BB2202),ABS(BC2202))</f>
        <v>89.194672131147541</v>
      </c>
      <c r="BI2202" s="66"/>
      <c r="BJ2202" s="66"/>
      <c r="BK2202" s="1" t="s">
        <v>0</v>
      </c>
      <c r="BM2202" s="1" t="s">
        <v>586</v>
      </c>
      <c r="BS2202" s="46"/>
      <c r="CC2202" s="7"/>
    </row>
    <row r="2203" spans="2:81">
      <c r="B2203" s="6"/>
      <c r="C2203" s="1" t="s">
        <v>4</v>
      </c>
      <c r="D2203" s="9" t="s">
        <v>9</v>
      </c>
      <c r="E2203" s="9" t="s">
        <v>10</v>
      </c>
      <c r="F2203" s="9" t="s">
        <v>6</v>
      </c>
      <c r="G2203" s="66">
        <f>+AM2178</f>
        <v>15</v>
      </c>
      <c r="H2203" s="66"/>
      <c r="I2203" s="9" t="s">
        <v>6</v>
      </c>
      <c r="J2203" s="66">
        <f>+AH2179</f>
        <v>30</v>
      </c>
      <c r="K2203" s="66"/>
      <c r="L2203" s="9" t="s">
        <v>5</v>
      </c>
      <c r="M2203" s="66">
        <f>+AG2190</f>
        <v>2.35</v>
      </c>
      <c r="N2203" s="66"/>
      <c r="O2203" s="9" t="s">
        <v>6</v>
      </c>
      <c r="P2203" s="66">
        <f>+AT2179</f>
        <v>20</v>
      </c>
      <c r="Q2203" s="66"/>
      <c r="R2203" s="9" t="s">
        <v>5</v>
      </c>
      <c r="S2203" s="66">
        <f>+AR2190</f>
        <v>3.75</v>
      </c>
      <c r="T2203" s="66"/>
      <c r="U2203" s="9" t="s">
        <v>7</v>
      </c>
      <c r="V2203" s="1">
        <v>0</v>
      </c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  <c r="BQ2203" s="2"/>
      <c r="BR2203" s="2"/>
      <c r="CC2203" s="7"/>
    </row>
    <row r="2204" spans="2:81">
      <c r="B2204" s="6"/>
      <c r="C2204" s="1" t="s">
        <v>11</v>
      </c>
      <c r="D2204" s="9"/>
      <c r="E2204" s="66">
        <f>(G2203+J2203*M2203+P2203*S2203-E2201)</f>
        <v>71.305327868852459</v>
      </c>
      <c r="F2204" s="66"/>
      <c r="G2204" s="1" t="s">
        <v>0</v>
      </c>
      <c r="I2204" s="1" t="s">
        <v>179</v>
      </c>
      <c r="CC2204" s="7"/>
    </row>
    <row r="2205" spans="2:81">
      <c r="B2205" s="6"/>
      <c r="C2205" s="23" t="s">
        <v>222</v>
      </c>
      <c r="D2205" s="9"/>
      <c r="E2205" s="9"/>
      <c r="F2205" s="9"/>
      <c r="BK2205" s="23" t="s">
        <v>589</v>
      </c>
      <c r="CC2205" s="7"/>
    </row>
    <row r="2206" spans="2:81">
      <c r="B2206" s="6"/>
      <c r="C2206" s="24" t="s">
        <v>303</v>
      </c>
      <c r="D2206" s="9"/>
      <c r="E2206" s="9"/>
      <c r="F2206" s="9"/>
      <c r="BK2206" s="23"/>
      <c r="CC2206" s="7"/>
    </row>
    <row r="2207" spans="2:81">
      <c r="B2207" s="6"/>
      <c r="C2207" s="1" t="s">
        <v>27</v>
      </c>
      <c r="D2207" s="67">
        <v>1</v>
      </c>
      <c r="E2207" s="67"/>
      <c r="F2207" s="67"/>
      <c r="G2207" s="1" t="s">
        <v>213</v>
      </c>
      <c r="H2207" s="9"/>
      <c r="I2207" s="9"/>
      <c r="J2207" s="9"/>
      <c r="M2207" s="9"/>
      <c r="N2207" s="21"/>
      <c r="P2207" s="9"/>
      <c r="Q2207" s="9"/>
      <c r="V2207" s="8" t="str">
        <f>IF(D2207&lt;=AG2190,"","azalt.")</f>
        <v/>
      </c>
      <c r="AY2207" s="9"/>
      <c r="AZ2207" s="9"/>
      <c r="BA2207" s="9"/>
      <c r="CC2207" s="7"/>
    </row>
    <row r="2208" spans="2:81">
      <c r="B2208" s="6"/>
      <c r="C2208" s="1" t="s">
        <v>12</v>
      </c>
      <c r="E2208" s="66">
        <f>+AB2189</f>
        <v>89.194672131147541</v>
      </c>
      <c r="F2208" s="66"/>
      <c r="G2208" s="9" t="s">
        <v>5</v>
      </c>
      <c r="H2208" s="66">
        <f>+D2207</f>
        <v>1</v>
      </c>
      <c r="I2208" s="66"/>
      <c r="J2208" s="9" t="s">
        <v>6</v>
      </c>
      <c r="K2208" s="66">
        <f>+AH2179</f>
        <v>30</v>
      </c>
      <c r="L2208" s="66"/>
      <c r="M2208" s="9" t="s">
        <v>5</v>
      </c>
      <c r="N2208" s="66">
        <f>+D2207</f>
        <v>1</v>
      </c>
      <c r="O2208" s="66"/>
      <c r="P2208" s="9" t="s">
        <v>254</v>
      </c>
      <c r="Q2208" s="1">
        <v>2</v>
      </c>
      <c r="R2208" s="9" t="s">
        <v>7</v>
      </c>
      <c r="S2208" s="66">
        <f>+E2208*H2208-K2208*N2208^2/Q2208</f>
        <v>74.194672131147541</v>
      </c>
      <c r="T2208" s="66"/>
      <c r="U2208" s="66"/>
      <c r="V2208" s="1" t="s">
        <v>191</v>
      </c>
      <c r="AB2208" s="9"/>
      <c r="AK2208" s="9"/>
      <c r="CC2208" s="7"/>
    </row>
    <row r="2209" spans="2:81">
      <c r="B2209" s="6"/>
      <c r="C2209" s="1" t="s">
        <v>220</v>
      </c>
      <c r="E2209" s="66">
        <f>+E2208</f>
        <v>89.194672131147541</v>
      </c>
      <c r="F2209" s="66"/>
      <c r="G2209" s="9" t="s">
        <v>6</v>
      </c>
      <c r="H2209" s="66">
        <f>+K2208</f>
        <v>30</v>
      </c>
      <c r="I2209" s="66"/>
      <c r="J2209" s="9" t="s">
        <v>5</v>
      </c>
      <c r="K2209" s="66">
        <f>+N2208</f>
        <v>1</v>
      </c>
      <c r="L2209" s="66"/>
      <c r="M2209" s="9" t="s">
        <v>7</v>
      </c>
      <c r="N2209" s="66">
        <f>+E2209-H2209*K2209</f>
        <v>59.194672131147541</v>
      </c>
      <c r="O2209" s="66"/>
      <c r="P2209" s="66"/>
      <c r="Q2209" s="1" t="s">
        <v>0</v>
      </c>
      <c r="S2209" s="9"/>
      <c r="V2209" s="9"/>
      <c r="Z2209" s="9"/>
      <c r="AL2209" s="9"/>
      <c r="BB2209" s="9"/>
      <c r="BD2209" s="9"/>
      <c r="BE2209" s="9"/>
      <c r="BF2209" s="9"/>
      <c r="BG2209" s="9"/>
      <c r="BH2209" s="9"/>
      <c r="BI2209" s="9"/>
      <c r="BJ2209" s="9"/>
      <c r="BK2209" s="9"/>
      <c r="BM2209" s="9"/>
      <c r="BN2209" s="9"/>
      <c r="BO2209" s="9"/>
      <c r="BP2209" s="9"/>
      <c r="BQ2209" s="9"/>
      <c r="BT2209" s="9"/>
      <c r="BU2209" s="9"/>
      <c r="BV2209" s="9"/>
      <c r="BW2209" s="9"/>
      <c r="CC2209" s="7"/>
    </row>
    <row r="2210" spans="2:81">
      <c r="B2210" s="6"/>
      <c r="C2210" s="24" t="s">
        <v>308</v>
      </c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S2210" s="9"/>
      <c r="V2210" s="9"/>
      <c r="Z2210" s="9"/>
      <c r="AL2210" s="9"/>
      <c r="BB2210" s="9"/>
      <c r="BD2210" s="9"/>
      <c r="BE2210" s="9"/>
      <c r="BF2210" s="9"/>
      <c r="BG2210" s="9"/>
      <c r="BH2210" s="9"/>
      <c r="BI2210" s="9"/>
      <c r="BJ2210" s="9"/>
      <c r="BK2210" s="9"/>
      <c r="BM2210" s="9"/>
      <c r="BN2210" s="9"/>
      <c r="BO2210" s="9"/>
      <c r="BP2210" s="9"/>
      <c r="BQ2210" s="9"/>
      <c r="BT2210" s="9"/>
      <c r="BU2210" s="9"/>
      <c r="BV2210" s="9"/>
      <c r="BW2210" s="9"/>
      <c r="CC2210" s="7"/>
    </row>
    <row r="2211" spans="2:81">
      <c r="B2211" s="6"/>
      <c r="C2211" s="1" t="s">
        <v>482</v>
      </c>
      <c r="D2211" s="67">
        <v>1</v>
      </c>
      <c r="E2211" s="67"/>
      <c r="F2211" s="67"/>
      <c r="G2211" s="1" t="s">
        <v>213</v>
      </c>
      <c r="H2211" s="9"/>
      <c r="I2211" s="9"/>
      <c r="J2211" s="9"/>
      <c r="M2211" s="9"/>
      <c r="N2211" s="21"/>
      <c r="P2211" s="9"/>
      <c r="Q2211" s="9"/>
      <c r="V2211" s="8" t="str">
        <f>IF(D2211&lt;=AR2190,"","azalt.")</f>
        <v/>
      </c>
      <c r="AL2211" s="9"/>
      <c r="BB2211" s="9"/>
      <c r="BD2211" s="9"/>
      <c r="BE2211" s="9"/>
      <c r="BF2211" s="9"/>
      <c r="BG2211" s="9"/>
      <c r="BH2211" s="9"/>
      <c r="BI2211" s="9"/>
      <c r="BJ2211" s="9"/>
      <c r="BK2211" s="9"/>
      <c r="BM2211" s="9"/>
      <c r="BN2211" s="9"/>
      <c r="BO2211" s="9"/>
      <c r="BP2211" s="9"/>
      <c r="BQ2211" s="9"/>
      <c r="BT2211" s="9"/>
      <c r="BU2211" s="9"/>
      <c r="BV2211" s="9"/>
      <c r="BW2211" s="9"/>
      <c r="CC2211" s="7"/>
    </row>
    <row r="2212" spans="2:81">
      <c r="B2212" s="6"/>
      <c r="C2212" s="1" t="s">
        <v>12</v>
      </c>
      <c r="E2212" s="66">
        <f>+AB2189</f>
        <v>89.194672131147541</v>
      </c>
      <c r="F2212" s="66"/>
      <c r="G2212" s="9" t="s">
        <v>14</v>
      </c>
      <c r="H2212" s="66">
        <f>+AG2190</f>
        <v>2.35</v>
      </c>
      <c r="I2212" s="66"/>
      <c r="J2212" s="9" t="s">
        <v>9</v>
      </c>
      <c r="K2212" s="66">
        <f>+D2211</f>
        <v>1</v>
      </c>
      <c r="L2212" s="66"/>
      <c r="M2212" s="9" t="s">
        <v>16</v>
      </c>
      <c r="N2212" s="66">
        <f>+AH2179</f>
        <v>30</v>
      </c>
      <c r="O2212" s="66"/>
      <c r="P2212" s="9" t="s">
        <v>5</v>
      </c>
      <c r="Q2212" s="66">
        <f>+AG2190</f>
        <v>2.35</v>
      </c>
      <c r="R2212" s="66"/>
      <c r="S2212" s="9" t="s">
        <v>14</v>
      </c>
      <c r="T2212" s="66">
        <f>+AG2190/2</f>
        <v>1.175</v>
      </c>
      <c r="U2212" s="66"/>
      <c r="V2212" s="9" t="s">
        <v>9</v>
      </c>
      <c r="W2212" s="66">
        <f>+D2211</f>
        <v>1</v>
      </c>
      <c r="X2212" s="66"/>
      <c r="Y2212" s="1" t="s">
        <v>16</v>
      </c>
      <c r="Z2212" s="66">
        <f>+AM2178</f>
        <v>15</v>
      </c>
      <c r="AA2212" s="66"/>
      <c r="AB2212" s="9" t="s">
        <v>5</v>
      </c>
      <c r="AC2212" s="66">
        <f>+D2211</f>
        <v>1</v>
      </c>
      <c r="AD2212" s="66"/>
      <c r="AE2212" s="1" t="s">
        <v>6</v>
      </c>
      <c r="AF2212" s="66">
        <f>+AT2179</f>
        <v>20</v>
      </c>
      <c r="AG2212" s="66"/>
      <c r="AH2212" s="9" t="s">
        <v>5</v>
      </c>
      <c r="AI2212" s="66">
        <f>+D2211</f>
        <v>1</v>
      </c>
      <c r="AJ2212" s="66"/>
      <c r="AK2212" s="9" t="s">
        <v>254</v>
      </c>
      <c r="AL2212" s="1">
        <v>2</v>
      </c>
      <c r="AM2212" s="9" t="s">
        <v>7</v>
      </c>
      <c r="AN2212" s="66">
        <f>E2212*(H2212+K2212)-N2212*Q2212*(T2212+W2212)-Z2212*AC2212-AF2212*AI2212^2/AL2212</f>
        <v>120.46465163934431</v>
      </c>
      <c r="AO2212" s="66"/>
      <c r="AP2212" s="66"/>
      <c r="AQ2212" s="1" t="s">
        <v>191</v>
      </c>
      <c r="BD2212" s="9"/>
      <c r="BE2212" s="9"/>
      <c r="BF2212" s="9"/>
      <c r="BG2212" s="9"/>
      <c r="BH2212" s="9"/>
      <c r="BI2212" s="9"/>
      <c r="BJ2212" s="9"/>
      <c r="BK2212" s="9"/>
      <c r="BM2212" s="9"/>
      <c r="BN2212" s="9"/>
      <c r="BO2212" s="9"/>
      <c r="BP2212" s="9"/>
      <c r="BQ2212" s="9"/>
      <c r="BT2212" s="9"/>
      <c r="BU2212" s="9"/>
      <c r="BV2212" s="9"/>
      <c r="BW2212" s="9"/>
      <c r="CC2212" s="7"/>
    </row>
    <row r="2213" spans="2:81">
      <c r="B2213" s="6"/>
      <c r="C2213" s="1" t="s">
        <v>220</v>
      </c>
      <c r="E2213" s="66">
        <f>+E2212</f>
        <v>89.194672131147541</v>
      </c>
      <c r="F2213" s="66"/>
      <c r="G2213" s="9" t="s">
        <v>6</v>
      </c>
      <c r="H2213" s="66">
        <f>+N2212</f>
        <v>30</v>
      </c>
      <c r="I2213" s="66"/>
      <c r="J2213" s="9" t="s">
        <v>5</v>
      </c>
      <c r="K2213" s="66">
        <f>+Q2212</f>
        <v>2.35</v>
      </c>
      <c r="L2213" s="66"/>
      <c r="M2213" s="9" t="s">
        <v>6</v>
      </c>
      <c r="N2213" s="66">
        <f>+Z2212</f>
        <v>15</v>
      </c>
      <c r="O2213" s="66"/>
      <c r="P2213" s="9" t="s">
        <v>6</v>
      </c>
      <c r="Q2213" s="66">
        <f>+AF2212</f>
        <v>20</v>
      </c>
      <c r="R2213" s="66"/>
      <c r="S2213" s="9" t="s">
        <v>5</v>
      </c>
      <c r="T2213" s="66">
        <f>+AI2212</f>
        <v>1</v>
      </c>
      <c r="U2213" s="66"/>
      <c r="V2213" s="9" t="s">
        <v>7</v>
      </c>
      <c r="W2213" s="66">
        <f>+E2213-H2213*K2213-N2213-Q2213*T2213</f>
        <v>-16.305327868852459</v>
      </c>
      <c r="X2213" s="66"/>
      <c r="Y2213" s="66"/>
      <c r="Z2213" s="1" t="s">
        <v>0</v>
      </c>
      <c r="BB2213" s="9"/>
      <c r="BD2213" s="9"/>
      <c r="BE2213" s="9"/>
      <c r="BF2213" s="9"/>
      <c r="BG2213" s="9"/>
      <c r="BH2213" s="9"/>
      <c r="BI2213" s="9"/>
      <c r="BJ2213" s="9"/>
      <c r="BK2213" s="9"/>
      <c r="BM2213" s="9"/>
      <c r="BN2213" s="9"/>
      <c r="BO2213" s="9"/>
      <c r="BP2213" s="9"/>
      <c r="BQ2213" s="9"/>
      <c r="BT2213" s="9"/>
      <c r="BU2213" s="9"/>
      <c r="BV2213" s="9"/>
      <c r="BW2213" s="9"/>
      <c r="CC2213" s="7"/>
    </row>
    <row r="2214" spans="2:81">
      <c r="B2214" s="6"/>
      <c r="C2214" s="23" t="s">
        <v>253</v>
      </c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BB2214" s="9"/>
      <c r="BD2214" s="9"/>
      <c r="BE2214" s="9"/>
      <c r="BF2214" s="9"/>
      <c r="BG2214" s="9"/>
      <c r="BH2214" s="9"/>
      <c r="BI2214" s="9"/>
      <c r="BJ2214" s="9"/>
      <c r="BK2214" s="9"/>
      <c r="BM2214" s="9"/>
      <c r="BN2214" s="9"/>
      <c r="BO2214" s="9"/>
      <c r="BP2214" s="9"/>
      <c r="BQ2214" s="9"/>
      <c r="BT2214" s="9"/>
      <c r="BU2214" s="9"/>
      <c r="BV2214" s="9"/>
      <c r="BW2214" s="9"/>
      <c r="CC2214" s="7"/>
    </row>
    <row r="2215" spans="2:81">
      <c r="B2215" s="6"/>
      <c r="C2215" s="1" t="s">
        <v>27</v>
      </c>
      <c r="D2215" s="66">
        <f>+BE2216</f>
        <v>2.9731557377049183</v>
      </c>
      <c r="E2215" s="66"/>
      <c r="F2215" s="66"/>
      <c r="G2215" s="1" t="s">
        <v>257</v>
      </c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BA2215" s="42"/>
      <c r="BB2215" s="42"/>
      <c r="BC2215" s="2"/>
      <c r="BD2215" s="9"/>
      <c r="BE2215" s="9"/>
      <c r="BF2215" s="9"/>
      <c r="BG2215" s="9"/>
      <c r="BH2215" s="9"/>
      <c r="BI2215" s="9"/>
      <c r="BJ2215" s="9"/>
      <c r="BK2215" s="9"/>
      <c r="BM2215" s="9"/>
      <c r="BN2215" s="9"/>
      <c r="BO2215" s="9"/>
      <c r="BP2215" s="9"/>
      <c r="BQ2215" s="9"/>
      <c r="BT2215" s="9"/>
      <c r="BU2215" s="9"/>
      <c r="BV2215" s="9"/>
      <c r="BW2215" s="9"/>
      <c r="CC2215" s="7"/>
    </row>
    <row r="2216" spans="2:81">
      <c r="B2216" s="6"/>
      <c r="C2216" s="1" t="s">
        <v>260</v>
      </c>
      <c r="F2216" s="66">
        <f>+AB2189</f>
        <v>89.194672131147541</v>
      </c>
      <c r="G2216" s="66"/>
      <c r="H2216" s="9" t="s">
        <v>5</v>
      </c>
      <c r="I2216" s="66">
        <f>+D2215</f>
        <v>2.9731557377049183</v>
      </c>
      <c r="J2216" s="66"/>
      <c r="K2216" s="9" t="s">
        <v>6</v>
      </c>
      <c r="L2216" s="66">
        <f>IF((O2216-R2216)&lt;=0,0,+AM2178)</f>
        <v>15</v>
      </c>
      <c r="M2216" s="66"/>
      <c r="N2216" s="9" t="s">
        <v>14</v>
      </c>
      <c r="O2216" s="66">
        <f>+I2216</f>
        <v>2.9731557377049183</v>
      </c>
      <c r="P2216" s="66"/>
      <c r="Q2216" s="9" t="s">
        <v>6</v>
      </c>
      <c r="R2216" s="66">
        <f>+AG2190</f>
        <v>2.35</v>
      </c>
      <c r="S2216" s="66"/>
      <c r="T2216" s="1" t="s">
        <v>16</v>
      </c>
      <c r="U2216" s="66">
        <f>+AH2179</f>
        <v>30</v>
      </c>
      <c r="V2216" s="66"/>
      <c r="W2216" s="9" t="s">
        <v>5</v>
      </c>
      <c r="X2216" s="66">
        <f>IF(D2215&lt;AG2190,D2215/2,AG2190)</f>
        <v>2.35</v>
      </c>
      <c r="Y2216" s="66"/>
      <c r="Z2216" s="1" t="s">
        <v>14</v>
      </c>
      <c r="AA2216" s="66">
        <f>+D2215</f>
        <v>2.9731557377049183</v>
      </c>
      <c r="AB2216" s="66"/>
      <c r="AC2216" s="9" t="s">
        <v>6</v>
      </c>
      <c r="AD2216" s="66">
        <f>IF(D2215&lt;AG2190,0,AG2190/2)</f>
        <v>1.175</v>
      </c>
      <c r="AE2216" s="66"/>
      <c r="AF2216" s="1" t="s">
        <v>16</v>
      </c>
      <c r="AG2216" s="66">
        <f>IF((AJ2216-AM2216)&lt;0,0,AT2179)</f>
        <v>20</v>
      </c>
      <c r="AH2216" s="66"/>
      <c r="AI2216" s="1" t="s">
        <v>14</v>
      </c>
      <c r="AJ2216" s="66">
        <f>+D2215</f>
        <v>2.9731557377049183</v>
      </c>
      <c r="AK2216" s="66"/>
      <c r="AL2216" s="9" t="s">
        <v>6</v>
      </c>
      <c r="AM2216" s="66">
        <f>+AG2190</f>
        <v>2.35</v>
      </c>
      <c r="AN2216" s="66"/>
      <c r="AO2216" s="1" t="s">
        <v>200</v>
      </c>
      <c r="AP2216" s="1" t="s">
        <v>173</v>
      </c>
      <c r="AQ2216" s="1">
        <v>2</v>
      </c>
      <c r="AR2216" s="9" t="s">
        <v>7</v>
      </c>
      <c r="AS2216" s="66">
        <f>+F2216*I2216-L2216*(O2216-R2216)-U2216*X2216*(AA2216-AD2216)-AG2216*(AJ2216-AM2216)^2/AQ2216</f>
        <v>125.18910491131416</v>
      </c>
      <c r="AT2216" s="66"/>
      <c r="AU2216" s="66"/>
      <c r="AV2216" s="1" t="s">
        <v>191</v>
      </c>
      <c r="AY2216" s="76">
        <f>AB2189/AH2179</f>
        <v>2.9731557377049183</v>
      </c>
      <c r="AZ2216" s="76"/>
      <c r="BA2216" s="76">
        <f>+BW2226</f>
        <v>169.1215844195109</v>
      </c>
      <c r="BB2216" s="76"/>
      <c r="BC2216" s="76">
        <f>MAX(BA2216:BB2217)</f>
        <v>169.1215844195109</v>
      </c>
      <c r="BD2216" s="76"/>
      <c r="BE2216" s="76" cm="1">
        <f t="array" ref="BE2216">INDEX(AY2216:AY2217,MATCH(BC2216,BA2216:BA2217,0),0)</f>
        <v>2.9731557377049183</v>
      </c>
      <c r="BF2216" s="76"/>
      <c r="CC2216" s="7"/>
    </row>
    <row r="2217" spans="2:81">
      <c r="B2217" s="6"/>
      <c r="C2217" s="1" t="s">
        <v>247</v>
      </c>
      <c r="E2217" s="66">
        <f>+AM2192/2</f>
        <v>3.05</v>
      </c>
      <c r="F2217" s="66"/>
      <c r="G2217" s="66"/>
      <c r="H2217" s="1" t="s">
        <v>252</v>
      </c>
      <c r="J2217" s="9"/>
      <c r="M2217" s="9"/>
      <c r="N2217" s="21"/>
      <c r="U2217" s="8"/>
      <c r="AV2217" s="2"/>
      <c r="AY2217" s="76">
        <f>(AB2189-AH2179*AG2190-AM2178+AT2179*AG2190)/AT2179</f>
        <v>2.5347336065573769</v>
      </c>
      <c r="AZ2217" s="76"/>
      <c r="BA2217" s="76">
        <f>+BW2228</f>
        <v>140.13496382440871</v>
      </c>
      <c r="BB2217" s="76"/>
      <c r="BC2217" s="43"/>
      <c r="BD2217" s="43"/>
      <c r="BE2217" s="43"/>
      <c r="BF2217" s="43"/>
      <c r="BG2217" s="9"/>
      <c r="BH2217" s="9"/>
      <c r="BI2217" s="9"/>
      <c r="BJ2217" s="9"/>
      <c r="BK2217" s="9"/>
      <c r="BT2217" s="9"/>
      <c r="BU2217" s="9"/>
      <c r="BV2217" s="9"/>
      <c r="BW2217" s="9"/>
      <c r="CC2217" s="7"/>
    </row>
    <row r="2218" spans="2:81">
      <c r="B2218" s="6"/>
      <c r="C2218" s="1" t="s">
        <v>261</v>
      </c>
      <c r="F2218" s="66">
        <f>+F2216</f>
        <v>89.194672131147541</v>
      </c>
      <c r="G2218" s="66"/>
      <c r="H2218" s="9" t="s">
        <v>5</v>
      </c>
      <c r="I2218" s="66">
        <f>+E2217</f>
        <v>3.05</v>
      </c>
      <c r="J2218" s="66"/>
      <c r="K2218" s="9" t="s">
        <v>6</v>
      </c>
      <c r="L2218" s="66">
        <f>IF((O2218-R2218)&lt;=0,0,+AM2178)</f>
        <v>15</v>
      </c>
      <c r="M2218" s="66"/>
      <c r="N2218" s="9" t="s">
        <v>14</v>
      </c>
      <c r="O2218" s="66">
        <f>+I2218</f>
        <v>3.05</v>
      </c>
      <c r="P2218" s="66"/>
      <c r="Q2218" s="9" t="s">
        <v>6</v>
      </c>
      <c r="R2218" s="66">
        <f>+AG2190</f>
        <v>2.35</v>
      </c>
      <c r="S2218" s="66"/>
      <c r="T2218" s="1" t="s">
        <v>16</v>
      </c>
      <c r="U2218" s="66">
        <f>+AH2179</f>
        <v>30</v>
      </c>
      <c r="V2218" s="66"/>
      <c r="W2218" s="9" t="s">
        <v>5</v>
      </c>
      <c r="X2218" s="66">
        <f>IF(E2217&lt;AG2190,E2217/2,AG2190)</f>
        <v>2.35</v>
      </c>
      <c r="Y2218" s="66"/>
      <c r="Z2218" s="1" t="s">
        <v>14</v>
      </c>
      <c r="AA2218" s="66">
        <f>+E2217</f>
        <v>3.05</v>
      </c>
      <c r="AB2218" s="66"/>
      <c r="AC2218" s="9" t="s">
        <v>6</v>
      </c>
      <c r="AD2218" s="66">
        <f>IF(E2217&lt;AG2190,0,AG2190/2)</f>
        <v>1.175</v>
      </c>
      <c r="AE2218" s="66"/>
      <c r="AF2218" s="1" t="s">
        <v>16</v>
      </c>
      <c r="AG2218" s="66">
        <f>IF((AJ2218-AM2218)&lt;0,0,AT2179)</f>
        <v>20</v>
      </c>
      <c r="AH2218" s="66"/>
      <c r="AI2218" s="1" t="s">
        <v>14</v>
      </c>
      <c r="AJ2218" s="66">
        <f>+E2217</f>
        <v>3.05</v>
      </c>
      <c r="AK2218" s="66"/>
      <c r="AL2218" s="9" t="s">
        <v>6</v>
      </c>
      <c r="AM2218" s="66">
        <f>+AG2190</f>
        <v>2.35</v>
      </c>
      <c r="AN2218" s="66"/>
      <c r="AO2218" s="1" t="s">
        <v>200</v>
      </c>
      <c r="AP2218" s="1" t="s">
        <v>173</v>
      </c>
      <c r="AQ2218" s="1">
        <v>2</v>
      </c>
      <c r="AR2218" s="9" t="s">
        <v>7</v>
      </c>
      <c r="AS2218" s="66">
        <f>+F2218*I2218-L2218*(O2218-R2218)-U2218*X2218*(AA2218-AD2218)-AG2218*(AJ2218-AM2218)^2/AQ2218</f>
        <v>124.45625000000003</v>
      </c>
      <c r="AT2218" s="66"/>
      <c r="AU2218" s="66"/>
      <c r="AV2218" s="1" t="s">
        <v>191</v>
      </c>
      <c r="BV2218" s="9"/>
      <c r="BW2218" s="9"/>
      <c r="CC2218" s="7"/>
    </row>
    <row r="2219" spans="2:81">
      <c r="B2219" s="6"/>
      <c r="C2219" s="1" t="s">
        <v>248</v>
      </c>
      <c r="E2219" s="66">
        <f>+AM2192/4</f>
        <v>1.5249999999999999</v>
      </c>
      <c r="F2219" s="66"/>
      <c r="G2219" s="66"/>
      <c r="H2219" s="1" t="s">
        <v>252</v>
      </c>
      <c r="I2219" s="9"/>
      <c r="J2219" s="9"/>
      <c r="M2219" s="9"/>
      <c r="N2219" s="21"/>
      <c r="P2219" s="9"/>
      <c r="Q2219" s="9"/>
      <c r="AM2219" s="9"/>
      <c r="AN2219" s="9"/>
      <c r="AO2219" s="9"/>
      <c r="AS2219" s="9"/>
      <c r="BA2219" s="9"/>
      <c r="BF2219" s="9"/>
      <c r="BG2219" s="9"/>
      <c r="BH2219" s="9"/>
      <c r="BI2219" s="9"/>
      <c r="BJ2219" s="9"/>
      <c r="BK2219" s="9"/>
      <c r="BQ2219" s="9"/>
      <c r="BT2219" s="9"/>
      <c r="BU2219" s="9"/>
      <c r="BV2219" s="9"/>
      <c r="BW2219" s="9"/>
      <c r="CC2219" s="7"/>
    </row>
    <row r="2220" spans="2:81">
      <c r="B2220" s="6"/>
      <c r="C2220" s="1" t="s">
        <v>249</v>
      </c>
      <c r="F2220" s="66">
        <f>+F2218</f>
        <v>89.194672131147541</v>
      </c>
      <c r="G2220" s="66"/>
      <c r="H2220" s="9" t="s">
        <v>5</v>
      </c>
      <c r="I2220" s="66">
        <f>+E2219</f>
        <v>1.5249999999999999</v>
      </c>
      <c r="J2220" s="66"/>
      <c r="K2220" s="9" t="s">
        <v>6</v>
      </c>
      <c r="L2220" s="66">
        <f>IF((O2220-R2220)&lt;=0,0,+AM2178)</f>
        <v>0</v>
      </c>
      <c r="M2220" s="66"/>
      <c r="N2220" s="9" t="s">
        <v>14</v>
      </c>
      <c r="O2220" s="66">
        <f>+I2220</f>
        <v>1.5249999999999999</v>
      </c>
      <c r="P2220" s="66"/>
      <c r="Q2220" s="9" t="s">
        <v>6</v>
      </c>
      <c r="R2220" s="66">
        <f>+AG2190</f>
        <v>2.35</v>
      </c>
      <c r="S2220" s="66"/>
      <c r="T2220" s="1" t="s">
        <v>16</v>
      </c>
      <c r="U2220" s="66">
        <f>+AH2179</f>
        <v>30</v>
      </c>
      <c r="V2220" s="66"/>
      <c r="W2220" s="9" t="s">
        <v>5</v>
      </c>
      <c r="X2220" s="66">
        <f>IF(E2219&lt;AG2190,E2219/2,AG2190)</f>
        <v>0.76249999999999996</v>
      </c>
      <c r="Y2220" s="66"/>
      <c r="Z2220" s="1" t="s">
        <v>14</v>
      </c>
      <c r="AA2220" s="66">
        <f>+E2219</f>
        <v>1.5249999999999999</v>
      </c>
      <c r="AB2220" s="66"/>
      <c r="AC2220" s="9" t="s">
        <v>6</v>
      </c>
      <c r="AD2220" s="66">
        <f>IF(E2219&lt;AG2190,0,AG2190/2)</f>
        <v>0</v>
      </c>
      <c r="AE2220" s="66"/>
      <c r="AF2220" s="1" t="s">
        <v>16</v>
      </c>
      <c r="AG2220" s="66">
        <f>IF((AJ2220-AM2220)&lt;0,0,AT2179)</f>
        <v>0</v>
      </c>
      <c r="AH2220" s="66"/>
      <c r="AI2220" s="1" t="s">
        <v>14</v>
      </c>
      <c r="AJ2220" s="66">
        <f>+E2219</f>
        <v>1.5249999999999999</v>
      </c>
      <c r="AK2220" s="66"/>
      <c r="AL2220" s="9" t="s">
        <v>6</v>
      </c>
      <c r="AM2220" s="66">
        <f>+AG2190</f>
        <v>2.35</v>
      </c>
      <c r="AN2220" s="66"/>
      <c r="AO2220" s="1" t="s">
        <v>200</v>
      </c>
      <c r="AP2220" s="1" t="s">
        <v>173</v>
      </c>
      <c r="AQ2220" s="1">
        <v>2</v>
      </c>
      <c r="AR2220" s="9" t="s">
        <v>7</v>
      </c>
      <c r="AS2220" s="66">
        <f>+F2220*I2220-L2220*(O2220-R2220)-U2220*X2220*(AA2220-AD2220)-AG2220*(AJ2220-AM2220)^2/AQ2220</f>
        <v>101.13749999999999</v>
      </c>
      <c r="AT2220" s="66"/>
      <c r="AU2220" s="66"/>
      <c r="AV2220" s="1" t="s">
        <v>191</v>
      </c>
      <c r="BT2220" s="9"/>
      <c r="BU2220" s="9"/>
      <c r="BV2220" s="9"/>
      <c r="BW2220" s="9"/>
      <c r="CC2220" s="7"/>
    </row>
    <row r="2221" spans="2:81">
      <c r="B2221" s="6"/>
      <c r="C2221" s="1" t="s">
        <v>250</v>
      </c>
      <c r="F2221" s="66">
        <f>3*AM2192/4</f>
        <v>4.5749999999999993</v>
      </c>
      <c r="G2221" s="66"/>
      <c r="H2221" s="66"/>
      <c r="I2221" s="1" t="s">
        <v>252</v>
      </c>
      <c r="J2221" s="9"/>
      <c r="M2221" s="9"/>
      <c r="N2221" s="21"/>
      <c r="P2221" s="9"/>
      <c r="Q2221" s="9"/>
      <c r="AM2221" s="9"/>
      <c r="AN2221" s="9"/>
      <c r="AO2221" s="9"/>
      <c r="AS2221" s="9"/>
      <c r="BA2221" s="9"/>
      <c r="BF2221" s="9"/>
      <c r="BG2221" s="9"/>
      <c r="BH2221" s="9"/>
      <c r="BI2221" s="9"/>
      <c r="BJ2221" s="9"/>
      <c r="BK2221" s="9"/>
      <c r="BQ2221" s="9"/>
      <c r="BT2221" s="9"/>
      <c r="BU2221" s="9"/>
      <c r="BV2221" s="9"/>
      <c r="BW2221" s="9"/>
      <c r="CC2221" s="7"/>
    </row>
    <row r="2222" spans="2:81">
      <c r="B2222" s="6"/>
      <c r="C2222" s="1" t="s">
        <v>251</v>
      </c>
      <c r="F2222" s="66">
        <f>+F2220</f>
        <v>89.194672131147541</v>
      </c>
      <c r="G2222" s="66"/>
      <c r="H2222" s="9" t="s">
        <v>5</v>
      </c>
      <c r="I2222" s="66">
        <f>+F2221</f>
        <v>4.5749999999999993</v>
      </c>
      <c r="J2222" s="66"/>
      <c r="K2222" s="9" t="s">
        <v>6</v>
      </c>
      <c r="L2222" s="66">
        <f>IF((O2222-R2222)&lt;=0,0,+AM2178)</f>
        <v>15</v>
      </c>
      <c r="M2222" s="66"/>
      <c r="N2222" s="9" t="s">
        <v>14</v>
      </c>
      <c r="O2222" s="66">
        <f>+I2222</f>
        <v>4.5749999999999993</v>
      </c>
      <c r="P2222" s="66"/>
      <c r="Q2222" s="9" t="s">
        <v>6</v>
      </c>
      <c r="R2222" s="66">
        <f>+AG2190</f>
        <v>2.35</v>
      </c>
      <c r="S2222" s="66"/>
      <c r="T2222" s="1" t="s">
        <v>16</v>
      </c>
      <c r="U2222" s="66">
        <f>+AH2179</f>
        <v>30</v>
      </c>
      <c r="V2222" s="66"/>
      <c r="W2222" s="9" t="s">
        <v>5</v>
      </c>
      <c r="X2222" s="66">
        <f>IF(F2221&lt;AG2190,F2221/2,AG2190)</f>
        <v>2.35</v>
      </c>
      <c r="Y2222" s="66"/>
      <c r="Z2222" s="1" t="s">
        <v>14</v>
      </c>
      <c r="AA2222" s="66">
        <f>+F2221</f>
        <v>4.5749999999999993</v>
      </c>
      <c r="AB2222" s="66"/>
      <c r="AC2222" s="9" t="s">
        <v>6</v>
      </c>
      <c r="AD2222" s="66">
        <f>IF(F2221&lt;AG2190,0,AG2190/2)</f>
        <v>1.175</v>
      </c>
      <c r="AE2222" s="66"/>
      <c r="AF2222" s="1" t="s">
        <v>16</v>
      </c>
      <c r="AG2222" s="66">
        <f>IF((AJ2222-AM2222)&lt;0,0,AT2179)</f>
        <v>20</v>
      </c>
      <c r="AH2222" s="66"/>
      <c r="AI2222" s="1" t="s">
        <v>14</v>
      </c>
      <c r="AJ2222" s="66">
        <f>+F2221</f>
        <v>4.5749999999999993</v>
      </c>
      <c r="AK2222" s="66"/>
      <c r="AL2222" s="9" t="s">
        <v>6</v>
      </c>
      <c r="AM2222" s="66">
        <f>+AG2190</f>
        <v>2.35</v>
      </c>
      <c r="AN2222" s="66"/>
      <c r="AO2222" s="1" t="s">
        <v>200</v>
      </c>
      <c r="AP2222" s="1" t="s">
        <v>173</v>
      </c>
      <c r="AQ2222" s="1">
        <v>2</v>
      </c>
      <c r="AR2222" s="9" t="s">
        <v>7</v>
      </c>
      <c r="AS2222" s="66">
        <f>+F2222*I2222-L2222*(O2222-R2222)-U2222*X2222*(AA2222-AD2222)-AG2222*(AJ2222-AM2222)^2/AQ2222</f>
        <v>85.484375000000028</v>
      </c>
      <c r="AT2222" s="66"/>
      <c r="AU2222" s="66"/>
      <c r="AV2222" s="1" t="s">
        <v>191</v>
      </c>
      <c r="BU2222" s="9"/>
      <c r="BV2222" s="9"/>
      <c r="BW2222" s="9"/>
      <c r="CC2222" s="7"/>
    </row>
    <row r="2223" spans="2:81">
      <c r="B2223" s="6"/>
      <c r="C2223" s="1" t="s">
        <v>300</v>
      </c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U2223" s="9"/>
      <c r="V2223" s="9"/>
      <c r="W2223" s="9"/>
      <c r="X2223" s="9"/>
      <c r="Y2223" s="9"/>
      <c r="Z2223" s="9"/>
      <c r="AA2223" s="9"/>
      <c r="AB2223" s="9"/>
      <c r="AD2223" s="9"/>
      <c r="AE2223" s="9"/>
      <c r="AF2223" s="9"/>
      <c r="AG2223" s="9"/>
      <c r="AH2223" s="9"/>
      <c r="AI2223" s="9"/>
      <c r="AJ2223" s="9"/>
      <c r="AK2223" s="9"/>
      <c r="AM2223" s="9"/>
      <c r="AN2223" s="9"/>
      <c r="AO2223" s="9"/>
      <c r="AP2223" s="9"/>
      <c r="AQ2223" s="9"/>
      <c r="AR2223" s="9"/>
      <c r="AS2223" s="9"/>
      <c r="AW2223" s="9"/>
      <c r="AX2223" s="9"/>
      <c r="AY2223" s="9"/>
      <c r="AZ2223" s="9"/>
      <c r="BA2223" s="9"/>
      <c r="BB2223" s="9"/>
      <c r="BC2223" s="9"/>
      <c r="CC2223" s="7"/>
    </row>
    <row r="2224" spans="2:81">
      <c r="B2224" s="6"/>
      <c r="C2224" s="1" t="s">
        <v>301</v>
      </c>
      <c r="E2224" s="66">
        <v>12.5</v>
      </c>
      <c r="F2224" s="66"/>
      <c r="G2224" s="9" t="s">
        <v>5</v>
      </c>
      <c r="H2224" s="66">
        <f>+AS2216</f>
        <v>125.18910491131416</v>
      </c>
      <c r="I2224" s="66"/>
      <c r="J2224" s="66"/>
      <c r="K2224" s="9" t="s">
        <v>275</v>
      </c>
      <c r="L2224" s="66">
        <v>2.5</v>
      </c>
      <c r="M2224" s="66"/>
      <c r="N2224" s="9" t="s">
        <v>5</v>
      </c>
      <c r="O2224" s="66">
        <f>+H2224</f>
        <v>125.18910491131416</v>
      </c>
      <c r="P2224" s="66"/>
      <c r="Q2224" s="66"/>
      <c r="R2224" s="9" t="s">
        <v>9</v>
      </c>
      <c r="S2224" s="9">
        <v>3</v>
      </c>
      <c r="T2224" s="9" t="s">
        <v>5</v>
      </c>
      <c r="U2224" s="66">
        <f>+AS2220</f>
        <v>101.13749999999999</v>
      </c>
      <c r="V2224" s="66"/>
      <c r="W2224" s="66"/>
      <c r="X2224" s="9" t="s">
        <v>9</v>
      </c>
      <c r="Y2224" s="9">
        <v>4</v>
      </c>
      <c r="Z2224" s="9" t="s">
        <v>5</v>
      </c>
      <c r="AA2224" s="66">
        <f>+AS2218</f>
        <v>124.45625000000003</v>
      </c>
      <c r="AB2224" s="66"/>
      <c r="AC2224" s="66"/>
      <c r="AD2224" s="9" t="s">
        <v>9</v>
      </c>
      <c r="AE2224" s="9">
        <v>3</v>
      </c>
      <c r="AF2224" s="9" t="s">
        <v>5</v>
      </c>
      <c r="AG2224" s="66">
        <f>+AS2222</f>
        <v>85.484375000000028</v>
      </c>
      <c r="AH2224" s="66"/>
      <c r="AI2224" s="66"/>
      <c r="AJ2224" s="9" t="s">
        <v>201</v>
      </c>
      <c r="AK2224" s="66">
        <f>E2224*H2224/(L2224*O2224+S2224*U2224+Y2224*AA2224+AE2224*AG2224)</f>
        <v>1.1416835277834068</v>
      </c>
      <c r="AL2224" s="66"/>
      <c r="AM2224" s="66"/>
      <c r="AN2224" s="9"/>
      <c r="AO2224" s="9"/>
      <c r="AP2224" s="9"/>
      <c r="AQ2224" s="9"/>
      <c r="AR2224" s="9"/>
      <c r="AS2224" s="9"/>
      <c r="AT2224" s="9"/>
      <c r="AV2224" s="9"/>
      <c r="AW2224" s="9"/>
      <c r="AX2224" s="9"/>
      <c r="AY2224" s="9"/>
      <c r="AZ2224" s="9"/>
      <c r="BA2224" s="9"/>
      <c r="BB2224" s="9"/>
      <c r="BC2224" s="9"/>
      <c r="CC2224" s="7"/>
    </row>
    <row r="2225" spans="2:82">
      <c r="B2225" s="6"/>
      <c r="C2225" s="53" t="s">
        <v>223</v>
      </c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42"/>
      <c r="AC2225" s="2"/>
      <c r="AD2225" s="2"/>
      <c r="AE2225" s="2"/>
      <c r="AF2225" s="2"/>
      <c r="AG2225" s="40" t="s">
        <v>27</v>
      </c>
      <c r="AH2225" s="76">
        <f>+AY2216</f>
        <v>2.9731557377049183</v>
      </c>
      <c r="AI2225" s="76"/>
      <c r="AJ2225" s="76"/>
      <c r="AK2225" s="40" t="s">
        <v>257</v>
      </c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2"/>
      <c r="CC2225" s="54"/>
      <c r="CD2225" s="2"/>
    </row>
    <row r="2226" spans="2:82">
      <c r="B2226" s="6"/>
      <c r="C2226" s="24" t="s">
        <v>303</v>
      </c>
      <c r="D2226" s="2"/>
      <c r="E2226" s="2"/>
      <c r="F2226" s="2"/>
      <c r="G2226" s="42"/>
      <c r="H2226" s="42"/>
      <c r="Y2226" s="2"/>
      <c r="Z2226" s="2"/>
      <c r="AA2226" s="2"/>
      <c r="AB2226" s="2"/>
      <c r="AC2226" s="2"/>
      <c r="AD2226" s="2"/>
      <c r="AE2226" s="2"/>
      <c r="AF2226" s="2"/>
      <c r="AG2226" s="40" t="s">
        <v>260</v>
      </c>
      <c r="AH2226" s="40"/>
      <c r="AI2226" s="40"/>
      <c r="AJ2226" s="76">
        <f>+F2216</f>
        <v>89.194672131147541</v>
      </c>
      <c r="AK2226" s="76"/>
      <c r="AL2226" s="43" t="s">
        <v>5</v>
      </c>
      <c r="AM2226" s="76">
        <f>+AH2225</f>
        <v>2.9731557377049183</v>
      </c>
      <c r="AN2226" s="76"/>
      <c r="AO2226" s="43" t="s">
        <v>6</v>
      </c>
      <c r="AP2226" s="76">
        <f>IF((AS2226-AV2226)&lt;=0,0,+AM2178)</f>
        <v>15</v>
      </c>
      <c r="AQ2226" s="76"/>
      <c r="AR2226" s="43" t="s">
        <v>14</v>
      </c>
      <c r="AS2226" s="76">
        <f>+AM2226</f>
        <v>2.9731557377049183</v>
      </c>
      <c r="AT2226" s="76"/>
      <c r="AU2226" s="43" t="s">
        <v>6</v>
      </c>
      <c r="AV2226" s="76">
        <f>+AG2190</f>
        <v>2.35</v>
      </c>
      <c r="AW2226" s="76"/>
      <c r="AX2226" s="40" t="s">
        <v>16</v>
      </c>
      <c r="AY2226" s="76">
        <f>+AH2179</f>
        <v>30</v>
      </c>
      <c r="AZ2226" s="76"/>
      <c r="BA2226" s="43" t="s">
        <v>5</v>
      </c>
      <c r="BB2226" s="76">
        <f>IF(AH2225&lt;AG2190,AH2225/2,AG2190)</f>
        <v>2.35</v>
      </c>
      <c r="BC2226" s="76"/>
      <c r="BD2226" s="40" t="s">
        <v>14</v>
      </c>
      <c r="BE2226" s="76">
        <f>IF(AH2225&lt;AG2190,AH2225,AG2190)</f>
        <v>2.35</v>
      </c>
      <c r="BF2226" s="76"/>
      <c r="BG2226" s="43" t="s">
        <v>6</v>
      </c>
      <c r="BH2226" s="76">
        <f>IF(AH2225&lt;AG2190,0,AG2190/2)</f>
        <v>1.175</v>
      </c>
      <c r="BI2226" s="76"/>
      <c r="BJ2226" s="40" t="s">
        <v>16</v>
      </c>
      <c r="BK2226" s="76">
        <f>IF((BN2226-BQ2226)&lt;0,0,AT2179)</f>
        <v>20</v>
      </c>
      <c r="BL2226" s="76"/>
      <c r="BM2226" s="40" t="s">
        <v>14</v>
      </c>
      <c r="BN2226" s="76">
        <f>+AH2225</f>
        <v>2.9731557377049183</v>
      </c>
      <c r="BO2226" s="76"/>
      <c r="BP2226" s="43" t="s">
        <v>6</v>
      </c>
      <c r="BQ2226" s="76">
        <f>+AG2190</f>
        <v>2.35</v>
      </c>
      <c r="BR2226" s="76"/>
      <c r="BS2226" s="40" t="s">
        <v>200</v>
      </c>
      <c r="BT2226" s="40" t="s">
        <v>173</v>
      </c>
      <c r="BU2226" s="40">
        <v>2</v>
      </c>
      <c r="BV2226" s="43" t="s">
        <v>7</v>
      </c>
      <c r="BW2226" s="76">
        <f>+AJ2226*AM2226-AP2226*(AS2226-AV2226)-AY2226*BB2226*(BE2226-BH2226)-BK2226*(BN2226-BQ2226)^2/BU2226</f>
        <v>169.1215844195109</v>
      </c>
      <c r="BX2226" s="76"/>
      <c r="BY2226" s="76"/>
      <c r="BZ2226" s="40" t="s">
        <v>191</v>
      </c>
      <c r="CA2226" s="40"/>
      <c r="CB2226" s="2"/>
      <c r="CC2226" s="54"/>
      <c r="CD2226" s="2"/>
    </row>
    <row r="2227" spans="2:82">
      <c r="B2227" s="6"/>
      <c r="C2227" s="1" t="s">
        <v>429</v>
      </c>
      <c r="E2227" s="66">
        <f>+AB2189</f>
        <v>89.194672131147541</v>
      </c>
      <c r="F2227" s="66"/>
      <c r="G2227" s="9" t="s">
        <v>5</v>
      </c>
      <c r="H2227" s="9" t="s">
        <v>13</v>
      </c>
      <c r="I2227" s="1" t="s">
        <v>173</v>
      </c>
      <c r="J2227" s="66">
        <f>+F2193</f>
        <v>92080</v>
      </c>
      <c r="K2227" s="66"/>
      <c r="L2227" s="66"/>
      <c r="M2227" s="9" t="s">
        <v>6</v>
      </c>
      <c r="N2227" s="66">
        <f>+AH2179</f>
        <v>30</v>
      </c>
      <c r="O2227" s="66"/>
      <c r="P2227" s="9" t="s">
        <v>5</v>
      </c>
      <c r="Q2227" s="9" t="s">
        <v>183</v>
      </c>
      <c r="R2227" s="1" t="s">
        <v>173</v>
      </c>
      <c r="S2227" s="1">
        <v>2</v>
      </c>
      <c r="T2227" s="1" t="s">
        <v>173</v>
      </c>
      <c r="U2227" s="66">
        <f>+J2227</f>
        <v>92080</v>
      </c>
      <c r="V2227" s="66"/>
      <c r="W2227" s="66"/>
      <c r="X2227" s="2"/>
      <c r="Y2227" s="2"/>
      <c r="Z2227" s="2"/>
      <c r="AA2227" s="2"/>
      <c r="AB2227" s="2"/>
      <c r="AC2227" s="2"/>
      <c r="AD2227" s="2"/>
      <c r="AE2227" s="2"/>
      <c r="AF2227" s="2"/>
      <c r="AG2227" s="40" t="s">
        <v>27</v>
      </c>
      <c r="AH2227" s="76">
        <f>+AY2217</f>
        <v>2.5347336065573769</v>
      </c>
      <c r="AI2227" s="76"/>
      <c r="AJ2227" s="76"/>
      <c r="AK2227" s="40" t="s">
        <v>257</v>
      </c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3"/>
      <c r="BW2227" s="40"/>
      <c r="BX2227" s="40"/>
      <c r="BY2227" s="40"/>
      <c r="BZ2227" s="40"/>
      <c r="CA2227" s="40"/>
      <c r="CB2227" s="2"/>
      <c r="CC2227" s="54"/>
      <c r="CD2227" s="2"/>
    </row>
    <row r="2228" spans="2:82">
      <c r="B2228" s="6"/>
      <c r="C2228" s="1" t="s">
        <v>429</v>
      </c>
      <c r="E2228" s="66">
        <f>+E2227/J2227</f>
        <v>9.6866498839213229E-4</v>
      </c>
      <c r="F2228" s="66"/>
      <c r="G2228" s="66"/>
      <c r="H2228" s="9" t="s">
        <v>5</v>
      </c>
      <c r="I2228" s="9" t="s">
        <v>13</v>
      </c>
      <c r="J2228" s="9" t="s">
        <v>6</v>
      </c>
      <c r="K2228" s="66">
        <f>+N2227/S2227/U2227</f>
        <v>1.6290182450043442E-4</v>
      </c>
      <c r="L2228" s="66"/>
      <c r="M2228" s="66"/>
      <c r="N2228" s="9" t="s">
        <v>5</v>
      </c>
      <c r="O2228" s="9" t="s">
        <v>183</v>
      </c>
      <c r="P2228" s="9"/>
      <c r="Q2228" s="9"/>
      <c r="U2228" s="9"/>
      <c r="V2228" s="9"/>
      <c r="W2228" s="9"/>
      <c r="X2228" s="2"/>
      <c r="Y2228" s="2"/>
      <c r="Z2228" s="2"/>
      <c r="AA2228" s="2"/>
      <c r="AB2228" s="2"/>
      <c r="AC2228" s="2"/>
      <c r="AD2228" s="2"/>
      <c r="AE2228" s="2"/>
      <c r="AF2228" s="2"/>
      <c r="AG2228" s="40" t="s">
        <v>260</v>
      </c>
      <c r="AH2228" s="40"/>
      <c r="AI2228" s="40"/>
      <c r="AJ2228" s="76">
        <f>+F2218</f>
        <v>89.194672131147541</v>
      </c>
      <c r="AK2228" s="76"/>
      <c r="AL2228" s="43" t="s">
        <v>5</v>
      </c>
      <c r="AM2228" s="76">
        <f>+AH2227</f>
        <v>2.5347336065573769</v>
      </c>
      <c r="AN2228" s="76"/>
      <c r="AO2228" s="43" t="s">
        <v>6</v>
      </c>
      <c r="AP2228" s="76">
        <f>IF((AS2228-AV2228)&lt;=0,0,+AM2178)</f>
        <v>15</v>
      </c>
      <c r="AQ2228" s="76"/>
      <c r="AR2228" s="43" t="s">
        <v>14</v>
      </c>
      <c r="AS2228" s="76">
        <f>+AM2228</f>
        <v>2.5347336065573769</v>
      </c>
      <c r="AT2228" s="76"/>
      <c r="AU2228" s="43" t="s">
        <v>6</v>
      </c>
      <c r="AV2228" s="76">
        <f>+AG2190</f>
        <v>2.35</v>
      </c>
      <c r="AW2228" s="76"/>
      <c r="AX2228" s="40" t="s">
        <v>16</v>
      </c>
      <c r="AY2228" s="76">
        <f>+AH2179</f>
        <v>30</v>
      </c>
      <c r="AZ2228" s="76"/>
      <c r="BA2228" s="43" t="s">
        <v>5</v>
      </c>
      <c r="BB2228" s="76">
        <f>IF(AH2227&lt;AG2190,AH2227/2,AG2190)</f>
        <v>2.35</v>
      </c>
      <c r="BC2228" s="76"/>
      <c r="BD2228" s="40" t="s">
        <v>14</v>
      </c>
      <c r="BE2228" s="76">
        <f>IF(AH2227&lt;AG2190,AH2227,AG2190)</f>
        <v>2.35</v>
      </c>
      <c r="BF2228" s="76"/>
      <c r="BG2228" s="43" t="s">
        <v>6</v>
      </c>
      <c r="BH2228" s="76">
        <f>IF(AH2227&lt;AG2190,0,AG2190/2)</f>
        <v>1.175</v>
      </c>
      <c r="BI2228" s="76"/>
      <c r="BJ2228" s="40" t="s">
        <v>16</v>
      </c>
      <c r="BK2228" s="76">
        <f>IF((BN2228-BQ2228)&lt;0,0,AT2179)</f>
        <v>20</v>
      </c>
      <c r="BL2228" s="76"/>
      <c r="BM2228" s="40" t="s">
        <v>14</v>
      </c>
      <c r="BN2228" s="76">
        <f>+AH2227</f>
        <v>2.5347336065573769</v>
      </c>
      <c r="BO2228" s="76"/>
      <c r="BP2228" s="43" t="s">
        <v>6</v>
      </c>
      <c r="BQ2228" s="76">
        <f>+AG2190</f>
        <v>2.35</v>
      </c>
      <c r="BR2228" s="76"/>
      <c r="BS2228" s="40" t="s">
        <v>200</v>
      </c>
      <c r="BT2228" s="40" t="s">
        <v>173</v>
      </c>
      <c r="BU2228" s="40">
        <v>2</v>
      </c>
      <c r="BV2228" s="43" t="s">
        <v>7</v>
      </c>
      <c r="BW2228" s="76">
        <f>+AJ2228*AM2228-AP2228*(AS2228-AV2228)-AY2228*BB2228*(BE2228-BH2228)-BK2228*(BN2228-BQ2228)^2/BU2228</f>
        <v>140.13496382440871</v>
      </c>
      <c r="BX2228" s="76"/>
      <c r="BY2228" s="76"/>
      <c r="BZ2228" s="40" t="s">
        <v>191</v>
      </c>
      <c r="CA2228" s="40"/>
      <c r="CB2228" s="2"/>
      <c r="CC2228" s="54"/>
      <c r="CD2228" s="2"/>
    </row>
    <row r="2229" spans="2:82">
      <c r="B2229" s="6"/>
      <c r="C2229" s="1" t="s">
        <v>432</v>
      </c>
      <c r="E2229" s="66">
        <f>+E2228</f>
        <v>9.6866498839213229E-4</v>
      </c>
      <c r="F2229" s="66"/>
      <c r="G2229" s="66"/>
      <c r="H2229" s="9" t="s">
        <v>5</v>
      </c>
      <c r="I2229" s="9" t="s">
        <v>183</v>
      </c>
      <c r="J2229" s="1" t="s">
        <v>173</v>
      </c>
      <c r="K2229" s="1">
        <v>2</v>
      </c>
      <c r="L2229" s="9" t="s">
        <v>6</v>
      </c>
      <c r="M2229" s="66">
        <f>+K2228</f>
        <v>1.6290182450043442E-4</v>
      </c>
      <c r="N2229" s="66"/>
      <c r="O2229" s="66"/>
      <c r="P2229" s="9" t="s">
        <v>5</v>
      </c>
      <c r="Q2229" s="9" t="s">
        <v>184</v>
      </c>
      <c r="R2229" s="1" t="s">
        <v>173</v>
      </c>
      <c r="S2229" s="1">
        <v>6</v>
      </c>
      <c r="T2229" s="9" t="s">
        <v>9</v>
      </c>
      <c r="U2229" s="1" t="s">
        <v>24</v>
      </c>
      <c r="W2229" s="42"/>
      <c r="X2229" s="2"/>
      <c r="Y2229" s="2"/>
      <c r="Z2229" s="2"/>
      <c r="AA2229" s="2"/>
      <c r="AB2229" s="2"/>
      <c r="AC2229" s="42"/>
      <c r="AD2229" s="2"/>
      <c r="AE2229" s="2"/>
      <c r="AF2229" s="2"/>
      <c r="CA2229" s="2"/>
      <c r="CB2229" s="2"/>
      <c r="CC2229" s="54"/>
      <c r="CD2229" s="2"/>
    </row>
    <row r="2230" spans="2:82">
      <c r="B2230" s="6"/>
      <c r="C2230" s="1" t="s">
        <v>431</v>
      </c>
      <c r="E2230" s="66">
        <f>+E2229</f>
        <v>9.6866498839213229E-4</v>
      </c>
      <c r="F2230" s="66"/>
      <c r="G2230" s="66"/>
      <c r="H2230" s="9" t="s">
        <v>5</v>
      </c>
      <c r="I2230" s="9" t="s">
        <v>184</v>
      </c>
      <c r="J2230" s="1" t="s">
        <v>173</v>
      </c>
      <c r="K2230" s="1">
        <v>6</v>
      </c>
      <c r="L2230" s="9" t="s">
        <v>6</v>
      </c>
      <c r="M2230" s="66">
        <f>+M2229</f>
        <v>1.6290182450043442E-4</v>
      </c>
      <c r="N2230" s="66"/>
      <c r="O2230" s="66"/>
      <c r="P2230" s="9" t="s">
        <v>5</v>
      </c>
      <c r="Q2230" s="9" t="s">
        <v>185</v>
      </c>
      <c r="R2230" s="1" t="s">
        <v>173</v>
      </c>
      <c r="S2230" s="66">
        <v>24</v>
      </c>
      <c r="T2230" s="66"/>
      <c r="U2230" s="9" t="s">
        <v>9</v>
      </c>
      <c r="V2230" s="1" t="s">
        <v>24</v>
      </c>
      <c r="W2230" s="9" t="s">
        <v>5</v>
      </c>
      <c r="X2230" s="9" t="s">
        <v>13</v>
      </c>
      <c r="Y2230" s="9" t="s">
        <v>9</v>
      </c>
      <c r="Z2230" s="1" t="s">
        <v>307</v>
      </c>
      <c r="AE2230" s="9"/>
      <c r="AF2230" s="9"/>
      <c r="AG2230" s="9"/>
      <c r="AN2230" s="9"/>
      <c r="AR2230" s="9"/>
      <c r="AS2230" s="9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  <c r="BY2230" s="2"/>
      <c r="BZ2230" s="2"/>
      <c r="CA2230" s="2"/>
      <c r="CB2230" s="2"/>
      <c r="CC2230" s="7"/>
    </row>
    <row r="2231" spans="2:82">
      <c r="B2231" s="6"/>
      <c r="C2231" s="24" t="s">
        <v>308</v>
      </c>
      <c r="H2231" s="9"/>
      <c r="AI2231" s="9"/>
      <c r="AJ2231" s="9"/>
      <c r="AO2231" s="9"/>
      <c r="AP2231" s="9"/>
      <c r="AQ2231" s="2"/>
      <c r="AR2231" s="2"/>
      <c r="AS2231" s="2"/>
      <c r="AT2231" s="42"/>
      <c r="AU2231" s="42"/>
      <c r="AV2231" s="9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  <c r="BW2231" s="2"/>
      <c r="BX2231" s="2"/>
      <c r="BY2231" s="2"/>
      <c r="BZ2231" s="2"/>
      <c r="CA2231" s="2"/>
      <c r="CB2231" s="2"/>
      <c r="CC2231" s="7"/>
    </row>
    <row r="2232" spans="2:82">
      <c r="B2232" s="6"/>
      <c r="C2232" s="1" t="s">
        <v>433</v>
      </c>
      <c r="E2232" s="66">
        <f>+AB2189</f>
        <v>89.194672131147541</v>
      </c>
      <c r="F2232" s="66"/>
      <c r="G2232" s="1" t="s">
        <v>14</v>
      </c>
      <c r="H2232" s="66">
        <f>+AG2190</f>
        <v>2.35</v>
      </c>
      <c r="I2232" s="66"/>
      <c r="J2232" s="9" t="s">
        <v>9</v>
      </c>
      <c r="K2232" s="9" t="s">
        <v>428</v>
      </c>
      <c r="L2232" s="9" t="s">
        <v>287</v>
      </c>
      <c r="M2232" s="66">
        <f>+BL2193</f>
        <v>8360</v>
      </c>
      <c r="N2232" s="66"/>
      <c r="O2232" s="66"/>
      <c r="P2232" s="9" t="s">
        <v>6</v>
      </c>
      <c r="Q2232" s="66">
        <f>+AH2179</f>
        <v>30</v>
      </c>
      <c r="R2232" s="66"/>
      <c r="S2232" s="9" t="s">
        <v>5</v>
      </c>
      <c r="T2232" s="66">
        <f>+AG2190</f>
        <v>2.35</v>
      </c>
      <c r="U2232" s="66"/>
      <c r="V2232" s="9" t="s">
        <v>14</v>
      </c>
      <c r="W2232" s="66">
        <f>+AG2190/2</f>
        <v>1.175</v>
      </c>
      <c r="X2232" s="66"/>
      <c r="Y2232" s="9" t="s">
        <v>9</v>
      </c>
      <c r="Z2232" s="9" t="s">
        <v>428</v>
      </c>
      <c r="AA2232" s="9" t="s">
        <v>287</v>
      </c>
      <c r="AB2232" s="66">
        <f>+M2232</f>
        <v>8360</v>
      </c>
      <c r="AC2232" s="66"/>
      <c r="AD2232" s="66"/>
      <c r="AE2232" s="9" t="s">
        <v>6</v>
      </c>
      <c r="AF2232" s="66">
        <f>+AM2178</f>
        <v>15</v>
      </c>
      <c r="AG2232" s="66"/>
      <c r="AH2232" s="9" t="s">
        <v>5</v>
      </c>
      <c r="AI2232" s="9" t="s">
        <v>428</v>
      </c>
      <c r="AJ2232" s="1" t="s">
        <v>173</v>
      </c>
      <c r="AK2232" s="66">
        <f>+AB2232</f>
        <v>8360</v>
      </c>
      <c r="AL2232" s="66"/>
      <c r="AM2232" s="66"/>
      <c r="AN2232" s="9" t="s">
        <v>6</v>
      </c>
      <c r="AO2232" s="66">
        <f>+AT2179</f>
        <v>20</v>
      </c>
      <c r="AP2232" s="66"/>
      <c r="AQ2232" s="9" t="s">
        <v>5</v>
      </c>
      <c r="AR2232" s="1" t="s">
        <v>443</v>
      </c>
      <c r="AS2232" s="1" t="s">
        <v>173</v>
      </c>
      <c r="AT2232" s="9">
        <v>2</v>
      </c>
      <c r="AU2232" s="1" t="s">
        <v>173</v>
      </c>
      <c r="AV2232" s="66">
        <f>+AK2232</f>
        <v>8360</v>
      </c>
      <c r="AW2232" s="66"/>
      <c r="AX2232" s="66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  <c r="BW2232" s="2"/>
      <c r="BX2232" s="2"/>
      <c r="BY2232" s="2"/>
      <c r="BZ2232" s="2"/>
      <c r="CA2232" s="2"/>
      <c r="CB2232" s="2"/>
      <c r="CC2232" s="7"/>
    </row>
    <row r="2233" spans="2:82">
      <c r="B2233" s="6"/>
      <c r="C2233" s="1" t="s">
        <v>433</v>
      </c>
      <c r="E2233" s="66">
        <f>+E2232/M2232</f>
        <v>1.0669219154443486E-2</v>
      </c>
      <c r="F2233" s="66"/>
      <c r="G2233" s="66"/>
      <c r="H2233" s="1" t="s">
        <v>14</v>
      </c>
      <c r="I2233" s="66">
        <f>+H2232</f>
        <v>2.35</v>
      </c>
      <c r="J2233" s="66"/>
      <c r="K2233" s="9" t="s">
        <v>9</v>
      </c>
      <c r="L2233" s="9" t="s">
        <v>428</v>
      </c>
      <c r="M2233" s="9" t="s">
        <v>16</v>
      </c>
      <c r="N2233" s="66">
        <f>+Q2232*T2232/AB2232</f>
        <v>8.4330143540669849E-3</v>
      </c>
      <c r="O2233" s="66"/>
      <c r="P2233" s="66"/>
      <c r="Q2233" s="9" t="s">
        <v>14</v>
      </c>
      <c r="R2233" s="66">
        <f>+W2232</f>
        <v>1.175</v>
      </c>
      <c r="S2233" s="66"/>
      <c r="T2233" s="9" t="s">
        <v>9</v>
      </c>
      <c r="U2233" s="9" t="s">
        <v>428</v>
      </c>
      <c r="V2233" s="9" t="s">
        <v>16</v>
      </c>
      <c r="W2233" s="66">
        <f>+AF2232/AK2232</f>
        <v>1.7942583732057417E-3</v>
      </c>
      <c r="X2233" s="66"/>
      <c r="Y2233" s="66"/>
      <c r="Z2233" s="9" t="s">
        <v>5</v>
      </c>
      <c r="AA2233" s="9" t="s">
        <v>428</v>
      </c>
      <c r="AB2233" s="9" t="s">
        <v>6</v>
      </c>
      <c r="AC2233" s="66">
        <f>+AO2232/AT2232/AV2232</f>
        <v>1.1961722488038277E-3</v>
      </c>
      <c r="AD2233" s="66"/>
      <c r="AE2233" s="66"/>
      <c r="AF2233" s="9" t="s">
        <v>5</v>
      </c>
      <c r="AG2233" s="1" t="s">
        <v>443</v>
      </c>
      <c r="AH2233" s="9"/>
      <c r="AI2233" s="9"/>
      <c r="AK2233" s="9"/>
      <c r="AL2233" s="9"/>
      <c r="AM2233" s="9"/>
      <c r="AN2233" s="9"/>
      <c r="AO2233" s="9"/>
      <c r="AP2233" s="9"/>
      <c r="AQ2233" s="9"/>
      <c r="AT2233" s="9"/>
      <c r="AV2233" s="9"/>
      <c r="AW2233" s="9"/>
      <c r="AX2233" s="9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  <c r="BW2233" s="2"/>
      <c r="BX2233" s="2"/>
      <c r="BY2233" s="2"/>
      <c r="BZ2233" s="2"/>
      <c r="CA2233" s="2"/>
      <c r="CB2233" s="2"/>
      <c r="CC2233" s="7"/>
    </row>
    <row r="2234" spans="2:82">
      <c r="B2234" s="6"/>
      <c r="C2234" s="1" t="s">
        <v>430</v>
      </c>
      <c r="E2234" s="66">
        <f>+E2233</f>
        <v>1.0669219154443486E-2</v>
      </c>
      <c r="F2234" s="66"/>
      <c r="G2234" s="66"/>
      <c r="H2234" s="1" t="s">
        <v>14</v>
      </c>
      <c r="I2234" s="66">
        <f>+H2232</f>
        <v>2.35</v>
      </c>
      <c r="J2234" s="66"/>
      <c r="K2234" s="9" t="s">
        <v>9</v>
      </c>
      <c r="L2234" s="9" t="s">
        <v>428</v>
      </c>
      <c r="M2234" s="9" t="s">
        <v>200</v>
      </c>
      <c r="N2234" s="1" t="s">
        <v>173</v>
      </c>
      <c r="O2234" s="1">
        <v>2</v>
      </c>
      <c r="P2234" s="9" t="s">
        <v>6</v>
      </c>
      <c r="Q2234" s="66">
        <f>+N2233</f>
        <v>8.4330143540669849E-3</v>
      </c>
      <c r="R2234" s="66"/>
      <c r="S2234" s="66"/>
      <c r="T2234" s="9" t="s">
        <v>14</v>
      </c>
      <c r="U2234" s="66">
        <f>+W2232</f>
        <v>1.175</v>
      </c>
      <c r="V2234" s="66"/>
      <c r="W2234" s="9" t="s">
        <v>9</v>
      </c>
      <c r="X2234" s="9" t="s">
        <v>428</v>
      </c>
      <c r="Y2234" s="9" t="s">
        <v>200</v>
      </c>
      <c r="Z2234" s="1" t="s">
        <v>173</v>
      </c>
      <c r="AA2234" s="1">
        <v>2</v>
      </c>
      <c r="AB2234" s="9" t="s">
        <v>6</v>
      </c>
      <c r="AC2234" s="66">
        <f>+W2233</f>
        <v>1.7942583732057417E-3</v>
      </c>
      <c r="AD2234" s="66"/>
      <c r="AE2234" s="66"/>
      <c r="AF2234" s="9" t="s">
        <v>5</v>
      </c>
      <c r="AG2234" s="9" t="s">
        <v>443</v>
      </c>
      <c r="AH2234" s="1" t="s">
        <v>173</v>
      </c>
      <c r="AI2234" s="1">
        <v>2</v>
      </c>
      <c r="AJ2234" s="9" t="s">
        <v>6</v>
      </c>
      <c r="AK2234" s="66">
        <f>+AC2233</f>
        <v>1.1961722488038277E-3</v>
      </c>
      <c r="AL2234" s="66"/>
      <c r="AM2234" s="66"/>
      <c r="AN2234" s="9" t="s">
        <v>5</v>
      </c>
      <c r="AO2234" s="1" t="s">
        <v>444</v>
      </c>
      <c r="AP2234" s="1" t="s">
        <v>173</v>
      </c>
      <c r="AQ2234" s="9">
        <v>6</v>
      </c>
      <c r="AR2234" s="9" t="s">
        <v>9</v>
      </c>
      <c r="AS2234" s="9" t="s">
        <v>313</v>
      </c>
      <c r="AT2234" s="42"/>
      <c r="AU2234" s="42"/>
      <c r="AV2234" s="9"/>
      <c r="AX2234" s="2"/>
      <c r="AY2234" s="2"/>
      <c r="AZ2234" s="42"/>
      <c r="BA2234" s="42"/>
      <c r="BB2234" s="4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  <c r="BY2234" s="2"/>
      <c r="BZ2234" s="2"/>
      <c r="CA2234" s="2"/>
      <c r="CB2234" s="2"/>
      <c r="CC2234" s="7"/>
    </row>
    <row r="2235" spans="2:82">
      <c r="B2235" s="6"/>
      <c r="C2235" s="1" t="s">
        <v>435</v>
      </c>
      <c r="E2235" s="66">
        <f>+E2234</f>
        <v>1.0669219154443486E-2</v>
      </c>
      <c r="F2235" s="66"/>
      <c r="G2235" s="66"/>
      <c r="H2235" s="1" t="s">
        <v>14</v>
      </c>
      <c r="I2235" s="66">
        <f>+I2234</f>
        <v>2.35</v>
      </c>
      <c r="J2235" s="66"/>
      <c r="K2235" s="9" t="s">
        <v>9</v>
      </c>
      <c r="L2235" s="9" t="s">
        <v>428</v>
      </c>
      <c r="M2235" s="9" t="s">
        <v>311</v>
      </c>
      <c r="N2235" s="1" t="s">
        <v>173</v>
      </c>
      <c r="O2235" s="1">
        <v>6</v>
      </c>
      <c r="P2235" s="9" t="s">
        <v>6</v>
      </c>
      <c r="Q2235" s="66">
        <f>+Q2234</f>
        <v>8.4330143540669849E-3</v>
      </c>
      <c r="R2235" s="66"/>
      <c r="S2235" s="66"/>
      <c r="T2235" s="9" t="s">
        <v>14</v>
      </c>
      <c r="U2235" s="66">
        <f>+U2234</f>
        <v>1.175</v>
      </c>
      <c r="V2235" s="66"/>
      <c r="W2235" s="9" t="s">
        <v>9</v>
      </c>
      <c r="X2235" s="9" t="s">
        <v>428</v>
      </c>
      <c r="Y2235" s="9" t="s">
        <v>311</v>
      </c>
      <c r="Z2235" s="1" t="s">
        <v>173</v>
      </c>
      <c r="AA2235" s="1">
        <v>6</v>
      </c>
      <c r="AB2235" s="9" t="s">
        <v>6</v>
      </c>
      <c r="AC2235" s="66">
        <f>+AC2234</f>
        <v>1.7942583732057417E-3</v>
      </c>
      <c r="AD2235" s="66"/>
      <c r="AE2235" s="66"/>
      <c r="AF2235" s="9" t="s">
        <v>5</v>
      </c>
      <c r="AG2235" s="9" t="s">
        <v>444</v>
      </c>
      <c r="AH2235" s="1" t="s">
        <v>173</v>
      </c>
      <c r="AI2235" s="1">
        <v>6</v>
      </c>
      <c r="AJ2235" s="9" t="s">
        <v>6</v>
      </c>
      <c r="AK2235" s="66">
        <f>+AK2234</f>
        <v>1.1961722488038277E-3</v>
      </c>
      <c r="AL2235" s="66"/>
      <c r="AM2235" s="66"/>
      <c r="AN2235" s="9" t="s">
        <v>5</v>
      </c>
      <c r="AO2235" s="1" t="s">
        <v>445</v>
      </c>
      <c r="AP2235" s="1" t="s">
        <v>173</v>
      </c>
      <c r="AQ2235" s="66">
        <v>24</v>
      </c>
      <c r="AR2235" s="66"/>
      <c r="AS2235" s="9" t="s">
        <v>9</v>
      </c>
      <c r="AT2235" s="9" t="s">
        <v>313</v>
      </c>
      <c r="AU2235" s="42" t="s">
        <v>5</v>
      </c>
      <c r="AV2235" s="42" t="s">
        <v>428</v>
      </c>
      <c r="AW2235" s="42" t="s">
        <v>9</v>
      </c>
      <c r="AX2235" s="42" t="s">
        <v>315</v>
      </c>
      <c r="AZ2235" s="42"/>
      <c r="BA2235" s="42"/>
      <c r="BB2235" s="4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  <c r="BW2235" s="2"/>
      <c r="BX2235" s="2"/>
      <c r="BY2235" s="2"/>
      <c r="BZ2235" s="2"/>
      <c r="CA2235" s="2"/>
      <c r="CB2235" s="2"/>
      <c r="CC2235" s="7"/>
    </row>
    <row r="2236" spans="2:82">
      <c r="B2236" s="6"/>
      <c r="C2236" s="24" t="s">
        <v>318</v>
      </c>
      <c r="CC2236" s="7"/>
    </row>
    <row r="2237" spans="2:82">
      <c r="B2237" s="6"/>
      <c r="C2237" s="1" t="s">
        <v>319</v>
      </c>
      <c r="I2237" s="1" t="s">
        <v>411</v>
      </c>
      <c r="CC2237" s="7"/>
    </row>
    <row r="2238" spans="2:82">
      <c r="B2238" s="6"/>
      <c r="C2238" s="1" t="s">
        <v>453</v>
      </c>
      <c r="I2238" s="66">
        <f>+E2235</f>
        <v>1.0669219154443486E-2</v>
      </c>
      <c r="J2238" s="66"/>
      <c r="K2238" s="66"/>
      <c r="L2238" s="1" t="s">
        <v>14</v>
      </c>
      <c r="M2238" s="66">
        <f>+I2235</f>
        <v>2.35</v>
      </c>
      <c r="N2238" s="66"/>
      <c r="O2238" s="9" t="s">
        <v>9</v>
      </c>
      <c r="P2238" s="66">
        <f>+AR2190</f>
        <v>3.75</v>
      </c>
      <c r="Q2238" s="66"/>
      <c r="R2238" s="9" t="s">
        <v>311</v>
      </c>
      <c r="S2238" s="1" t="s">
        <v>173</v>
      </c>
      <c r="T2238" s="1">
        <v>6</v>
      </c>
      <c r="U2238" s="9" t="s">
        <v>6</v>
      </c>
      <c r="V2238" s="66">
        <f>+Q2235</f>
        <v>8.4330143540669849E-3</v>
      </c>
      <c r="W2238" s="66"/>
      <c r="X2238" s="66"/>
      <c r="Y2238" s="9" t="s">
        <v>14</v>
      </c>
      <c r="Z2238" s="66">
        <f>+U2235</f>
        <v>1.175</v>
      </c>
      <c r="AA2238" s="66"/>
      <c r="AB2238" s="9" t="s">
        <v>9</v>
      </c>
      <c r="AC2238" s="66">
        <f>+P2238</f>
        <v>3.75</v>
      </c>
      <c r="AD2238" s="66"/>
      <c r="AE2238" s="9" t="s">
        <v>311</v>
      </c>
      <c r="AF2238" s="1" t="s">
        <v>173</v>
      </c>
      <c r="AG2238" s="1">
        <v>6</v>
      </c>
      <c r="AH2238" s="9" t="s">
        <v>6</v>
      </c>
      <c r="AI2238" s="66">
        <f>+AC2235</f>
        <v>1.7942583732057417E-3</v>
      </c>
      <c r="AJ2238" s="66"/>
      <c r="AK2238" s="66"/>
      <c r="AL2238" s="9" t="s">
        <v>5</v>
      </c>
      <c r="AM2238" s="66">
        <f>+AC2238</f>
        <v>3.75</v>
      </c>
      <c r="AN2238" s="66"/>
      <c r="AO2238" s="1" t="s">
        <v>321</v>
      </c>
      <c r="AP2238" s="1">
        <v>6</v>
      </c>
      <c r="AQ2238" s="9" t="s">
        <v>6</v>
      </c>
      <c r="AR2238" s="66">
        <f>+AK2235</f>
        <v>1.1961722488038277E-3</v>
      </c>
      <c r="AS2238" s="66"/>
      <c r="AT2238" s="66"/>
      <c r="AU2238" s="9" t="s">
        <v>5</v>
      </c>
      <c r="AV2238" s="66">
        <f>+AM2238</f>
        <v>3.75</v>
      </c>
      <c r="AW2238" s="66"/>
      <c r="AX2238" s="1" t="s">
        <v>509</v>
      </c>
      <c r="AY2238" s="66">
        <v>24</v>
      </c>
      <c r="AZ2238" s="66"/>
      <c r="BA2238" s="9" t="s">
        <v>9</v>
      </c>
      <c r="BB2238" s="1" t="s">
        <v>313</v>
      </c>
      <c r="BC2238" s="9" t="s">
        <v>5</v>
      </c>
      <c r="BD2238" s="66">
        <f>+AV2238</f>
        <v>3.75</v>
      </c>
      <c r="BE2238" s="66"/>
      <c r="BF2238" s="9" t="s">
        <v>9</v>
      </c>
      <c r="BG2238" s="1" t="s">
        <v>315</v>
      </c>
      <c r="BJ2238" s="9" t="s">
        <v>313</v>
      </c>
      <c r="BK2238" s="9" t="s">
        <v>5</v>
      </c>
      <c r="BL2238" s="66">
        <f>+BD2238</f>
        <v>3.75</v>
      </c>
      <c r="BM2238" s="66"/>
      <c r="BN2238" s="9" t="s">
        <v>9</v>
      </c>
      <c r="BO2238" s="1" t="s">
        <v>315</v>
      </c>
      <c r="BP2238" s="9" t="s">
        <v>9</v>
      </c>
      <c r="BQ2238" s="66">
        <f>I2238*(M2238+P2238)^3/T2238-V2238*(Z2238+AC2238)^3/AG2238-AI2238*AM2238^3/AP2238-AR2238*AV2238^4/AY2238</f>
        <v>0.21009248981384562</v>
      </c>
      <c r="BR2238" s="66"/>
      <c r="BS2238" s="66"/>
      <c r="BT2238" s="9" t="s">
        <v>7</v>
      </c>
      <c r="BU2238" s="9">
        <v>0</v>
      </c>
      <c r="BW2238" s="1" t="s">
        <v>438</v>
      </c>
      <c r="BY2238" s="9"/>
      <c r="CC2238" s="7"/>
    </row>
    <row r="2239" spans="2:82">
      <c r="B2239" s="6"/>
      <c r="C2239" s="1" t="s">
        <v>320</v>
      </c>
      <c r="G2239" s="66">
        <f>+E2229</f>
        <v>9.6866498839213229E-4</v>
      </c>
      <c r="H2239" s="66"/>
      <c r="I2239" s="66"/>
      <c r="J2239" s="9" t="s">
        <v>5</v>
      </c>
      <c r="K2239" s="66">
        <f>+AG2190</f>
        <v>2.35</v>
      </c>
      <c r="L2239" s="66"/>
      <c r="M2239" s="1" t="s">
        <v>254</v>
      </c>
      <c r="N2239" s="1">
        <v>2</v>
      </c>
      <c r="O2239" s="9" t="s">
        <v>6</v>
      </c>
      <c r="P2239" s="66">
        <f>+M2229</f>
        <v>1.6290182450043442E-4</v>
      </c>
      <c r="Q2239" s="66"/>
      <c r="R2239" s="66"/>
      <c r="S2239" s="9" t="s">
        <v>5</v>
      </c>
      <c r="T2239" s="66">
        <f>+K2239</f>
        <v>2.35</v>
      </c>
      <c r="U2239" s="66"/>
      <c r="V2239" s="1" t="s">
        <v>455</v>
      </c>
      <c r="W2239" s="1">
        <v>6</v>
      </c>
      <c r="X2239" s="9" t="s">
        <v>9</v>
      </c>
      <c r="Y2239" s="1" t="s">
        <v>24</v>
      </c>
      <c r="AB2239" s="1" t="s">
        <v>24</v>
      </c>
      <c r="AC2239" s="9" t="s">
        <v>9</v>
      </c>
      <c r="AD2239" s="66">
        <f>G2239*K2239^2/N2239-P2239*T2239^3/W2239</f>
        <v>2.3223729465913462E-3</v>
      </c>
      <c r="AE2239" s="66"/>
      <c r="AF2239" s="66"/>
      <c r="AJ2239" s="9"/>
      <c r="AK2239" s="9"/>
      <c r="AL2239" s="9"/>
      <c r="AO2239" s="9"/>
      <c r="AP2239" s="9"/>
      <c r="AQ2239" s="9"/>
      <c r="AR2239" s="9"/>
      <c r="AS2239" s="9"/>
      <c r="AT2239" s="9"/>
      <c r="AV2239" s="9"/>
      <c r="AW2239" s="9"/>
      <c r="AX2239" s="9"/>
      <c r="AZ2239" s="9"/>
      <c r="BA2239" s="9"/>
      <c r="BB2239" s="9"/>
      <c r="BE2239" s="9"/>
      <c r="BG2239" s="9"/>
      <c r="BJ2239" s="9"/>
      <c r="BK2239" s="9"/>
      <c r="BO2239" s="9"/>
      <c r="BX2239" s="9"/>
      <c r="BY2239" s="9"/>
      <c r="CC2239" s="7"/>
    </row>
    <row r="2240" spans="2:82">
      <c r="B2240" s="6"/>
      <c r="C2240" s="1" t="s">
        <v>470</v>
      </c>
      <c r="G2240" s="66">
        <f>+E2234</f>
        <v>1.0669219154443486E-2</v>
      </c>
      <c r="H2240" s="66"/>
      <c r="I2240" s="66"/>
      <c r="J2240" s="9" t="s">
        <v>5</v>
      </c>
      <c r="K2240" s="66">
        <f>+I2234</f>
        <v>2.35</v>
      </c>
      <c r="L2240" s="66"/>
      <c r="M2240" s="1" t="s">
        <v>254</v>
      </c>
      <c r="N2240" s="1">
        <v>2</v>
      </c>
      <c r="O2240" s="9" t="s">
        <v>6</v>
      </c>
      <c r="P2240" s="66">
        <f>+Q2234</f>
        <v>8.4330143540669849E-3</v>
      </c>
      <c r="Q2240" s="66"/>
      <c r="R2240" s="66"/>
      <c r="S2240" s="9" t="s">
        <v>5</v>
      </c>
      <c r="T2240" s="66">
        <f>+U2234</f>
        <v>1.175</v>
      </c>
      <c r="U2240" s="66"/>
      <c r="V2240" s="1" t="s">
        <v>254</v>
      </c>
      <c r="W2240" s="1">
        <v>2</v>
      </c>
      <c r="X2240" s="9" t="s">
        <v>9</v>
      </c>
      <c r="Y2240" s="1" t="s">
        <v>313</v>
      </c>
      <c r="AB2240" s="1" t="s">
        <v>313</v>
      </c>
      <c r="AC2240" s="9" t="s">
        <v>9</v>
      </c>
      <c r="AD2240" s="66">
        <f>G2240*K2240^2/N2240-P2240*T2240^2/W2240</f>
        <v>2.3638966168915216E-2</v>
      </c>
      <c r="AE2240" s="66"/>
      <c r="AF2240" s="66"/>
      <c r="AJ2240" s="9"/>
      <c r="AK2240" s="9"/>
      <c r="AL2240" s="9"/>
      <c r="AO2240" s="9"/>
      <c r="AP2240" s="9"/>
      <c r="AQ2240" s="9"/>
      <c r="AR2240" s="9"/>
      <c r="AS2240" s="9"/>
      <c r="AT2240" s="9"/>
      <c r="AV2240" s="9"/>
      <c r="AW2240" s="9"/>
      <c r="AX2240" s="9"/>
      <c r="AZ2240" s="9"/>
      <c r="BA2240" s="9"/>
      <c r="BB2240" s="9"/>
      <c r="BE2240" s="9"/>
      <c r="BG2240" s="9"/>
      <c r="BJ2240" s="9"/>
      <c r="BK2240" s="9"/>
      <c r="BO2240" s="9"/>
      <c r="BX2240" s="9"/>
      <c r="BY2240" s="9"/>
      <c r="CC2240" s="7"/>
    </row>
    <row r="2241" spans="2:81">
      <c r="B2241" s="6"/>
      <c r="C2241" s="1" t="s">
        <v>639</v>
      </c>
      <c r="I2241" s="9"/>
      <c r="J2241" s="9"/>
      <c r="M2241" s="1" t="s">
        <v>24</v>
      </c>
      <c r="N2241" s="9" t="s">
        <v>9</v>
      </c>
      <c r="O2241" s="66">
        <f>+AD2239</f>
        <v>2.3223729465913462E-3</v>
      </c>
      <c r="P2241" s="66"/>
      <c r="Q2241" s="66"/>
      <c r="R2241" s="9" t="s">
        <v>7</v>
      </c>
      <c r="S2241" s="1" t="s">
        <v>313</v>
      </c>
      <c r="T2241" s="9" t="s">
        <v>9</v>
      </c>
      <c r="U2241" s="66">
        <f>+AD2240</f>
        <v>2.3638966168915216E-2</v>
      </c>
      <c r="V2241" s="66"/>
      <c r="W2241" s="66"/>
      <c r="Z2241" s="1" t="s">
        <v>24</v>
      </c>
      <c r="AA2241" s="9" t="s">
        <v>6</v>
      </c>
      <c r="AB2241" s="1" t="s">
        <v>313</v>
      </c>
      <c r="AC2241" s="9" t="s">
        <v>9</v>
      </c>
      <c r="AD2241" s="66">
        <f>+O2241-U2241</f>
        <v>-2.1316593222323869E-2</v>
      </c>
      <c r="AE2241" s="66"/>
      <c r="AF2241" s="66"/>
      <c r="AG2241" s="9" t="s">
        <v>7</v>
      </c>
      <c r="AH2241" s="9">
        <v>0</v>
      </c>
      <c r="AJ2241" s="1" t="s">
        <v>439</v>
      </c>
      <c r="AO2241" s="9"/>
      <c r="AS2241" s="9"/>
      <c r="AT2241" s="9"/>
      <c r="AV2241" s="9"/>
      <c r="AW2241" s="9"/>
      <c r="AX2241" s="9"/>
      <c r="AZ2241" s="9"/>
      <c r="BA2241" s="9"/>
      <c r="BB2241" s="9"/>
      <c r="BE2241" s="9"/>
      <c r="BG2241" s="9"/>
      <c r="BJ2241" s="9"/>
      <c r="BK2241" s="9"/>
      <c r="BO2241" s="9"/>
      <c r="BX2241" s="9"/>
      <c r="BY2241" s="9"/>
      <c r="CC2241" s="7"/>
    </row>
    <row r="2242" spans="2:81">
      <c r="B2242" s="6"/>
      <c r="C2242" s="1" t="s">
        <v>358</v>
      </c>
      <c r="G2242" s="66">
        <f>+E2230</f>
        <v>9.6866498839213229E-4</v>
      </c>
      <c r="H2242" s="66"/>
      <c r="I2242" s="66"/>
      <c r="J2242" s="9" t="s">
        <v>5</v>
      </c>
      <c r="K2242" s="66">
        <f>+AG2190</f>
        <v>2.35</v>
      </c>
      <c r="L2242" s="66"/>
      <c r="M2242" s="1" t="s">
        <v>30</v>
      </c>
      <c r="N2242" s="1">
        <v>6</v>
      </c>
      <c r="O2242" s="9" t="s">
        <v>6</v>
      </c>
      <c r="P2242" s="66">
        <f>+M2230</f>
        <v>1.6290182450043442E-4</v>
      </c>
      <c r="Q2242" s="66"/>
      <c r="R2242" s="66"/>
      <c r="S2242" s="9" t="s">
        <v>5</v>
      </c>
      <c r="T2242" s="66">
        <f>+K2242</f>
        <v>2.35</v>
      </c>
      <c r="U2242" s="66"/>
      <c r="V2242" s="1" t="s">
        <v>509</v>
      </c>
      <c r="W2242" s="66">
        <v>24</v>
      </c>
      <c r="X2242" s="66"/>
      <c r="Y2242" s="9" t="s">
        <v>9</v>
      </c>
      <c r="Z2242" s="1" t="s">
        <v>24</v>
      </c>
      <c r="AA2242" s="9" t="s">
        <v>5</v>
      </c>
      <c r="AB2242" s="66">
        <f>+T2242</f>
        <v>2.35</v>
      </c>
      <c r="AC2242" s="66"/>
      <c r="AF2242" s="1" t="s">
        <v>24</v>
      </c>
      <c r="AG2242" s="9" t="s">
        <v>5</v>
      </c>
      <c r="AH2242" s="66">
        <f>+AB2242</f>
        <v>2.35</v>
      </c>
      <c r="AI2242" s="66"/>
      <c r="AJ2242" s="9" t="s">
        <v>9</v>
      </c>
      <c r="AK2242" s="66">
        <f>G2242*K2242^3/N2242-P2242*T2242^4/W2242</f>
        <v>1.8881946534653137E-3</v>
      </c>
      <c r="AL2242" s="66"/>
      <c r="AM2242" s="66"/>
      <c r="BE2242" s="9"/>
      <c r="BG2242" s="9"/>
      <c r="BJ2242" s="9"/>
      <c r="BK2242" s="9"/>
      <c r="BO2242" s="9"/>
      <c r="BX2242" s="9"/>
      <c r="BY2242" s="9"/>
      <c r="CC2242" s="7"/>
    </row>
    <row r="2243" spans="2:81">
      <c r="B2243" s="6"/>
      <c r="C2243" s="1" t="s">
        <v>458</v>
      </c>
      <c r="G2243" s="66">
        <f>+E2235</f>
        <v>1.0669219154443486E-2</v>
      </c>
      <c r="H2243" s="66"/>
      <c r="I2243" s="66"/>
      <c r="J2243" s="9" t="s">
        <v>5</v>
      </c>
      <c r="K2243" s="66">
        <f>+I2235</f>
        <v>2.35</v>
      </c>
      <c r="L2243" s="66"/>
      <c r="M2243" s="1" t="s">
        <v>30</v>
      </c>
      <c r="N2243" s="1">
        <v>6</v>
      </c>
      <c r="O2243" s="9" t="s">
        <v>6</v>
      </c>
      <c r="P2243" s="66">
        <f>+Q2235</f>
        <v>8.4330143540669849E-3</v>
      </c>
      <c r="Q2243" s="66"/>
      <c r="R2243" s="66"/>
      <c r="S2243" s="9" t="s">
        <v>5</v>
      </c>
      <c r="T2243" s="66">
        <f>+U2235</f>
        <v>1.175</v>
      </c>
      <c r="U2243" s="66"/>
      <c r="V2243" s="1" t="s">
        <v>30</v>
      </c>
      <c r="W2243" s="1">
        <v>6</v>
      </c>
      <c r="X2243" s="9" t="s">
        <v>9</v>
      </c>
      <c r="Y2243" s="1" t="s">
        <v>315</v>
      </c>
      <c r="AB2243" s="1" t="s">
        <v>315</v>
      </c>
      <c r="AC2243" s="9" t="s">
        <v>9</v>
      </c>
      <c r="AD2243" s="66">
        <f>G2243*K2243^3/N2243-P2243*T2243^3/W2243</f>
        <v>2.0797244460656231E-2</v>
      </c>
      <c r="AE2243" s="66"/>
      <c r="AF2243" s="66"/>
      <c r="BE2243" s="9"/>
      <c r="BG2243" s="9"/>
      <c r="BJ2243" s="9"/>
      <c r="BK2243" s="9"/>
      <c r="BO2243" s="9"/>
      <c r="BX2243" s="9"/>
      <c r="BY2243" s="9"/>
      <c r="CC2243" s="7"/>
    </row>
    <row r="2244" spans="2:81">
      <c r="B2244" s="6"/>
      <c r="C2244" s="1" t="s">
        <v>461</v>
      </c>
      <c r="I2244" s="9"/>
      <c r="J2244" s="9"/>
      <c r="M2244" s="1" t="s">
        <v>24</v>
      </c>
      <c r="N2244" s="9" t="s">
        <v>5</v>
      </c>
      <c r="O2244" s="66">
        <f>+AH2242</f>
        <v>2.35</v>
      </c>
      <c r="P2244" s="66"/>
      <c r="Q2244" s="9" t="s">
        <v>9</v>
      </c>
      <c r="R2244" s="66">
        <f>+AK2242</f>
        <v>1.8881946534653137E-3</v>
      </c>
      <c r="S2244" s="66"/>
      <c r="T2244" s="66"/>
      <c r="U2244" s="9" t="s">
        <v>7</v>
      </c>
      <c r="V2244" s="1" t="s">
        <v>315</v>
      </c>
      <c r="W2244" s="9" t="s">
        <v>9</v>
      </c>
      <c r="X2244" s="66">
        <f>+AD2243</f>
        <v>2.0797244460656231E-2</v>
      </c>
      <c r="Y2244" s="66"/>
      <c r="Z2244" s="66"/>
      <c r="AC2244" s="1" t="s">
        <v>24</v>
      </c>
      <c r="AD2244" s="9" t="s">
        <v>5</v>
      </c>
      <c r="AE2244" s="66">
        <f>+O2244</f>
        <v>2.35</v>
      </c>
      <c r="AF2244" s="66"/>
      <c r="AG2244" s="9" t="s">
        <v>6</v>
      </c>
      <c r="AH2244" s="1" t="s">
        <v>315</v>
      </c>
      <c r="AI2244" s="9" t="s">
        <v>9</v>
      </c>
      <c r="AJ2244" s="79">
        <f>+R2244-X2244</f>
        <v>-1.8909049807190919E-2</v>
      </c>
      <c r="AK2244" s="79"/>
      <c r="AL2244" s="79"/>
      <c r="AM2244" s="9" t="s">
        <v>7</v>
      </c>
      <c r="AN2244" s="9">
        <v>0</v>
      </c>
      <c r="AP2244" s="1" t="s">
        <v>456</v>
      </c>
      <c r="AY2244" s="9"/>
      <c r="BA2244" s="9"/>
      <c r="BB2244" s="9"/>
      <c r="BE2244" s="9"/>
      <c r="BG2244" s="9"/>
      <c r="BJ2244" s="9"/>
      <c r="BK2244" s="9"/>
      <c r="BO2244" s="9"/>
      <c r="BX2244" s="9"/>
      <c r="BY2244" s="9"/>
      <c r="CC2244" s="7"/>
    </row>
    <row r="2245" spans="2:81">
      <c r="B2245" s="6"/>
      <c r="C2245" s="24" t="s">
        <v>582</v>
      </c>
      <c r="I2245" s="9"/>
      <c r="J2245" s="9"/>
      <c r="N2245" s="9"/>
      <c r="O2245" s="9"/>
      <c r="P2245" s="9"/>
      <c r="Q2245" s="9"/>
      <c r="R2245" s="9"/>
      <c r="S2245" s="9"/>
      <c r="T2245" s="9"/>
      <c r="U2245" s="9"/>
      <c r="W2245" s="9"/>
      <c r="X2245" s="9"/>
      <c r="Y2245" s="9"/>
      <c r="Z2245" s="9"/>
      <c r="AU2245" s="9"/>
      <c r="AY2245" s="9"/>
      <c r="BA2245" s="9"/>
      <c r="BB2245" s="9"/>
      <c r="BE2245" s="9"/>
      <c r="BG2245" s="9"/>
      <c r="BJ2245" s="9"/>
      <c r="BK2245" s="9"/>
      <c r="BO2245" s="9"/>
      <c r="BX2245" s="9"/>
      <c r="BY2245" s="9"/>
      <c r="CC2245" s="7"/>
    </row>
    <row r="2246" spans="2:81">
      <c r="B2246" s="6"/>
      <c r="C2246" s="1" t="s">
        <v>32</v>
      </c>
      <c r="E2246" s="66">
        <f>+Q2246</f>
        <v>-1.8237084495563959E-2</v>
      </c>
      <c r="F2246" s="66"/>
      <c r="G2246" s="66"/>
      <c r="H2246" s="2"/>
      <c r="I2246" s="43">
        <v>0</v>
      </c>
      <c r="J2246" s="43">
        <f>+BL2238</f>
        <v>3.75</v>
      </c>
      <c r="K2246" s="40">
        <v>1</v>
      </c>
      <c r="L2246" s="40">
        <f>-BQ2238</f>
        <v>-0.21009248981384562</v>
      </c>
      <c r="M2246" s="40"/>
      <c r="N2246" s="43" cm="1">
        <f t="array" ref="N2246:P2248">MINVERSE(I2246:K2248)</f>
        <v>0.16393442622950818</v>
      </c>
      <c r="O2246" s="43">
        <v>0.61475409836065575</v>
      </c>
      <c r="P2246" s="43">
        <v>0.16393442622950818</v>
      </c>
      <c r="Q2246" s="43" cm="1">
        <f t="array" ref="Q2246:Q2248">MMULT(N2246:P2248,L2246:L2248)</f>
        <v>-1.8237084495563959E-2</v>
      </c>
      <c r="R2246" s="42"/>
      <c r="S2246" s="42"/>
      <c r="T2246" s="42"/>
      <c r="U2246" s="42"/>
      <c r="V2246" s="2"/>
      <c r="W2246" s="42"/>
      <c r="X2246" s="42"/>
      <c r="Y2246" s="42"/>
      <c r="Z2246" s="42"/>
      <c r="AA2246" s="2"/>
      <c r="AB2246" s="2"/>
      <c r="AC2246" s="2"/>
      <c r="AD2246" s="42"/>
      <c r="AF2246" s="9"/>
      <c r="AG2246" s="11"/>
      <c r="AH2246" s="11"/>
      <c r="AI2246" s="11"/>
      <c r="AJ2246" s="9"/>
      <c r="AK2246" s="9"/>
      <c r="AU2246" s="9"/>
      <c r="AY2246" s="9"/>
      <c r="BA2246" s="9"/>
      <c r="BB2246" s="9"/>
      <c r="BE2246" s="9"/>
      <c r="BG2246" s="9"/>
      <c r="BJ2246" s="9"/>
      <c r="BK2246" s="9"/>
      <c r="BO2246" s="9"/>
      <c r="BX2246" s="9"/>
      <c r="BY2246" s="9"/>
      <c r="CC2246" s="7"/>
    </row>
    <row r="2247" spans="2:81">
      <c r="B2247" s="6"/>
      <c r="C2247" s="1" t="s">
        <v>354</v>
      </c>
      <c r="E2247" s="66">
        <f t="shared" ref="E2247:E2248" si="12">+Q2247</f>
        <v>-3.9553677717887835E-2</v>
      </c>
      <c r="F2247" s="66"/>
      <c r="G2247" s="66"/>
      <c r="H2247" s="2"/>
      <c r="I2247" s="43">
        <v>1</v>
      </c>
      <c r="J2247" s="43">
        <v>-1</v>
      </c>
      <c r="K2247" s="40">
        <v>0</v>
      </c>
      <c r="L2247" s="40">
        <f>-AD2241</f>
        <v>2.1316593222323869E-2</v>
      </c>
      <c r="M2247" s="40"/>
      <c r="N2247" s="43">
        <v>0.16393442622950821</v>
      </c>
      <c r="O2247" s="43">
        <v>-0.38524590163934425</v>
      </c>
      <c r="P2247" s="43">
        <v>0.16393442622950821</v>
      </c>
      <c r="Q2247" s="43">
        <v>-3.9553677717887835E-2</v>
      </c>
      <c r="R2247" s="42"/>
      <c r="S2247" s="42"/>
      <c r="T2247" s="42"/>
      <c r="U2247" s="42"/>
      <c r="V2247" s="2"/>
      <c r="W2247" s="42"/>
      <c r="X2247" s="42"/>
      <c r="Y2247" s="42"/>
      <c r="Z2247" s="42"/>
      <c r="AA2247" s="2"/>
      <c r="AB2247" s="2"/>
      <c r="AC2247" s="2"/>
      <c r="AD2247" s="42"/>
      <c r="AF2247" s="9"/>
      <c r="AG2247" s="11"/>
      <c r="AH2247" s="11"/>
      <c r="AI2247" s="11"/>
      <c r="AJ2247" s="9"/>
      <c r="AK2247" s="9"/>
      <c r="AU2247" s="9"/>
      <c r="AY2247" s="9"/>
      <c r="BA2247" s="9"/>
      <c r="BB2247" s="9"/>
      <c r="BE2247" s="9"/>
      <c r="BG2247" s="9"/>
      <c r="BJ2247" s="9"/>
      <c r="BK2247" s="9"/>
      <c r="BO2247" s="9"/>
      <c r="BX2247" s="9"/>
      <c r="BY2247" s="9"/>
      <c r="CC2247" s="7"/>
    </row>
    <row r="2248" spans="2:81">
      <c r="B2248" s="6"/>
      <c r="C2248" s="1" t="s">
        <v>355</v>
      </c>
      <c r="E2248" s="66">
        <f t="shared" si="12"/>
        <v>-6.176619837176623E-2</v>
      </c>
      <c r="F2248" s="66"/>
      <c r="G2248" s="66"/>
      <c r="H2248" s="2"/>
      <c r="I2248" s="43">
        <f>+AE2244</f>
        <v>2.35</v>
      </c>
      <c r="J2248" s="43">
        <v>0</v>
      </c>
      <c r="K2248" s="40">
        <v>-1</v>
      </c>
      <c r="L2248" s="40">
        <f>-AJ2244</f>
        <v>1.8909049807190919E-2</v>
      </c>
      <c r="M2248" s="40"/>
      <c r="N2248" s="43">
        <v>0.38524590163934425</v>
      </c>
      <c r="O2248" s="43">
        <v>1.444672131147541</v>
      </c>
      <c r="P2248" s="43">
        <v>-0.61475409836065575</v>
      </c>
      <c r="Q2248" s="43">
        <v>-6.176619837176623E-2</v>
      </c>
      <c r="R2248" s="42"/>
      <c r="S2248" s="42"/>
      <c r="T2248" s="42"/>
      <c r="U2248" s="42"/>
      <c r="V2248" s="2"/>
      <c r="W2248" s="42"/>
      <c r="X2248" s="42"/>
      <c r="Y2248" s="42"/>
      <c r="Z2248" s="42"/>
      <c r="AA2248" s="2"/>
      <c r="AB2248" s="2"/>
      <c r="AC2248" s="2"/>
      <c r="AD2248" s="42"/>
      <c r="AF2248" s="9"/>
      <c r="AG2248" s="11"/>
      <c r="AH2248" s="11"/>
      <c r="AI2248" s="11"/>
      <c r="AJ2248" s="9"/>
      <c r="AK2248" s="9"/>
      <c r="AU2248" s="9"/>
      <c r="AY2248" s="9"/>
      <c r="BA2248" s="9"/>
      <c r="BB2248" s="9"/>
      <c r="BE2248" s="9"/>
      <c r="BG2248" s="9"/>
      <c r="BJ2248" s="9"/>
      <c r="BK2248" s="9"/>
      <c r="BO2248" s="9"/>
      <c r="BX2248" s="9"/>
      <c r="BY2248" s="9"/>
      <c r="CC2248" s="7"/>
    </row>
    <row r="2249" spans="2:81">
      <c r="B2249" s="6"/>
      <c r="C2249" s="24" t="s">
        <v>303</v>
      </c>
      <c r="AO2249" s="9"/>
      <c r="AP2249" s="9"/>
      <c r="AQ2249" s="9"/>
      <c r="AR2249" s="9"/>
      <c r="AS2249" s="9"/>
      <c r="AT2249" s="9"/>
      <c r="AV2249" s="9"/>
      <c r="AW2249" s="9"/>
      <c r="AX2249" s="9"/>
      <c r="AZ2249" s="9"/>
      <c r="BA2249" s="9"/>
      <c r="BB2249" s="9"/>
      <c r="BE2249" s="9"/>
      <c r="BG2249" s="9"/>
      <c r="BJ2249" s="9"/>
      <c r="BK2249" s="9"/>
      <c r="BO2249" s="9"/>
      <c r="BX2249" s="9"/>
      <c r="BY2249" s="9"/>
      <c r="CC2249" s="7"/>
    </row>
    <row r="2250" spans="2:81">
      <c r="B2250" s="6"/>
      <c r="C2250" s="1" t="s">
        <v>625</v>
      </c>
      <c r="G2250" s="66">
        <f>+E2230</f>
        <v>9.6866498839213229E-4</v>
      </c>
      <c r="H2250" s="66"/>
      <c r="I2250" s="66"/>
      <c r="J2250" s="9" t="s">
        <v>5</v>
      </c>
      <c r="K2250" s="9" t="s">
        <v>184</v>
      </c>
      <c r="L2250" s="1" t="s">
        <v>173</v>
      </c>
      <c r="M2250" s="1">
        <v>6</v>
      </c>
      <c r="N2250" s="9" t="s">
        <v>6</v>
      </c>
      <c r="O2250" s="66">
        <f>+M2230</f>
        <v>1.6290182450043442E-4</v>
      </c>
      <c r="P2250" s="66"/>
      <c r="Q2250" s="66"/>
      <c r="R2250" s="9" t="s">
        <v>5</v>
      </c>
      <c r="S2250" s="9" t="s">
        <v>185</v>
      </c>
      <c r="T2250" s="1" t="s">
        <v>173</v>
      </c>
      <c r="U2250" s="66">
        <v>24</v>
      </c>
      <c r="V2250" s="66"/>
      <c r="W2250" s="9" t="s">
        <v>9</v>
      </c>
      <c r="X2250" s="1" t="s">
        <v>24</v>
      </c>
      <c r="Y2250" s="9" t="s">
        <v>5</v>
      </c>
      <c r="Z2250" s="9" t="s">
        <v>13</v>
      </c>
      <c r="AA2250" s="9" t="s">
        <v>9</v>
      </c>
      <c r="AB2250" s="1" t="s">
        <v>307</v>
      </c>
      <c r="AE2250" s="9"/>
      <c r="AF2250" s="9"/>
      <c r="AL2250" s="9"/>
      <c r="AR2250" s="9"/>
      <c r="AY2250" s="9"/>
      <c r="BA2250" s="9"/>
      <c r="BB2250" s="9"/>
      <c r="BC2250" s="9"/>
      <c r="CC2250" s="7"/>
    </row>
    <row r="2251" spans="2:81">
      <c r="B2251" s="6"/>
      <c r="C2251" s="1" t="s">
        <v>35</v>
      </c>
      <c r="E2251" s="66">
        <f>+G2250</f>
        <v>9.6866498839213229E-4</v>
      </c>
      <c r="F2251" s="66"/>
      <c r="G2251" s="66"/>
      <c r="H2251" s="9" t="s">
        <v>5</v>
      </c>
      <c r="I2251" s="9" t="s">
        <v>184</v>
      </c>
      <c r="J2251" s="1" t="s">
        <v>173</v>
      </c>
      <c r="K2251" s="1">
        <v>6</v>
      </c>
      <c r="L2251" s="9" t="s">
        <v>6</v>
      </c>
      <c r="M2251" s="66">
        <f>+O2250</f>
        <v>1.6290182450043442E-4</v>
      </c>
      <c r="N2251" s="66"/>
      <c r="O2251" s="66"/>
      <c r="P2251" s="9" t="s">
        <v>5</v>
      </c>
      <c r="Q2251" s="9" t="s">
        <v>185</v>
      </c>
      <c r="R2251" s="1" t="s">
        <v>173</v>
      </c>
      <c r="S2251" s="66">
        <v>24</v>
      </c>
      <c r="T2251" s="66"/>
      <c r="U2251" s="9" t="s">
        <v>9</v>
      </c>
      <c r="V2251" s="1" t="s">
        <v>24</v>
      </c>
      <c r="W2251" s="9" t="s">
        <v>5</v>
      </c>
      <c r="X2251" s="9" t="s">
        <v>13</v>
      </c>
      <c r="Y2251" s="1" t="s">
        <v>682</v>
      </c>
      <c r="AA2251" s="9"/>
      <c r="AB2251" s="9"/>
      <c r="AD2251" s="9"/>
      <c r="AE2251" s="9"/>
      <c r="AF2251" s="9"/>
      <c r="AL2251" s="9"/>
      <c r="AR2251" s="9"/>
      <c r="AY2251" s="9"/>
      <c r="BA2251" s="9"/>
      <c r="BB2251" s="9"/>
      <c r="BC2251" s="9"/>
      <c r="CC2251" s="7"/>
    </row>
    <row r="2252" spans="2:81">
      <c r="B2252" s="6"/>
      <c r="C2252" s="1" t="s">
        <v>27</v>
      </c>
      <c r="D2252" s="67">
        <v>2.35</v>
      </c>
      <c r="E2252" s="67"/>
      <c r="F2252" s="67"/>
      <c r="G2252" s="1" t="s">
        <v>42</v>
      </c>
      <c r="P2252" s="8" t="str">
        <f>IF(D2252&lt;=AG2190,"","azalt.")</f>
        <v/>
      </c>
      <c r="CC2252" s="7"/>
    </row>
    <row r="2253" spans="2:81">
      <c r="B2253" s="6"/>
      <c r="C2253" s="1" t="s">
        <v>35</v>
      </c>
      <c r="E2253" s="66">
        <f>+E2251</f>
        <v>9.6866498839213229E-4</v>
      </c>
      <c r="F2253" s="66"/>
      <c r="G2253" s="66"/>
      <c r="H2253" s="9" t="s">
        <v>5</v>
      </c>
      <c r="I2253" s="66">
        <f>+D2252</f>
        <v>2.35</v>
      </c>
      <c r="J2253" s="66"/>
      <c r="K2253" s="1" t="s">
        <v>30</v>
      </c>
      <c r="L2253" s="1">
        <v>6</v>
      </c>
      <c r="M2253" s="9" t="s">
        <v>6</v>
      </c>
      <c r="N2253" s="66">
        <f>+M2251</f>
        <v>1.6290182450043442E-4</v>
      </c>
      <c r="O2253" s="66"/>
      <c r="P2253" s="66"/>
      <c r="Q2253" s="9" t="s">
        <v>5</v>
      </c>
      <c r="R2253" s="66">
        <f>+I2253</f>
        <v>2.35</v>
      </c>
      <c r="S2253" s="66"/>
      <c r="T2253" s="1" t="s">
        <v>509</v>
      </c>
      <c r="U2253" s="66">
        <v>24</v>
      </c>
      <c r="V2253" s="66"/>
      <c r="W2253" s="9" t="s">
        <v>9</v>
      </c>
      <c r="X2253" s="66">
        <f>+E2246</f>
        <v>-1.8237084495563959E-2</v>
      </c>
      <c r="Y2253" s="66"/>
      <c r="Z2253" s="66"/>
      <c r="AA2253" s="9" t="s">
        <v>5</v>
      </c>
      <c r="AB2253" s="66">
        <f>+R2253</f>
        <v>2.35</v>
      </c>
      <c r="AC2253" s="66"/>
      <c r="AD2253" s="1" t="s">
        <v>681</v>
      </c>
      <c r="AG2253" s="66">
        <f>+F2194</f>
        <v>200000</v>
      </c>
      <c r="AH2253" s="66"/>
      <c r="AI2253" s="66"/>
      <c r="AJ2253" s="9"/>
      <c r="AT2253" s="9"/>
      <c r="BA2253" s="9"/>
      <c r="BE2253" s="9"/>
      <c r="CC2253" s="7"/>
    </row>
    <row r="2254" spans="2:81">
      <c r="B2254" s="6"/>
      <c r="C2254" s="1" t="s">
        <v>33</v>
      </c>
      <c r="E2254" s="66">
        <f>(E2253*I2253^3/L2253-N2253*R2253^4/U2253+X2253*AB2253)*100000000/AG2253</f>
        <v>-20.484476955554996</v>
      </c>
      <c r="F2254" s="66"/>
      <c r="G2254" s="66"/>
      <c r="H2254" s="1" t="s">
        <v>41</v>
      </c>
      <c r="BN2254" s="9"/>
      <c r="CC2254" s="7"/>
    </row>
    <row r="2255" spans="2:81">
      <c r="B2255" s="6"/>
      <c r="C2255" s="1" t="s">
        <v>172</v>
      </c>
      <c r="H2255" s="66">
        <f>AM2192*1000</f>
        <v>6100</v>
      </c>
      <c r="I2255" s="66"/>
      <c r="J2255" s="66"/>
      <c r="K2255" s="1" t="s">
        <v>173</v>
      </c>
      <c r="L2255" s="66">
        <v>300</v>
      </c>
      <c r="M2255" s="66"/>
      <c r="N2255" s="9" t="s">
        <v>7</v>
      </c>
      <c r="O2255" s="66">
        <f>+H2255/L2255</f>
        <v>20.333333333333332</v>
      </c>
      <c r="P2255" s="66"/>
      <c r="Q2255" s="66"/>
      <c r="R2255" s="1" t="s">
        <v>41</v>
      </c>
      <c r="U2255" s="1" t="s">
        <v>192</v>
      </c>
      <c r="CC2255" s="7"/>
    </row>
    <row r="2256" spans="2:81">
      <c r="B2256" s="6"/>
      <c r="C2256" s="1" t="s">
        <v>34</v>
      </c>
      <c r="D2256" s="66">
        <f>+E2254</f>
        <v>-20.484476955554996</v>
      </c>
      <c r="E2256" s="66"/>
      <c r="F2256" s="66"/>
      <c r="G2256" s="1" t="s">
        <v>41</v>
      </c>
      <c r="I2256" s="1" t="str">
        <f>IF(ABS(D2256)&lt;ABS(M2256),"&lt;","&gt;")</f>
        <v>&gt;</v>
      </c>
      <c r="J2256" s="1" t="s">
        <v>174</v>
      </c>
      <c r="M2256" s="66">
        <f>+O2255</f>
        <v>20.333333333333332</v>
      </c>
      <c r="N2256" s="66"/>
      <c r="O2256" s="66"/>
      <c r="P2256" s="1" t="s">
        <v>41</v>
      </c>
      <c r="R2256" s="8" t="str">
        <f>IF(ABS(D2256)&lt;ABS(M2256),"uygun.","uygun değil.")</f>
        <v>uygun değil.</v>
      </c>
      <c r="CC2256" s="7"/>
    </row>
    <row r="2257" spans="2:81">
      <c r="B2257" s="6"/>
      <c r="C2257" s="24" t="s">
        <v>308</v>
      </c>
      <c r="D2257" s="9"/>
      <c r="E2257" s="9"/>
      <c r="F2257" s="9"/>
      <c r="CC2257" s="7"/>
    </row>
    <row r="2258" spans="2:81">
      <c r="B2258" s="6"/>
      <c r="C2258" s="1" t="s">
        <v>625</v>
      </c>
      <c r="D2258" s="9"/>
      <c r="E2258" s="9"/>
      <c r="F2258" s="9"/>
      <c r="G2258" s="66">
        <f>+E2235</f>
        <v>1.0669219154443486E-2</v>
      </c>
      <c r="H2258" s="66"/>
      <c r="I2258" s="66"/>
      <c r="J2258" s="1" t="s">
        <v>14</v>
      </c>
      <c r="K2258" s="66">
        <f>+I2235</f>
        <v>2.35</v>
      </c>
      <c r="L2258" s="66"/>
      <c r="M2258" s="9" t="s">
        <v>9</v>
      </c>
      <c r="N2258" s="9" t="s">
        <v>428</v>
      </c>
      <c r="O2258" s="9" t="s">
        <v>311</v>
      </c>
      <c r="P2258" s="1" t="s">
        <v>173</v>
      </c>
      <c r="Q2258" s="1">
        <v>6</v>
      </c>
      <c r="R2258" s="9" t="s">
        <v>6</v>
      </c>
      <c r="S2258" s="66">
        <f>+Q2235</f>
        <v>8.4330143540669849E-3</v>
      </c>
      <c r="T2258" s="66"/>
      <c r="U2258" s="66"/>
      <c r="V2258" s="9" t="s">
        <v>14</v>
      </c>
      <c r="W2258" s="66">
        <f>+U2235</f>
        <v>1.175</v>
      </c>
      <c r="X2258" s="66"/>
      <c r="Y2258" s="9" t="s">
        <v>9</v>
      </c>
      <c r="Z2258" s="9" t="s">
        <v>428</v>
      </c>
      <c r="AA2258" s="9" t="s">
        <v>311</v>
      </c>
      <c r="AB2258" s="1" t="s">
        <v>173</v>
      </c>
      <c r="AC2258" s="1">
        <v>6</v>
      </c>
      <c r="AD2258" s="9" t="s">
        <v>6</v>
      </c>
      <c r="AE2258" s="66">
        <f>+AC2235</f>
        <v>1.7942583732057417E-3</v>
      </c>
      <c r="AF2258" s="66"/>
      <c r="AG2258" s="66"/>
      <c r="AH2258" s="9" t="s">
        <v>5</v>
      </c>
      <c r="AI2258" s="9" t="s">
        <v>444</v>
      </c>
      <c r="AJ2258" s="1" t="s">
        <v>173</v>
      </c>
      <c r="AK2258" s="1">
        <v>6</v>
      </c>
      <c r="AL2258" s="9" t="s">
        <v>6</v>
      </c>
      <c r="AM2258" s="66">
        <f>+AK2235</f>
        <v>1.1961722488038277E-3</v>
      </c>
      <c r="AN2258" s="66"/>
      <c r="AO2258" s="66"/>
      <c r="AP2258" s="9" t="s">
        <v>5</v>
      </c>
      <c r="AQ2258" s="1" t="s">
        <v>445</v>
      </c>
      <c r="AR2258" s="1" t="s">
        <v>173</v>
      </c>
      <c r="AS2258" s="66">
        <v>24</v>
      </c>
      <c r="AT2258" s="66"/>
      <c r="AU2258" s="9" t="s">
        <v>9</v>
      </c>
      <c r="AV2258" s="9" t="s">
        <v>313</v>
      </c>
      <c r="AW2258" s="42" t="s">
        <v>5</v>
      </c>
      <c r="AX2258" s="42" t="s">
        <v>428</v>
      </c>
      <c r="AY2258" s="42" t="s">
        <v>9</v>
      </c>
      <c r="AZ2258" s="42" t="s">
        <v>315</v>
      </c>
      <c r="BA2258" s="42"/>
      <c r="CC2258" s="7"/>
    </row>
    <row r="2259" spans="2:81">
      <c r="B2259" s="6"/>
      <c r="C2259" s="1" t="s">
        <v>35</v>
      </c>
      <c r="D2259" s="9"/>
      <c r="E2259" s="66">
        <f>+G2258</f>
        <v>1.0669219154443486E-2</v>
      </c>
      <c r="F2259" s="66"/>
      <c r="G2259" s="66"/>
      <c r="H2259" s="1" t="s">
        <v>14</v>
      </c>
      <c r="I2259" s="66">
        <f>+K2258</f>
        <v>2.35</v>
      </c>
      <c r="J2259" s="66"/>
      <c r="K2259" s="9" t="s">
        <v>9</v>
      </c>
      <c r="L2259" s="9" t="s">
        <v>428</v>
      </c>
      <c r="M2259" s="9" t="s">
        <v>311</v>
      </c>
      <c r="N2259" s="1" t="s">
        <v>173</v>
      </c>
      <c r="O2259" s="1">
        <v>6</v>
      </c>
      <c r="P2259" s="9" t="s">
        <v>6</v>
      </c>
      <c r="Q2259" s="66">
        <f>+S2258</f>
        <v>8.4330143540669849E-3</v>
      </c>
      <c r="R2259" s="66"/>
      <c r="S2259" s="66"/>
      <c r="T2259" s="9" t="s">
        <v>14</v>
      </c>
      <c r="U2259" s="66">
        <f>+W2258</f>
        <v>1.175</v>
      </c>
      <c r="V2259" s="66"/>
      <c r="W2259" s="9" t="s">
        <v>9</v>
      </c>
      <c r="X2259" s="9" t="s">
        <v>428</v>
      </c>
      <c r="Y2259" s="9" t="s">
        <v>311</v>
      </c>
      <c r="Z2259" s="1" t="s">
        <v>173</v>
      </c>
      <c r="AA2259" s="1">
        <v>6</v>
      </c>
      <c r="AB2259" s="9" t="s">
        <v>6</v>
      </c>
      <c r="AC2259" s="66">
        <f>+AE2258</f>
        <v>1.7942583732057417E-3</v>
      </c>
      <c r="AD2259" s="66"/>
      <c r="AE2259" s="66"/>
      <c r="AF2259" s="9" t="s">
        <v>5</v>
      </c>
      <c r="AG2259" s="9" t="s">
        <v>444</v>
      </c>
      <c r="AH2259" s="1" t="s">
        <v>173</v>
      </c>
      <c r="AI2259" s="1">
        <v>6</v>
      </c>
      <c r="AJ2259" s="9" t="s">
        <v>6</v>
      </c>
      <c r="AK2259" s="66">
        <f>+AM2258</f>
        <v>1.1961722488038277E-3</v>
      </c>
      <c r="AL2259" s="66"/>
      <c r="AM2259" s="66"/>
      <c r="AN2259" s="9" t="s">
        <v>5</v>
      </c>
      <c r="AO2259" s="1" t="s">
        <v>445</v>
      </c>
      <c r="AP2259" s="1" t="s">
        <v>173</v>
      </c>
      <c r="AQ2259" s="66">
        <v>24</v>
      </c>
      <c r="AR2259" s="66"/>
      <c r="AS2259" s="9" t="s">
        <v>9</v>
      </c>
      <c r="AT2259" s="66">
        <f>+E2247</f>
        <v>-3.9553677717887835E-2</v>
      </c>
      <c r="AU2259" s="66"/>
      <c r="AV2259" s="66"/>
      <c r="AW2259" s="42" t="s">
        <v>5</v>
      </c>
      <c r="AX2259" s="42" t="s">
        <v>428</v>
      </c>
      <c r="AY2259" s="42" t="s">
        <v>9</v>
      </c>
      <c r="AZ2259" s="72">
        <f>+E2248</f>
        <v>-6.176619837176623E-2</v>
      </c>
      <c r="BA2259" s="72"/>
      <c r="BB2259" s="72"/>
      <c r="BC2259" s="1" t="s">
        <v>682</v>
      </c>
      <c r="BI2259" s="9"/>
      <c r="CC2259" s="7"/>
    </row>
    <row r="2260" spans="2:81">
      <c r="B2260" s="6"/>
      <c r="C2260" s="1" t="s">
        <v>482</v>
      </c>
      <c r="D2260" s="67">
        <v>0</v>
      </c>
      <c r="E2260" s="67"/>
      <c r="F2260" s="67"/>
      <c r="G2260" s="1" t="s">
        <v>42</v>
      </c>
      <c r="P2260" s="8" t="str">
        <f>IF(D2260&lt;=AR2190,"","azalt.")</f>
        <v/>
      </c>
      <c r="CC2260" s="7"/>
    </row>
    <row r="2261" spans="2:81">
      <c r="B2261" s="6"/>
      <c r="C2261" s="1" t="s">
        <v>35</v>
      </c>
      <c r="E2261" s="66">
        <f>+E2259</f>
        <v>1.0669219154443486E-2</v>
      </c>
      <c r="F2261" s="66"/>
      <c r="G2261" s="66"/>
      <c r="H2261" s="1" t="s">
        <v>14</v>
      </c>
      <c r="I2261" s="66">
        <f>+I2259</f>
        <v>2.35</v>
      </c>
      <c r="J2261" s="66"/>
      <c r="K2261" s="9" t="s">
        <v>9</v>
      </c>
      <c r="L2261" s="66">
        <f>+D2260</f>
        <v>0</v>
      </c>
      <c r="M2261" s="66"/>
      <c r="N2261" s="9" t="s">
        <v>311</v>
      </c>
      <c r="O2261" s="1" t="s">
        <v>173</v>
      </c>
      <c r="P2261" s="1">
        <v>6</v>
      </c>
      <c r="Q2261" s="9" t="s">
        <v>6</v>
      </c>
      <c r="R2261" s="66">
        <f>+Q2259</f>
        <v>8.4330143540669849E-3</v>
      </c>
      <c r="S2261" s="66"/>
      <c r="T2261" s="66"/>
      <c r="U2261" s="9" t="s">
        <v>14</v>
      </c>
      <c r="V2261" s="66">
        <f>+U2259</f>
        <v>1.175</v>
      </c>
      <c r="W2261" s="66"/>
      <c r="X2261" s="9" t="s">
        <v>9</v>
      </c>
      <c r="Y2261" s="66">
        <f>+L2261</f>
        <v>0</v>
      </c>
      <c r="Z2261" s="66"/>
      <c r="AA2261" s="9" t="s">
        <v>311</v>
      </c>
      <c r="AB2261" s="1" t="s">
        <v>173</v>
      </c>
      <c r="AC2261" s="1">
        <v>6</v>
      </c>
      <c r="AD2261" s="9" t="s">
        <v>6</v>
      </c>
      <c r="AE2261" s="66">
        <f>+AC2259</f>
        <v>1.7942583732057417E-3</v>
      </c>
      <c r="AF2261" s="66"/>
      <c r="AG2261" s="66"/>
      <c r="AH2261" s="9" t="s">
        <v>5</v>
      </c>
      <c r="AI2261" s="66">
        <f>+Y2261</f>
        <v>0</v>
      </c>
      <c r="AJ2261" s="66"/>
      <c r="AK2261" s="1" t="s">
        <v>321</v>
      </c>
      <c r="AL2261" s="1">
        <v>6</v>
      </c>
      <c r="AM2261" s="9" t="s">
        <v>6</v>
      </c>
      <c r="AN2261" s="66">
        <f>+AK2259</f>
        <v>1.1961722488038277E-3</v>
      </c>
      <c r="AO2261" s="66"/>
      <c r="AP2261" s="66"/>
      <c r="AQ2261" s="9" t="s">
        <v>5</v>
      </c>
      <c r="AR2261" s="66">
        <f>+AI2261</f>
        <v>0</v>
      </c>
      <c r="AS2261" s="66"/>
      <c r="AT2261" s="1" t="s">
        <v>509</v>
      </c>
      <c r="AU2261" s="66">
        <v>24</v>
      </c>
      <c r="AV2261" s="66"/>
      <c r="AW2261" s="9" t="s">
        <v>9</v>
      </c>
      <c r="AX2261" s="66">
        <f>+AT2259</f>
        <v>-3.9553677717887835E-2</v>
      </c>
      <c r="AY2261" s="66"/>
      <c r="AZ2261" s="66"/>
      <c r="BA2261" s="42" t="s">
        <v>5</v>
      </c>
      <c r="BB2261" s="66">
        <f>+AR2261</f>
        <v>0</v>
      </c>
      <c r="BC2261" s="66"/>
      <c r="BD2261" s="9" t="s">
        <v>9</v>
      </c>
      <c r="BE2261" s="66">
        <f>+AZ2259</f>
        <v>-6.176619837176623E-2</v>
      </c>
      <c r="BF2261" s="66"/>
      <c r="BG2261" s="66"/>
      <c r="BH2261" s="1" t="s">
        <v>612</v>
      </c>
      <c r="BK2261" s="66">
        <f>+BL2194</f>
        <v>200000</v>
      </c>
      <c r="BL2261" s="66"/>
      <c r="BM2261" s="66"/>
      <c r="BN2261" s="9"/>
      <c r="CC2261" s="7"/>
    </row>
    <row r="2262" spans="2:81">
      <c r="B2262" s="6"/>
      <c r="C2262" s="1" t="s">
        <v>33</v>
      </c>
      <c r="E2262" s="66">
        <f>(E2261*(I2261+L2261)^3/P2261-R2261*(V2261+Y2261)^3/AC2261-AE2261*AI2261^3/AL2261-AN2261*AR2261^4/AU2261+AX2261*BB2261+BE2261)*100000000/BK2261</f>
        <v>-20.484476955554996</v>
      </c>
      <c r="F2262" s="66"/>
      <c r="G2262" s="66"/>
      <c r="H2262" s="1" t="s">
        <v>41</v>
      </c>
      <c r="CC2262" s="7"/>
    </row>
    <row r="2263" spans="2:81">
      <c r="B2263" s="6"/>
      <c r="C2263" s="1" t="s">
        <v>172</v>
      </c>
      <c r="H2263" s="66">
        <f>AM2192*1000</f>
        <v>6100</v>
      </c>
      <c r="I2263" s="66"/>
      <c r="J2263" s="66"/>
      <c r="K2263" s="1" t="s">
        <v>173</v>
      </c>
      <c r="L2263" s="66">
        <v>300</v>
      </c>
      <c r="M2263" s="66"/>
      <c r="N2263" s="9" t="s">
        <v>7</v>
      </c>
      <c r="O2263" s="66">
        <f>+H2263/L2263</f>
        <v>20.333333333333332</v>
      </c>
      <c r="P2263" s="66"/>
      <c r="Q2263" s="66"/>
      <c r="R2263" s="1" t="s">
        <v>41</v>
      </c>
      <c r="U2263" s="1" t="s">
        <v>192</v>
      </c>
      <c r="CC2263" s="7"/>
    </row>
    <row r="2264" spans="2:81">
      <c r="B2264" s="6"/>
      <c r="C2264" s="1" t="s">
        <v>34</v>
      </c>
      <c r="D2264" s="66">
        <f>+E2262</f>
        <v>-20.484476955554996</v>
      </c>
      <c r="E2264" s="66"/>
      <c r="F2264" s="66"/>
      <c r="G2264" s="1" t="s">
        <v>41</v>
      </c>
      <c r="I2264" s="1" t="str">
        <f>IF(ABS(D2264)&lt;ABS(M2264),"&lt;","&gt;")</f>
        <v>&gt;</v>
      </c>
      <c r="J2264" s="1" t="s">
        <v>174</v>
      </c>
      <c r="M2264" s="66">
        <f>+O2263</f>
        <v>20.333333333333332</v>
      </c>
      <c r="N2264" s="66"/>
      <c r="O2264" s="66"/>
      <c r="P2264" s="1" t="s">
        <v>41</v>
      </c>
      <c r="R2264" s="8" t="str">
        <f>IF(ABS(D2264)&lt;ABS(M2264),"uygun.","uygun değil.")</f>
        <v>uygun değil.</v>
      </c>
      <c r="CC2264" s="7"/>
    </row>
    <row r="2265" spans="2:81" ht="12" thickBot="1">
      <c r="B2265" s="12"/>
      <c r="C2265" s="13"/>
      <c r="D2265" s="13"/>
      <c r="E2265" s="13"/>
      <c r="F2265" s="13"/>
      <c r="G2265" s="13"/>
      <c r="H2265" s="13"/>
      <c r="I2265" s="13"/>
      <c r="J2265" s="13"/>
      <c r="K2265" s="13"/>
      <c r="L2265" s="13"/>
      <c r="M2265" s="13"/>
      <c r="N2265" s="13"/>
      <c r="O2265" s="13"/>
      <c r="P2265" s="13"/>
      <c r="Q2265" s="1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  <c r="AK2265" s="13"/>
      <c r="AL2265" s="13"/>
      <c r="AM2265" s="13"/>
      <c r="AN2265" s="13"/>
      <c r="AO2265" s="13"/>
      <c r="AP2265" s="13"/>
      <c r="AQ2265" s="13"/>
      <c r="AR2265" s="13"/>
      <c r="AS2265" s="13"/>
      <c r="AT2265" s="13"/>
      <c r="AU2265" s="13"/>
      <c r="AV2265" s="13"/>
      <c r="AW2265" s="13"/>
      <c r="AX2265" s="13"/>
      <c r="AY2265" s="13"/>
      <c r="AZ2265" s="13"/>
      <c r="BA2265" s="13"/>
      <c r="BB2265" s="13"/>
      <c r="BC2265" s="13"/>
      <c r="BD2265" s="13"/>
      <c r="BE2265" s="13"/>
      <c r="BF2265" s="13"/>
      <c r="BG2265" s="13"/>
      <c r="BH2265" s="13"/>
      <c r="BI2265" s="13"/>
      <c r="BJ2265" s="13"/>
      <c r="BK2265" s="13"/>
      <c r="BL2265" s="13"/>
      <c r="BM2265" s="13"/>
      <c r="BN2265" s="13"/>
      <c r="BO2265" s="13"/>
      <c r="BP2265" s="13"/>
      <c r="BQ2265" s="13"/>
      <c r="BR2265" s="13"/>
      <c r="BS2265" s="13"/>
      <c r="BT2265" s="13"/>
      <c r="BU2265" s="13"/>
      <c r="BV2265" s="13"/>
      <c r="BW2265" s="13"/>
      <c r="BX2265" s="13"/>
      <c r="BY2265" s="13"/>
      <c r="BZ2265" s="13"/>
      <c r="CA2265" s="13"/>
      <c r="CB2265" s="13"/>
      <c r="CC2265" s="14"/>
    </row>
    <row r="2266" spans="2:81" ht="12" thickBot="1"/>
    <row r="2267" spans="2:81" ht="44.25" customHeight="1">
      <c r="B2267" s="73" t="s">
        <v>683</v>
      </c>
      <c r="C2267" s="74"/>
      <c r="D2267" s="74"/>
      <c r="E2267" s="74"/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/>
      <c r="Q2267" s="74"/>
      <c r="R2267" s="74"/>
      <c r="S2267" s="74"/>
      <c r="T2267" s="74"/>
      <c r="U2267" s="74"/>
      <c r="V2267" s="74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74"/>
      <c r="AK2267" s="74"/>
      <c r="AL2267" s="74"/>
      <c r="AM2267" s="74"/>
      <c r="AN2267" s="74"/>
      <c r="AO2267" s="74"/>
      <c r="AP2267" s="74"/>
      <c r="AQ2267" s="74"/>
      <c r="AR2267" s="74"/>
      <c r="AS2267" s="74"/>
      <c r="AT2267" s="74"/>
      <c r="AU2267" s="74"/>
      <c r="AV2267" s="74"/>
      <c r="AW2267" s="74"/>
      <c r="AX2267" s="74"/>
      <c r="AY2267" s="74"/>
      <c r="AZ2267" s="74"/>
      <c r="BA2267" s="74"/>
      <c r="BB2267" s="74"/>
      <c r="BC2267" s="74"/>
      <c r="BD2267" s="74"/>
      <c r="BE2267" s="74"/>
      <c r="BF2267" s="74"/>
      <c r="BG2267" s="74"/>
      <c r="BH2267" s="74"/>
      <c r="BI2267" s="74"/>
      <c r="BJ2267" s="74"/>
      <c r="BK2267" s="74"/>
      <c r="BL2267" s="74"/>
      <c r="BM2267" s="74"/>
      <c r="BN2267" s="74"/>
      <c r="BO2267" s="74"/>
      <c r="BP2267" s="74"/>
      <c r="BQ2267" s="74"/>
      <c r="BR2267" s="74"/>
      <c r="BS2267" s="74"/>
      <c r="BT2267" s="74"/>
      <c r="BU2267" s="74"/>
      <c r="BV2267" s="74"/>
      <c r="BW2267" s="74"/>
      <c r="BX2267" s="74"/>
      <c r="BY2267" s="74"/>
      <c r="BZ2267" s="74"/>
      <c r="CA2267" s="74"/>
      <c r="CB2267" s="74"/>
      <c r="CC2267" s="75"/>
    </row>
    <row r="2268" spans="2:81" ht="11.25" customHeight="1">
      <c r="B2268" s="6"/>
      <c r="O2268" s="8" t="s">
        <v>176</v>
      </c>
      <c r="CC2268" s="7"/>
    </row>
    <row r="2269" spans="2:81" ht="11.25" customHeight="1">
      <c r="B2269" s="6"/>
      <c r="X2269" s="1" t="s">
        <v>684</v>
      </c>
      <c r="AJ2269" s="1" t="s">
        <v>290</v>
      </c>
      <c r="CC2269" s="7"/>
    </row>
    <row r="2270" spans="2:81" ht="11.25" customHeight="1">
      <c r="B2270" s="6"/>
      <c r="W2270" s="67" t="s">
        <v>638</v>
      </c>
      <c r="X2270" s="67"/>
      <c r="Y2270" s="67"/>
      <c r="Z2270" s="67"/>
      <c r="AA2270" s="67"/>
      <c r="AB2270" s="67"/>
      <c r="CC2270" s="7"/>
    </row>
    <row r="2271" spans="2:81" ht="11.25" customHeight="1">
      <c r="B2271" s="6"/>
      <c r="G2271" s="1" t="s">
        <v>4</v>
      </c>
      <c r="P2271" s="67">
        <v>15</v>
      </c>
      <c r="Q2271" s="67"/>
      <c r="R2271" s="1" t="s">
        <v>187</v>
      </c>
      <c r="AF2271" s="1" t="s">
        <v>685</v>
      </c>
      <c r="CC2271" s="7"/>
    </row>
    <row r="2272" spans="2:81" ht="11.25" customHeight="1">
      <c r="B2272" s="6"/>
      <c r="CC2272" s="7"/>
    </row>
    <row r="2273" spans="2:81" ht="11.25" customHeight="1">
      <c r="B2273" s="6"/>
      <c r="CC2273" s="7"/>
    </row>
    <row r="2274" spans="2:81" ht="11.25" customHeight="1">
      <c r="B2274" s="6"/>
      <c r="L2274" s="10" t="s">
        <v>687</v>
      </c>
      <c r="CC2274" s="7"/>
    </row>
    <row r="2275" spans="2:81" ht="11.25" customHeight="1">
      <c r="B2275" s="6"/>
      <c r="AL2275" s="1" t="s">
        <v>38</v>
      </c>
      <c r="AN2275" s="67">
        <v>200000</v>
      </c>
      <c r="AO2275" s="67"/>
      <c r="AP2275" s="67"/>
      <c r="AQ2275" s="67"/>
      <c r="AR2275" s="1" t="s">
        <v>39</v>
      </c>
      <c r="AU2275" s="1" t="s">
        <v>689</v>
      </c>
      <c r="CC2275" s="7"/>
    </row>
    <row r="2276" spans="2:81">
      <c r="B2276" s="6"/>
      <c r="CC2276" s="7"/>
    </row>
    <row r="2277" spans="2:81">
      <c r="B2277" s="6"/>
      <c r="S2277" s="1" t="s">
        <v>710</v>
      </c>
      <c r="AR2277" s="23" t="s">
        <v>728</v>
      </c>
      <c r="BE2277" s="23" t="s">
        <v>729</v>
      </c>
      <c r="CC2277" s="7"/>
    </row>
    <row r="2278" spans="2:81">
      <c r="B2278" s="6"/>
      <c r="CC2278" s="7"/>
    </row>
    <row r="2279" spans="2:81">
      <c r="B2279" s="6"/>
      <c r="N2279" s="10" t="s">
        <v>690</v>
      </c>
      <c r="CC2279" s="7"/>
    </row>
    <row r="2280" spans="2:81">
      <c r="B2280" s="6"/>
      <c r="G2280" s="1" t="s">
        <v>581</v>
      </c>
      <c r="W2280" s="1" t="s">
        <v>691</v>
      </c>
      <c r="AF2280" s="1" t="s">
        <v>10</v>
      </c>
      <c r="CC2280" s="7"/>
    </row>
    <row r="2281" spans="2:81">
      <c r="B2281" s="6"/>
      <c r="V2281" s="67" t="s">
        <v>171</v>
      </c>
      <c r="W2281" s="67"/>
      <c r="X2281" s="67"/>
      <c r="Y2281" s="67"/>
      <c r="Z2281" s="67"/>
      <c r="AA2281" s="67"/>
      <c r="CC2281" s="7"/>
    </row>
    <row r="2282" spans="2:81">
      <c r="B2282" s="6"/>
      <c r="AO2282" s="71">
        <f>INDEX($CI$24:$CI$138,MATCH(V2281,$CG$24:$CG$138,0),0)</f>
        <v>600</v>
      </c>
      <c r="BB2282" s="71">
        <f>INDEX($CI$24:$CI$138,MATCH(W2270,$CG$24:$CG$138,0),0)</f>
        <v>300</v>
      </c>
      <c r="CC2282" s="7"/>
    </row>
    <row r="2283" spans="2:81">
      <c r="B2283" s="6"/>
      <c r="AO2283" s="71"/>
      <c r="AS2283" s="66">
        <f>INDEX($CK$24:$CK$138,MATCH(V2281,$CG$24:$CG$138,0),0)</f>
        <v>12</v>
      </c>
      <c r="AT2283" s="66"/>
      <c r="BB2283" s="71"/>
      <c r="BF2283" s="66">
        <f>INDEX($CK$24:$CK$138,MATCH(W2270,$CG$24:$CG$138,0),0)</f>
        <v>7.1</v>
      </c>
      <c r="BG2283" s="66"/>
      <c r="CC2283" s="7"/>
    </row>
    <row r="2284" spans="2:81">
      <c r="B2284" s="6"/>
      <c r="AO2284" s="71"/>
      <c r="BB2284" s="71"/>
      <c r="CC2284" s="7"/>
    </row>
    <row r="2285" spans="2:81">
      <c r="B2285" s="6"/>
      <c r="CC2285" s="7"/>
    </row>
    <row r="2286" spans="2:81">
      <c r="B2286" s="6"/>
      <c r="AV2286" s="66">
        <f>INDEX($CL$24:$CL$138,MATCH(V2281,$CG$24:$CG$138,0),0)</f>
        <v>19</v>
      </c>
      <c r="AW2286" s="66"/>
      <c r="BI2286" s="66">
        <f>INDEX($CL$24:$CL$138,MATCH(W2270,$CG$24:$CG$138,0),0)</f>
        <v>10.7</v>
      </c>
      <c r="BJ2286" s="66"/>
      <c r="CC2286" s="7"/>
    </row>
    <row r="2287" spans="2:81">
      <c r="B2287" s="6"/>
      <c r="H2287" s="66">
        <f>+M2292/2</f>
        <v>3</v>
      </c>
      <c r="I2287" s="66"/>
      <c r="J2287" s="1" t="s">
        <v>1</v>
      </c>
      <c r="CC2287" s="7"/>
    </row>
    <row r="2288" spans="2:81">
      <c r="B2288" s="6"/>
      <c r="CC2288" s="7"/>
    </row>
    <row r="2289" spans="2:81">
      <c r="B2289" s="6"/>
      <c r="AT2289" s="66">
        <f>INDEX($CJ$24:$CJ$138,MATCH(V2281,$CG$24:$CG$138,0),0)</f>
        <v>220</v>
      </c>
      <c r="AU2289" s="66"/>
      <c r="BG2289" s="66">
        <f>INDEX($CJ$24:$CJ$138,MATCH(W2270,$CG$24:$CG$138,0),0)</f>
        <v>150</v>
      </c>
      <c r="BH2289" s="66"/>
      <c r="CC2289" s="7"/>
    </row>
    <row r="2290" spans="2:81">
      <c r="B2290" s="6"/>
      <c r="CC2290" s="7"/>
    </row>
    <row r="2291" spans="2:81">
      <c r="B2291" s="6"/>
      <c r="AP2291" s="10" t="s">
        <v>686</v>
      </c>
      <c r="AR2291" s="66">
        <f>INDEX($CM$24:$CM$138,MATCH(V2281,$CG$24:$CG$138,0),0)</f>
        <v>92080</v>
      </c>
      <c r="AS2291" s="66"/>
      <c r="AT2291" s="66"/>
      <c r="AU2291" s="66"/>
      <c r="AV2291" s="1" t="s">
        <v>37</v>
      </c>
      <c r="BD2291" s="10" t="s">
        <v>688</v>
      </c>
      <c r="BF2291" s="66">
        <f>INDEX($CM$24:$CM$138,MATCH(W2270,$CG$24:$CG$138,0),0)</f>
        <v>8360</v>
      </c>
      <c r="BG2291" s="66"/>
      <c r="BH2291" s="66"/>
      <c r="BI2291" s="66"/>
      <c r="BJ2291" s="1" t="s">
        <v>37</v>
      </c>
      <c r="CC2291" s="7"/>
    </row>
    <row r="2292" spans="2:81">
      <c r="B2292" s="6"/>
      <c r="M2292" s="67">
        <v>6</v>
      </c>
      <c r="N2292" s="67"/>
      <c r="O2292" s="1" t="s">
        <v>1</v>
      </c>
      <c r="U2292" s="66">
        <f>+M2292/2</f>
        <v>3</v>
      </c>
      <c r="V2292" s="66"/>
      <c r="W2292" s="1" t="s">
        <v>1</v>
      </c>
      <c r="CC2292" s="7"/>
    </row>
    <row r="2293" spans="2:81">
      <c r="B2293" s="6"/>
      <c r="CC2293" s="7"/>
    </row>
    <row r="2294" spans="2:81">
      <c r="B2294" s="6"/>
      <c r="AE2294" s="66">
        <f>+Z2299/2</f>
        <v>2.5</v>
      </c>
      <c r="AF2294" s="66"/>
      <c r="AG2294" s="1" t="s">
        <v>1</v>
      </c>
      <c r="CC2294" s="7"/>
    </row>
    <row r="2295" spans="2:81">
      <c r="B2295" s="6"/>
      <c r="CC2295" s="7"/>
    </row>
    <row r="2296" spans="2:81">
      <c r="B2296" s="6"/>
      <c r="CC2296" s="7"/>
    </row>
    <row r="2297" spans="2:81">
      <c r="B2297" s="6"/>
      <c r="CC2297" s="7"/>
    </row>
    <row r="2298" spans="2:81">
      <c r="B2298" s="6"/>
      <c r="S2298" s="66">
        <f>+Z2299/2</f>
        <v>2.5</v>
      </c>
      <c r="T2298" s="66"/>
      <c r="U2298" s="1" t="s">
        <v>1</v>
      </c>
      <c r="CC2298" s="7"/>
    </row>
    <row r="2299" spans="2:81">
      <c r="B2299" s="6"/>
      <c r="Z2299" s="67">
        <v>5</v>
      </c>
      <c r="AA2299" s="67"/>
      <c r="AB2299" s="1" t="s">
        <v>1</v>
      </c>
      <c r="CC2299" s="7"/>
    </row>
    <row r="2300" spans="2:81">
      <c r="B2300" s="6"/>
      <c r="CC2300" s="7"/>
    </row>
    <row r="2301" spans="2:81">
      <c r="B2301" s="6"/>
      <c r="CC2301" s="7"/>
    </row>
    <row r="2302" spans="2:81">
      <c r="B2302" s="6"/>
      <c r="CC2302" s="7"/>
    </row>
    <row r="2303" spans="2:81">
      <c r="B2303" s="6"/>
      <c r="CC2303" s="7"/>
    </row>
    <row r="2304" spans="2:81">
      <c r="B2304" s="6"/>
      <c r="CC2304" s="7"/>
    </row>
    <row r="2305" spans="2:81">
      <c r="B2305" s="6"/>
      <c r="CC2305" s="7"/>
    </row>
    <row r="2306" spans="2:81">
      <c r="B2306" s="6"/>
      <c r="O2306" s="66">
        <f>+P2271</f>
        <v>15</v>
      </c>
      <c r="P2306" s="66"/>
      <c r="Q2306" s="1" t="s">
        <v>187</v>
      </c>
      <c r="CC2306" s="7"/>
    </row>
    <row r="2307" spans="2:81">
      <c r="B2307" s="6"/>
      <c r="CC2307" s="7"/>
    </row>
    <row r="2308" spans="2:81">
      <c r="B2308" s="6"/>
      <c r="CC2308" s="7"/>
    </row>
    <row r="2309" spans="2:81">
      <c r="B2309" s="6"/>
      <c r="F2309" s="1" t="s">
        <v>4</v>
      </c>
      <c r="AA2309" s="9" t="s">
        <v>10</v>
      </c>
      <c r="CC2309" s="7"/>
    </row>
    <row r="2310" spans="2:81">
      <c r="B2310" s="6"/>
      <c r="L2310" s="10" t="s">
        <v>687</v>
      </c>
      <c r="P2310" s="1" t="s">
        <v>710</v>
      </c>
      <c r="U2310" s="10" t="s">
        <v>687</v>
      </c>
      <c r="CC2310" s="7"/>
    </row>
    <row r="2311" spans="2:81">
      <c r="B2311" s="6"/>
      <c r="J2311" s="1" t="s">
        <v>505</v>
      </c>
      <c r="T2311" s="1" t="s">
        <v>504</v>
      </c>
      <c r="CC2311" s="7"/>
    </row>
    <row r="2312" spans="2:81">
      <c r="B2312" s="6"/>
      <c r="N2312" s="1" t="s">
        <v>692</v>
      </c>
      <c r="O2312" s="66">
        <f>-E2368</f>
        <v>8.4281689729472831</v>
      </c>
      <c r="P2312" s="66"/>
      <c r="Q2312" s="66"/>
      <c r="R2312" s="1" t="s">
        <v>0</v>
      </c>
      <c r="CC2312" s="7"/>
    </row>
    <row r="2313" spans="2:81">
      <c r="B2313" s="6"/>
      <c r="J2313" s="1" t="s">
        <v>13</v>
      </c>
      <c r="T2313" s="1" t="s">
        <v>428</v>
      </c>
      <c r="CC2313" s="7"/>
    </row>
    <row r="2314" spans="2:81">
      <c r="B2314" s="6"/>
      <c r="E2314" s="1" t="s">
        <v>2</v>
      </c>
      <c r="F2314" s="66">
        <f>+W2375</f>
        <v>45.561877931529821</v>
      </c>
      <c r="G2314" s="66"/>
      <c r="H2314" s="66"/>
      <c r="I2314" s="1" t="s">
        <v>0</v>
      </c>
      <c r="Y2314" s="1" t="s">
        <v>3</v>
      </c>
      <c r="Z2314" s="66">
        <f>+E2376</f>
        <v>45.561877931529821</v>
      </c>
      <c r="AA2314" s="66"/>
      <c r="AB2314" s="66"/>
      <c r="AC2314" s="1" t="s">
        <v>0</v>
      </c>
      <c r="CC2314" s="7"/>
    </row>
    <row r="2315" spans="2:81">
      <c r="B2315" s="6"/>
      <c r="K2315" s="66">
        <f>+P2317/2</f>
        <v>3</v>
      </c>
      <c r="L2315" s="66"/>
      <c r="M2315" s="1" t="s">
        <v>1</v>
      </c>
      <c r="U2315" s="66">
        <f>+P2317/2</f>
        <v>3</v>
      </c>
      <c r="V2315" s="66"/>
      <c r="W2315" s="1" t="s">
        <v>1</v>
      </c>
      <c r="CC2315" s="7"/>
    </row>
    <row r="2316" spans="2:81">
      <c r="B2316" s="6"/>
      <c r="CC2316" s="7"/>
    </row>
    <row r="2317" spans="2:81">
      <c r="B2317" s="6"/>
      <c r="P2317" s="66">
        <f>+M2292</f>
        <v>6</v>
      </c>
      <c r="Q2317" s="66"/>
      <c r="R2317" s="1" t="s">
        <v>1</v>
      </c>
      <c r="CC2317" s="7"/>
    </row>
    <row r="2318" spans="2:81">
      <c r="B2318" s="6"/>
      <c r="CC2318" s="7"/>
    </row>
    <row r="2319" spans="2:81">
      <c r="B2319" s="6"/>
      <c r="C2319" s="23" t="s">
        <v>223</v>
      </c>
      <c r="CC2319" s="7"/>
    </row>
    <row r="2320" spans="2:81">
      <c r="B2320" s="6"/>
      <c r="C2320" s="1" t="s">
        <v>693</v>
      </c>
      <c r="CC2320" s="7"/>
    </row>
    <row r="2321" spans="2:81">
      <c r="B2321" s="6"/>
      <c r="C2321" s="1" t="s">
        <v>4</v>
      </c>
      <c r="D2321" s="9" t="s">
        <v>5</v>
      </c>
      <c r="E2321" s="66">
        <f>+P2317</f>
        <v>6</v>
      </c>
      <c r="F2321" s="66"/>
      <c r="G2321" s="9" t="s">
        <v>9</v>
      </c>
      <c r="H2321" s="9" t="s">
        <v>694</v>
      </c>
      <c r="I2321" s="9" t="s">
        <v>5</v>
      </c>
      <c r="J2321" s="66">
        <f>+U2315</f>
        <v>3</v>
      </c>
      <c r="K2321" s="66"/>
      <c r="L2321" s="9" t="s">
        <v>6</v>
      </c>
      <c r="M2321" s="66">
        <f>+O2306</f>
        <v>15</v>
      </c>
      <c r="N2321" s="66"/>
      <c r="O2321" s="9" t="s">
        <v>5</v>
      </c>
      <c r="P2321" s="66">
        <f>+P2317</f>
        <v>6</v>
      </c>
      <c r="Q2321" s="66"/>
      <c r="R2321" s="9" t="s">
        <v>5</v>
      </c>
      <c r="S2321" s="66">
        <f>+P2321/2</f>
        <v>3</v>
      </c>
      <c r="T2321" s="66"/>
      <c r="U2321" s="9" t="s">
        <v>7</v>
      </c>
      <c r="V2321" s="9">
        <v>0</v>
      </c>
      <c r="CC2321" s="7"/>
    </row>
    <row r="2322" spans="2:81">
      <c r="B2322" s="6"/>
      <c r="C2322" s="1" t="s">
        <v>4</v>
      </c>
      <c r="D2322" s="1" t="s">
        <v>695</v>
      </c>
      <c r="E2322" s="66">
        <f>+M2321*P2321*S2321</f>
        <v>270</v>
      </c>
      <c r="F2322" s="66"/>
      <c r="G2322" s="9" t="s">
        <v>6</v>
      </c>
      <c r="H2322" s="9" t="s">
        <v>694</v>
      </c>
      <c r="I2322" s="9" t="s">
        <v>5</v>
      </c>
      <c r="J2322" s="66">
        <f>+J2321</f>
        <v>3</v>
      </c>
      <c r="K2322" s="66"/>
      <c r="L2322" s="1" t="s">
        <v>287</v>
      </c>
      <c r="M2322" s="66">
        <f>+E2321</f>
        <v>6</v>
      </c>
      <c r="N2322" s="66"/>
      <c r="O2322" s="9" t="s">
        <v>7</v>
      </c>
      <c r="P2322" s="66">
        <f>+E2322/M2322</f>
        <v>45</v>
      </c>
      <c r="Q2322" s="66"/>
      <c r="R2322" s="9" t="s">
        <v>6</v>
      </c>
      <c r="S2322" s="9" t="s">
        <v>694</v>
      </c>
      <c r="T2322" s="9" t="s">
        <v>5</v>
      </c>
      <c r="U2322" s="66">
        <f>+J2322/P2322</f>
        <v>6.6666666666666666E-2</v>
      </c>
      <c r="V2322" s="66"/>
      <c r="CC2322" s="7"/>
    </row>
    <row r="2323" spans="2:81">
      <c r="B2323" s="6"/>
      <c r="C2323" s="24" t="s">
        <v>696</v>
      </c>
      <c r="CC2323" s="7"/>
    </row>
    <row r="2324" spans="2:81">
      <c r="B2324" s="6"/>
      <c r="C2324" s="1" t="s">
        <v>697</v>
      </c>
      <c r="E2324" s="66">
        <f>+P2322</f>
        <v>45</v>
      </c>
      <c r="F2324" s="66"/>
      <c r="G2324" s="9" t="s">
        <v>6</v>
      </c>
      <c r="H2324" s="9" t="s">
        <v>694</v>
      </c>
      <c r="I2324" s="9" t="s">
        <v>5</v>
      </c>
      <c r="J2324" s="66">
        <f>+U2322</f>
        <v>6.6666666666666666E-2</v>
      </c>
      <c r="K2324" s="66"/>
      <c r="L2324" s="1" t="s">
        <v>519</v>
      </c>
      <c r="M2324" s="9" t="s">
        <v>13</v>
      </c>
      <c r="N2324" s="9" t="s">
        <v>6</v>
      </c>
      <c r="O2324" s="66">
        <f>+O2306</f>
        <v>15</v>
      </c>
      <c r="P2324" s="66"/>
      <c r="Q2324" s="9" t="s">
        <v>5</v>
      </c>
      <c r="R2324" s="1" t="s">
        <v>183</v>
      </c>
      <c r="S2324" s="1" t="s">
        <v>173</v>
      </c>
      <c r="T2324" s="1">
        <v>2</v>
      </c>
      <c r="Y2324" s="9"/>
      <c r="AN2324" s="9"/>
      <c r="CC2324" s="7"/>
    </row>
    <row r="2325" spans="2:81">
      <c r="B2325" s="6"/>
      <c r="C2325" s="1" t="s">
        <v>698</v>
      </c>
      <c r="E2325" s="66">
        <f>+E2324</f>
        <v>45</v>
      </c>
      <c r="F2325" s="66"/>
      <c r="G2325" s="9" t="s">
        <v>6</v>
      </c>
      <c r="H2325" s="9" t="s">
        <v>694</v>
      </c>
      <c r="I2325" s="9" t="s">
        <v>5</v>
      </c>
      <c r="J2325" s="66">
        <f>+J2324</f>
        <v>6.6666666666666666E-2</v>
      </c>
      <c r="K2325" s="66"/>
      <c r="L2325" s="1" t="s">
        <v>519</v>
      </c>
      <c r="M2325" s="9" t="s">
        <v>183</v>
      </c>
      <c r="N2325" s="1" t="s">
        <v>173</v>
      </c>
      <c r="O2325" s="1">
        <v>2</v>
      </c>
      <c r="P2325" s="9" t="s">
        <v>6</v>
      </c>
      <c r="Q2325" s="66">
        <f>+O2324</f>
        <v>15</v>
      </c>
      <c r="R2325" s="66"/>
      <c r="S2325" s="9" t="s">
        <v>5</v>
      </c>
      <c r="T2325" s="1" t="s">
        <v>184</v>
      </c>
      <c r="U2325" s="1" t="s">
        <v>173</v>
      </c>
      <c r="V2325" s="1">
        <v>6</v>
      </c>
      <c r="W2325" s="9" t="s">
        <v>9</v>
      </c>
      <c r="X2325" s="1" t="s">
        <v>24</v>
      </c>
      <c r="AD2325" s="9"/>
      <c r="AW2325" s="9"/>
      <c r="CC2325" s="7"/>
    </row>
    <row r="2326" spans="2:81">
      <c r="B2326" s="6"/>
      <c r="C2326" s="1" t="s">
        <v>699</v>
      </c>
      <c r="E2326" s="66">
        <f>+E2325</f>
        <v>45</v>
      </c>
      <c r="F2326" s="66"/>
      <c r="G2326" s="9" t="s">
        <v>6</v>
      </c>
      <c r="H2326" s="9" t="s">
        <v>694</v>
      </c>
      <c r="I2326" s="9" t="s">
        <v>5</v>
      </c>
      <c r="J2326" s="66">
        <f>+J2325</f>
        <v>6.6666666666666666E-2</v>
      </c>
      <c r="K2326" s="66"/>
      <c r="L2326" s="1" t="s">
        <v>519</v>
      </c>
      <c r="M2326" s="1" t="s">
        <v>184</v>
      </c>
      <c r="N2326" s="1" t="s">
        <v>173</v>
      </c>
      <c r="O2326" s="1">
        <v>6</v>
      </c>
      <c r="P2326" s="9" t="s">
        <v>6</v>
      </c>
      <c r="Q2326" s="66">
        <f>+Q2325</f>
        <v>15</v>
      </c>
      <c r="R2326" s="66"/>
      <c r="S2326" s="9" t="s">
        <v>5</v>
      </c>
      <c r="T2326" s="1" t="s">
        <v>185</v>
      </c>
      <c r="U2326" s="1" t="s">
        <v>173</v>
      </c>
      <c r="V2326" s="66">
        <v>24</v>
      </c>
      <c r="W2326" s="66"/>
      <c r="X2326" s="9" t="s">
        <v>9</v>
      </c>
      <c r="Y2326" s="1" t="s">
        <v>24</v>
      </c>
      <c r="Z2326" s="9" t="s">
        <v>5</v>
      </c>
      <c r="AA2326" s="9" t="s">
        <v>13</v>
      </c>
      <c r="AB2326" s="9" t="s">
        <v>9</v>
      </c>
      <c r="AC2326" s="1" t="s">
        <v>307</v>
      </c>
      <c r="CC2326" s="7"/>
    </row>
    <row r="2327" spans="2:81">
      <c r="B2327" s="6"/>
      <c r="C2327" s="24" t="s">
        <v>700</v>
      </c>
      <c r="O2327" s="9"/>
      <c r="CC2327" s="7"/>
    </row>
    <row r="2328" spans="2:81">
      <c r="B2328" s="6"/>
      <c r="C2328" s="1" t="s">
        <v>701</v>
      </c>
      <c r="E2328" s="66">
        <f>+P2322</f>
        <v>45</v>
      </c>
      <c r="F2328" s="66"/>
      <c r="G2328" s="9" t="s">
        <v>6</v>
      </c>
      <c r="H2328" s="9" t="s">
        <v>694</v>
      </c>
      <c r="I2328" s="9" t="s">
        <v>5</v>
      </c>
      <c r="J2328" s="66">
        <f>+U2322</f>
        <v>6.6666666666666666E-2</v>
      </c>
      <c r="K2328" s="66"/>
      <c r="L2328" s="1" t="s">
        <v>216</v>
      </c>
      <c r="M2328" s="66">
        <f>+K2315</f>
        <v>3</v>
      </c>
      <c r="N2328" s="66"/>
      <c r="O2328" s="9" t="s">
        <v>9</v>
      </c>
      <c r="P2328" s="9" t="s">
        <v>428</v>
      </c>
      <c r="Q2328" s="1" t="s">
        <v>16</v>
      </c>
      <c r="R2328" s="66">
        <f>+O2306</f>
        <v>15</v>
      </c>
      <c r="S2328" s="66"/>
      <c r="T2328" s="9" t="s">
        <v>5</v>
      </c>
      <c r="U2328" s="66">
        <f>+K2315</f>
        <v>3</v>
      </c>
      <c r="V2328" s="66"/>
      <c r="W2328" s="1" t="s">
        <v>14</v>
      </c>
      <c r="X2328" s="66">
        <f>+K2315/2</f>
        <v>1.5</v>
      </c>
      <c r="Y2328" s="66"/>
      <c r="Z2328" s="9" t="s">
        <v>9</v>
      </c>
      <c r="AA2328" s="9" t="s">
        <v>428</v>
      </c>
      <c r="AB2328" s="1" t="s">
        <v>16</v>
      </c>
      <c r="AC2328" s="66">
        <f>+O2306</f>
        <v>15</v>
      </c>
      <c r="AD2328" s="66"/>
      <c r="AE2328" s="9" t="s">
        <v>5</v>
      </c>
      <c r="AF2328" s="1" t="s">
        <v>443</v>
      </c>
      <c r="AG2328" s="1" t="s">
        <v>173</v>
      </c>
      <c r="AH2328" s="1">
        <v>2</v>
      </c>
      <c r="AI2328" s="9" t="s">
        <v>9</v>
      </c>
      <c r="AJ2328" s="9" t="s">
        <v>694</v>
      </c>
      <c r="AK2328" s="9" t="s">
        <v>5</v>
      </c>
      <c r="AL2328" s="9" t="s">
        <v>428</v>
      </c>
      <c r="CC2328" s="7"/>
    </row>
    <row r="2329" spans="2:81">
      <c r="B2329" s="6"/>
      <c r="C2329" s="1" t="s">
        <v>702</v>
      </c>
      <c r="E2329" s="66">
        <f>+E2328</f>
        <v>45</v>
      </c>
      <c r="F2329" s="66"/>
      <c r="G2329" s="9" t="s">
        <v>6</v>
      </c>
      <c r="H2329" s="9" t="s">
        <v>694</v>
      </c>
      <c r="I2329" s="9" t="s">
        <v>5</v>
      </c>
      <c r="J2329" s="66">
        <f>+J2328</f>
        <v>6.6666666666666666E-2</v>
      </c>
      <c r="K2329" s="66"/>
      <c r="L2329" s="1" t="s">
        <v>216</v>
      </c>
      <c r="M2329" s="66">
        <f>+M2328</f>
        <v>3</v>
      </c>
      <c r="N2329" s="66"/>
      <c r="O2329" s="9" t="s">
        <v>9</v>
      </c>
      <c r="P2329" s="9" t="s">
        <v>428</v>
      </c>
      <c r="Q2329" s="1" t="s">
        <v>200</v>
      </c>
      <c r="R2329" s="1" t="s">
        <v>173</v>
      </c>
      <c r="S2329" s="1">
        <v>2</v>
      </c>
      <c r="T2329" s="9" t="s">
        <v>6</v>
      </c>
      <c r="U2329" s="66">
        <f>+R2328*U2328</f>
        <v>45</v>
      </c>
      <c r="V2329" s="66"/>
      <c r="W2329" s="1" t="s">
        <v>14</v>
      </c>
      <c r="X2329" s="66">
        <f>+X2328</f>
        <v>1.5</v>
      </c>
      <c r="Y2329" s="66"/>
      <c r="Z2329" s="9" t="s">
        <v>9</v>
      </c>
      <c r="AA2329" s="9" t="s">
        <v>428</v>
      </c>
      <c r="AB2329" s="1" t="s">
        <v>200</v>
      </c>
      <c r="AC2329" s="1" t="s">
        <v>173</v>
      </c>
      <c r="AD2329" s="1">
        <v>2</v>
      </c>
      <c r="AE2329" s="9" t="s">
        <v>6</v>
      </c>
      <c r="AF2329" s="66">
        <f>+AC2328</f>
        <v>15</v>
      </c>
      <c r="AG2329" s="66"/>
      <c r="AH2329" s="9" t="s">
        <v>5</v>
      </c>
      <c r="AI2329" s="1" t="s">
        <v>444</v>
      </c>
      <c r="AJ2329" s="1" t="s">
        <v>173</v>
      </c>
      <c r="AK2329" s="1">
        <v>6</v>
      </c>
      <c r="AL2329" s="9" t="s">
        <v>9</v>
      </c>
      <c r="AM2329" s="9" t="s">
        <v>694</v>
      </c>
      <c r="AN2329" s="9" t="s">
        <v>5</v>
      </c>
      <c r="AO2329" s="1" t="s">
        <v>443</v>
      </c>
      <c r="AP2329" s="1" t="s">
        <v>173</v>
      </c>
      <c r="AQ2329" s="1">
        <v>2</v>
      </c>
      <c r="AR2329" s="9" t="s">
        <v>9</v>
      </c>
      <c r="AS2329" s="1" t="s">
        <v>313</v>
      </c>
      <c r="BK2329" s="9"/>
      <c r="BQ2329" s="9"/>
      <c r="CC2329" s="7"/>
    </row>
    <row r="2330" spans="2:81">
      <c r="B2330" s="6"/>
      <c r="C2330" s="1" t="s">
        <v>703</v>
      </c>
      <c r="E2330" s="66">
        <f>+E2329</f>
        <v>45</v>
      </c>
      <c r="F2330" s="66"/>
      <c r="G2330" s="9" t="s">
        <v>6</v>
      </c>
      <c r="H2330" s="9" t="s">
        <v>694</v>
      </c>
      <c r="I2330" s="9" t="s">
        <v>5</v>
      </c>
      <c r="J2330" s="66">
        <f>+J2329</f>
        <v>6.6666666666666666E-2</v>
      </c>
      <c r="K2330" s="66"/>
      <c r="L2330" s="1" t="s">
        <v>216</v>
      </c>
      <c r="M2330" s="66">
        <f>+M2329</f>
        <v>3</v>
      </c>
      <c r="N2330" s="66"/>
      <c r="O2330" s="9" t="s">
        <v>9</v>
      </c>
      <c r="P2330" s="9" t="s">
        <v>428</v>
      </c>
      <c r="Q2330" s="1" t="s">
        <v>311</v>
      </c>
      <c r="R2330" s="1" t="s">
        <v>173</v>
      </c>
      <c r="S2330" s="1">
        <v>6</v>
      </c>
      <c r="T2330" s="9" t="s">
        <v>6</v>
      </c>
      <c r="U2330" s="66">
        <f>+U2329</f>
        <v>45</v>
      </c>
      <c r="V2330" s="66"/>
      <c r="W2330" s="1" t="s">
        <v>14</v>
      </c>
      <c r="X2330" s="66">
        <f>+X2329</f>
        <v>1.5</v>
      </c>
      <c r="Y2330" s="66"/>
      <c r="Z2330" s="9" t="s">
        <v>9</v>
      </c>
      <c r="AA2330" s="9" t="s">
        <v>428</v>
      </c>
      <c r="AB2330" s="1" t="s">
        <v>311</v>
      </c>
      <c r="AC2330" s="1" t="s">
        <v>173</v>
      </c>
      <c r="AD2330" s="1">
        <v>6</v>
      </c>
      <c r="AE2330" s="9" t="s">
        <v>6</v>
      </c>
      <c r="AF2330" s="66">
        <f>+AF2329</f>
        <v>15</v>
      </c>
      <c r="AG2330" s="66"/>
      <c r="AH2330" s="9" t="s">
        <v>5</v>
      </c>
      <c r="AI2330" s="1" t="s">
        <v>445</v>
      </c>
      <c r="AJ2330" s="1" t="s">
        <v>173</v>
      </c>
      <c r="AK2330" s="66">
        <v>24</v>
      </c>
      <c r="AL2330" s="66"/>
      <c r="AM2330" s="9" t="s">
        <v>9</v>
      </c>
      <c r="AN2330" s="9" t="s">
        <v>694</v>
      </c>
      <c r="AO2330" s="9" t="s">
        <v>5</v>
      </c>
      <c r="AP2330" s="1" t="s">
        <v>444</v>
      </c>
      <c r="AQ2330" s="1" t="s">
        <v>173</v>
      </c>
      <c r="AR2330" s="1">
        <v>6</v>
      </c>
      <c r="AS2330" s="9" t="s">
        <v>9</v>
      </c>
      <c r="AT2330" s="1" t="s">
        <v>313</v>
      </c>
      <c r="AU2330" s="9" t="s">
        <v>5</v>
      </c>
      <c r="AV2330" s="9" t="s">
        <v>428</v>
      </c>
      <c r="AW2330" s="9" t="s">
        <v>9</v>
      </c>
      <c r="AX2330" s="1" t="s">
        <v>315</v>
      </c>
      <c r="CC2330" s="7"/>
    </row>
    <row r="2331" spans="2:81">
      <c r="B2331" s="6"/>
      <c r="C2331" s="24" t="s">
        <v>318</v>
      </c>
      <c r="CC2331" s="7"/>
    </row>
    <row r="2332" spans="2:81">
      <c r="B2332" s="6"/>
      <c r="C2332" s="1" t="s">
        <v>319</v>
      </c>
      <c r="I2332" s="1" t="s">
        <v>411</v>
      </c>
      <c r="O2332" s="9"/>
      <c r="CC2332" s="7"/>
    </row>
    <row r="2333" spans="2:81">
      <c r="B2333" s="6"/>
      <c r="C2333" s="1" t="s">
        <v>453</v>
      </c>
      <c r="I2333" s="1" t="s">
        <v>518</v>
      </c>
      <c r="J2333" s="66">
        <f>+E2330</f>
        <v>45</v>
      </c>
      <c r="K2333" s="66"/>
      <c r="L2333" s="9" t="s">
        <v>6</v>
      </c>
      <c r="M2333" s="1" t="s">
        <v>694</v>
      </c>
      <c r="N2333" s="9" t="s">
        <v>5</v>
      </c>
      <c r="O2333" s="66">
        <f>+J2330</f>
        <v>6.6666666666666666E-2</v>
      </c>
      <c r="P2333" s="66"/>
      <c r="Q2333" s="1" t="s">
        <v>216</v>
      </c>
      <c r="R2333" s="66">
        <f>+M2330</f>
        <v>3</v>
      </c>
      <c r="S2333" s="66"/>
      <c r="T2333" s="9" t="s">
        <v>9</v>
      </c>
      <c r="U2333" s="66">
        <f>+U2315</f>
        <v>3</v>
      </c>
      <c r="V2333" s="66"/>
      <c r="W2333" s="1" t="s">
        <v>311</v>
      </c>
      <c r="X2333" s="1" t="s">
        <v>173</v>
      </c>
      <c r="Y2333" s="1">
        <v>6</v>
      </c>
      <c r="Z2333" s="9" t="s">
        <v>6</v>
      </c>
      <c r="AA2333" s="66">
        <f>+U2330</f>
        <v>45</v>
      </c>
      <c r="AB2333" s="66"/>
      <c r="AC2333" s="1" t="s">
        <v>14</v>
      </c>
      <c r="AD2333" s="66">
        <f>+X2330</f>
        <v>1.5</v>
      </c>
      <c r="AE2333" s="66"/>
      <c r="AF2333" s="9" t="s">
        <v>9</v>
      </c>
      <c r="AG2333" s="66">
        <f>+U2333</f>
        <v>3</v>
      </c>
      <c r="AH2333" s="66"/>
      <c r="AI2333" s="1" t="s">
        <v>311</v>
      </c>
      <c r="AJ2333" s="1" t="s">
        <v>173</v>
      </c>
      <c r="AK2333" s="1">
        <v>6</v>
      </c>
      <c r="AL2333" s="9" t="s">
        <v>6</v>
      </c>
      <c r="AM2333" s="66">
        <f>+AF2330</f>
        <v>15</v>
      </c>
      <c r="AN2333" s="66"/>
      <c r="AO2333" s="9" t="s">
        <v>5</v>
      </c>
      <c r="AP2333" s="66">
        <f>+AG2333</f>
        <v>3</v>
      </c>
      <c r="AQ2333" s="66"/>
      <c r="AR2333" s="1" t="s">
        <v>186</v>
      </c>
      <c r="AS2333" s="66">
        <v>24</v>
      </c>
      <c r="AT2333" s="66"/>
      <c r="AU2333" s="9" t="s">
        <v>9</v>
      </c>
      <c r="AV2333" s="9" t="s">
        <v>694</v>
      </c>
      <c r="AW2333" s="9" t="s">
        <v>5</v>
      </c>
      <c r="AX2333" s="66">
        <f>+AP2333</f>
        <v>3</v>
      </c>
      <c r="AY2333" s="66"/>
      <c r="AZ2333" s="1" t="s">
        <v>30</v>
      </c>
      <c r="BA2333" s="1">
        <v>6</v>
      </c>
      <c r="BB2333" s="9" t="s">
        <v>9</v>
      </c>
      <c r="BC2333" s="1" t="s">
        <v>313</v>
      </c>
      <c r="BD2333" s="9" t="s">
        <v>5</v>
      </c>
      <c r="BE2333" s="66">
        <f>+AX2333</f>
        <v>3</v>
      </c>
      <c r="BF2333" s="66"/>
      <c r="BG2333" s="9" t="s">
        <v>9</v>
      </c>
      <c r="BH2333" s="1" t="s">
        <v>315</v>
      </c>
      <c r="BI2333" s="9" t="s">
        <v>7</v>
      </c>
      <c r="BJ2333" s="9">
        <v>0</v>
      </c>
      <c r="CC2333" s="7"/>
    </row>
    <row r="2334" spans="2:81">
      <c r="B2334" s="6"/>
      <c r="I2334" s="58" t="s">
        <v>313</v>
      </c>
      <c r="J2334" s="48" t="s">
        <v>5</v>
      </c>
      <c r="K2334" s="68">
        <f>+BE2333</f>
        <v>3</v>
      </c>
      <c r="L2334" s="68"/>
      <c r="M2334" s="48" t="s">
        <v>9</v>
      </c>
      <c r="N2334" s="49" t="s">
        <v>315</v>
      </c>
      <c r="O2334" s="48" t="s">
        <v>9</v>
      </c>
      <c r="P2334" s="48" t="s">
        <v>694</v>
      </c>
      <c r="Q2334" s="48" t="s">
        <v>5</v>
      </c>
      <c r="R2334" s="68">
        <f>-(R2333+U2333)^3/Y2333*O2333+AX2333^3/BA2333</f>
        <v>2.1</v>
      </c>
      <c r="S2334" s="68"/>
      <c r="T2334" s="48" t="s">
        <v>9</v>
      </c>
      <c r="U2334" s="68">
        <f>(R2333+U2333)^3/Y2333*J2333-AA2333*(AD2333+AG2333)^3/AK2333-AM2333*AP2333^4/AS2333</f>
        <v>885.9375</v>
      </c>
      <c r="V2334" s="68"/>
      <c r="W2334" s="68"/>
      <c r="X2334" s="48" t="s">
        <v>7</v>
      </c>
      <c r="Y2334" s="59">
        <v>0</v>
      </c>
      <c r="AA2334" s="1" t="s">
        <v>438</v>
      </c>
      <c r="AE2334" s="9"/>
      <c r="AF2334" s="9"/>
      <c r="AG2334" s="9"/>
      <c r="AH2334" s="9"/>
      <c r="AL2334" s="9"/>
      <c r="AM2334" s="9"/>
      <c r="AN2334" s="9"/>
      <c r="AO2334" s="9"/>
      <c r="AP2334" s="9"/>
      <c r="AQ2334" s="9"/>
      <c r="AS2334" s="9"/>
      <c r="AT2334" s="9"/>
      <c r="AU2334" s="9"/>
      <c r="AV2334" s="9"/>
      <c r="AW2334" s="9"/>
      <c r="AX2334" s="9"/>
      <c r="AY2334" s="9"/>
      <c r="BB2334" s="9"/>
      <c r="BD2334" s="9"/>
      <c r="BE2334" s="9"/>
      <c r="BF2334" s="9"/>
      <c r="BG2334" s="9"/>
      <c r="BI2334" s="9"/>
      <c r="BJ2334" s="9"/>
      <c r="BP2334" s="9"/>
      <c r="BQ2334" s="9"/>
      <c r="BR2334" s="9"/>
      <c r="BS2334" s="9"/>
      <c r="BU2334" s="9"/>
      <c r="BV2334" s="9"/>
      <c r="BW2334" s="9"/>
      <c r="BX2334" s="9"/>
      <c r="BY2334" s="9"/>
      <c r="BZ2334" s="9"/>
      <c r="CA2334" s="9"/>
      <c r="CB2334" s="9"/>
      <c r="CC2334" s="41"/>
    </row>
    <row r="2335" spans="2:81">
      <c r="B2335" s="6"/>
      <c r="C2335" s="1" t="s">
        <v>704</v>
      </c>
      <c r="G2335" s="66">
        <f>+E2326</f>
        <v>45</v>
      </c>
      <c r="H2335" s="66"/>
      <c r="I2335" s="9" t="s">
        <v>6</v>
      </c>
      <c r="J2335" s="1" t="s">
        <v>694</v>
      </c>
      <c r="K2335" s="9" t="s">
        <v>5</v>
      </c>
      <c r="L2335" s="66">
        <f>+J2326</f>
        <v>6.6666666666666666E-2</v>
      </c>
      <c r="M2335" s="66"/>
      <c r="N2335" s="1" t="s">
        <v>519</v>
      </c>
      <c r="O2335" s="66">
        <f>+K2315</f>
        <v>3</v>
      </c>
      <c r="P2335" s="66"/>
      <c r="Q2335" s="1" t="s">
        <v>321</v>
      </c>
      <c r="R2335" s="1">
        <v>6</v>
      </c>
      <c r="S2335" s="9" t="s">
        <v>6</v>
      </c>
      <c r="T2335" s="66">
        <f>+Q2326</f>
        <v>15</v>
      </c>
      <c r="U2335" s="66"/>
      <c r="V2335" s="9" t="s">
        <v>5</v>
      </c>
      <c r="W2335" s="66">
        <f>+O2335</f>
        <v>3</v>
      </c>
      <c r="X2335" s="66"/>
      <c r="Y2335" s="1" t="s">
        <v>186</v>
      </c>
      <c r="Z2335" s="66">
        <v>24</v>
      </c>
      <c r="AA2335" s="66"/>
      <c r="AB2335" s="9" t="s">
        <v>9</v>
      </c>
      <c r="AC2335" s="1" t="s">
        <v>24</v>
      </c>
      <c r="AD2335" s="9" t="s">
        <v>5</v>
      </c>
      <c r="AE2335" s="66">
        <f>+W2335</f>
        <v>3</v>
      </c>
      <c r="AF2335" s="66"/>
      <c r="AG2335" s="9" t="s">
        <v>7</v>
      </c>
      <c r="AH2335" s="1" t="s">
        <v>24</v>
      </c>
      <c r="AI2335" s="9" t="s">
        <v>5</v>
      </c>
      <c r="AJ2335" s="66">
        <f>+AE2335</f>
        <v>3</v>
      </c>
      <c r="AK2335" s="66"/>
      <c r="AL2335" s="9" t="s">
        <v>9</v>
      </c>
      <c r="AM2335" s="9" t="s">
        <v>694</v>
      </c>
      <c r="AN2335" s="9" t="s">
        <v>5</v>
      </c>
      <c r="AO2335" s="66">
        <f>-L2335*O2335^3/R2335</f>
        <v>-0.3</v>
      </c>
      <c r="AP2335" s="66"/>
      <c r="AQ2335" s="66"/>
      <c r="AR2335" s="9" t="s">
        <v>9</v>
      </c>
      <c r="AS2335" s="66">
        <f>G2335*O2335^3/R2335-T2335*W2335^4/Z2335</f>
        <v>151.875</v>
      </c>
      <c r="AT2335" s="66"/>
      <c r="AU2335" s="66"/>
      <c r="CC2335" s="7"/>
    </row>
    <row r="2336" spans="2:81">
      <c r="B2336" s="6"/>
      <c r="C2336" s="1" t="s">
        <v>705</v>
      </c>
      <c r="G2336" s="66">
        <f>+E2330</f>
        <v>45</v>
      </c>
      <c r="H2336" s="66"/>
      <c r="I2336" s="9" t="s">
        <v>6</v>
      </c>
      <c r="J2336" s="1" t="s">
        <v>694</v>
      </c>
      <c r="K2336" s="9" t="s">
        <v>5</v>
      </c>
      <c r="L2336" s="66">
        <f>+J2330</f>
        <v>6.6666666666666666E-2</v>
      </c>
      <c r="M2336" s="66"/>
      <c r="N2336" s="1" t="s">
        <v>519</v>
      </c>
      <c r="O2336" s="66">
        <f>+M2330</f>
        <v>3</v>
      </c>
      <c r="P2336" s="66"/>
      <c r="Q2336" s="1" t="s">
        <v>321</v>
      </c>
      <c r="R2336" s="1">
        <v>6</v>
      </c>
      <c r="S2336" s="9" t="s">
        <v>6</v>
      </c>
      <c r="T2336" s="66">
        <f>+U2330</f>
        <v>45</v>
      </c>
      <c r="U2336" s="66"/>
      <c r="V2336" s="9" t="s">
        <v>5</v>
      </c>
      <c r="W2336" s="66">
        <f>+X2330</f>
        <v>1.5</v>
      </c>
      <c r="X2336" s="66"/>
      <c r="Y2336" s="1" t="s">
        <v>321</v>
      </c>
      <c r="Z2336" s="1">
        <v>6</v>
      </c>
      <c r="AA2336" s="9" t="s">
        <v>9</v>
      </c>
      <c r="AB2336" s="1" t="s">
        <v>315</v>
      </c>
      <c r="AC2336" s="9" t="s">
        <v>7</v>
      </c>
      <c r="AD2336" s="1" t="s">
        <v>315</v>
      </c>
      <c r="AE2336" s="9" t="s">
        <v>9</v>
      </c>
      <c r="AF2336" s="1" t="s">
        <v>694</v>
      </c>
      <c r="AG2336" s="9" t="s">
        <v>5</v>
      </c>
      <c r="AH2336" s="66">
        <f>-L2336*O2336^3/R2336</f>
        <v>-0.3</v>
      </c>
      <c r="AI2336" s="66"/>
      <c r="AJ2336" s="66"/>
      <c r="AK2336" s="9" t="s">
        <v>9</v>
      </c>
      <c r="AL2336" s="66">
        <f>G2336*O2336^3/R2336-T2336*W2336^3/Z2336</f>
        <v>177.1875</v>
      </c>
      <c r="AM2336" s="66"/>
      <c r="AN2336" s="66"/>
      <c r="CC2336" s="7"/>
    </row>
    <row r="2337" spans="2:81">
      <c r="B2337" s="6"/>
      <c r="C2337" s="1" t="s">
        <v>461</v>
      </c>
      <c r="M2337" s="1" t="s">
        <v>24</v>
      </c>
      <c r="N2337" s="9" t="s">
        <v>5</v>
      </c>
      <c r="O2337" s="66">
        <f>+AJ2335</f>
        <v>3</v>
      </c>
      <c r="P2337" s="66"/>
      <c r="Q2337" s="9" t="s">
        <v>9</v>
      </c>
      <c r="R2337" s="9" t="s">
        <v>694</v>
      </c>
      <c r="S2337" s="9" t="s">
        <v>5</v>
      </c>
      <c r="T2337" s="66">
        <f>+AO2335</f>
        <v>-0.3</v>
      </c>
      <c r="U2337" s="66"/>
      <c r="V2337" s="66"/>
      <c r="W2337" s="9" t="s">
        <v>9</v>
      </c>
      <c r="X2337" s="66">
        <f>+AS2335</f>
        <v>151.875</v>
      </c>
      <c r="Y2337" s="66"/>
      <c r="Z2337" s="66"/>
      <c r="AA2337" s="9" t="s">
        <v>7</v>
      </c>
      <c r="AB2337" s="1" t="s">
        <v>315</v>
      </c>
      <c r="AC2337" s="9" t="s">
        <v>9</v>
      </c>
      <c r="AD2337" s="1" t="s">
        <v>694</v>
      </c>
      <c r="AE2337" s="9" t="s">
        <v>5</v>
      </c>
      <c r="AF2337" s="66">
        <f>+AH2336</f>
        <v>-0.3</v>
      </c>
      <c r="AG2337" s="66"/>
      <c r="AH2337" s="66"/>
      <c r="AI2337" s="9" t="s">
        <v>9</v>
      </c>
      <c r="AJ2337" s="66">
        <f>+AL2336</f>
        <v>177.1875</v>
      </c>
      <c r="AK2337" s="66"/>
      <c r="AL2337" s="66"/>
      <c r="AO2337" s="58" t="s">
        <v>24</v>
      </c>
      <c r="AP2337" s="48" t="s">
        <v>5</v>
      </c>
      <c r="AQ2337" s="68">
        <f>+O2337</f>
        <v>3</v>
      </c>
      <c r="AR2337" s="68"/>
      <c r="AS2337" s="48" t="s">
        <v>6</v>
      </c>
      <c r="AT2337" s="49" t="s">
        <v>315</v>
      </c>
      <c r="AU2337" s="48" t="s">
        <v>9</v>
      </c>
      <c r="AV2337" s="68">
        <f>+X2337-AJ2337</f>
        <v>-25.3125</v>
      </c>
      <c r="AW2337" s="68"/>
      <c r="AX2337" s="68"/>
      <c r="AY2337" s="48" t="s">
        <v>7</v>
      </c>
      <c r="AZ2337" s="59">
        <v>0</v>
      </c>
      <c r="BB2337" s="1" t="s">
        <v>439</v>
      </c>
      <c r="CC2337" s="7"/>
    </row>
    <row r="2338" spans="2:81">
      <c r="B2338" s="6"/>
      <c r="C2338" s="1" t="s">
        <v>706</v>
      </c>
      <c r="G2338" s="66">
        <f>+E2325</f>
        <v>45</v>
      </c>
      <c r="H2338" s="66"/>
      <c r="I2338" s="9" t="s">
        <v>6</v>
      </c>
      <c r="J2338" s="1" t="s">
        <v>694</v>
      </c>
      <c r="K2338" s="9" t="s">
        <v>5</v>
      </c>
      <c r="L2338" s="66">
        <f>+J2325</f>
        <v>6.6666666666666666E-2</v>
      </c>
      <c r="M2338" s="66"/>
      <c r="N2338" s="1" t="s">
        <v>519</v>
      </c>
      <c r="O2338" s="66">
        <f>+K2315</f>
        <v>3</v>
      </c>
      <c r="P2338" s="66"/>
      <c r="Q2338" s="1" t="s">
        <v>254</v>
      </c>
      <c r="R2338" s="1">
        <v>2</v>
      </c>
      <c r="S2338" s="9" t="s">
        <v>6</v>
      </c>
      <c r="T2338" s="66">
        <f>+Q2325</f>
        <v>15</v>
      </c>
      <c r="U2338" s="66"/>
      <c r="V2338" s="9" t="s">
        <v>5</v>
      </c>
      <c r="W2338" s="66">
        <f>+O2338</f>
        <v>3</v>
      </c>
      <c r="X2338" s="66"/>
      <c r="Y2338" s="1" t="s">
        <v>321</v>
      </c>
      <c r="Z2338" s="1">
        <v>6</v>
      </c>
      <c r="AA2338" s="9" t="s">
        <v>9</v>
      </c>
      <c r="AB2338" s="1" t="s">
        <v>24</v>
      </c>
      <c r="AC2338" s="9" t="s">
        <v>7</v>
      </c>
      <c r="AD2338" s="1" t="s">
        <v>24</v>
      </c>
      <c r="AE2338" s="9" t="s">
        <v>9</v>
      </c>
      <c r="AF2338" s="9" t="s">
        <v>694</v>
      </c>
      <c r="AG2338" s="9" t="s">
        <v>5</v>
      </c>
      <c r="AH2338" s="66">
        <f>-L2338*O2338^2/R2338</f>
        <v>-0.3</v>
      </c>
      <c r="AI2338" s="66"/>
      <c r="AJ2338" s="66"/>
      <c r="AK2338" s="9" t="s">
        <v>9</v>
      </c>
      <c r="AL2338" s="66">
        <f>G2338*O2338^2/R2338-T2338*W2338^3/Z2338</f>
        <v>135</v>
      </c>
      <c r="AM2338" s="66"/>
      <c r="AN2338" s="66"/>
      <c r="AQ2338" s="9"/>
      <c r="AR2338" s="9"/>
      <c r="AW2338" s="9"/>
      <c r="AX2338" s="9"/>
      <c r="AY2338" s="9"/>
      <c r="BA2338" s="9"/>
      <c r="BB2338" s="9"/>
      <c r="BC2338" s="9"/>
      <c r="BD2338" s="9"/>
      <c r="BE2338" s="9"/>
      <c r="BF2338" s="9"/>
      <c r="CC2338" s="7"/>
    </row>
    <row r="2339" spans="2:81">
      <c r="B2339" s="6"/>
      <c r="C2339" s="1" t="s">
        <v>707</v>
      </c>
      <c r="G2339" s="66">
        <f>+E2329</f>
        <v>45</v>
      </c>
      <c r="H2339" s="66"/>
      <c r="I2339" s="9" t="s">
        <v>6</v>
      </c>
      <c r="J2339" s="1" t="s">
        <v>694</v>
      </c>
      <c r="K2339" s="9" t="s">
        <v>5</v>
      </c>
      <c r="L2339" s="66">
        <f>+J2329</f>
        <v>6.6666666666666666E-2</v>
      </c>
      <c r="M2339" s="66"/>
      <c r="N2339" s="1" t="s">
        <v>519</v>
      </c>
      <c r="O2339" s="66">
        <f>+M2329</f>
        <v>3</v>
      </c>
      <c r="P2339" s="66"/>
      <c r="Q2339" s="1" t="s">
        <v>254</v>
      </c>
      <c r="R2339" s="1">
        <v>2</v>
      </c>
      <c r="S2339" s="9" t="s">
        <v>6</v>
      </c>
      <c r="T2339" s="66">
        <f>+U2329</f>
        <v>45</v>
      </c>
      <c r="U2339" s="66"/>
      <c r="V2339" s="9" t="s">
        <v>5</v>
      </c>
      <c r="W2339" s="66">
        <f>+X2329</f>
        <v>1.5</v>
      </c>
      <c r="X2339" s="66"/>
      <c r="Y2339" s="1" t="s">
        <v>254</v>
      </c>
      <c r="Z2339" s="1">
        <v>2</v>
      </c>
      <c r="AA2339" s="9" t="s">
        <v>9</v>
      </c>
      <c r="AB2339" s="1" t="s">
        <v>313</v>
      </c>
      <c r="AC2339" s="9" t="s">
        <v>7</v>
      </c>
      <c r="AD2339" s="1" t="s">
        <v>313</v>
      </c>
      <c r="AE2339" s="9" t="s">
        <v>9</v>
      </c>
      <c r="AF2339" s="9" t="s">
        <v>694</v>
      </c>
      <c r="AG2339" s="9" t="s">
        <v>5</v>
      </c>
      <c r="AH2339" s="66">
        <f>-L2339*O2339^2/R2339</f>
        <v>-0.3</v>
      </c>
      <c r="AI2339" s="66"/>
      <c r="AJ2339" s="66"/>
      <c r="AK2339" s="9" t="s">
        <v>9</v>
      </c>
      <c r="AL2339" s="66">
        <f>G2339*O2339^2/R2339-T2339*W2339^2/Z2339</f>
        <v>151.875</v>
      </c>
      <c r="AM2339" s="66"/>
      <c r="AN2339" s="66"/>
      <c r="CC2339" s="7"/>
    </row>
    <row r="2340" spans="2:81">
      <c r="B2340" s="6"/>
      <c r="C2340" s="1" t="s">
        <v>639</v>
      </c>
      <c r="M2340" s="1" t="s">
        <v>24</v>
      </c>
      <c r="N2340" s="9" t="s">
        <v>9</v>
      </c>
      <c r="O2340" s="9" t="s">
        <v>694</v>
      </c>
      <c r="P2340" s="9" t="s">
        <v>5</v>
      </c>
      <c r="Q2340" s="66">
        <f>+AH2338</f>
        <v>-0.3</v>
      </c>
      <c r="R2340" s="66"/>
      <c r="S2340" s="66"/>
      <c r="T2340" s="9" t="s">
        <v>9</v>
      </c>
      <c r="U2340" s="66">
        <f>+AL2338</f>
        <v>135</v>
      </c>
      <c r="V2340" s="66"/>
      <c r="W2340" s="66"/>
      <c r="X2340" s="9" t="s">
        <v>7</v>
      </c>
      <c r="Y2340" s="1" t="s">
        <v>313</v>
      </c>
      <c r="Z2340" s="9" t="s">
        <v>9</v>
      </c>
      <c r="AA2340" s="9" t="s">
        <v>694</v>
      </c>
      <c r="AB2340" s="9" t="s">
        <v>5</v>
      </c>
      <c r="AC2340" s="66">
        <f>+AH2339</f>
        <v>-0.3</v>
      </c>
      <c r="AD2340" s="66"/>
      <c r="AE2340" s="66"/>
      <c r="AF2340" s="9" t="s">
        <v>9</v>
      </c>
      <c r="AG2340" s="79">
        <f>+AL2339</f>
        <v>151.875</v>
      </c>
      <c r="AH2340" s="79"/>
      <c r="AI2340" s="79"/>
      <c r="AL2340" s="58" t="s">
        <v>24</v>
      </c>
      <c r="AM2340" s="48" t="s">
        <v>6</v>
      </c>
      <c r="AN2340" s="49" t="s">
        <v>313</v>
      </c>
      <c r="AO2340" s="48" t="s">
        <v>9</v>
      </c>
      <c r="AP2340" s="68">
        <f>+U2340-AG2340</f>
        <v>-16.875</v>
      </c>
      <c r="AQ2340" s="68"/>
      <c r="AR2340" s="68"/>
      <c r="AS2340" s="48" t="s">
        <v>7</v>
      </c>
      <c r="AT2340" s="59">
        <v>0</v>
      </c>
      <c r="AV2340" s="1" t="s">
        <v>513</v>
      </c>
      <c r="CC2340" s="7"/>
    </row>
    <row r="2341" spans="2:81">
      <c r="B2341" s="6"/>
      <c r="C2341" s="24" t="s">
        <v>303</v>
      </c>
      <c r="AH2341" s="9"/>
      <c r="CC2341" s="7"/>
    </row>
    <row r="2342" spans="2:81">
      <c r="B2342" s="6"/>
      <c r="C2342" s="1" t="s">
        <v>708</v>
      </c>
      <c r="I2342" s="66">
        <f>+E2326</f>
        <v>45</v>
      </c>
      <c r="J2342" s="66"/>
      <c r="K2342" s="9" t="s">
        <v>6</v>
      </c>
      <c r="L2342" s="9" t="s">
        <v>694</v>
      </c>
      <c r="M2342" s="9" t="s">
        <v>5</v>
      </c>
      <c r="N2342" s="66">
        <f>+J2326</f>
        <v>6.6666666666666666E-2</v>
      </c>
      <c r="O2342" s="66"/>
      <c r="P2342" s="1" t="s">
        <v>519</v>
      </c>
      <c r="Q2342" s="66">
        <f>+K2315</f>
        <v>3</v>
      </c>
      <c r="R2342" s="66"/>
      <c r="S2342" s="9" t="s">
        <v>455</v>
      </c>
      <c r="T2342" s="9">
        <v>6</v>
      </c>
      <c r="U2342" s="9" t="s">
        <v>6</v>
      </c>
      <c r="V2342" s="66">
        <f>+Q2326</f>
        <v>15</v>
      </c>
      <c r="W2342" s="66"/>
      <c r="X2342" s="9" t="s">
        <v>5</v>
      </c>
      <c r="Y2342" s="66">
        <f>+Q2342</f>
        <v>3</v>
      </c>
      <c r="Z2342" s="66"/>
      <c r="AA2342" s="1" t="s">
        <v>403</v>
      </c>
      <c r="AB2342" s="66">
        <v>24</v>
      </c>
      <c r="AC2342" s="66"/>
      <c r="AD2342" s="9" t="s">
        <v>9</v>
      </c>
      <c r="AE2342" s="9" t="s">
        <v>24</v>
      </c>
      <c r="AF2342" s="9" t="s">
        <v>5</v>
      </c>
      <c r="AG2342" s="66">
        <f>+Y2342</f>
        <v>3</v>
      </c>
      <c r="AH2342" s="66"/>
      <c r="AI2342" s="9" t="s">
        <v>7</v>
      </c>
      <c r="AJ2342" s="9" t="s">
        <v>24</v>
      </c>
      <c r="AK2342" s="9" t="s">
        <v>5</v>
      </c>
      <c r="AL2342" s="66">
        <f>+AG2342</f>
        <v>3</v>
      </c>
      <c r="AM2342" s="66"/>
      <c r="AN2342" s="9" t="s">
        <v>6</v>
      </c>
      <c r="AO2342" s="1" t="s">
        <v>694</v>
      </c>
      <c r="AP2342" s="9" t="s">
        <v>5</v>
      </c>
      <c r="AQ2342" s="66">
        <f>N2342*Q2342^3/T2342</f>
        <v>0.3</v>
      </c>
      <c r="AR2342" s="66"/>
      <c r="AS2342" s="9" t="s">
        <v>9</v>
      </c>
      <c r="AT2342" s="66">
        <f>+I2342*Q2342^3/T2342-V2342*Y2342^4/AB2342</f>
        <v>151.875</v>
      </c>
      <c r="AU2342" s="66"/>
      <c r="AV2342" s="66"/>
      <c r="CC2342" s="7"/>
    </row>
    <row r="2343" spans="2:81">
      <c r="B2343" s="6"/>
      <c r="C2343" s="1" t="s">
        <v>709</v>
      </c>
      <c r="E2343" s="9" t="s">
        <v>24</v>
      </c>
      <c r="F2343" s="9" t="s">
        <v>5</v>
      </c>
      <c r="G2343" s="66">
        <f>+AL2342</f>
        <v>3</v>
      </c>
      <c r="H2343" s="66"/>
      <c r="I2343" s="9" t="s">
        <v>6</v>
      </c>
      <c r="J2343" s="9" t="s">
        <v>694</v>
      </c>
      <c r="K2343" s="9" t="s">
        <v>5</v>
      </c>
      <c r="L2343" s="66">
        <f>+AQ2342</f>
        <v>0.3</v>
      </c>
      <c r="M2343" s="66"/>
      <c r="N2343" s="9" t="s">
        <v>9</v>
      </c>
      <c r="O2343" s="66">
        <f>+AT2342</f>
        <v>151.875</v>
      </c>
      <c r="P2343" s="66"/>
      <c r="Q2343" s="66"/>
      <c r="R2343" s="1" t="s">
        <v>255</v>
      </c>
      <c r="S2343" s="9" t="s">
        <v>710</v>
      </c>
      <c r="T2343" s="9" t="s">
        <v>5</v>
      </c>
      <c r="U2343" s="60" t="s">
        <v>687</v>
      </c>
      <c r="V2343" s="1" t="s">
        <v>40</v>
      </c>
      <c r="CC2343" s="7"/>
    </row>
    <row r="2344" spans="2:81">
      <c r="B2344" s="6"/>
      <c r="N2344" s="1" t="s">
        <v>711</v>
      </c>
      <c r="P2344" s="66">
        <f>-E2368</f>
        <v>8.4281689729472831</v>
      </c>
      <c r="Q2344" s="66"/>
      <c r="R2344" s="66"/>
      <c r="S2344" s="9" t="s">
        <v>0</v>
      </c>
      <c r="T2344" s="9"/>
      <c r="Y2344" s="11"/>
      <c r="AC2344" s="9"/>
      <c r="AE2344" s="9"/>
      <c r="AF2344" s="9"/>
      <c r="AG2344" s="9"/>
      <c r="AH2344" s="9"/>
      <c r="AI2344" s="9"/>
      <c r="AJ2344" s="9"/>
      <c r="CC2344" s="7"/>
    </row>
    <row r="2345" spans="2:81">
      <c r="B2345" s="6"/>
      <c r="CC2345" s="7"/>
    </row>
    <row r="2346" spans="2:81">
      <c r="B2346" s="6"/>
      <c r="CC2346" s="7"/>
    </row>
    <row r="2347" spans="2:81">
      <c r="B2347" s="6"/>
      <c r="F2347" s="1" t="s">
        <v>581</v>
      </c>
      <c r="AA2347" s="9" t="s">
        <v>685</v>
      </c>
      <c r="CC2347" s="7"/>
    </row>
    <row r="2348" spans="2:81">
      <c r="B2348" s="6"/>
      <c r="L2348" s="10" t="s">
        <v>690</v>
      </c>
      <c r="P2348" s="66" t="s">
        <v>710</v>
      </c>
      <c r="Q2348" s="66"/>
      <c r="T2348" s="10" t="s">
        <v>690</v>
      </c>
      <c r="CC2348" s="7"/>
    </row>
    <row r="2349" spans="2:81">
      <c r="B2349" s="6"/>
      <c r="CC2349" s="7"/>
    </row>
    <row r="2350" spans="2:81">
      <c r="B2350" s="6"/>
      <c r="CC2350" s="7"/>
    </row>
    <row r="2351" spans="2:81">
      <c r="B2351" s="6"/>
      <c r="CC2351" s="7"/>
    </row>
    <row r="2352" spans="2:81">
      <c r="B2352" s="6"/>
      <c r="E2352" s="1" t="s">
        <v>712</v>
      </c>
      <c r="F2352" s="66">
        <f>+O2377</f>
        <v>4.2140844864736415</v>
      </c>
      <c r="G2352" s="66"/>
      <c r="H2352" s="66"/>
      <c r="I2352" s="1" t="s">
        <v>0</v>
      </c>
      <c r="Y2352" s="1" t="s">
        <v>713</v>
      </c>
      <c r="Z2352" s="66">
        <f>+E2378</f>
        <v>4.2140844864736415</v>
      </c>
      <c r="AA2352" s="66"/>
      <c r="AB2352" s="66"/>
      <c r="AC2352" s="1" t="s">
        <v>0</v>
      </c>
      <c r="CC2352" s="7"/>
    </row>
    <row r="2353" spans="2:81">
      <c r="B2353" s="6"/>
      <c r="K2353" s="66">
        <f>+P2355/2</f>
        <v>2.5</v>
      </c>
      <c r="L2353" s="66"/>
      <c r="M2353" s="1" t="s">
        <v>1</v>
      </c>
      <c r="U2353" s="66">
        <f>+P2355/2</f>
        <v>2.5</v>
      </c>
      <c r="V2353" s="66"/>
      <c r="W2353" s="1" t="s">
        <v>1</v>
      </c>
      <c r="CC2353" s="7"/>
    </row>
    <row r="2354" spans="2:81">
      <c r="B2354" s="6"/>
      <c r="CC2354" s="7"/>
    </row>
    <row r="2355" spans="2:81">
      <c r="B2355" s="6"/>
      <c r="P2355" s="66">
        <f>+Z2299</f>
        <v>5</v>
      </c>
      <c r="Q2355" s="66"/>
      <c r="R2355" s="1" t="s">
        <v>1</v>
      </c>
      <c r="CC2355" s="7"/>
    </row>
    <row r="2356" spans="2:81">
      <c r="B2356" s="6"/>
      <c r="CC2356" s="7"/>
    </row>
    <row r="2357" spans="2:81">
      <c r="B2357" s="6"/>
      <c r="C2357" s="1" t="s">
        <v>714</v>
      </c>
      <c r="K2357" s="9" t="s">
        <v>694</v>
      </c>
      <c r="L2357" s="9" t="s">
        <v>5</v>
      </c>
      <c r="M2357" s="66">
        <f>+P2355</f>
        <v>5</v>
      </c>
      <c r="N2357" s="66"/>
      <c r="O2357" s="1" t="s">
        <v>660</v>
      </c>
      <c r="P2357" s="66">
        <v>48</v>
      </c>
      <c r="Q2357" s="66"/>
      <c r="R2357" s="9" t="s">
        <v>5</v>
      </c>
      <c r="S2357" s="9" t="s">
        <v>710</v>
      </c>
      <c r="T2357" s="9" t="s">
        <v>5</v>
      </c>
      <c r="U2357" s="60" t="s">
        <v>690</v>
      </c>
      <c r="V2357" s="1" t="s">
        <v>201</v>
      </c>
      <c r="W2357" s="66">
        <f>+M2357^3/P2357</f>
        <v>2.6041666666666665</v>
      </c>
      <c r="X2357" s="66"/>
      <c r="Y2357" s="9" t="s">
        <v>5</v>
      </c>
      <c r="Z2357" s="9" t="s">
        <v>694</v>
      </c>
      <c r="AA2357" s="1" t="s">
        <v>275</v>
      </c>
      <c r="AB2357" s="9" t="s">
        <v>710</v>
      </c>
      <c r="AC2357" s="9" t="s">
        <v>5</v>
      </c>
      <c r="AD2357" s="60" t="s">
        <v>690</v>
      </c>
      <c r="AE2357" s="1" t="s">
        <v>40</v>
      </c>
      <c r="AG2357" s="1" t="s">
        <v>715</v>
      </c>
      <c r="CC2357" s="7"/>
    </row>
    <row r="2358" spans="2:81">
      <c r="B2358" s="6"/>
      <c r="C2358" s="1" t="s">
        <v>716</v>
      </c>
      <c r="Y2358" s="9"/>
      <c r="CC2358" s="7"/>
    </row>
    <row r="2359" spans="2:81">
      <c r="B2359" s="6"/>
      <c r="C2359" s="66">
        <f>+W2357</f>
        <v>2.6041666666666665</v>
      </c>
      <c r="D2359" s="66"/>
      <c r="E2359" s="9" t="s">
        <v>5</v>
      </c>
      <c r="F2359" s="9" t="s">
        <v>694</v>
      </c>
      <c r="G2359" s="1" t="s">
        <v>275</v>
      </c>
      <c r="H2359" s="1" t="s">
        <v>710</v>
      </c>
      <c r="I2359" s="9" t="s">
        <v>5</v>
      </c>
      <c r="J2359" s="60" t="s">
        <v>690</v>
      </c>
      <c r="K2359" s="1" t="s">
        <v>40</v>
      </c>
      <c r="L2359" s="9" t="s">
        <v>7</v>
      </c>
      <c r="M2359" s="9" t="s">
        <v>518</v>
      </c>
      <c r="N2359" s="9" t="s">
        <v>24</v>
      </c>
      <c r="O2359" s="9" t="s">
        <v>5</v>
      </c>
      <c r="P2359" s="66">
        <f>+G2343</f>
        <v>3</v>
      </c>
      <c r="Q2359" s="66"/>
      <c r="R2359" s="9" t="s">
        <v>6</v>
      </c>
      <c r="S2359" s="1" t="s">
        <v>694</v>
      </c>
      <c r="T2359" s="9" t="s">
        <v>5</v>
      </c>
      <c r="U2359" s="66">
        <f>+L2343</f>
        <v>0.3</v>
      </c>
      <c r="V2359" s="66"/>
      <c r="W2359" s="9" t="s">
        <v>9</v>
      </c>
      <c r="X2359" s="66">
        <f>+O2343</f>
        <v>151.875</v>
      </c>
      <c r="Y2359" s="66"/>
      <c r="Z2359" s="66"/>
      <c r="AA2359" s="1" t="s">
        <v>255</v>
      </c>
      <c r="AB2359" s="9" t="s">
        <v>710</v>
      </c>
      <c r="AC2359" s="9" t="s">
        <v>5</v>
      </c>
      <c r="AD2359" s="60" t="s">
        <v>687</v>
      </c>
      <c r="AE2359" s="1" t="s">
        <v>40</v>
      </c>
      <c r="CC2359" s="7"/>
    </row>
    <row r="2360" spans="2:81">
      <c r="B2360" s="6"/>
      <c r="C2360" s="66">
        <f>+C2359</f>
        <v>2.6041666666666665</v>
      </c>
      <c r="D2360" s="66"/>
      <c r="E2360" s="9" t="s">
        <v>5</v>
      </c>
      <c r="F2360" s="9" t="s">
        <v>694</v>
      </c>
      <c r="G2360" s="1" t="s">
        <v>173</v>
      </c>
      <c r="H2360" s="60" t="s">
        <v>690</v>
      </c>
      <c r="I2360" s="9" t="s">
        <v>7</v>
      </c>
      <c r="J2360" s="9" t="s">
        <v>24</v>
      </c>
      <c r="K2360" s="9" t="s">
        <v>5</v>
      </c>
      <c r="L2360" s="66">
        <f>+P2359</f>
        <v>3</v>
      </c>
      <c r="M2360" s="66"/>
      <c r="N2360" s="1" t="s">
        <v>173</v>
      </c>
      <c r="O2360" s="60" t="s">
        <v>687</v>
      </c>
      <c r="P2360" s="9" t="s">
        <v>6</v>
      </c>
      <c r="Q2360" s="9" t="s">
        <v>694</v>
      </c>
      <c r="R2360" s="9" t="s">
        <v>5</v>
      </c>
      <c r="S2360" s="66">
        <f>+U2359</f>
        <v>0.3</v>
      </c>
      <c r="T2360" s="66"/>
      <c r="U2360" s="1" t="s">
        <v>173</v>
      </c>
      <c r="V2360" s="60" t="s">
        <v>687</v>
      </c>
      <c r="W2360" s="9" t="s">
        <v>9</v>
      </c>
      <c r="X2360" s="66">
        <f>+X2359</f>
        <v>151.875</v>
      </c>
      <c r="Y2360" s="66"/>
      <c r="Z2360" s="66"/>
      <c r="AA2360" s="1" t="s">
        <v>173</v>
      </c>
      <c r="AB2360" s="60" t="s">
        <v>687</v>
      </c>
      <c r="CC2360" s="7"/>
    </row>
    <row r="2361" spans="2:81">
      <c r="B2361" s="6"/>
      <c r="C2361" s="9" t="s">
        <v>24</v>
      </c>
      <c r="D2361" s="9" t="s">
        <v>5</v>
      </c>
      <c r="E2361" s="66">
        <f>+L2360</f>
        <v>3</v>
      </c>
      <c r="F2361" s="66"/>
      <c r="G2361" s="1" t="s">
        <v>173</v>
      </c>
      <c r="H2361" s="60" t="s">
        <v>687</v>
      </c>
      <c r="I2361" s="9" t="s">
        <v>6</v>
      </c>
      <c r="J2361" s="9" t="s">
        <v>694</v>
      </c>
      <c r="K2361" s="9" t="s">
        <v>5</v>
      </c>
      <c r="L2361" s="66">
        <f>+S2360</f>
        <v>0.3</v>
      </c>
      <c r="M2361" s="66"/>
      <c r="N2361" s="1" t="s">
        <v>173</v>
      </c>
      <c r="O2361" s="60" t="s">
        <v>687</v>
      </c>
      <c r="P2361" s="9" t="s">
        <v>9</v>
      </c>
      <c r="Q2361" s="66">
        <f>+X2360</f>
        <v>151.875</v>
      </c>
      <c r="R2361" s="66"/>
      <c r="S2361" s="66"/>
      <c r="T2361" s="1" t="s">
        <v>173</v>
      </c>
      <c r="U2361" s="60" t="s">
        <v>687</v>
      </c>
      <c r="V2361" s="9" t="s">
        <v>6</v>
      </c>
      <c r="W2361" s="66">
        <f>+C2360</f>
        <v>2.6041666666666665</v>
      </c>
      <c r="X2361" s="66"/>
      <c r="Y2361" s="9" t="s">
        <v>5</v>
      </c>
      <c r="Z2361" s="9" t="s">
        <v>694</v>
      </c>
      <c r="AA2361" s="1" t="s">
        <v>173</v>
      </c>
      <c r="AB2361" s="60" t="s">
        <v>690</v>
      </c>
      <c r="AC2361" s="9" t="s">
        <v>7</v>
      </c>
      <c r="AD2361" s="9">
        <v>0</v>
      </c>
      <c r="CC2361" s="7"/>
    </row>
    <row r="2362" spans="2:81">
      <c r="B2362" s="6"/>
      <c r="C2362" s="9" t="s">
        <v>24</v>
      </c>
      <c r="D2362" s="9" t="s">
        <v>5</v>
      </c>
      <c r="E2362" s="66">
        <f>+E2361/(AR2291*10000)</f>
        <v>3.2580364900086882E-9</v>
      </c>
      <c r="F2362" s="66"/>
      <c r="G2362" s="66"/>
      <c r="H2362" s="9" t="s">
        <v>6</v>
      </c>
      <c r="I2362" s="9" t="s">
        <v>694</v>
      </c>
      <c r="J2362" s="9" t="s">
        <v>5</v>
      </c>
      <c r="K2362" s="66">
        <f>+L2361/(AR2291*10000)</f>
        <v>3.2580364900086878E-10</v>
      </c>
      <c r="L2362" s="66"/>
      <c r="M2362" s="66"/>
      <c r="N2362" s="9" t="s">
        <v>9</v>
      </c>
      <c r="O2362" s="66">
        <f>+Q2361/(AR2291*10000)</f>
        <v>1.6493809730668982E-7</v>
      </c>
      <c r="P2362" s="66"/>
      <c r="Q2362" s="66"/>
      <c r="R2362" s="9" t="s">
        <v>6</v>
      </c>
      <c r="S2362" s="66">
        <f>+W2361/(BF2291*10000)</f>
        <v>3.1150318979266344E-8</v>
      </c>
      <c r="T2362" s="66"/>
      <c r="U2362" s="66"/>
      <c r="V2362" s="9" t="s">
        <v>5</v>
      </c>
      <c r="W2362" s="9" t="s">
        <v>694</v>
      </c>
      <c r="X2362" s="9" t="s">
        <v>7</v>
      </c>
      <c r="Y2362" s="9">
        <v>0</v>
      </c>
      <c r="CC2362" s="7"/>
    </row>
    <row r="2363" spans="2:81">
      <c r="B2363" s="6"/>
      <c r="C2363" s="57" t="s">
        <v>24</v>
      </c>
      <c r="D2363" s="48" t="s">
        <v>5</v>
      </c>
      <c r="E2363" s="68">
        <f>+E2362</f>
        <v>3.2580364900086882E-9</v>
      </c>
      <c r="F2363" s="68"/>
      <c r="G2363" s="68"/>
      <c r="H2363" s="48" t="s">
        <v>6</v>
      </c>
      <c r="I2363" s="48" t="s">
        <v>694</v>
      </c>
      <c r="J2363" s="48" t="s">
        <v>5</v>
      </c>
      <c r="K2363" s="68">
        <f>+K2362+S2362</f>
        <v>3.1476122628267216E-8</v>
      </c>
      <c r="L2363" s="68"/>
      <c r="M2363" s="68"/>
      <c r="N2363" s="48" t="s">
        <v>9</v>
      </c>
      <c r="O2363" s="68">
        <f>+O2362</f>
        <v>1.6493809730668982E-7</v>
      </c>
      <c r="P2363" s="68"/>
      <c r="Q2363" s="68"/>
      <c r="R2363" s="48" t="s">
        <v>7</v>
      </c>
      <c r="S2363" s="59">
        <v>0</v>
      </c>
      <c r="U2363" s="1" t="s">
        <v>514</v>
      </c>
      <c r="CC2363" s="7"/>
    </row>
    <row r="2364" spans="2:81">
      <c r="B2364" s="6"/>
      <c r="C2364" s="24" t="s">
        <v>515</v>
      </c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CC2364" s="7"/>
    </row>
    <row r="2365" spans="2:81">
      <c r="B2365" s="6"/>
      <c r="C2365" s="1" t="s">
        <v>32</v>
      </c>
      <c r="E2365" s="66">
        <f>+S2365</f>
        <v>-132.05014085946846</v>
      </c>
      <c r="F2365" s="66"/>
      <c r="G2365" s="66"/>
      <c r="I2365" s="40">
        <v>0</v>
      </c>
      <c r="J2365" s="40">
        <f>+K2334</f>
        <v>3</v>
      </c>
      <c r="K2365" s="40">
        <v>1</v>
      </c>
      <c r="L2365" s="40">
        <f>+R2334</f>
        <v>2.1</v>
      </c>
      <c r="M2365" s="40">
        <f>-U2334</f>
        <v>-885.9375</v>
      </c>
      <c r="N2365" s="40"/>
      <c r="O2365" s="40" cm="1">
        <f t="array" ref="O2365:R2368">MINVERSE(I2365:L2368)</f>
        <v>0.16083978441376484</v>
      </c>
      <c r="P2365" s="40">
        <v>0.16083978441376487</v>
      </c>
      <c r="Q2365" s="40">
        <v>0.48251935324129458</v>
      </c>
      <c r="R2365" s="40">
        <v>10730786.356944</v>
      </c>
      <c r="S2365" s="40" cm="1">
        <f t="array" ref="S2365:S2368">MMULT(O2365:R2368,M2365:M2368)</f>
        <v>-132.05014085946846</v>
      </c>
      <c r="CC2365" s="7"/>
    </row>
    <row r="2366" spans="2:81">
      <c r="B2366" s="6"/>
      <c r="C2366" s="1" t="s">
        <v>354</v>
      </c>
      <c r="E2366" s="66">
        <f t="shared" ref="E2366:E2368" si="13">+S2366</f>
        <v>-148.9251408594684</v>
      </c>
      <c r="F2366" s="66"/>
      <c r="G2366" s="66"/>
      <c r="I2366" s="40">
        <f>+AQ2337</f>
        <v>3</v>
      </c>
      <c r="J2366" s="40">
        <v>0</v>
      </c>
      <c r="K2366" s="40">
        <v>-1</v>
      </c>
      <c r="L2366" s="40">
        <v>0</v>
      </c>
      <c r="M2366" s="40">
        <f>-AV2337</f>
        <v>25.3125</v>
      </c>
      <c r="N2366" s="40"/>
      <c r="O2366" s="40">
        <v>0.16083978441376481</v>
      </c>
      <c r="P2366" s="40">
        <v>0.16083978441376481</v>
      </c>
      <c r="Q2366" s="40">
        <v>-0.51748064675870553</v>
      </c>
      <c r="R2366" s="40">
        <v>10730786.356944</v>
      </c>
      <c r="S2366" s="40">
        <v>-148.9251408594684</v>
      </c>
      <c r="CC2366" s="7"/>
    </row>
    <row r="2367" spans="2:81">
      <c r="B2367" s="6"/>
      <c r="C2367" s="1" t="s">
        <v>355</v>
      </c>
      <c r="E2367" s="66">
        <f t="shared" si="13"/>
        <v>-421.46292257840543</v>
      </c>
      <c r="F2367" s="66"/>
      <c r="G2367" s="66"/>
      <c r="I2367" s="40">
        <v>1</v>
      </c>
      <c r="J2367" s="40">
        <v>-1</v>
      </c>
      <c r="K2367" s="40">
        <v>0</v>
      </c>
      <c r="L2367" s="40">
        <v>0</v>
      </c>
      <c r="M2367" s="40">
        <f>-AP2340</f>
        <v>16.875</v>
      </c>
      <c r="N2367" s="40"/>
      <c r="O2367" s="40">
        <v>0.48251935324129452</v>
      </c>
      <c r="P2367" s="40">
        <v>-0.51748064675870542</v>
      </c>
      <c r="Q2367" s="40">
        <v>1.4475580597238837</v>
      </c>
      <c r="R2367" s="40">
        <v>32192359.070832003</v>
      </c>
      <c r="S2367" s="40">
        <v>-421.46292257840543</v>
      </c>
      <c r="CC2367" s="7"/>
    </row>
    <row r="2368" spans="2:81">
      <c r="B2368" s="6"/>
      <c r="C2368" s="1" t="s">
        <v>711</v>
      </c>
      <c r="E2368" s="66">
        <f t="shared" si="13"/>
        <v>-8.4281689729472831</v>
      </c>
      <c r="F2368" s="66"/>
      <c r="G2368" s="66"/>
      <c r="I2368" s="40">
        <f>+E2363</f>
        <v>3.2580364900086882E-9</v>
      </c>
      <c r="J2368" s="40">
        <v>0</v>
      </c>
      <c r="K2368" s="40">
        <v>0</v>
      </c>
      <c r="L2368" s="40">
        <f>-K2363</f>
        <v>-3.1476122628267216E-8</v>
      </c>
      <c r="M2368" s="40">
        <f>-O2363</f>
        <v>-1.6493809730668982E-7</v>
      </c>
      <c r="N2368" s="40"/>
      <c r="O2368" s="40">
        <v>1.6648235008290928E-2</v>
      </c>
      <c r="P2368" s="40">
        <v>1.6648235008290928E-2</v>
      </c>
      <c r="Q2368" s="40">
        <v>4.994470502487279E-2</v>
      </c>
      <c r="R2368" s="40">
        <v>-30659389.591268573</v>
      </c>
      <c r="S2368" s="40">
        <v>-8.4281689729472831</v>
      </c>
      <c r="CC2368" s="7"/>
    </row>
    <row r="2369" spans="2:81">
      <c r="B2369" s="6"/>
      <c r="C2369" s="1" t="s">
        <v>717</v>
      </c>
      <c r="CC2369" s="7"/>
    </row>
    <row r="2370" spans="2:81">
      <c r="B2370" s="6"/>
      <c r="C2370" s="1" t="s">
        <v>714</v>
      </c>
      <c r="K2370" s="66">
        <f>+P2344*1000</f>
        <v>8428.1689729472837</v>
      </c>
      <c r="L2370" s="66"/>
      <c r="M2370" s="66"/>
      <c r="N2370" s="9" t="s">
        <v>5</v>
      </c>
      <c r="O2370" s="66">
        <f>+P2355*1000</f>
        <v>5000</v>
      </c>
      <c r="P2370" s="66"/>
      <c r="Q2370" s="66"/>
      <c r="R2370" s="1" t="s">
        <v>660</v>
      </c>
      <c r="S2370" s="66">
        <v>48</v>
      </c>
      <c r="T2370" s="66"/>
      <c r="U2370" s="9" t="s">
        <v>5</v>
      </c>
      <c r="V2370" s="66">
        <f>+AN2275</f>
        <v>200000</v>
      </c>
      <c r="W2370" s="66"/>
      <c r="X2370" s="66"/>
      <c r="Y2370" s="9" t="s">
        <v>5</v>
      </c>
      <c r="Z2370" s="66">
        <f>+BF2291</f>
        <v>8360</v>
      </c>
      <c r="AA2370" s="66"/>
      <c r="AB2370" s="66"/>
      <c r="AC2370" s="9" t="s">
        <v>5</v>
      </c>
      <c r="AD2370" s="66">
        <v>10000</v>
      </c>
      <c r="AE2370" s="66"/>
      <c r="AF2370" s="66"/>
      <c r="AG2370" s="1" t="s">
        <v>40</v>
      </c>
      <c r="CC2370" s="7"/>
    </row>
    <row r="2371" spans="2:81">
      <c r="B2371" s="6"/>
      <c r="C2371" s="1" t="s">
        <v>718</v>
      </c>
      <c r="E2371" s="66">
        <f>K2370*O2370^3/(S2370*V2370*Z2370*AD2370)</f>
        <v>1.3127007595923177</v>
      </c>
      <c r="F2371" s="66"/>
      <c r="G2371" s="66"/>
      <c r="H2371" s="1" t="s">
        <v>41</v>
      </c>
      <c r="CC2371" s="7"/>
    </row>
    <row r="2372" spans="2:81">
      <c r="B2372" s="6"/>
      <c r="C2372" s="1" t="s">
        <v>172</v>
      </c>
      <c r="H2372" s="66">
        <f>P2355*1000</f>
        <v>5000</v>
      </c>
      <c r="I2372" s="66"/>
      <c r="J2372" s="66"/>
      <c r="K2372" s="1" t="s">
        <v>173</v>
      </c>
      <c r="L2372" s="66">
        <v>300</v>
      </c>
      <c r="M2372" s="66"/>
      <c r="N2372" s="9" t="s">
        <v>7</v>
      </c>
      <c r="O2372" s="66">
        <f>+H2372/L2372</f>
        <v>16.666666666666668</v>
      </c>
      <c r="P2372" s="66"/>
      <c r="Q2372" s="66"/>
      <c r="R2372" s="1" t="s">
        <v>41</v>
      </c>
      <c r="U2372" s="1" t="s">
        <v>192</v>
      </c>
      <c r="CC2372" s="7"/>
    </row>
    <row r="2373" spans="2:81">
      <c r="B2373" s="6"/>
      <c r="C2373" s="1" t="s">
        <v>718</v>
      </c>
      <c r="E2373" s="66">
        <f>+E2371</f>
        <v>1.3127007595923177</v>
      </c>
      <c r="F2373" s="66"/>
      <c r="G2373" s="66"/>
      <c r="H2373" s="1" t="s">
        <v>41</v>
      </c>
      <c r="J2373" s="1" t="str">
        <f>IF(ABS(E2373)&lt;ABS(N2373),"&lt;","&gt;")</f>
        <v>&lt;</v>
      </c>
      <c r="K2373" s="1" t="s">
        <v>174</v>
      </c>
      <c r="N2373" s="66">
        <f>+O2372</f>
        <v>16.666666666666668</v>
      </c>
      <c r="O2373" s="66"/>
      <c r="P2373" s="66"/>
      <c r="Q2373" s="1" t="s">
        <v>41</v>
      </c>
      <c r="S2373" s="8" t="str">
        <f>IF(ABS(E2373)&lt;ABS(N2373),"uygun.","uygun değil.")</f>
        <v>uygun.</v>
      </c>
      <c r="CC2373" s="7"/>
    </row>
    <row r="2374" spans="2:81">
      <c r="B2374" s="6"/>
      <c r="C2374" s="23" t="s">
        <v>221</v>
      </c>
      <c r="CC2374" s="7"/>
    </row>
    <row r="2375" spans="2:81">
      <c r="B2375" s="6"/>
      <c r="C2375" s="1" t="s">
        <v>4</v>
      </c>
      <c r="D2375" s="9" t="s">
        <v>7</v>
      </c>
      <c r="E2375" s="66">
        <f>+P2322</f>
        <v>45</v>
      </c>
      <c r="F2375" s="66"/>
      <c r="G2375" s="9" t="s">
        <v>6</v>
      </c>
      <c r="H2375" s="9" t="s">
        <v>694</v>
      </c>
      <c r="I2375" s="9" t="s">
        <v>5</v>
      </c>
      <c r="J2375" s="66">
        <f>+U2322</f>
        <v>6.6666666666666666E-2</v>
      </c>
      <c r="K2375" s="66"/>
      <c r="L2375" s="9" t="s">
        <v>7</v>
      </c>
      <c r="M2375" s="66">
        <f>+E2375</f>
        <v>45</v>
      </c>
      <c r="N2375" s="66"/>
      <c r="O2375" s="9" t="s">
        <v>6</v>
      </c>
      <c r="P2375" s="66">
        <f>+E2368</f>
        <v>-8.4281689729472831</v>
      </c>
      <c r="Q2375" s="66"/>
      <c r="R2375" s="66"/>
      <c r="S2375" s="9" t="s">
        <v>5</v>
      </c>
      <c r="T2375" s="66">
        <f>+J2375</f>
        <v>6.6666666666666666E-2</v>
      </c>
      <c r="U2375" s="66"/>
      <c r="V2375" s="9" t="s">
        <v>7</v>
      </c>
      <c r="W2375" s="66">
        <f>+M2375-P2375*T2375</f>
        <v>45.561877931529821</v>
      </c>
      <c r="X2375" s="66"/>
      <c r="Y2375" s="66"/>
      <c r="Z2375" s="1" t="s">
        <v>0</v>
      </c>
      <c r="CC2375" s="7"/>
    </row>
    <row r="2376" spans="2:81">
      <c r="B2376" s="6"/>
      <c r="C2376" s="1" t="s">
        <v>10</v>
      </c>
      <c r="D2376" s="9" t="s">
        <v>7</v>
      </c>
      <c r="E2376" s="66">
        <f>+W2375</f>
        <v>45.561877931529821</v>
      </c>
      <c r="F2376" s="66"/>
      <c r="G2376" s="66"/>
      <c r="H2376" s="1" t="s">
        <v>0</v>
      </c>
      <c r="CC2376" s="7"/>
    </row>
    <row r="2377" spans="2:81">
      <c r="B2377" s="6"/>
      <c r="C2377" s="1" t="s">
        <v>581</v>
      </c>
      <c r="D2377" s="9" t="s">
        <v>7</v>
      </c>
      <c r="E2377" s="1" t="s">
        <v>694</v>
      </c>
      <c r="F2377" s="1" t="s">
        <v>173</v>
      </c>
      <c r="G2377" s="1">
        <v>2</v>
      </c>
      <c r="H2377" s="9" t="s">
        <v>7</v>
      </c>
      <c r="I2377" s="66">
        <f>-E2368</f>
        <v>8.4281689729472831</v>
      </c>
      <c r="J2377" s="66"/>
      <c r="K2377" s="66"/>
      <c r="L2377" s="1" t="s">
        <v>173</v>
      </c>
      <c r="M2377" s="1">
        <v>2</v>
      </c>
      <c r="N2377" s="9" t="s">
        <v>7</v>
      </c>
      <c r="O2377" s="66">
        <f>+I2377/M2377</f>
        <v>4.2140844864736415</v>
      </c>
      <c r="P2377" s="66"/>
      <c r="Q2377" s="66"/>
      <c r="R2377" s="1" t="s">
        <v>0</v>
      </c>
      <c r="CC2377" s="7"/>
    </row>
    <row r="2378" spans="2:81">
      <c r="B2378" s="6"/>
      <c r="C2378" s="1" t="s">
        <v>685</v>
      </c>
      <c r="D2378" s="9" t="s">
        <v>7</v>
      </c>
      <c r="E2378" s="66">
        <f>+O2377</f>
        <v>4.2140844864736415</v>
      </c>
      <c r="F2378" s="66"/>
      <c r="G2378" s="66"/>
      <c r="H2378" s="1" t="s">
        <v>0</v>
      </c>
      <c r="CC2378" s="7"/>
    </row>
    <row r="2379" spans="2:81" ht="12" thickBot="1">
      <c r="B2379" s="12"/>
      <c r="C2379" s="13"/>
      <c r="D2379" s="13"/>
      <c r="E2379" s="13"/>
      <c r="F2379" s="13"/>
      <c r="G2379" s="13"/>
      <c r="H2379" s="13"/>
      <c r="I2379" s="13"/>
      <c r="J2379" s="13"/>
      <c r="K2379" s="13"/>
      <c r="L2379" s="13"/>
      <c r="M2379" s="13"/>
      <c r="N2379" s="13"/>
      <c r="O2379" s="13"/>
      <c r="P2379" s="13"/>
      <c r="Q2379" s="1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  <c r="AK2379" s="13"/>
      <c r="AL2379" s="13"/>
      <c r="AM2379" s="13"/>
      <c r="AN2379" s="13"/>
      <c r="AO2379" s="13"/>
      <c r="AP2379" s="13"/>
      <c r="AQ2379" s="13"/>
      <c r="AR2379" s="13"/>
      <c r="AS2379" s="13"/>
      <c r="AT2379" s="13"/>
      <c r="AU2379" s="13"/>
      <c r="AV2379" s="13"/>
      <c r="AW2379" s="13"/>
      <c r="AX2379" s="13"/>
      <c r="AY2379" s="13"/>
      <c r="AZ2379" s="13"/>
      <c r="BA2379" s="13"/>
      <c r="BB2379" s="13"/>
      <c r="BC2379" s="13"/>
      <c r="BD2379" s="13"/>
      <c r="BE2379" s="13"/>
      <c r="BF2379" s="13"/>
      <c r="BG2379" s="13"/>
      <c r="BH2379" s="13"/>
      <c r="BI2379" s="13"/>
      <c r="BJ2379" s="13"/>
      <c r="BK2379" s="13"/>
      <c r="BL2379" s="13"/>
      <c r="BM2379" s="13"/>
      <c r="BN2379" s="13"/>
      <c r="BO2379" s="13"/>
      <c r="BP2379" s="13"/>
      <c r="BQ2379" s="13"/>
      <c r="BR2379" s="13"/>
      <c r="BS2379" s="13"/>
      <c r="BT2379" s="13"/>
      <c r="BU2379" s="13"/>
      <c r="BV2379" s="13"/>
      <c r="BW2379" s="13"/>
      <c r="BX2379" s="13"/>
      <c r="BY2379" s="13"/>
      <c r="BZ2379" s="13"/>
      <c r="CA2379" s="13"/>
      <c r="CB2379" s="13"/>
      <c r="CC2379" s="14"/>
    </row>
    <row r="2380" spans="2:81" ht="12" thickBot="1"/>
    <row r="2381" spans="2:81" ht="48" customHeight="1">
      <c r="B2381" s="73" t="s">
        <v>815</v>
      </c>
      <c r="C2381" s="74"/>
      <c r="D2381" s="74"/>
      <c r="E2381" s="74"/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/>
      <c r="Q2381" s="74"/>
      <c r="R2381" s="74"/>
      <c r="S2381" s="74"/>
      <c r="T2381" s="74"/>
      <c r="U2381" s="74"/>
      <c r="V2381" s="74"/>
      <c r="W2381" s="74"/>
      <c r="X2381" s="74"/>
      <c r="Y2381" s="74"/>
      <c r="Z2381" s="74"/>
      <c r="AA2381" s="74"/>
      <c r="AB2381" s="74"/>
      <c r="AC2381" s="74"/>
      <c r="AD2381" s="74"/>
      <c r="AE2381" s="74"/>
      <c r="AF2381" s="74"/>
      <c r="AG2381" s="74"/>
      <c r="AH2381" s="74"/>
      <c r="AI2381" s="74"/>
      <c r="AJ2381" s="74"/>
      <c r="AK2381" s="74"/>
      <c r="AL2381" s="74"/>
      <c r="AM2381" s="74"/>
      <c r="AN2381" s="74"/>
      <c r="AO2381" s="74"/>
      <c r="AP2381" s="74"/>
      <c r="AQ2381" s="74"/>
      <c r="AR2381" s="74"/>
      <c r="AS2381" s="74"/>
      <c r="AT2381" s="74"/>
      <c r="AU2381" s="74"/>
      <c r="AV2381" s="74"/>
      <c r="AW2381" s="74"/>
      <c r="AX2381" s="74"/>
      <c r="AY2381" s="74"/>
      <c r="AZ2381" s="74"/>
      <c r="BA2381" s="74"/>
      <c r="BB2381" s="74"/>
      <c r="BC2381" s="74"/>
      <c r="BD2381" s="74"/>
      <c r="BE2381" s="74"/>
      <c r="BF2381" s="74"/>
      <c r="BG2381" s="74"/>
      <c r="BH2381" s="74"/>
      <c r="BI2381" s="74"/>
      <c r="BJ2381" s="74"/>
      <c r="BK2381" s="74"/>
      <c r="BL2381" s="74"/>
      <c r="BM2381" s="74"/>
      <c r="BN2381" s="74"/>
      <c r="BO2381" s="74"/>
      <c r="BP2381" s="74"/>
      <c r="BQ2381" s="74"/>
      <c r="BR2381" s="74"/>
      <c r="BS2381" s="74"/>
      <c r="BT2381" s="74"/>
      <c r="BU2381" s="74"/>
      <c r="BV2381" s="74"/>
      <c r="BW2381" s="74"/>
      <c r="BX2381" s="74"/>
      <c r="BY2381" s="74"/>
      <c r="BZ2381" s="74"/>
      <c r="CA2381" s="74"/>
      <c r="CB2381" s="74"/>
      <c r="CC2381" s="75"/>
    </row>
    <row r="2382" spans="2:81">
      <c r="B2382" s="6"/>
      <c r="P2382" s="8" t="s">
        <v>176</v>
      </c>
      <c r="CC2382" s="7"/>
    </row>
    <row r="2383" spans="2:81">
      <c r="B2383" s="6"/>
      <c r="AG2383" s="1" t="s">
        <v>290</v>
      </c>
      <c r="CC2383" s="7"/>
    </row>
    <row r="2384" spans="2:81">
      <c r="B2384" s="6"/>
      <c r="CC2384" s="7"/>
    </row>
    <row r="2385" spans="2:81">
      <c r="B2385" s="6"/>
      <c r="AZ2385" s="23" t="s">
        <v>728</v>
      </c>
      <c r="BM2385" s="23" t="s">
        <v>729</v>
      </c>
      <c r="CC2385" s="7"/>
    </row>
    <row r="2386" spans="2:81">
      <c r="B2386" s="6"/>
      <c r="X2386" s="1" t="s">
        <v>10</v>
      </c>
      <c r="AD2386" s="1" t="s">
        <v>38</v>
      </c>
      <c r="AF2386" s="67">
        <v>200000</v>
      </c>
      <c r="AG2386" s="67"/>
      <c r="AH2386" s="67"/>
      <c r="AI2386" s="67"/>
      <c r="AJ2386" s="1" t="s">
        <v>39</v>
      </c>
      <c r="AM2386" s="1" t="s">
        <v>689</v>
      </c>
      <c r="CC2386" s="7"/>
    </row>
    <row r="2387" spans="2:81">
      <c r="B2387" s="6"/>
      <c r="CC2387" s="7"/>
    </row>
    <row r="2388" spans="2:81">
      <c r="B2388" s="6"/>
      <c r="CC2388" s="7"/>
    </row>
    <row r="2389" spans="2:81">
      <c r="B2389" s="6"/>
      <c r="Q2389" s="66">
        <f>+J2394/2</f>
        <v>1.5</v>
      </c>
      <c r="R2389" s="66"/>
      <c r="S2389" s="1" t="s">
        <v>1</v>
      </c>
      <c r="CC2389" s="7"/>
    </row>
    <row r="2390" spans="2:81">
      <c r="B2390" s="6"/>
      <c r="AW2390" s="71">
        <f>INDEX($CI$24:$CI$138,MATCH(Y2392,$CG$24:$CG$138,0),0)</f>
        <v>600</v>
      </c>
      <c r="BJ2390" s="71">
        <f>INDEX($CI$24:$CI$138,MATCH(AA2404,$CG$24:$CG$138,0),0)</f>
        <v>300</v>
      </c>
      <c r="CC2390" s="7"/>
    </row>
    <row r="2391" spans="2:81">
      <c r="B2391" s="6"/>
      <c r="Y2391" s="1" t="s">
        <v>691</v>
      </c>
      <c r="AW2391" s="71"/>
      <c r="BA2391" s="66">
        <f>INDEX($CK$24:$CK$138,MATCH(Y2392,$CG$24:$CG$138,0),0)</f>
        <v>12</v>
      </c>
      <c r="BB2391" s="66"/>
      <c r="BJ2391" s="71"/>
      <c r="BN2391" s="66">
        <f>INDEX($CK$24:$CK$138,MATCH(AA2404,$CG$24:$CG$138,0),0)</f>
        <v>7.1</v>
      </c>
      <c r="BO2391" s="66"/>
      <c r="CC2391" s="7"/>
    </row>
    <row r="2392" spans="2:81">
      <c r="B2392" s="6"/>
      <c r="V2392" s="10" t="s">
        <v>690</v>
      </c>
      <c r="Y2392" s="67" t="s">
        <v>171</v>
      </c>
      <c r="Z2392" s="67"/>
      <c r="AA2392" s="67"/>
      <c r="AB2392" s="67"/>
      <c r="AC2392" s="67"/>
      <c r="AD2392" s="67"/>
      <c r="AW2392" s="71"/>
      <c r="BJ2392" s="71"/>
      <c r="CC2392" s="7"/>
    </row>
    <row r="2393" spans="2:81">
      <c r="B2393" s="6"/>
      <c r="AR2393" s="67">
        <v>25</v>
      </c>
      <c r="AS2393" s="67"/>
      <c r="AT2393" s="1" t="s">
        <v>0</v>
      </c>
      <c r="CC2393" s="7"/>
    </row>
    <row r="2394" spans="2:81">
      <c r="B2394" s="6"/>
      <c r="J2394" s="67">
        <v>3</v>
      </c>
      <c r="K2394" s="67"/>
      <c r="L2394" s="1" t="s">
        <v>1</v>
      </c>
      <c r="AH2394" s="67">
        <v>15</v>
      </c>
      <c r="AI2394" s="67"/>
      <c r="AJ2394" s="1" t="s">
        <v>187</v>
      </c>
      <c r="BD2394" s="66">
        <f>INDEX($CL$24:$CL$138,MATCH(Y2392,$CG$24:$CG$138,0),0)</f>
        <v>19</v>
      </c>
      <c r="BE2394" s="66"/>
      <c r="BQ2394" s="66">
        <f>INDEX($CL$24:$CL$138,MATCH(AA2404,$CG$24:$CG$138,0),0)</f>
        <v>10.7</v>
      </c>
      <c r="BR2394" s="66"/>
      <c r="CC2394" s="7"/>
    </row>
    <row r="2395" spans="2:81">
      <c r="B2395" s="6"/>
      <c r="CC2395" s="7"/>
    </row>
    <row r="2396" spans="2:81">
      <c r="B2396" s="6"/>
      <c r="CC2396" s="7"/>
    </row>
    <row r="2397" spans="2:81">
      <c r="B2397" s="6"/>
      <c r="BB2397" s="66">
        <f>INDEX($CJ$24:$CJ$138,MATCH(Y2392,$CG$24:$CG$138,0),0)</f>
        <v>220</v>
      </c>
      <c r="BC2397" s="66"/>
      <c r="BO2397" s="66">
        <f>INDEX($CJ$24:$CJ$138,MATCH(AA2404,$CG$24:$CG$138,0),0)</f>
        <v>150</v>
      </c>
      <c r="BP2397" s="66"/>
      <c r="CC2397" s="7"/>
    </row>
    <row r="2398" spans="2:81">
      <c r="B2398" s="6"/>
      <c r="AS2398" s="1" t="s">
        <v>710</v>
      </c>
      <c r="CC2398" s="7"/>
    </row>
    <row r="2399" spans="2:81">
      <c r="B2399" s="6"/>
      <c r="Q2399" s="1" t="s">
        <v>581</v>
      </c>
      <c r="W2399" s="10" t="s">
        <v>687</v>
      </c>
      <c r="AF2399" s="1" t="s">
        <v>685</v>
      </c>
      <c r="AL2399" s="10" t="s">
        <v>687</v>
      </c>
      <c r="AX2399" s="10" t="s">
        <v>688</v>
      </c>
      <c r="AZ2399" s="66">
        <f>INDEX($CM$24:$CM$138,MATCH(Y2392,$CG$24:$CG$138,0),0)</f>
        <v>92080</v>
      </c>
      <c r="BA2399" s="66"/>
      <c r="BB2399" s="66"/>
      <c r="BC2399" s="66"/>
      <c r="BD2399" s="1" t="s">
        <v>37</v>
      </c>
      <c r="BL2399" s="10" t="s">
        <v>686</v>
      </c>
      <c r="BN2399" s="66">
        <f>INDEX($CM$24:$CM$138,MATCH(AA2404,$CG$24:$CG$138,0),0)</f>
        <v>8360</v>
      </c>
      <c r="BO2399" s="66"/>
      <c r="BP2399" s="66"/>
      <c r="BQ2399" s="66"/>
      <c r="BR2399" s="1" t="s">
        <v>37</v>
      </c>
      <c r="CC2399" s="7"/>
    </row>
    <row r="2400" spans="2:81">
      <c r="B2400" s="6"/>
      <c r="J2400" s="66">
        <f>+J2394/2</f>
        <v>1.5</v>
      </c>
      <c r="K2400" s="66"/>
      <c r="L2400" s="1" t="s">
        <v>1</v>
      </c>
      <c r="CC2400" s="7"/>
    </row>
    <row r="2401" spans="2:81">
      <c r="B2401" s="6"/>
      <c r="W2401" s="67">
        <v>1</v>
      </c>
      <c r="X2401" s="67"/>
      <c r="Y2401" s="1" t="s">
        <v>1</v>
      </c>
      <c r="AK2401" s="67">
        <v>1.5</v>
      </c>
      <c r="AL2401" s="67"/>
      <c r="AM2401" s="1" t="s">
        <v>1</v>
      </c>
      <c r="CC2401" s="7"/>
    </row>
    <row r="2402" spans="2:81">
      <c r="B2402" s="6"/>
      <c r="AK2402" s="8"/>
      <c r="AL2402" s="8"/>
      <c r="CC2402" s="7"/>
    </row>
    <row r="2403" spans="2:81">
      <c r="B2403" s="6"/>
      <c r="AB2403" s="1" t="s">
        <v>684</v>
      </c>
      <c r="CC2403" s="7"/>
    </row>
    <row r="2404" spans="2:81">
      <c r="B2404" s="6"/>
      <c r="AA2404" s="67" t="s">
        <v>638</v>
      </c>
      <c r="AB2404" s="67"/>
      <c r="AC2404" s="67"/>
      <c r="AD2404" s="67"/>
      <c r="AE2404" s="67"/>
      <c r="AF2404" s="67"/>
      <c r="CC2404" s="7"/>
    </row>
    <row r="2405" spans="2:81">
      <c r="B2405" s="6"/>
      <c r="M2405" s="10" t="s">
        <v>690</v>
      </c>
      <c r="CC2405" s="7"/>
    </row>
    <row r="2406" spans="2:81">
      <c r="B2406" s="6"/>
      <c r="N2406" s="20"/>
      <c r="O2406" s="20"/>
      <c r="CC2406" s="7"/>
    </row>
    <row r="2407" spans="2:81">
      <c r="B2407" s="6"/>
      <c r="CC2407" s="7"/>
    </row>
    <row r="2408" spans="2:81">
      <c r="B2408" s="6"/>
      <c r="CC2408" s="7"/>
    </row>
    <row r="2409" spans="2:81">
      <c r="B2409" s="6"/>
      <c r="H2409" s="1" t="s">
        <v>4</v>
      </c>
      <c r="CC2409" s="7"/>
    </row>
    <row r="2410" spans="2:81">
      <c r="B2410" s="6"/>
      <c r="CC2410" s="7"/>
    </row>
    <row r="2411" spans="2:81">
      <c r="B2411" s="6"/>
      <c r="CC2411" s="7"/>
    </row>
    <row r="2412" spans="2:81">
      <c r="B2412" s="6"/>
      <c r="CC2412" s="7"/>
    </row>
    <row r="2413" spans="2:81">
      <c r="B2413" s="6"/>
      <c r="AA2413" s="20"/>
      <c r="AB2413" s="20"/>
      <c r="CC2413" s="7"/>
    </row>
    <row r="2414" spans="2:81">
      <c r="B2414" s="6"/>
      <c r="D2414" s="66" t="s">
        <v>711</v>
      </c>
      <c r="E2414" s="66"/>
      <c r="F2414" s="66">
        <f>+F2430</f>
        <v>46.875</v>
      </c>
      <c r="G2414" s="66"/>
      <c r="H2414" s="66"/>
      <c r="I2414" s="1" t="s">
        <v>0</v>
      </c>
      <c r="AH2414" s="66">
        <f>+AR2393</f>
        <v>25</v>
      </c>
      <c r="AI2414" s="66"/>
      <c r="AJ2414" s="1" t="s">
        <v>0</v>
      </c>
      <c r="CC2414" s="7"/>
    </row>
    <row r="2415" spans="2:81">
      <c r="B2415" s="6"/>
      <c r="X2415" s="66">
        <f>+AH2394</f>
        <v>15</v>
      </c>
      <c r="Y2415" s="66"/>
      <c r="Z2415" s="1" t="s">
        <v>187</v>
      </c>
      <c r="CC2415" s="7"/>
    </row>
    <row r="2416" spans="2:81">
      <c r="B2416" s="6"/>
      <c r="CC2416" s="7"/>
    </row>
    <row r="2417" spans="2:81">
      <c r="B2417" s="6"/>
      <c r="CC2417" s="7"/>
    </row>
    <row r="2418" spans="2:81">
      <c r="B2418" s="6"/>
      <c r="CC2418" s="7"/>
    </row>
    <row r="2419" spans="2:81">
      <c r="B2419" s="6"/>
      <c r="AI2419" s="1" t="s">
        <v>710</v>
      </c>
      <c r="CC2419" s="7"/>
    </row>
    <row r="2420" spans="2:81">
      <c r="B2420" s="6"/>
      <c r="G2420" s="1" t="s">
        <v>581</v>
      </c>
      <c r="M2420" s="10" t="s">
        <v>687</v>
      </c>
      <c r="V2420" s="1" t="s">
        <v>685</v>
      </c>
      <c r="Y2420" s="10"/>
      <c r="AB2420" s="10" t="s">
        <v>687</v>
      </c>
      <c r="CC2420" s="7"/>
    </row>
    <row r="2421" spans="2:81">
      <c r="B2421" s="6"/>
      <c r="J2421" s="1" t="s">
        <v>505</v>
      </c>
      <c r="Z2421" s="1" t="s">
        <v>504</v>
      </c>
      <c r="CC2421" s="7"/>
    </row>
    <row r="2422" spans="2:81">
      <c r="B2422" s="6"/>
      <c r="K2422" s="1" t="s">
        <v>13</v>
      </c>
      <c r="Y2422" s="1" t="s">
        <v>428</v>
      </c>
      <c r="CC2422" s="7"/>
    </row>
    <row r="2423" spans="2:81">
      <c r="B2423" s="6"/>
      <c r="S2423" s="1" t="s">
        <v>713</v>
      </c>
      <c r="T2423" s="66">
        <f>+F2433</f>
        <v>109.375</v>
      </c>
      <c r="U2423" s="66"/>
      <c r="V2423" s="66"/>
      <c r="W2423" s="1" t="s">
        <v>0</v>
      </c>
      <c r="CC2423" s="7"/>
    </row>
    <row r="2424" spans="2:81">
      <c r="B2424" s="6"/>
      <c r="CC2424" s="7"/>
    </row>
    <row r="2425" spans="2:81">
      <c r="B2425" s="6"/>
      <c r="F2425" s="10"/>
      <c r="M2425" s="66">
        <f>+W2401</f>
        <v>1</v>
      </c>
      <c r="N2425" s="66"/>
      <c r="O2425" s="1" t="s">
        <v>1</v>
      </c>
      <c r="AA2425" s="66">
        <f>+AK2401</f>
        <v>1.5</v>
      </c>
      <c r="AB2425" s="66"/>
      <c r="AC2425" s="1" t="s">
        <v>1</v>
      </c>
      <c r="CC2425" s="7"/>
    </row>
    <row r="2426" spans="2:81">
      <c r="B2426" s="6"/>
      <c r="CC2426" s="7"/>
    </row>
    <row r="2427" spans="2:81">
      <c r="B2427" s="6"/>
      <c r="D2427" s="1" t="s">
        <v>719</v>
      </c>
      <c r="CC2427" s="7"/>
    </row>
    <row r="2428" spans="2:81">
      <c r="B2428" s="6"/>
      <c r="D2428" s="1" t="s">
        <v>694</v>
      </c>
      <c r="E2428" s="9" t="s">
        <v>5</v>
      </c>
      <c r="F2428" s="66">
        <f>+M2425</f>
        <v>1</v>
      </c>
      <c r="G2428" s="66"/>
      <c r="H2428" s="9" t="s">
        <v>9</v>
      </c>
      <c r="I2428" s="66">
        <f>+X2415</f>
        <v>15</v>
      </c>
      <c r="J2428" s="66"/>
      <c r="K2428" s="9" t="s">
        <v>5</v>
      </c>
      <c r="L2428" s="66">
        <f>+M2425</f>
        <v>1</v>
      </c>
      <c r="M2428" s="66"/>
      <c r="N2428" s="9" t="s">
        <v>5</v>
      </c>
      <c r="O2428" s="66">
        <f>+L2428/2</f>
        <v>0.5</v>
      </c>
      <c r="P2428" s="66"/>
      <c r="Q2428" s="9" t="s">
        <v>6</v>
      </c>
      <c r="R2428" s="66">
        <f>+AH2414</f>
        <v>25</v>
      </c>
      <c r="S2428" s="66"/>
      <c r="T2428" s="9" t="s">
        <v>5</v>
      </c>
      <c r="U2428" s="66">
        <f>+AA2425</f>
        <v>1.5</v>
      </c>
      <c r="V2428" s="66"/>
      <c r="W2428" s="9" t="s">
        <v>6</v>
      </c>
      <c r="X2428" s="66">
        <f>+X2415</f>
        <v>15</v>
      </c>
      <c r="Y2428" s="66"/>
      <c r="Z2428" s="9" t="s">
        <v>5</v>
      </c>
      <c r="AA2428" s="66">
        <f>+AA2425</f>
        <v>1.5</v>
      </c>
      <c r="AB2428" s="66"/>
      <c r="AC2428" s="9" t="s">
        <v>5</v>
      </c>
      <c r="AD2428" s="66">
        <f>+AA2428/2</f>
        <v>0.75</v>
      </c>
      <c r="AE2428" s="66"/>
      <c r="AF2428" s="9" t="s">
        <v>7</v>
      </c>
      <c r="AG2428" s="9">
        <v>0</v>
      </c>
      <c r="CC2428" s="7"/>
    </row>
    <row r="2429" spans="2:81">
      <c r="B2429" s="6"/>
      <c r="D2429" s="1" t="s">
        <v>694</v>
      </c>
      <c r="E2429" s="9" t="s">
        <v>5</v>
      </c>
      <c r="F2429" s="66">
        <f>+F2428</f>
        <v>1</v>
      </c>
      <c r="G2429" s="66"/>
      <c r="H2429" s="9" t="s">
        <v>9</v>
      </c>
      <c r="I2429" s="66">
        <f>+I2428*L2428*O2428-R2428*U2428-X2428*AA2428*AD2428</f>
        <v>-46.875</v>
      </c>
      <c r="J2429" s="66"/>
      <c r="K2429" s="66"/>
      <c r="L2429" s="9" t="s">
        <v>7</v>
      </c>
      <c r="M2429" s="9">
        <v>0</v>
      </c>
      <c r="CC2429" s="7"/>
    </row>
    <row r="2430" spans="2:81">
      <c r="B2430" s="6"/>
      <c r="D2430" s="1" t="s">
        <v>694</v>
      </c>
      <c r="E2430" s="9" t="s">
        <v>7</v>
      </c>
      <c r="F2430" s="66">
        <f>-I2429/F2429</f>
        <v>46.875</v>
      </c>
      <c r="G2430" s="66"/>
      <c r="H2430" s="66"/>
      <c r="I2430" s="1" t="s">
        <v>0</v>
      </c>
      <c r="CC2430" s="7"/>
    </row>
    <row r="2431" spans="2:81">
      <c r="B2431" s="6"/>
      <c r="D2431" s="1" t="s">
        <v>418</v>
      </c>
      <c r="CC2431" s="7"/>
    </row>
    <row r="2432" spans="2:81">
      <c r="B2432" s="6"/>
      <c r="D2432" s="1" t="s">
        <v>694</v>
      </c>
      <c r="E2432" s="9" t="s">
        <v>9</v>
      </c>
      <c r="F2432" s="66">
        <f>+X2415</f>
        <v>15</v>
      </c>
      <c r="G2432" s="66"/>
      <c r="H2432" s="9" t="s">
        <v>5</v>
      </c>
      <c r="I2432" s="66">
        <f>+M2425+AA2425</f>
        <v>2.5</v>
      </c>
      <c r="J2432" s="66"/>
      <c r="K2432" s="9" t="s">
        <v>9</v>
      </c>
      <c r="L2432" s="66">
        <f>+AH2414</f>
        <v>25</v>
      </c>
      <c r="M2432" s="66"/>
      <c r="N2432" s="9" t="s">
        <v>6</v>
      </c>
      <c r="O2432" s="1" t="s">
        <v>685</v>
      </c>
      <c r="P2432" s="9" t="s">
        <v>7</v>
      </c>
      <c r="Q2432" s="9">
        <v>0</v>
      </c>
      <c r="CC2432" s="7"/>
    </row>
    <row r="2433" spans="2:81">
      <c r="B2433" s="6"/>
      <c r="D2433" s="1" t="s">
        <v>685</v>
      </c>
      <c r="E2433" s="1" t="s">
        <v>7</v>
      </c>
      <c r="F2433" s="66">
        <f>+F2430+F2432*I2432+L2432</f>
        <v>109.375</v>
      </c>
      <c r="G2433" s="66"/>
      <c r="H2433" s="66"/>
      <c r="I2433" s="1" t="s">
        <v>0</v>
      </c>
      <c r="CC2433" s="7"/>
    </row>
    <row r="2434" spans="2:81">
      <c r="B2434" s="6"/>
      <c r="D2434" s="1" t="s">
        <v>720</v>
      </c>
      <c r="F2434" s="9"/>
      <c r="G2434" s="9"/>
      <c r="H2434" s="9"/>
      <c r="CC2434" s="7"/>
    </row>
    <row r="2435" spans="2:81">
      <c r="B2435" s="6"/>
      <c r="D2435" s="24" t="s">
        <v>696</v>
      </c>
      <c r="F2435" s="9"/>
      <c r="G2435" s="9"/>
      <c r="H2435" s="9"/>
      <c r="CC2435" s="7"/>
    </row>
    <row r="2436" spans="2:81">
      <c r="B2436" s="6"/>
      <c r="D2436" s="1" t="s">
        <v>429</v>
      </c>
      <c r="F2436" s="66">
        <f>-F2414</f>
        <v>-46.875</v>
      </c>
      <c r="G2436" s="66"/>
      <c r="H2436" s="66"/>
      <c r="I2436" s="9" t="s">
        <v>5</v>
      </c>
      <c r="J2436" s="9" t="s">
        <v>13</v>
      </c>
      <c r="K2436" s="9" t="s">
        <v>6</v>
      </c>
      <c r="L2436" s="66">
        <f>+X2415</f>
        <v>15</v>
      </c>
      <c r="M2436" s="66"/>
      <c r="N2436" s="9" t="s">
        <v>5</v>
      </c>
      <c r="O2436" s="1" t="s">
        <v>183</v>
      </c>
      <c r="P2436" s="1" t="s">
        <v>173</v>
      </c>
      <c r="Q2436" s="1">
        <v>2</v>
      </c>
      <c r="CC2436" s="7"/>
    </row>
    <row r="2437" spans="2:81">
      <c r="B2437" s="6"/>
      <c r="D2437" s="1" t="s">
        <v>432</v>
      </c>
      <c r="F2437" s="66">
        <f>+F2436</f>
        <v>-46.875</v>
      </c>
      <c r="G2437" s="66"/>
      <c r="H2437" s="66"/>
      <c r="I2437" s="9" t="s">
        <v>5</v>
      </c>
      <c r="J2437" s="9" t="s">
        <v>183</v>
      </c>
      <c r="K2437" s="1" t="s">
        <v>173</v>
      </c>
      <c r="L2437" s="1">
        <v>2</v>
      </c>
      <c r="M2437" s="9" t="s">
        <v>6</v>
      </c>
      <c r="N2437" s="66">
        <f>+L2436</f>
        <v>15</v>
      </c>
      <c r="O2437" s="66"/>
      <c r="P2437" s="9" t="s">
        <v>5</v>
      </c>
      <c r="Q2437" s="1" t="s">
        <v>184</v>
      </c>
      <c r="R2437" s="1" t="s">
        <v>173</v>
      </c>
      <c r="S2437" s="1">
        <v>6</v>
      </c>
      <c r="T2437" s="9" t="s">
        <v>9</v>
      </c>
      <c r="U2437" s="1" t="s">
        <v>24</v>
      </c>
      <c r="CC2437" s="7"/>
    </row>
    <row r="2438" spans="2:81">
      <c r="B2438" s="6"/>
      <c r="D2438" s="1" t="s">
        <v>431</v>
      </c>
      <c r="F2438" s="66">
        <f>+F2437</f>
        <v>-46.875</v>
      </c>
      <c r="G2438" s="66"/>
      <c r="H2438" s="66"/>
      <c r="I2438" s="9" t="s">
        <v>5</v>
      </c>
      <c r="J2438" s="9" t="s">
        <v>184</v>
      </c>
      <c r="K2438" s="1" t="s">
        <v>173</v>
      </c>
      <c r="L2438" s="1">
        <v>6</v>
      </c>
      <c r="M2438" s="9" t="s">
        <v>6</v>
      </c>
      <c r="N2438" s="66">
        <f>+N2437</f>
        <v>15</v>
      </c>
      <c r="O2438" s="66"/>
      <c r="P2438" s="9" t="s">
        <v>5</v>
      </c>
      <c r="Q2438" s="1" t="s">
        <v>185</v>
      </c>
      <c r="R2438" s="1" t="s">
        <v>173</v>
      </c>
      <c r="S2438" s="66">
        <v>24</v>
      </c>
      <c r="T2438" s="66"/>
      <c r="U2438" s="9" t="s">
        <v>9</v>
      </c>
      <c r="V2438" s="1" t="s">
        <v>24</v>
      </c>
      <c r="W2438" s="9" t="s">
        <v>5</v>
      </c>
      <c r="X2438" s="9" t="s">
        <v>13</v>
      </c>
      <c r="Y2438" s="9" t="s">
        <v>9</v>
      </c>
      <c r="Z2438" s="1" t="s">
        <v>307</v>
      </c>
      <c r="CC2438" s="7"/>
    </row>
    <row r="2439" spans="2:81">
      <c r="B2439" s="6"/>
      <c r="D2439" s="24" t="s">
        <v>700</v>
      </c>
      <c r="F2439" s="9"/>
      <c r="G2439" s="9"/>
      <c r="H2439" s="9"/>
      <c r="CC2439" s="7"/>
    </row>
    <row r="2440" spans="2:81">
      <c r="B2440" s="6"/>
      <c r="D2440" s="1" t="s">
        <v>433</v>
      </c>
      <c r="F2440" s="66">
        <f>-F2414</f>
        <v>-46.875</v>
      </c>
      <c r="G2440" s="66"/>
      <c r="H2440" s="66"/>
      <c r="I2440" s="9" t="s">
        <v>14</v>
      </c>
      <c r="J2440" s="66">
        <f>+M2425</f>
        <v>1</v>
      </c>
      <c r="K2440" s="66"/>
      <c r="L2440" s="9" t="s">
        <v>9</v>
      </c>
      <c r="M2440" s="9" t="s">
        <v>428</v>
      </c>
      <c r="N2440" s="1" t="s">
        <v>16</v>
      </c>
      <c r="O2440" s="66">
        <f>+X2415</f>
        <v>15</v>
      </c>
      <c r="P2440" s="66"/>
      <c r="Q2440" s="9" t="s">
        <v>5</v>
      </c>
      <c r="R2440" s="66">
        <f>+M2425</f>
        <v>1</v>
      </c>
      <c r="S2440" s="66"/>
      <c r="T2440" s="1" t="s">
        <v>14</v>
      </c>
      <c r="U2440" s="66">
        <f>+M2425/2</f>
        <v>0.5</v>
      </c>
      <c r="V2440" s="66"/>
      <c r="W2440" s="9" t="s">
        <v>9</v>
      </c>
      <c r="X2440" s="9" t="s">
        <v>428</v>
      </c>
      <c r="Y2440" s="1" t="s">
        <v>16</v>
      </c>
      <c r="Z2440" s="66">
        <f>+X2415</f>
        <v>15</v>
      </c>
      <c r="AA2440" s="66"/>
      <c r="AB2440" s="9" t="s">
        <v>5</v>
      </c>
      <c r="AC2440" s="1" t="s">
        <v>443</v>
      </c>
      <c r="AD2440" s="1" t="s">
        <v>173</v>
      </c>
      <c r="AE2440" s="1">
        <v>2</v>
      </c>
      <c r="AF2440" s="9" t="s">
        <v>9</v>
      </c>
      <c r="AG2440" s="66">
        <f>+T2423</f>
        <v>109.375</v>
      </c>
      <c r="AH2440" s="66"/>
      <c r="AI2440" s="66"/>
      <c r="AJ2440" s="9" t="s">
        <v>5</v>
      </c>
      <c r="AK2440" s="9" t="s">
        <v>428</v>
      </c>
      <c r="CC2440" s="7"/>
    </row>
    <row r="2441" spans="2:81">
      <c r="B2441" s="6"/>
      <c r="D2441" s="1" t="s">
        <v>430</v>
      </c>
      <c r="F2441" s="66">
        <f>+F2440</f>
        <v>-46.875</v>
      </c>
      <c r="G2441" s="66"/>
      <c r="H2441" s="66"/>
      <c r="I2441" s="9" t="s">
        <v>14</v>
      </c>
      <c r="J2441" s="66">
        <f>+J2440</f>
        <v>1</v>
      </c>
      <c r="K2441" s="66"/>
      <c r="L2441" s="9" t="s">
        <v>9</v>
      </c>
      <c r="M2441" s="9" t="s">
        <v>428</v>
      </c>
      <c r="N2441" s="1" t="s">
        <v>200</v>
      </c>
      <c r="O2441" s="1" t="s">
        <v>173</v>
      </c>
      <c r="P2441" s="1">
        <v>2</v>
      </c>
      <c r="Q2441" s="9" t="s">
        <v>6</v>
      </c>
      <c r="R2441" s="66">
        <f>+O2440*R2440</f>
        <v>15</v>
      </c>
      <c r="S2441" s="66"/>
      <c r="T2441" s="1" t="s">
        <v>14</v>
      </c>
      <c r="U2441" s="66">
        <f>+U2440</f>
        <v>0.5</v>
      </c>
      <c r="V2441" s="66"/>
      <c r="W2441" s="9" t="s">
        <v>9</v>
      </c>
      <c r="X2441" s="9" t="s">
        <v>428</v>
      </c>
      <c r="Y2441" s="1" t="s">
        <v>200</v>
      </c>
      <c r="Z2441" s="1" t="s">
        <v>173</v>
      </c>
      <c r="AA2441" s="1">
        <v>2</v>
      </c>
      <c r="AB2441" s="9" t="s">
        <v>6</v>
      </c>
      <c r="AC2441" s="66">
        <f>+Z2440</f>
        <v>15</v>
      </c>
      <c r="AD2441" s="66"/>
      <c r="AE2441" s="9" t="s">
        <v>5</v>
      </c>
      <c r="AF2441" s="1" t="s">
        <v>444</v>
      </c>
      <c r="AG2441" s="1" t="s">
        <v>173</v>
      </c>
      <c r="AH2441" s="1">
        <v>6</v>
      </c>
      <c r="AI2441" s="9" t="s">
        <v>9</v>
      </c>
      <c r="AJ2441" s="66">
        <f>+AG2440</f>
        <v>109.375</v>
      </c>
      <c r="AK2441" s="66"/>
      <c r="AL2441" s="66"/>
      <c r="AM2441" s="9" t="s">
        <v>5</v>
      </c>
      <c r="AN2441" s="9" t="s">
        <v>443</v>
      </c>
      <c r="AO2441" s="1" t="s">
        <v>173</v>
      </c>
      <c r="AP2441" s="1">
        <v>2</v>
      </c>
      <c r="AQ2441" s="9" t="s">
        <v>9</v>
      </c>
      <c r="AR2441" s="1" t="s">
        <v>313</v>
      </c>
      <c r="CC2441" s="7"/>
    </row>
    <row r="2442" spans="2:81">
      <c r="B2442" s="6"/>
      <c r="D2442" s="1" t="s">
        <v>435</v>
      </c>
      <c r="F2442" s="66">
        <f>+F2441</f>
        <v>-46.875</v>
      </c>
      <c r="G2442" s="66"/>
      <c r="H2442" s="66"/>
      <c r="I2442" s="9" t="s">
        <v>14</v>
      </c>
      <c r="J2442" s="66">
        <f>+J2441</f>
        <v>1</v>
      </c>
      <c r="K2442" s="66"/>
      <c r="L2442" s="9" t="s">
        <v>9</v>
      </c>
      <c r="M2442" s="9" t="s">
        <v>428</v>
      </c>
      <c r="N2442" s="1" t="s">
        <v>311</v>
      </c>
      <c r="O2442" s="1" t="s">
        <v>173</v>
      </c>
      <c r="P2442" s="1">
        <v>6</v>
      </c>
      <c r="Q2442" s="9" t="s">
        <v>6</v>
      </c>
      <c r="R2442" s="66">
        <f>+R2441</f>
        <v>15</v>
      </c>
      <c r="S2442" s="66"/>
      <c r="T2442" s="1" t="s">
        <v>14</v>
      </c>
      <c r="U2442" s="66">
        <f>+U2441</f>
        <v>0.5</v>
      </c>
      <c r="V2442" s="66"/>
      <c r="W2442" s="9" t="s">
        <v>9</v>
      </c>
      <c r="X2442" s="9" t="s">
        <v>428</v>
      </c>
      <c r="Y2442" s="1" t="s">
        <v>311</v>
      </c>
      <c r="Z2442" s="1" t="s">
        <v>173</v>
      </c>
      <c r="AA2442" s="1">
        <v>6</v>
      </c>
      <c r="AB2442" s="9" t="s">
        <v>6</v>
      </c>
      <c r="AC2442" s="66">
        <f>+AC2441</f>
        <v>15</v>
      </c>
      <c r="AD2442" s="66"/>
      <c r="AE2442" s="9" t="s">
        <v>5</v>
      </c>
      <c r="AF2442" s="1" t="s">
        <v>445</v>
      </c>
      <c r="AG2442" s="1" t="s">
        <v>173</v>
      </c>
      <c r="AH2442" s="66">
        <v>24</v>
      </c>
      <c r="AI2442" s="66"/>
      <c r="AJ2442" s="9" t="s">
        <v>9</v>
      </c>
      <c r="AK2442" s="66">
        <f>+AJ2441</f>
        <v>109.375</v>
      </c>
      <c r="AL2442" s="66"/>
      <c r="AM2442" s="66"/>
      <c r="AN2442" s="9" t="s">
        <v>5</v>
      </c>
      <c r="AO2442" s="1" t="s">
        <v>444</v>
      </c>
      <c r="AP2442" s="1" t="s">
        <v>173</v>
      </c>
      <c r="AQ2442" s="1">
        <v>6</v>
      </c>
      <c r="AR2442" s="9" t="s">
        <v>9</v>
      </c>
      <c r="AS2442" s="1" t="s">
        <v>313</v>
      </c>
      <c r="AT2442" s="9" t="s">
        <v>5</v>
      </c>
      <c r="AU2442" s="9" t="s">
        <v>428</v>
      </c>
      <c r="AV2442" s="9" t="s">
        <v>9</v>
      </c>
      <c r="AW2442" s="1" t="s">
        <v>315</v>
      </c>
      <c r="CC2442" s="7"/>
    </row>
    <row r="2443" spans="2:81">
      <c r="B2443" s="6"/>
      <c r="D2443" s="24" t="s">
        <v>318</v>
      </c>
      <c r="F2443" s="9"/>
      <c r="G2443" s="9"/>
      <c r="H2443" s="9"/>
      <c r="CC2443" s="7"/>
    </row>
    <row r="2444" spans="2:81">
      <c r="B2444" s="6"/>
      <c r="D2444" s="1" t="s">
        <v>324</v>
      </c>
      <c r="F2444" s="9"/>
      <c r="G2444" s="9"/>
      <c r="J2444" s="66">
        <f>+F2438</f>
        <v>-46.875</v>
      </c>
      <c r="K2444" s="66"/>
      <c r="L2444" s="66"/>
      <c r="M2444" s="9" t="s">
        <v>5</v>
      </c>
      <c r="N2444" s="66">
        <f>+M2425</f>
        <v>1</v>
      </c>
      <c r="O2444" s="66"/>
      <c r="P2444" s="1" t="s">
        <v>321</v>
      </c>
      <c r="Q2444" s="1">
        <v>6</v>
      </c>
      <c r="R2444" s="9" t="s">
        <v>6</v>
      </c>
      <c r="S2444" s="66">
        <f>+N2438</f>
        <v>15</v>
      </c>
      <c r="T2444" s="66"/>
      <c r="U2444" s="9" t="s">
        <v>5</v>
      </c>
      <c r="V2444" s="66">
        <f>+N2444</f>
        <v>1</v>
      </c>
      <c r="W2444" s="66"/>
      <c r="X2444" s="1" t="s">
        <v>509</v>
      </c>
      <c r="Y2444" s="66">
        <f>+S2438</f>
        <v>24</v>
      </c>
      <c r="Z2444" s="66"/>
      <c r="AA2444" s="9" t="s">
        <v>9</v>
      </c>
      <c r="AB2444" s="1" t="s">
        <v>24</v>
      </c>
      <c r="AC2444" s="9" t="s">
        <v>5</v>
      </c>
      <c r="AD2444" s="66">
        <f>+V2444</f>
        <v>1</v>
      </c>
      <c r="AE2444" s="66"/>
      <c r="AF2444" s="9" t="s">
        <v>9</v>
      </c>
      <c r="AG2444" s="1" t="s">
        <v>307</v>
      </c>
      <c r="AH2444" s="9" t="s">
        <v>7</v>
      </c>
      <c r="AI2444" s="9">
        <v>0</v>
      </c>
      <c r="AL2444" s="58" t="s">
        <v>24</v>
      </c>
      <c r="AM2444" s="48" t="s">
        <v>5</v>
      </c>
      <c r="AN2444" s="68">
        <f>+AD2444</f>
        <v>1</v>
      </c>
      <c r="AO2444" s="68"/>
      <c r="AP2444" s="48" t="s">
        <v>9</v>
      </c>
      <c r="AQ2444" s="49" t="s">
        <v>307</v>
      </c>
      <c r="AR2444" s="48" t="s">
        <v>9</v>
      </c>
      <c r="AS2444" s="70">
        <f>J2444*N2444^3/Q2444-S2444*V2444^4/Y2444</f>
        <v>-8.4375</v>
      </c>
      <c r="AT2444" s="70"/>
      <c r="AU2444" s="70"/>
      <c r="AV2444" s="48" t="s">
        <v>7</v>
      </c>
      <c r="AW2444" s="59">
        <v>0</v>
      </c>
      <c r="AY2444" s="1" t="s">
        <v>438</v>
      </c>
      <c r="CC2444" s="7"/>
    </row>
    <row r="2445" spans="2:81">
      <c r="B2445" s="6"/>
      <c r="D2445" s="1" t="s">
        <v>721</v>
      </c>
      <c r="F2445" s="9"/>
      <c r="G2445" s="9"/>
      <c r="J2445" s="66">
        <f>+F2442</f>
        <v>-46.875</v>
      </c>
      <c r="K2445" s="66"/>
      <c r="L2445" s="66"/>
      <c r="M2445" s="9" t="s">
        <v>5</v>
      </c>
      <c r="N2445" s="66">
        <f>+J2442</f>
        <v>1</v>
      </c>
      <c r="O2445" s="66"/>
      <c r="P2445" s="1" t="s">
        <v>321</v>
      </c>
      <c r="Q2445" s="1">
        <v>6</v>
      </c>
      <c r="R2445" s="9" t="s">
        <v>6</v>
      </c>
      <c r="S2445" s="66">
        <f>+R2442</f>
        <v>15</v>
      </c>
      <c r="T2445" s="66"/>
      <c r="U2445" s="66"/>
      <c r="V2445" s="9" t="s">
        <v>5</v>
      </c>
      <c r="W2445" s="66">
        <f>+U2442</f>
        <v>0.5</v>
      </c>
      <c r="X2445" s="66"/>
      <c r="Y2445" s="1" t="s">
        <v>321</v>
      </c>
      <c r="Z2445" s="1">
        <v>6</v>
      </c>
      <c r="AA2445" s="9" t="s">
        <v>9</v>
      </c>
      <c r="AB2445" s="1" t="s">
        <v>315</v>
      </c>
      <c r="AC2445" s="9" t="s">
        <v>7</v>
      </c>
      <c r="AD2445" s="9">
        <v>0</v>
      </c>
      <c r="AG2445" s="1" t="s">
        <v>315</v>
      </c>
      <c r="AH2445" s="9" t="s">
        <v>7</v>
      </c>
      <c r="AI2445" s="66">
        <f>-(J2445*N2445^3/Q2445-S2445*W2445^3/Z2445)</f>
        <v>8.125</v>
      </c>
      <c r="AJ2445" s="66"/>
      <c r="AK2445" s="66"/>
      <c r="CC2445" s="7"/>
    </row>
    <row r="2446" spans="2:81">
      <c r="B2446" s="6"/>
      <c r="D2446" s="1" t="s">
        <v>320</v>
      </c>
      <c r="F2446" s="9"/>
      <c r="G2446" s="9"/>
      <c r="H2446" s="66">
        <f>+F2437</f>
        <v>-46.875</v>
      </c>
      <c r="I2446" s="66"/>
      <c r="J2446" s="66"/>
      <c r="K2446" s="9" t="s">
        <v>5</v>
      </c>
      <c r="L2446" s="66">
        <f>+M2425</f>
        <v>1</v>
      </c>
      <c r="M2446" s="66"/>
      <c r="N2446" s="1" t="s">
        <v>254</v>
      </c>
      <c r="O2446" s="1">
        <v>2</v>
      </c>
      <c r="P2446" s="9" t="s">
        <v>6</v>
      </c>
      <c r="Q2446" s="66">
        <f>+N2437</f>
        <v>15</v>
      </c>
      <c r="R2446" s="66"/>
      <c r="S2446" s="9" t="s">
        <v>5</v>
      </c>
      <c r="T2446" s="66">
        <f>+L2446</f>
        <v>1</v>
      </c>
      <c r="U2446" s="66"/>
      <c r="V2446" s="1" t="s">
        <v>321</v>
      </c>
      <c r="W2446" s="1">
        <v>6</v>
      </c>
      <c r="X2446" s="9" t="s">
        <v>9</v>
      </c>
      <c r="Y2446" s="1" t="s">
        <v>24</v>
      </c>
      <c r="Z2446" s="9" t="s">
        <v>7</v>
      </c>
      <c r="AA2446" s="1" t="s">
        <v>24</v>
      </c>
      <c r="AB2446" s="9" t="s">
        <v>9</v>
      </c>
      <c r="AC2446" s="66">
        <f>H2446*L2446^2/O2446-Q2446*T2446^3/W2446</f>
        <v>-25.9375</v>
      </c>
      <c r="AD2446" s="66"/>
      <c r="AE2446" s="66"/>
      <c r="CC2446" s="7"/>
    </row>
    <row r="2447" spans="2:81">
      <c r="B2447" s="6"/>
      <c r="D2447" s="1" t="s">
        <v>470</v>
      </c>
      <c r="F2447" s="9"/>
      <c r="G2447" s="9"/>
      <c r="H2447" s="66">
        <f>+F2441</f>
        <v>-46.875</v>
      </c>
      <c r="I2447" s="66"/>
      <c r="J2447" s="66"/>
      <c r="K2447" s="9" t="s">
        <v>5</v>
      </c>
      <c r="L2447" s="66">
        <f>+J2441</f>
        <v>1</v>
      </c>
      <c r="M2447" s="66"/>
      <c r="N2447" s="1" t="s">
        <v>254</v>
      </c>
      <c r="O2447" s="1">
        <v>2</v>
      </c>
      <c r="P2447" s="9" t="s">
        <v>6</v>
      </c>
      <c r="Q2447" s="66">
        <f>+R2441</f>
        <v>15</v>
      </c>
      <c r="R2447" s="66"/>
      <c r="S2447" s="66"/>
      <c r="T2447" s="9" t="s">
        <v>5</v>
      </c>
      <c r="U2447" s="66">
        <f>+U2441</f>
        <v>0.5</v>
      </c>
      <c r="V2447" s="66"/>
      <c r="W2447" s="1" t="s">
        <v>254</v>
      </c>
      <c r="X2447" s="1">
        <v>2</v>
      </c>
      <c r="Y2447" s="9" t="s">
        <v>9</v>
      </c>
      <c r="Z2447" s="1" t="s">
        <v>313</v>
      </c>
      <c r="AA2447" s="9" t="s">
        <v>7</v>
      </c>
      <c r="AB2447" s="1" t="s">
        <v>313</v>
      </c>
      <c r="AC2447" s="9" t="s">
        <v>9</v>
      </c>
      <c r="AD2447" s="66">
        <f>H2447*L2447^2/O2447-Q2447*U2447^2/X2447</f>
        <v>-25.3125</v>
      </c>
      <c r="AE2447" s="66"/>
      <c r="AF2447" s="66"/>
      <c r="CC2447" s="7"/>
    </row>
    <row r="2448" spans="2:81">
      <c r="B2448" s="6"/>
      <c r="D2448" s="1" t="s">
        <v>639</v>
      </c>
      <c r="F2448" s="9"/>
      <c r="G2448" s="9"/>
      <c r="H2448" s="9"/>
      <c r="N2448" s="1" t="s">
        <v>24</v>
      </c>
      <c r="O2448" s="9" t="s">
        <v>9</v>
      </c>
      <c r="P2448" s="66">
        <f>+AC2446</f>
        <v>-25.9375</v>
      </c>
      <c r="Q2448" s="66"/>
      <c r="R2448" s="66"/>
      <c r="S2448" s="9" t="s">
        <v>7</v>
      </c>
      <c r="T2448" s="1" t="s">
        <v>313</v>
      </c>
      <c r="U2448" s="9" t="s">
        <v>9</v>
      </c>
      <c r="V2448" s="66">
        <f>+AD2447</f>
        <v>-25.3125</v>
      </c>
      <c r="W2448" s="66"/>
      <c r="X2448" s="66"/>
      <c r="AA2448" s="58" t="s">
        <v>24</v>
      </c>
      <c r="AB2448" s="48" t="s">
        <v>6</v>
      </c>
      <c r="AC2448" s="49" t="s">
        <v>313</v>
      </c>
      <c r="AD2448" s="48" t="s">
        <v>9</v>
      </c>
      <c r="AE2448" s="68">
        <f>+P2448-V2448</f>
        <v>-0.625</v>
      </c>
      <c r="AF2448" s="68"/>
      <c r="AG2448" s="68"/>
      <c r="AH2448" s="48" t="s">
        <v>7</v>
      </c>
      <c r="AI2448" s="59">
        <v>0</v>
      </c>
      <c r="AK2448" s="1" t="s">
        <v>439</v>
      </c>
      <c r="AO2448" s="9"/>
      <c r="CC2448" s="7"/>
    </row>
    <row r="2449" spans="2:81">
      <c r="B2449" s="6"/>
      <c r="D2449" s="24" t="s">
        <v>303</v>
      </c>
      <c r="F2449" s="9"/>
      <c r="G2449" s="9"/>
      <c r="H2449" s="9"/>
      <c r="CC2449" s="7"/>
    </row>
    <row r="2450" spans="2:81">
      <c r="B2450" s="6"/>
      <c r="D2450" s="1" t="s">
        <v>722</v>
      </c>
      <c r="F2450" s="9"/>
      <c r="G2450" s="9"/>
      <c r="L2450" s="9"/>
      <c r="T2450" s="9"/>
      <c r="Z2450" s="9"/>
      <c r="AB2450" s="9"/>
      <c r="AE2450" s="9"/>
      <c r="CC2450" s="7"/>
    </row>
    <row r="2451" spans="2:81">
      <c r="B2451" s="6"/>
      <c r="D2451" s="1" t="s">
        <v>723</v>
      </c>
      <c r="F2451" s="9"/>
      <c r="G2451" s="9"/>
      <c r="H2451" s="9"/>
      <c r="O2451" s="9"/>
      <c r="S2451" s="9"/>
      <c r="Y2451" s="9"/>
      <c r="CC2451" s="7"/>
    </row>
    <row r="2452" spans="2:81">
      <c r="B2452" s="6"/>
      <c r="D2452" s="1" t="s">
        <v>714</v>
      </c>
      <c r="L2452" s="66">
        <f>+Q2470</f>
        <v>46.875</v>
      </c>
      <c r="M2452" s="66"/>
      <c r="N2452" s="66"/>
      <c r="O2452" s="9" t="s">
        <v>5</v>
      </c>
      <c r="P2452" s="66">
        <f>+Q2475</f>
        <v>3</v>
      </c>
      <c r="Q2452" s="66"/>
      <c r="R2452" s="1" t="s">
        <v>660</v>
      </c>
      <c r="S2452" s="66">
        <v>48</v>
      </c>
      <c r="T2452" s="66"/>
      <c r="U2452" s="9" t="s">
        <v>5</v>
      </c>
      <c r="V2452" s="9" t="s">
        <v>710</v>
      </c>
      <c r="W2452" s="9" t="s">
        <v>5</v>
      </c>
      <c r="X2452" s="10" t="s">
        <v>690</v>
      </c>
      <c r="Y2452" s="1" t="s">
        <v>201</v>
      </c>
      <c r="Z2452" s="66">
        <f>+L2452*P2452^3/S2452</f>
        <v>26.3671875</v>
      </c>
      <c r="AA2452" s="66"/>
      <c r="AB2452" s="66"/>
      <c r="AC2452" s="1" t="s">
        <v>275</v>
      </c>
      <c r="AD2452" s="9" t="s">
        <v>710</v>
      </c>
      <c r="AE2452" s="9" t="s">
        <v>5</v>
      </c>
      <c r="AF2452" s="10" t="s">
        <v>690</v>
      </c>
      <c r="AG2452" s="1" t="s">
        <v>40</v>
      </c>
      <c r="AW2452" s="9"/>
      <c r="AX2452" s="9"/>
      <c r="AY2452" s="9"/>
      <c r="BA2452" s="9"/>
      <c r="BB2452" s="9"/>
      <c r="BD2452" s="9"/>
      <c r="BE2452" s="9"/>
      <c r="BF2452" s="9"/>
      <c r="BG2452" s="9"/>
      <c r="BH2452" s="9"/>
      <c r="BI2452" s="10"/>
      <c r="BK2452" s="9"/>
      <c r="BL2452" s="9"/>
      <c r="BM2452" s="9"/>
      <c r="BO2452" s="9"/>
      <c r="BP2452" s="9"/>
      <c r="BQ2452" s="10"/>
      <c r="CC2452" s="7"/>
    </row>
    <row r="2453" spans="2:81">
      <c r="B2453" s="6"/>
      <c r="D2453" s="1" t="s">
        <v>724</v>
      </c>
      <c r="F2453" s="9"/>
      <c r="G2453" s="9"/>
      <c r="H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Y2453" s="9"/>
      <c r="Z2453" s="9"/>
      <c r="AA2453" s="9"/>
      <c r="AB2453" s="9"/>
      <c r="CC2453" s="7"/>
    </row>
    <row r="2454" spans="2:81">
      <c r="B2454" s="6"/>
      <c r="D2454" s="58" t="s">
        <v>725</v>
      </c>
      <c r="E2454" s="48"/>
      <c r="F2454" s="49"/>
      <c r="G2454" s="49"/>
      <c r="H2454" s="49"/>
      <c r="I2454" s="68">
        <f>+Z2452</f>
        <v>26.3671875</v>
      </c>
      <c r="J2454" s="68"/>
      <c r="K2454" s="68"/>
      <c r="L2454" s="49" t="s">
        <v>275</v>
      </c>
      <c r="M2454" s="48" t="s">
        <v>710</v>
      </c>
      <c r="N2454" s="48" t="s">
        <v>5</v>
      </c>
      <c r="O2454" s="61" t="s">
        <v>690</v>
      </c>
      <c r="P2454" s="50" t="s">
        <v>40</v>
      </c>
      <c r="Q2454" s="9"/>
      <c r="R2454" s="1" t="s">
        <v>513</v>
      </c>
      <c r="S2454" s="9"/>
      <c r="T2454" s="9"/>
      <c r="U2454" s="9"/>
      <c r="V2454" s="9"/>
      <c r="Y2454" s="9"/>
      <c r="Z2454" s="9"/>
      <c r="AA2454" s="9"/>
      <c r="AB2454" s="9"/>
      <c r="CC2454" s="7"/>
    </row>
    <row r="2455" spans="2:81">
      <c r="B2455" s="6"/>
      <c r="D2455" s="1" t="s">
        <v>307</v>
      </c>
      <c r="E2455" s="9" t="s">
        <v>7</v>
      </c>
      <c r="F2455" s="66">
        <f>+I2454</f>
        <v>26.3671875</v>
      </c>
      <c r="G2455" s="66"/>
      <c r="H2455" s="66"/>
      <c r="I2455" s="9" t="s">
        <v>5</v>
      </c>
      <c r="J2455" s="10" t="s">
        <v>687</v>
      </c>
      <c r="K2455" s="9" t="s">
        <v>173</v>
      </c>
      <c r="L2455" s="10" t="s">
        <v>690</v>
      </c>
      <c r="M2455" s="9" t="s">
        <v>7</v>
      </c>
      <c r="N2455" s="66">
        <f>+F2455</f>
        <v>26.3671875</v>
      </c>
      <c r="O2455" s="66"/>
      <c r="P2455" s="66"/>
      <c r="Q2455" s="9" t="s">
        <v>5</v>
      </c>
      <c r="R2455" s="66">
        <f>+BN2399</f>
        <v>8360</v>
      </c>
      <c r="S2455" s="66"/>
      <c r="T2455" s="66"/>
      <c r="U2455" s="9" t="s">
        <v>173</v>
      </c>
      <c r="V2455" s="66">
        <f>+AZ2399</f>
        <v>92080</v>
      </c>
      <c r="W2455" s="66"/>
      <c r="X2455" s="66"/>
      <c r="Y2455" s="9" t="s">
        <v>7</v>
      </c>
      <c r="Z2455" s="66">
        <f>+N2455*R2455/V2455</f>
        <v>2.39389321785404</v>
      </c>
      <c r="AA2455" s="66"/>
      <c r="AB2455" s="66"/>
      <c r="CC2455" s="7"/>
    </row>
    <row r="2456" spans="2:81">
      <c r="B2456" s="6"/>
      <c r="D2456" s="1" t="s">
        <v>307</v>
      </c>
      <c r="E2456" s="9" t="s">
        <v>7</v>
      </c>
      <c r="F2456" s="66">
        <f>+Z2455</f>
        <v>2.39389321785404</v>
      </c>
      <c r="G2456" s="66"/>
      <c r="H2456" s="66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Y2456" s="9"/>
      <c r="Z2456" s="9"/>
      <c r="AA2456" s="9"/>
      <c r="AB2456" s="9"/>
      <c r="CC2456" s="7"/>
    </row>
    <row r="2457" spans="2:81">
      <c r="B2457" s="6"/>
      <c r="D2457" s="1" t="s">
        <v>24</v>
      </c>
      <c r="E2457" s="9" t="s">
        <v>7</v>
      </c>
      <c r="F2457" s="66">
        <f>(-AS2444-F2456)/AN2444</f>
        <v>6.04360678214596</v>
      </c>
      <c r="G2457" s="66"/>
      <c r="H2457" s="66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Y2457" s="9"/>
      <c r="Z2457" s="9"/>
      <c r="AA2457" s="9"/>
      <c r="AB2457" s="9"/>
      <c r="CC2457" s="7"/>
    </row>
    <row r="2458" spans="2:81">
      <c r="B2458" s="6"/>
      <c r="D2458" s="1" t="s">
        <v>313</v>
      </c>
      <c r="E2458" s="9" t="s">
        <v>7</v>
      </c>
      <c r="F2458" s="66">
        <f>+F2457+AE2448</f>
        <v>5.41860678214596</v>
      </c>
      <c r="G2458" s="66"/>
      <c r="H2458" s="66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Y2458" s="9"/>
      <c r="Z2458" s="9"/>
      <c r="AA2458" s="9"/>
      <c r="AB2458" s="9"/>
      <c r="CC2458" s="7"/>
    </row>
    <row r="2459" spans="2:81">
      <c r="B2459" s="6"/>
      <c r="D2459" s="24" t="s">
        <v>308</v>
      </c>
      <c r="E2459" s="9"/>
      <c r="F2459" s="9"/>
      <c r="G2459" s="9"/>
      <c r="H2459" s="9"/>
      <c r="L2459" s="9"/>
      <c r="M2459" s="9"/>
      <c r="N2459" s="9"/>
      <c r="O2459" s="9"/>
      <c r="P2459" s="9"/>
      <c r="Q2459" s="9"/>
      <c r="R2459" s="9"/>
      <c r="CC2459" s="7"/>
    </row>
    <row r="2460" spans="2:81">
      <c r="B2460" s="6"/>
      <c r="D2460" s="23" t="s">
        <v>766</v>
      </c>
      <c r="E2460" s="9"/>
      <c r="F2460" s="9"/>
      <c r="G2460" s="9"/>
      <c r="H2460" s="9"/>
      <c r="L2460" s="9"/>
      <c r="M2460" s="9"/>
      <c r="N2460" s="9"/>
      <c r="O2460" s="9"/>
      <c r="P2460" s="9"/>
      <c r="Q2460" s="9"/>
      <c r="R2460" s="9"/>
      <c r="CC2460" s="7"/>
    </row>
    <row r="2461" spans="2:81">
      <c r="B2461" s="6"/>
      <c r="D2461" s="1" t="s">
        <v>35</v>
      </c>
      <c r="E2461" s="9"/>
      <c r="F2461" s="66">
        <f>+F2442</f>
        <v>-46.875</v>
      </c>
      <c r="G2461" s="66"/>
      <c r="H2461" s="66"/>
      <c r="I2461" s="9" t="s">
        <v>14</v>
      </c>
      <c r="J2461" s="66">
        <f>+J2442</f>
        <v>1</v>
      </c>
      <c r="K2461" s="66"/>
      <c r="L2461" s="9" t="s">
        <v>9</v>
      </c>
      <c r="M2461" s="66">
        <f>+AA2425</f>
        <v>1.5</v>
      </c>
      <c r="N2461" s="66"/>
      <c r="O2461" s="9" t="s">
        <v>311</v>
      </c>
      <c r="P2461" s="9" t="s">
        <v>173</v>
      </c>
      <c r="Q2461" s="9">
        <v>6</v>
      </c>
      <c r="R2461" s="9" t="s">
        <v>6</v>
      </c>
      <c r="S2461" s="66">
        <f>+R2442</f>
        <v>15</v>
      </c>
      <c r="T2461" s="66"/>
      <c r="U2461" s="66"/>
      <c r="V2461" s="9" t="s">
        <v>14</v>
      </c>
      <c r="W2461" s="66">
        <f>+U2442</f>
        <v>0.5</v>
      </c>
      <c r="X2461" s="66"/>
      <c r="Y2461" s="9" t="s">
        <v>9</v>
      </c>
      <c r="Z2461" s="66">
        <f>+M2461</f>
        <v>1.5</v>
      </c>
      <c r="AA2461" s="66"/>
      <c r="AB2461" s="9" t="s">
        <v>311</v>
      </c>
      <c r="AC2461" s="9" t="s">
        <v>173</v>
      </c>
      <c r="AD2461" s="9">
        <v>6</v>
      </c>
      <c r="AE2461" s="9" t="s">
        <v>6</v>
      </c>
      <c r="AF2461" s="66">
        <f>+AC2442</f>
        <v>15</v>
      </c>
      <c r="AG2461" s="66"/>
      <c r="AH2461" s="9" t="s">
        <v>5</v>
      </c>
      <c r="AI2461" s="66">
        <f>+Z2461</f>
        <v>1.5</v>
      </c>
      <c r="AJ2461" s="66"/>
      <c r="AK2461" s="1" t="s">
        <v>186</v>
      </c>
      <c r="AL2461" s="66">
        <v>24</v>
      </c>
      <c r="AM2461" s="66"/>
      <c r="AN2461" s="9" t="s">
        <v>9</v>
      </c>
      <c r="AO2461" s="66">
        <f>+AK2442</f>
        <v>109.375</v>
      </c>
      <c r="AP2461" s="66"/>
      <c r="AQ2461" s="66"/>
      <c r="AR2461" s="9" t="s">
        <v>5</v>
      </c>
      <c r="AS2461" s="66">
        <f>+AI2461</f>
        <v>1.5</v>
      </c>
      <c r="AT2461" s="66"/>
      <c r="AU2461" s="1" t="s">
        <v>321</v>
      </c>
      <c r="AV2461" s="1" t="s">
        <v>173</v>
      </c>
      <c r="AW2461" s="1">
        <v>6</v>
      </c>
      <c r="AX2461" s="9" t="s">
        <v>9</v>
      </c>
      <c r="AY2461" s="66">
        <f>+F2458</f>
        <v>5.41860678214596</v>
      </c>
      <c r="AZ2461" s="66"/>
      <c r="BA2461" s="66"/>
      <c r="BB2461" s="9" t="s">
        <v>5</v>
      </c>
      <c r="BC2461" s="66">
        <f>+AS2461</f>
        <v>1.5</v>
      </c>
      <c r="BD2461" s="66"/>
      <c r="BE2461" s="9" t="s">
        <v>9</v>
      </c>
      <c r="BF2461" s="66">
        <f>+AI2445</f>
        <v>8.125</v>
      </c>
      <c r="BG2461" s="66"/>
      <c r="BH2461" s="66"/>
      <c r="BI2461" s="1" t="s">
        <v>726</v>
      </c>
      <c r="BL2461" s="66">
        <f>+AF2386</f>
        <v>200000</v>
      </c>
      <c r="BM2461" s="66"/>
      <c r="BN2461" s="66"/>
      <c r="BO2461" s="9" t="s">
        <v>5</v>
      </c>
      <c r="BP2461" s="66">
        <f>+BN2399</f>
        <v>8360</v>
      </c>
      <c r="BQ2461" s="66"/>
      <c r="BR2461" s="66"/>
      <c r="BS2461" s="1" t="s">
        <v>40</v>
      </c>
      <c r="CC2461" s="7"/>
    </row>
    <row r="2462" spans="2:81">
      <c r="B2462" s="6"/>
      <c r="D2462" s="1" t="s">
        <v>33</v>
      </c>
      <c r="E2462" s="9"/>
      <c r="F2462" s="66">
        <f>(F2461*(J2461+M2461)^3/Q2461-S2461*(W2461+Z2461)^3/AD2461-AF2461*AI2461^4/AL2461+AO2461*AS2461^3/AW2461+AY2461*BC2461+BF2461)*100000000/(BL2461*BP2461)</f>
        <v>-4.0345710123672882</v>
      </c>
      <c r="G2462" s="66"/>
      <c r="H2462" s="66"/>
      <c r="I2462" s="1" t="s">
        <v>41</v>
      </c>
      <c r="CC2462" s="7"/>
    </row>
    <row r="2463" spans="2:81">
      <c r="B2463" s="6"/>
      <c r="D2463" s="1" t="s">
        <v>202</v>
      </c>
      <c r="I2463" s="66">
        <f>AA2425*1000</f>
        <v>1500</v>
      </c>
      <c r="J2463" s="66"/>
      <c r="K2463" s="66"/>
      <c r="L2463" s="1" t="s">
        <v>173</v>
      </c>
      <c r="M2463" s="66">
        <v>200</v>
      </c>
      <c r="N2463" s="66"/>
      <c r="O2463" s="9" t="s">
        <v>7</v>
      </c>
      <c r="P2463" s="66">
        <f>+I2463/M2463</f>
        <v>7.5</v>
      </c>
      <c r="Q2463" s="66"/>
      <c r="R2463" s="66"/>
      <c r="S2463" s="1" t="s">
        <v>41</v>
      </c>
      <c r="V2463" s="1" t="s">
        <v>192</v>
      </c>
      <c r="CC2463" s="7"/>
    </row>
    <row r="2464" spans="2:81">
      <c r="B2464" s="6"/>
      <c r="D2464" s="1" t="s">
        <v>33</v>
      </c>
      <c r="F2464" s="66">
        <f>+F2462</f>
        <v>-4.0345710123672882</v>
      </c>
      <c r="G2464" s="66"/>
      <c r="H2464" s="66"/>
      <c r="I2464" s="1" t="s">
        <v>41</v>
      </c>
      <c r="K2464" s="1" t="str">
        <f>IF(ABS(F2464)&lt;ABS(O2464),"&lt;","&gt;")</f>
        <v>&lt;</v>
      </c>
      <c r="L2464" s="1" t="s">
        <v>174</v>
      </c>
      <c r="O2464" s="66">
        <f>+P2463</f>
        <v>7.5</v>
      </c>
      <c r="P2464" s="66"/>
      <c r="Q2464" s="66"/>
      <c r="R2464" s="1" t="s">
        <v>41</v>
      </c>
      <c r="T2464" s="8" t="str">
        <f>IF(ABS(F2464)&lt;ABS(O2464),"uygun.","uygun değil.")</f>
        <v>uygun.</v>
      </c>
      <c r="CC2464" s="7"/>
    </row>
    <row r="2465" spans="2:81">
      <c r="B2465" s="6"/>
      <c r="E2465" s="9"/>
      <c r="F2465" s="9"/>
      <c r="G2465" s="9"/>
      <c r="H2465" s="9"/>
      <c r="CC2465" s="7"/>
    </row>
    <row r="2466" spans="2:81">
      <c r="B2466" s="6"/>
      <c r="Q2466" s="66" t="s">
        <v>581</v>
      </c>
      <c r="R2466" s="66"/>
      <c r="CC2466" s="7"/>
    </row>
    <row r="2467" spans="2:81">
      <c r="B2467" s="6"/>
      <c r="G2467" s="1" t="s">
        <v>4</v>
      </c>
      <c r="AB2467" s="9" t="s">
        <v>10</v>
      </c>
      <c r="CC2467" s="7"/>
    </row>
    <row r="2468" spans="2:81">
      <c r="B2468" s="6"/>
      <c r="M2468" s="10" t="s">
        <v>690</v>
      </c>
      <c r="W2468" s="10" t="s">
        <v>690</v>
      </c>
      <c r="CC2468" s="7"/>
    </row>
    <row r="2469" spans="2:81">
      <c r="B2469" s="6"/>
      <c r="CC2469" s="7"/>
    </row>
    <row r="2470" spans="2:81">
      <c r="B2470" s="6"/>
      <c r="O2470" s="1" t="s">
        <v>711</v>
      </c>
      <c r="Q2470" s="66">
        <f>F2430</f>
        <v>46.875</v>
      </c>
      <c r="R2470" s="66"/>
      <c r="S2470" s="66"/>
      <c r="T2470" s="9" t="s">
        <v>0</v>
      </c>
      <c r="CC2470" s="7"/>
    </row>
    <row r="2471" spans="2:81">
      <c r="B2471" s="6"/>
      <c r="CC2471" s="7"/>
    </row>
    <row r="2472" spans="2:81">
      <c r="B2472" s="6"/>
      <c r="F2472" s="1" t="s">
        <v>2</v>
      </c>
      <c r="G2472" s="66">
        <f>+Q2470/2</f>
        <v>23.4375</v>
      </c>
      <c r="H2472" s="66"/>
      <c r="I2472" s="66"/>
      <c r="J2472" s="1" t="s">
        <v>0</v>
      </c>
      <c r="Z2472" s="1" t="s">
        <v>3</v>
      </c>
      <c r="AA2472" s="66">
        <f>+Q2470/2</f>
        <v>23.4375</v>
      </c>
      <c r="AB2472" s="66"/>
      <c r="AC2472" s="66"/>
      <c r="AD2472" s="1" t="s">
        <v>0</v>
      </c>
      <c r="CC2472" s="7"/>
    </row>
    <row r="2473" spans="2:81">
      <c r="B2473" s="6"/>
      <c r="L2473" s="66">
        <f>+J2400</f>
        <v>1.5</v>
      </c>
      <c r="M2473" s="66"/>
      <c r="N2473" s="1" t="s">
        <v>1</v>
      </c>
      <c r="V2473" s="66">
        <f>+Q2389</f>
        <v>1.5</v>
      </c>
      <c r="W2473" s="66"/>
      <c r="X2473" s="1" t="s">
        <v>1</v>
      </c>
      <c r="CC2473" s="7"/>
    </row>
    <row r="2474" spans="2:81">
      <c r="B2474" s="6"/>
      <c r="CC2474" s="7"/>
    </row>
    <row r="2475" spans="2:81">
      <c r="B2475" s="6"/>
      <c r="Q2475" s="66">
        <f>+J2394</f>
        <v>3</v>
      </c>
      <c r="R2475" s="66"/>
      <c r="S2475" s="1" t="s">
        <v>1</v>
      </c>
      <c r="CC2475" s="7"/>
    </row>
    <row r="2476" spans="2:81">
      <c r="B2476" s="6"/>
      <c r="CC2476" s="7"/>
    </row>
    <row r="2477" spans="2:81">
      <c r="B2477" s="6"/>
      <c r="D2477" s="23" t="s">
        <v>727</v>
      </c>
      <c r="CC2477" s="7"/>
    </row>
    <row r="2478" spans="2:81">
      <c r="B2478" s="6"/>
      <c r="D2478" s="1" t="s">
        <v>714</v>
      </c>
      <c r="L2478" s="66">
        <f>+Q2470*1000</f>
        <v>46875</v>
      </c>
      <c r="M2478" s="66"/>
      <c r="N2478" s="66"/>
      <c r="O2478" s="9" t="s">
        <v>5</v>
      </c>
      <c r="P2478" s="66">
        <f>+Q2475*1000</f>
        <v>3000</v>
      </c>
      <c r="Q2478" s="66"/>
      <c r="R2478" s="66"/>
      <c r="S2478" s="9" t="s">
        <v>660</v>
      </c>
      <c r="T2478" s="66">
        <v>48</v>
      </c>
      <c r="U2478" s="66"/>
      <c r="V2478" s="60" t="s">
        <v>5</v>
      </c>
      <c r="W2478" s="66">
        <f>+AF2386</f>
        <v>200000</v>
      </c>
      <c r="X2478" s="66"/>
      <c r="Y2478" s="66"/>
      <c r="Z2478" s="9" t="s">
        <v>5</v>
      </c>
      <c r="AA2478" s="66">
        <f>+AZ2399</f>
        <v>92080</v>
      </c>
      <c r="AB2478" s="66"/>
      <c r="AC2478" s="66"/>
      <c r="AD2478" s="9" t="s">
        <v>5</v>
      </c>
      <c r="AE2478" s="78">
        <v>10000</v>
      </c>
      <c r="AF2478" s="78"/>
      <c r="AG2478" s="78"/>
      <c r="AH2478" s="1" t="s">
        <v>40</v>
      </c>
      <c r="CC2478" s="7"/>
    </row>
    <row r="2479" spans="2:81">
      <c r="B2479" s="6"/>
      <c r="D2479" s="1" t="s">
        <v>718</v>
      </c>
      <c r="F2479" s="66">
        <f>L2478*P2478^3/(T2478*W2478*AA2478*AE2478)</f>
        <v>0.14317543168983493</v>
      </c>
      <c r="G2479" s="66"/>
      <c r="H2479" s="66"/>
      <c r="I2479" s="1" t="s">
        <v>41</v>
      </c>
      <c r="CC2479" s="7"/>
    </row>
    <row r="2480" spans="2:81">
      <c r="B2480" s="6"/>
      <c r="D2480" s="1" t="s">
        <v>172</v>
      </c>
      <c r="I2480" s="66">
        <f>Q2475*1000</f>
        <v>3000</v>
      </c>
      <c r="J2480" s="66"/>
      <c r="K2480" s="66"/>
      <c r="L2480" s="1" t="s">
        <v>173</v>
      </c>
      <c r="M2480" s="66">
        <v>300</v>
      </c>
      <c r="N2480" s="66"/>
      <c r="O2480" s="9" t="s">
        <v>7</v>
      </c>
      <c r="P2480" s="66">
        <f>+I2480/M2480</f>
        <v>10</v>
      </c>
      <c r="Q2480" s="66"/>
      <c r="R2480" s="66"/>
      <c r="S2480" s="1" t="s">
        <v>41</v>
      </c>
      <c r="V2480" s="1" t="s">
        <v>192</v>
      </c>
      <c r="CC2480" s="7"/>
    </row>
    <row r="2481" spans="2:81">
      <c r="B2481" s="6"/>
      <c r="D2481" s="1" t="s">
        <v>718</v>
      </c>
      <c r="F2481" s="66">
        <f>+F2479</f>
        <v>0.14317543168983493</v>
      </c>
      <c r="G2481" s="66"/>
      <c r="H2481" s="66"/>
      <c r="I2481" s="1" t="s">
        <v>41</v>
      </c>
      <c r="K2481" s="1" t="str">
        <f>IF(ABS(F2481)&lt;ABS(O2481),"&lt;","&gt;")</f>
        <v>&lt;</v>
      </c>
      <c r="L2481" s="1" t="s">
        <v>174</v>
      </c>
      <c r="O2481" s="66">
        <f>+P2480</f>
        <v>10</v>
      </c>
      <c r="P2481" s="66"/>
      <c r="Q2481" s="66"/>
      <c r="R2481" s="1" t="s">
        <v>41</v>
      </c>
      <c r="T2481" s="8" t="str">
        <f>IF(ABS(F2481)&lt;ABS(O2481),"uygun.","uygun değil.")</f>
        <v>uygun.</v>
      </c>
      <c r="CC2481" s="7"/>
    </row>
    <row r="2482" spans="2:81" ht="12" thickBot="1">
      <c r="B2482" s="12"/>
      <c r="C2482" s="13"/>
      <c r="D2482" s="13"/>
      <c r="E2482" s="13"/>
      <c r="F2482" s="13"/>
      <c r="G2482" s="13"/>
      <c r="H2482" s="13"/>
      <c r="I2482" s="13"/>
      <c r="J2482" s="13"/>
      <c r="K2482" s="13"/>
      <c r="L2482" s="13"/>
      <c r="M2482" s="13"/>
      <c r="N2482" s="13"/>
      <c r="O2482" s="13"/>
      <c r="P2482" s="13"/>
      <c r="Q2482" s="1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  <c r="AK2482" s="13"/>
      <c r="AL2482" s="13"/>
      <c r="AM2482" s="13"/>
      <c r="AN2482" s="13"/>
      <c r="AO2482" s="13"/>
      <c r="AP2482" s="13"/>
      <c r="AQ2482" s="13"/>
      <c r="AR2482" s="13"/>
      <c r="AS2482" s="13"/>
      <c r="AT2482" s="13"/>
      <c r="AU2482" s="13"/>
      <c r="AV2482" s="13"/>
      <c r="AW2482" s="13"/>
      <c r="AX2482" s="13"/>
      <c r="AY2482" s="13"/>
      <c r="AZ2482" s="13"/>
      <c r="BA2482" s="13"/>
      <c r="BB2482" s="13"/>
      <c r="BC2482" s="13"/>
      <c r="BD2482" s="13"/>
      <c r="BE2482" s="13"/>
      <c r="BF2482" s="13"/>
      <c r="BG2482" s="13"/>
      <c r="BH2482" s="13"/>
      <c r="BI2482" s="13"/>
      <c r="BJ2482" s="13"/>
      <c r="BK2482" s="13"/>
      <c r="BL2482" s="13"/>
      <c r="BM2482" s="13"/>
      <c r="BN2482" s="13"/>
      <c r="BO2482" s="13"/>
      <c r="BP2482" s="13"/>
      <c r="BQ2482" s="13"/>
      <c r="BR2482" s="13"/>
      <c r="BS2482" s="13"/>
      <c r="BT2482" s="13"/>
      <c r="BU2482" s="13"/>
      <c r="BV2482" s="13"/>
      <c r="BW2482" s="13"/>
      <c r="BX2482" s="13"/>
      <c r="BY2482" s="13"/>
      <c r="BZ2482" s="13"/>
      <c r="CA2482" s="13"/>
      <c r="CB2482" s="13"/>
      <c r="CC2482" s="14"/>
    </row>
    <row r="2483" spans="2:81" ht="12" thickBot="1"/>
    <row r="2484" spans="2:81" ht="44.25" customHeight="1">
      <c r="B2484" s="73" t="s">
        <v>815</v>
      </c>
      <c r="C2484" s="74"/>
      <c r="D2484" s="74"/>
      <c r="E2484" s="74"/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/>
      <c r="Q2484" s="74"/>
      <c r="R2484" s="74"/>
      <c r="S2484" s="74"/>
      <c r="T2484" s="74"/>
      <c r="U2484" s="74"/>
      <c r="V2484" s="74"/>
      <c r="W2484" s="74"/>
      <c r="X2484" s="74"/>
      <c r="Y2484" s="74"/>
      <c r="Z2484" s="74"/>
      <c r="AA2484" s="74"/>
      <c r="AB2484" s="74"/>
      <c r="AC2484" s="74"/>
      <c r="AD2484" s="74"/>
      <c r="AE2484" s="74"/>
      <c r="AF2484" s="74"/>
      <c r="AG2484" s="74"/>
      <c r="AH2484" s="74"/>
      <c r="AI2484" s="74"/>
      <c r="AJ2484" s="74"/>
      <c r="AK2484" s="74"/>
      <c r="AL2484" s="74"/>
      <c r="AM2484" s="74"/>
      <c r="AN2484" s="74"/>
      <c r="AO2484" s="74"/>
      <c r="AP2484" s="74"/>
      <c r="AQ2484" s="74"/>
      <c r="AR2484" s="74"/>
      <c r="AS2484" s="74"/>
      <c r="AT2484" s="74"/>
      <c r="AU2484" s="74"/>
      <c r="AV2484" s="74"/>
      <c r="AW2484" s="74"/>
      <c r="AX2484" s="74"/>
      <c r="AY2484" s="74"/>
      <c r="AZ2484" s="74"/>
      <c r="BA2484" s="74"/>
      <c r="BB2484" s="74"/>
      <c r="BC2484" s="74"/>
      <c r="BD2484" s="74"/>
      <c r="BE2484" s="74"/>
      <c r="BF2484" s="74"/>
      <c r="BG2484" s="74"/>
      <c r="BH2484" s="74"/>
      <c r="BI2484" s="74"/>
      <c r="BJ2484" s="74"/>
      <c r="BK2484" s="74"/>
      <c r="BL2484" s="74"/>
      <c r="BM2484" s="74"/>
      <c r="BN2484" s="74"/>
      <c r="BO2484" s="74"/>
      <c r="BP2484" s="74"/>
      <c r="BQ2484" s="74"/>
      <c r="BR2484" s="74"/>
      <c r="BS2484" s="74"/>
      <c r="BT2484" s="74"/>
      <c r="BU2484" s="74"/>
      <c r="BV2484" s="74"/>
      <c r="BW2484" s="74"/>
      <c r="BX2484" s="74"/>
      <c r="BY2484" s="74"/>
      <c r="BZ2484" s="74"/>
      <c r="CA2484" s="74"/>
      <c r="CB2484" s="74"/>
      <c r="CC2484" s="75"/>
    </row>
    <row r="2485" spans="2:81" ht="11.25" customHeight="1">
      <c r="B2485" s="6"/>
      <c r="O2485" s="8" t="s">
        <v>176</v>
      </c>
      <c r="AG2485" s="1" t="s">
        <v>290</v>
      </c>
      <c r="CC2485" s="7"/>
    </row>
    <row r="2486" spans="2:81">
      <c r="B2486" s="6"/>
      <c r="BJ2486" s="66">
        <f>+X2491</f>
        <v>150</v>
      </c>
      <c r="BK2486" s="66"/>
      <c r="BL2486" s="1" t="s">
        <v>0</v>
      </c>
      <c r="CC2486" s="7"/>
    </row>
    <row r="2487" spans="2:81">
      <c r="B2487" s="6"/>
      <c r="Q2487" s="1" t="s">
        <v>691</v>
      </c>
      <c r="BC2487" s="66">
        <f>+S2490</f>
        <v>2.5</v>
      </c>
      <c r="BD2487" s="66"/>
      <c r="BE2487" s="1" t="s">
        <v>187</v>
      </c>
      <c r="CC2487" s="7"/>
    </row>
    <row r="2488" spans="2:81">
      <c r="B2488" s="6"/>
      <c r="K2488" s="1" t="s">
        <v>4</v>
      </c>
      <c r="Q2488" s="67" t="s">
        <v>171</v>
      </c>
      <c r="R2488" s="67"/>
      <c r="S2488" s="67"/>
      <c r="T2488" s="67"/>
      <c r="U2488" s="67"/>
      <c r="V2488" s="67"/>
      <c r="CC2488" s="7"/>
    </row>
    <row r="2489" spans="2:81">
      <c r="B2489" s="6"/>
      <c r="CC2489" s="7"/>
    </row>
    <row r="2490" spans="2:81">
      <c r="B2490" s="6"/>
      <c r="S2490" s="67">
        <v>2.5</v>
      </c>
      <c r="T2490" s="67"/>
      <c r="U2490" s="1" t="s">
        <v>187</v>
      </c>
      <c r="AI2490" s="1" t="s">
        <v>685</v>
      </c>
      <c r="AR2490" s="1" t="s">
        <v>405</v>
      </c>
      <c r="AT2490" s="66">
        <f>+G2560</f>
        <v>1.4648441578777001</v>
      </c>
      <c r="AU2490" s="66"/>
      <c r="AV2490" s="1" t="s">
        <v>191</v>
      </c>
      <c r="CC2490" s="7"/>
    </row>
    <row r="2491" spans="2:81">
      <c r="B2491" s="6"/>
      <c r="X2491" s="67">
        <v>150</v>
      </c>
      <c r="Y2491" s="67"/>
      <c r="Z2491" s="1" t="s">
        <v>0</v>
      </c>
      <c r="BE2491" s="60" t="s">
        <v>687</v>
      </c>
      <c r="BN2491" s="60" t="s">
        <v>687</v>
      </c>
      <c r="CC2491" s="7"/>
    </row>
    <row r="2492" spans="2:81">
      <c r="B2492" s="6"/>
      <c r="BB2492" s="1" t="s">
        <v>505</v>
      </c>
      <c r="BM2492" s="1" t="s">
        <v>504</v>
      </c>
      <c r="CC2492" s="7"/>
    </row>
    <row r="2493" spans="2:81">
      <c r="B2493" s="6"/>
      <c r="P2493" s="60" t="s">
        <v>687</v>
      </c>
      <c r="CC2493" s="7"/>
    </row>
    <row r="2494" spans="2:81">
      <c r="B2494" s="6"/>
      <c r="BB2494" s="9" t="s">
        <v>13</v>
      </c>
      <c r="BN2494" s="1" t="s">
        <v>428</v>
      </c>
      <c r="BQ2494" s="1" t="s">
        <v>3</v>
      </c>
      <c r="BR2494" s="66">
        <f>+G2562</f>
        <v>102.54882819297963</v>
      </c>
      <c r="BS2494" s="66"/>
      <c r="BT2494" s="1" t="s">
        <v>0</v>
      </c>
      <c r="CC2494" s="7"/>
    </row>
    <row r="2495" spans="2:81">
      <c r="B2495" s="6"/>
      <c r="AW2495" s="1" t="s">
        <v>2</v>
      </c>
      <c r="AX2495" s="66">
        <f>+G2561</f>
        <v>62.45117180702038</v>
      </c>
      <c r="AY2495" s="66"/>
      <c r="AZ2495" s="1" t="s">
        <v>0</v>
      </c>
      <c r="CC2495" s="7"/>
    </row>
    <row r="2496" spans="2:81">
      <c r="B2496" s="6"/>
      <c r="BD2496" s="66">
        <f>+N2497</f>
        <v>3.75</v>
      </c>
      <c r="BE2496" s="66"/>
      <c r="BF2496" s="1" t="s">
        <v>1</v>
      </c>
      <c r="BN2496" s="66">
        <f>+U2503</f>
        <v>2.25</v>
      </c>
      <c r="BO2496" s="66"/>
      <c r="BP2496" s="1" t="s">
        <v>1</v>
      </c>
      <c r="CC2496" s="7"/>
    </row>
    <row r="2497" spans="2:81">
      <c r="B2497" s="6"/>
      <c r="N2497" s="67">
        <v>3.75</v>
      </c>
      <c r="O2497" s="67"/>
      <c r="P2497" s="1" t="s">
        <v>1</v>
      </c>
      <c r="AG2497" s="60" t="s">
        <v>690</v>
      </c>
      <c r="CC2497" s="7"/>
    </row>
    <row r="2498" spans="2:81">
      <c r="B2498" s="6"/>
      <c r="BH2498" s="66">
        <f>+O2502</f>
        <v>6</v>
      </c>
      <c r="BI2498" s="66"/>
      <c r="BJ2498" s="1" t="s">
        <v>1</v>
      </c>
      <c r="CC2498" s="7"/>
    </row>
    <row r="2499" spans="2:81">
      <c r="B2499" s="6"/>
      <c r="CC2499" s="7"/>
    </row>
    <row r="2500" spans="2:81">
      <c r="B2500" s="6"/>
      <c r="AI2500" s="66">
        <f>+AH2506/2</f>
        <v>2.25</v>
      </c>
      <c r="AJ2500" s="66"/>
      <c r="AK2500" s="1" t="s">
        <v>1</v>
      </c>
      <c r="CC2500" s="7"/>
    </row>
    <row r="2501" spans="2:81">
      <c r="B2501" s="6"/>
      <c r="AY2501" s="1" t="s">
        <v>38</v>
      </c>
      <c r="BA2501" s="67">
        <v>200000</v>
      </c>
      <c r="BB2501" s="67"/>
      <c r="BC2501" s="67"/>
      <c r="BD2501" s="67"/>
      <c r="BE2501" s="1" t="s">
        <v>39</v>
      </c>
      <c r="BH2501" s="1" t="s">
        <v>689</v>
      </c>
      <c r="CC2501" s="7"/>
    </row>
    <row r="2502" spans="2:81">
      <c r="B2502" s="6"/>
      <c r="O2502" s="66">
        <f>+N2497+U2503</f>
        <v>6</v>
      </c>
      <c r="P2502" s="66"/>
      <c r="Q2502" s="1" t="s">
        <v>1</v>
      </c>
      <c r="AC2502" s="1" t="s">
        <v>10</v>
      </c>
      <c r="CC2502" s="7"/>
    </row>
    <row r="2503" spans="2:81">
      <c r="B2503" s="6"/>
      <c r="U2503" s="67">
        <v>2.25</v>
      </c>
      <c r="V2503" s="67"/>
      <c r="W2503" s="1" t="s">
        <v>1</v>
      </c>
      <c r="BA2503" s="23" t="s">
        <v>728</v>
      </c>
      <c r="BN2503" s="23" t="s">
        <v>729</v>
      </c>
      <c r="CC2503" s="7"/>
    </row>
    <row r="2504" spans="2:81">
      <c r="B2504" s="6"/>
      <c r="CC2504" s="7"/>
    </row>
    <row r="2505" spans="2:81">
      <c r="B2505" s="6"/>
      <c r="CC2505" s="7"/>
    </row>
    <row r="2506" spans="2:81">
      <c r="B2506" s="6"/>
      <c r="AH2506" s="67">
        <v>4.5</v>
      </c>
      <c r="AI2506" s="67"/>
      <c r="AJ2506" s="1" t="s">
        <v>1</v>
      </c>
      <c r="CC2506" s="7"/>
    </row>
    <row r="2507" spans="2:81">
      <c r="B2507" s="6"/>
      <c r="N2507" s="1" t="s">
        <v>684</v>
      </c>
      <c r="CC2507" s="7"/>
    </row>
    <row r="2508" spans="2:81">
      <c r="B2508" s="6"/>
      <c r="N2508" s="67" t="s">
        <v>638</v>
      </c>
      <c r="O2508" s="67"/>
      <c r="P2508" s="67"/>
      <c r="Q2508" s="67"/>
      <c r="R2508" s="67"/>
      <c r="S2508" s="67"/>
      <c r="AX2508" s="71">
        <f>INDEX($CI$24:$CI$138,MATCH(Q2488,$CG$24:$CG$138,0),0)</f>
        <v>600</v>
      </c>
      <c r="BK2508" s="71">
        <f>INDEX($CI$24:$CI$138,MATCH(N2508,$CG$24:$CG$138,0),0)</f>
        <v>300</v>
      </c>
      <c r="CC2508" s="7"/>
    </row>
    <row r="2509" spans="2:81">
      <c r="B2509" s="6"/>
      <c r="AX2509" s="71"/>
      <c r="BB2509" s="66">
        <f>INDEX($CK$24:$CK$138,MATCH(Q2488,$CG$24:$CG$138,0),0)</f>
        <v>12</v>
      </c>
      <c r="BC2509" s="66"/>
      <c r="BK2509" s="71"/>
      <c r="BO2509" s="66">
        <f>INDEX($CK$24:$CK$138,MATCH(N2508,$CG$24:$CG$138,0),0)</f>
        <v>7.1</v>
      </c>
      <c r="BP2509" s="66"/>
      <c r="CC2509" s="7"/>
    </row>
    <row r="2510" spans="2:81">
      <c r="B2510" s="6"/>
      <c r="AB2510" s="66">
        <f>+AH2506/2</f>
        <v>2.25</v>
      </c>
      <c r="AC2510" s="66"/>
      <c r="AD2510" s="1" t="s">
        <v>1</v>
      </c>
      <c r="AX2510" s="71"/>
      <c r="BK2510" s="71"/>
      <c r="CC2510" s="7"/>
    </row>
    <row r="2511" spans="2:81">
      <c r="B2511" s="6"/>
      <c r="CC2511" s="7"/>
    </row>
    <row r="2512" spans="2:81">
      <c r="B2512" s="6"/>
      <c r="BE2512" s="66">
        <f>INDEX($CL$24:$CL$138,MATCH(Q2488,$CG$24:$CG$138,0),0)</f>
        <v>19</v>
      </c>
      <c r="BF2512" s="66"/>
      <c r="BR2512" s="66">
        <f>INDEX($CL$24:$CL$138,MATCH(N2508,$CG$24:$CG$138,0),0)</f>
        <v>10.7</v>
      </c>
      <c r="BS2512" s="66"/>
      <c r="CC2512" s="7"/>
    </row>
    <row r="2513" spans="2:81">
      <c r="B2513" s="6"/>
      <c r="T2513" s="1" t="s">
        <v>581</v>
      </c>
      <c r="CC2513" s="7"/>
    </row>
    <row r="2514" spans="2:81">
      <c r="B2514" s="6"/>
      <c r="CC2514" s="7"/>
    </row>
    <row r="2515" spans="2:81">
      <c r="B2515" s="6"/>
      <c r="BC2515" s="66">
        <f>INDEX($CJ$24:$CJ$138,MATCH(Q2488,$CG$24:$CG$138,0),0)</f>
        <v>220</v>
      </c>
      <c r="BD2515" s="66"/>
      <c r="BP2515" s="66">
        <f>INDEX($CJ$24:$CJ$138,MATCH(N2508,$CG$24:$CG$138,0),0)</f>
        <v>150</v>
      </c>
      <c r="BQ2515" s="66"/>
      <c r="CC2515" s="7"/>
    </row>
    <row r="2516" spans="2:81">
      <c r="B2516" s="6"/>
      <c r="E2516" s="23" t="s">
        <v>223</v>
      </c>
      <c r="CC2516" s="7"/>
    </row>
    <row r="2517" spans="2:81">
      <c r="B2517" s="6"/>
      <c r="E2517" s="24" t="s">
        <v>696</v>
      </c>
      <c r="AY2517" s="10" t="s">
        <v>686</v>
      </c>
      <c r="BA2517" s="66">
        <f>INDEX($CM$24:$CM$138,MATCH(Q2488,$CG$24:$CG$138,0),0)</f>
        <v>92080</v>
      </c>
      <c r="BB2517" s="66"/>
      <c r="BC2517" s="66"/>
      <c r="BD2517" s="66"/>
      <c r="BE2517" s="1" t="s">
        <v>37</v>
      </c>
      <c r="BM2517" s="10" t="s">
        <v>688</v>
      </c>
      <c r="BO2517" s="66">
        <f>INDEX($CM$24:$CM$138,MATCH(N2508,$CG$24:$CG$138,0),0)</f>
        <v>8360</v>
      </c>
      <c r="BP2517" s="66"/>
      <c r="BQ2517" s="66"/>
      <c r="BR2517" s="66"/>
      <c r="BS2517" s="1" t="s">
        <v>37</v>
      </c>
      <c r="CC2517" s="7"/>
    </row>
    <row r="2518" spans="2:81">
      <c r="B2518" s="6"/>
      <c r="E2518" s="1" t="s">
        <v>429</v>
      </c>
      <c r="G2518" s="1" t="s">
        <v>407</v>
      </c>
      <c r="I2518" s="9" t="s">
        <v>4</v>
      </c>
      <c r="J2518" s="9" t="s">
        <v>5</v>
      </c>
      <c r="K2518" s="9" t="s">
        <v>13</v>
      </c>
      <c r="L2518" s="9" t="s">
        <v>6</v>
      </c>
      <c r="M2518" s="66">
        <f>+BC2487</f>
        <v>2.5</v>
      </c>
      <c r="N2518" s="66"/>
      <c r="O2518" s="9" t="s">
        <v>5</v>
      </c>
      <c r="P2518" s="1" t="s">
        <v>183</v>
      </c>
      <c r="Q2518" s="1" t="s">
        <v>173</v>
      </c>
      <c r="R2518" s="1">
        <v>2</v>
      </c>
      <c r="CC2518" s="7"/>
    </row>
    <row r="2519" spans="2:81">
      <c r="B2519" s="6"/>
      <c r="E2519" s="1" t="s">
        <v>432</v>
      </c>
      <c r="G2519" s="1" t="s">
        <v>508</v>
      </c>
      <c r="I2519" s="9" t="s">
        <v>13</v>
      </c>
      <c r="J2519" s="9" t="s">
        <v>9</v>
      </c>
      <c r="K2519" s="9" t="s">
        <v>4</v>
      </c>
      <c r="L2519" s="9" t="s">
        <v>5</v>
      </c>
      <c r="M2519" s="9" t="s">
        <v>183</v>
      </c>
      <c r="N2519" s="1" t="s">
        <v>173</v>
      </c>
      <c r="O2519" s="1">
        <v>2</v>
      </c>
      <c r="P2519" s="9" t="s">
        <v>6</v>
      </c>
      <c r="Q2519" s="66">
        <f>+M2518</f>
        <v>2.5</v>
      </c>
      <c r="R2519" s="66"/>
      <c r="S2519" s="9" t="s">
        <v>5</v>
      </c>
      <c r="T2519" s="1" t="s">
        <v>184</v>
      </c>
      <c r="U2519" s="1" t="s">
        <v>173</v>
      </c>
      <c r="V2519" s="1">
        <v>6</v>
      </c>
      <c r="W2519" s="9" t="s">
        <v>9</v>
      </c>
      <c r="X2519" s="1" t="s">
        <v>24</v>
      </c>
      <c r="CC2519" s="7"/>
    </row>
    <row r="2520" spans="2:81">
      <c r="B2520" s="6"/>
      <c r="E2520" s="1" t="s">
        <v>431</v>
      </c>
      <c r="G2520" s="1" t="s">
        <v>508</v>
      </c>
      <c r="I2520" s="9" t="s">
        <v>183</v>
      </c>
      <c r="J2520" s="1" t="s">
        <v>173</v>
      </c>
      <c r="K2520" s="1">
        <v>2</v>
      </c>
      <c r="L2520" s="9" t="s">
        <v>9</v>
      </c>
      <c r="M2520" s="9" t="s">
        <v>4</v>
      </c>
      <c r="N2520" s="9" t="s">
        <v>5</v>
      </c>
      <c r="O2520" s="1" t="s">
        <v>184</v>
      </c>
      <c r="P2520" s="1" t="s">
        <v>173</v>
      </c>
      <c r="Q2520" s="1">
        <v>6</v>
      </c>
      <c r="R2520" s="9" t="s">
        <v>6</v>
      </c>
      <c r="S2520" s="66">
        <f>+Q2519</f>
        <v>2.5</v>
      </c>
      <c r="T2520" s="66"/>
      <c r="U2520" s="9" t="s">
        <v>5</v>
      </c>
      <c r="V2520" s="1" t="s">
        <v>185</v>
      </c>
      <c r="W2520" s="1" t="s">
        <v>173</v>
      </c>
      <c r="X2520" s="66">
        <v>24</v>
      </c>
      <c r="Y2520" s="66"/>
      <c r="Z2520" s="9" t="s">
        <v>9</v>
      </c>
      <c r="AA2520" s="1" t="s">
        <v>24</v>
      </c>
      <c r="AB2520" s="9" t="s">
        <v>5</v>
      </c>
      <c r="AC2520" s="9" t="s">
        <v>13</v>
      </c>
      <c r="AD2520" s="9" t="s">
        <v>9</v>
      </c>
      <c r="AE2520" s="1" t="s">
        <v>307</v>
      </c>
      <c r="CC2520" s="7"/>
    </row>
    <row r="2521" spans="2:81">
      <c r="B2521" s="6"/>
      <c r="E2521" s="24" t="s">
        <v>700</v>
      </c>
      <c r="CC2521" s="7"/>
    </row>
    <row r="2522" spans="2:81">
      <c r="B2522" s="6"/>
      <c r="E2522" s="1" t="s">
        <v>433</v>
      </c>
      <c r="G2522" s="1" t="s">
        <v>407</v>
      </c>
      <c r="I2522" s="9" t="s">
        <v>4</v>
      </c>
      <c r="J2522" s="9" t="s">
        <v>14</v>
      </c>
      <c r="K2522" s="66">
        <f>+BD2496</f>
        <v>3.75</v>
      </c>
      <c r="L2522" s="66"/>
      <c r="M2522" s="9" t="s">
        <v>9</v>
      </c>
      <c r="N2522" s="9" t="s">
        <v>428</v>
      </c>
      <c r="O2522" s="1" t="s">
        <v>16</v>
      </c>
      <c r="P2522" s="66">
        <f>+BC2487</f>
        <v>2.5</v>
      </c>
      <c r="Q2522" s="66"/>
      <c r="R2522" s="9" t="s">
        <v>5</v>
      </c>
      <c r="S2522" s="66">
        <f>+BD2496</f>
        <v>3.75</v>
      </c>
      <c r="T2522" s="66"/>
      <c r="U2522" s="9" t="s">
        <v>14</v>
      </c>
      <c r="V2522" s="66">
        <f>+BD2496/2</f>
        <v>1.875</v>
      </c>
      <c r="W2522" s="66"/>
      <c r="X2522" s="9" t="s">
        <v>9</v>
      </c>
      <c r="Y2522" s="9" t="s">
        <v>428</v>
      </c>
      <c r="Z2522" s="1" t="s">
        <v>16</v>
      </c>
      <c r="AA2522" s="66">
        <f>+BJ2486</f>
        <v>150</v>
      </c>
      <c r="AB2522" s="66"/>
      <c r="AC2522" s="9" t="s">
        <v>5</v>
      </c>
      <c r="AD2522" s="9" t="s">
        <v>428</v>
      </c>
      <c r="CC2522" s="7"/>
    </row>
    <row r="2523" spans="2:81">
      <c r="B2523" s="6"/>
      <c r="E2523" s="1" t="s">
        <v>430</v>
      </c>
      <c r="G2523" s="1" t="s">
        <v>508</v>
      </c>
      <c r="I2523" s="9" t="s">
        <v>428</v>
      </c>
      <c r="J2523" s="9" t="s">
        <v>9</v>
      </c>
      <c r="K2523" s="9" t="s">
        <v>4</v>
      </c>
      <c r="L2523" s="9" t="s">
        <v>14</v>
      </c>
      <c r="M2523" s="66">
        <f>+K2522</f>
        <v>3.75</v>
      </c>
      <c r="N2523" s="66"/>
      <c r="O2523" s="9" t="s">
        <v>9</v>
      </c>
      <c r="P2523" s="9" t="s">
        <v>428</v>
      </c>
      <c r="Q2523" s="1" t="s">
        <v>200</v>
      </c>
      <c r="R2523" s="1" t="s">
        <v>173</v>
      </c>
      <c r="S2523" s="1">
        <v>2</v>
      </c>
      <c r="T2523" s="9" t="s">
        <v>6</v>
      </c>
      <c r="U2523" s="66">
        <f>+P2522*S2522</f>
        <v>9.375</v>
      </c>
      <c r="V2523" s="66"/>
      <c r="W2523" s="9" t="s">
        <v>14</v>
      </c>
      <c r="X2523" s="66">
        <f>+V2522</f>
        <v>1.875</v>
      </c>
      <c r="Y2523" s="66"/>
      <c r="Z2523" s="9" t="s">
        <v>9</v>
      </c>
      <c r="AA2523" s="9" t="s">
        <v>428</v>
      </c>
      <c r="AB2523" s="1" t="s">
        <v>200</v>
      </c>
      <c r="AC2523" s="1" t="s">
        <v>173</v>
      </c>
      <c r="AD2523" s="1">
        <v>2</v>
      </c>
      <c r="AE2523" s="9" t="s">
        <v>6</v>
      </c>
      <c r="AF2523" s="66">
        <f>+AA2522</f>
        <v>150</v>
      </c>
      <c r="AG2523" s="66"/>
      <c r="AH2523" s="9" t="s">
        <v>5</v>
      </c>
      <c r="AI2523" s="9" t="s">
        <v>443</v>
      </c>
      <c r="AJ2523" s="1" t="s">
        <v>173</v>
      </c>
      <c r="AK2523" s="1">
        <v>2</v>
      </c>
      <c r="AL2523" s="9" t="s">
        <v>9</v>
      </c>
      <c r="AM2523" s="1" t="s">
        <v>313</v>
      </c>
      <c r="CC2523" s="7"/>
    </row>
    <row r="2524" spans="2:81">
      <c r="B2524" s="6"/>
      <c r="E2524" s="1" t="s">
        <v>435</v>
      </c>
      <c r="G2524" s="1" t="s">
        <v>508</v>
      </c>
      <c r="I2524" s="9" t="s">
        <v>443</v>
      </c>
      <c r="J2524" s="1" t="s">
        <v>173</v>
      </c>
      <c r="K2524" s="1">
        <v>2</v>
      </c>
      <c r="L2524" s="9" t="s">
        <v>9</v>
      </c>
      <c r="M2524" s="9" t="s">
        <v>4</v>
      </c>
      <c r="N2524" s="9" t="s">
        <v>14</v>
      </c>
      <c r="O2524" s="66">
        <f>+M2523</f>
        <v>3.75</v>
      </c>
      <c r="P2524" s="66"/>
      <c r="Q2524" s="9" t="s">
        <v>9</v>
      </c>
      <c r="R2524" s="9" t="s">
        <v>428</v>
      </c>
      <c r="S2524" s="1" t="s">
        <v>311</v>
      </c>
      <c r="T2524" s="1" t="s">
        <v>173</v>
      </c>
      <c r="U2524" s="1">
        <v>6</v>
      </c>
      <c r="V2524" s="9" t="s">
        <v>6</v>
      </c>
      <c r="W2524" s="66">
        <f>+U2523</f>
        <v>9.375</v>
      </c>
      <c r="X2524" s="66"/>
      <c r="Y2524" s="9" t="s">
        <v>14</v>
      </c>
      <c r="Z2524" s="66">
        <f>+X2523</f>
        <v>1.875</v>
      </c>
      <c r="AA2524" s="66"/>
      <c r="AB2524" s="9" t="s">
        <v>9</v>
      </c>
      <c r="AC2524" s="9" t="s">
        <v>428</v>
      </c>
      <c r="AD2524" s="1" t="s">
        <v>311</v>
      </c>
      <c r="AE2524" s="1" t="s">
        <v>173</v>
      </c>
      <c r="AF2524" s="1">
        <v>6</v>
      </c>
      <c r="AG2524" s="9" t="s">
        <v>6</v>
      </c>
      <c r="AH2524" s="66">
        <f>+AF2523</f>
        <v>150</v>
      </c>
      <c r="AI2524" s="66"/>
      <c r="AJ2524" s="9" t="s">
        <v>5</v>
      </c>
      <c r="AK2524" s="9" t="s">
        <v>444</v>
      </c>
      <c r="AL2524" s="1" t="s">
        <v>173</v>
      </c>
      <c r="AM2524" s="1">
        <v>6</v>
      </c>
      <c r="AN2524" s="9" t="s">
        <v>9</v>
      </c>
      <c r="AO2524" s="1" t="s">
        <v>313</v>
      </c>
      <c r="AP2524" s="9" t="s">
        <v>5</v>
      </c>
      <c r="AQ2524" s="9" t="s">
        <v>428</v>
      </c>
      <c r="AR2524" s="9" t="s">
        <v>9</v>
      </c>
      <c r="AS2524" s="1" t="s">
        <v>315</v>
      </c>
      <c r="CC2524" s="7"/>
    </row>
    <row r="2525" spans="2:81">
      <c r="B2525" s="6"/>
      <c r="E2525" s="24" t="s">
        <v>318</v>
      </c>
      <c r="CC2525" s="7"/>
    </row>
    <row r="2526" spans="2:81">
      <c r="B2526" s="6"/>
      <c r="E2526" s="1" t="s">
        <v>319</v>
      </c>
      <c r="K2526" s="1" t="s">
        <v>411</v>
      </c>
      <c r="CC2526" s="7"/>
    </row>
    <row r="2527" spans="2:81">
      <c r="B2527" s="6"/>
      <c r="E2527" s="1" t="s">
        <v>436</v>
      </c>
      <c r="K2527" s="1" t="s">
        <v>416</v>
      </c>
      <c r="CC2527" s="7"/>
    </row>
    <row r="2528" spans="2:81">
      <c r="B2528" s="6"/>
      <c r="E2528" s="1" t="s">
        <v>358</v>
      </c>
      <c r="I2528" s="1" t="s">
        <v>508</v>
      </c>
      <c r="K2528" s="66">
        <f>+BD2496</f>
        <v>3.75</v>
      </c>
      <c r="L2528" s="66"/>
      <c r="M2528" s="1" t="s">
        <v>254</v>
      </c>
      <c r="N2528" s="1">
        <v>2</v>
      </c>
      <c r="O2528" s="9" t="s">
        <v>9</v>
      </c>
      <c r="P2528" s="9" t="s">
        <v>4</v>
      </c>
      <c r="Q2528" s="9" t="s">
        <v>5</v>
      </c>
      <c r="R2528" s="66">
        <f>+K2528</f>
        <v>3.75</v>
      </c>
      <c r="S2528" s="66"/>
      <c r="T2528" s="1" t="s">
        <v>321</v>
      </c>
      <c r="U2528" s="1">
        <v>6</v>
      </c>
      <c r="V2528" s="9" t="s">
        <v>6</v>
      </c>
      <c r="W2528" s="66">
        <f>+S2520</f>
        <v>2.5</v>
      </c>
      <c r="X2528" s="66"/>
      <c r="Y2528" s="9" t="s">
        <v>5</v>
      </c>
      <c r="Z2528" s="66">
        <f>+R2528</f>
        <v>3.75</v>
      </c>
      <c r="AA2528" s="66"/>
      <c r="AB2528" s="1" t="s">
        <v>403</v>
      </c>
      <c r="AC2528" s="66">
        <v>24</v>
      </c>
      <c r="AD2528" s="66"/>
      <c r="AE2528" s="9" t="s">
        <v>7</v>
      </c>
      <c r="AF2528" s="1" t="s">
        <v>508</v>
      </c>
      <c r="AH2528" s="66">
        <f>K2528^2/N2528</f>
        <v>7.03125</v>
      </c>
      <c r="AI2528" s="66"/>
      <c r="AJ2528" s="9" t="s">
        <v>9</v>
      </c>
      <c r="AK2528" s="9" t="s">
        <v>4</v>
      </c>
      <c r="AL2528" s="9" t="s">
        <v>5</v>
      </c>
      <c r="AM2528" s="66">
        <f>+R2528^3/U2528</f>
        <v>8.7890625</v>
      </c>
      <c r="AN2528" s="66"/>
      <c r="AO2528" s="9" t="s">
        <v>6</v>
      </c>
      <c r="AP2528" s="66">
        <f>W2528*Z2528^4/AC2528</f>
        <v>20.599365234375</v>
      </c>
      <c r="AQ2528" s="66"/>
      <c r="AR2528" s="66"/>
      <c r="CC2528" s="7"/>
    </row>
    <row r="2529" spans="2:81">
      <c r="B2529" s="6"/>
      <c r="E2529" s="1" t="s">
        <v>458</v>
      </c>
      <c r="I2529" s="9" t="s">
        <v>4</v>
      </c>
      <c r="J2529" s="9" t="s">
        <v>5</v>
      </c>
      <c r="K2529" s="66">
        <f>+O2524</f>
        <v>3.75</v>
      </c>
      <c r="L2529" s="66"/>
      <c r="M2529" s="1" t="s">
        <v>321</v>
      </c>
      <c r="N2529" s="1">
        <v>6</v>
      </c>
      <c r="O2529" s="9" t="s">
        <v>6</v>
      </c>
      <c r="P2529" s="66">
        <f>+W2524</f>
        <v>9.375</v>
      </c>
      <c r="Q2529" s="66"/>
      <c r="R2529" s="9" t="s">
        <v>5</v>
      </c>
      <c r="S2529" s="66">
        <f>+Z2524</f>
        <v>1.875</v>
      </c>
      <c r="T2529" s="66"/>
      <c r="U2529" s="1" t="s">
        <v>321</v>
      </c>
      <c r="V2529" s="1">
        <v>6</v>
      </c>
      <c r="W2529" s="9" t="s">
        <v>9</v>
      </c>
      <c r="X2529" s="1" t="s">
        <v>315</v>
      </c>
      <c r="Y2529" s="9" t="s">
        <v>7</v>
      </c>
      <c r="Z2529" s="9" t="s">
        <v>4</v>
      </c>
      <c r="AA2529" s="9" t="s">
        <v>5</v>
      </c>
      <c r="AB2529" s="66">
        <f>+K2529^3/N2529</f>
        <v>8.7890625</v>
      </c>
      <c r="AC2529" s="66"/>
      <c r="AD2529" s="9" t="s">
        <v>9</v>
      </c>
      <c r="AE2529" s="1" t="s">
        <v>315</v>
      </c>
      <c r="AF2529" s="9" t="s">
        <v>6</v>
      </c>
      <c r="AG2529" s="66">
        <f>P2529*S2529^3/V2529</f>
        <v>10.2996826171875</v>
      </c>
      <c r="AH2529" s="66"/>
      <c r="AI2529" s="66"/>
      <c r="CC2529" s="7"/>
    </row>
    <row r="2530" spans="2:81">
      <c r="B2530" s="6"/>
      <c r="E2530" s="1" t="s">
        <v>461</v>
      </c>
      <c r="O2530" s="1" t="s">
        <v>508</v>
      </c>
      <c r="Q2530" s="66">
        <f>+AH2528</f>
        <v>7.03125</v>
      </c>
      <c r="R2530" s="66"/>
      <c r="S2530" s="9" t="s">
        <v>9</v>
      </c>
      <c r="T2530" s="9" t="s">
        <v>4</v>
      </c>
      <c r="U2530" s="9" t="s">
        <v>5</v>
      </c>
      <c r="V2530" s="66">
        <f>+AM2528</f>
        <v>8.7890625</v>
      </c>
      <c r="W2530" s="66"/>
      <c r="X2530" s="9" t="s">
        <v>6</v>
      </c>
      <c r="Y2530" s="66">
        <f>+AP2528</f>
        <v>20.599365234375</v>
      </c>
      <c r="Z2530" s="66"/>
      <c r="AA2530" s="66"/>
      <c r="AB2530" s="9" t="s">
        <v>7</v>
      </c>
      <c r="AC2530" s="9" t="s">
        <v>4</v>
      </c>
      <c r="AD2530" s="9" t="s">
        <v>5</v>
      </c>
      <c r="AE2530" s="66">
        <f>+AB2529</f>
        <v>8.7890625</v>
      </c>
      <c r="AF2530" s="66"/>
      <c r="AG2530" s="9" t="s">
        <v>9</v>
      </c>
      <c r="AH2530" s="1" t="s">
        <v>315</v>
      </c>
      <c r="AI2530" s="9" t="s">
        <v>6</v>
      </c>
      <c r="AJ2530" s="66">
        <f>+AG2529</f>
        <v>10.2996826171875</v>
      </c>
      <c r="AK2530" s="66"/>
      <c r="AL2530" s="66"/>
      <c r="AO2530" s="58" t="s">
        <v>508</v>
      </c>
      <c r="AP2530" s="49"/>
      <c r="AQ2530" s="68">
        <f>+Q2530</f>
        <v>7.03125</v>
      </c>
      <c r="AR2530" s="68"/>
      <c r="AS2530" s="48" t="s">
        <v>6</v>
      </c>
      <c r="AT2530" s="49" t="s">
        <v>315</v>
      </c>
      <c r="AU2530" s="48" t="s">
        <v>6</v>
      </c>
      <c r="AV2530" s="68">
        <f>+Y2530-AJ2530</f>
        <v>10.2996826171875</v>
      </c>
      <c r="AW2530" s="68"/>
      <c r="AX2530" s="68"/>
      <c r="AY2530" s="48" t="s">
        <v>7</v>
      </c>
      <c r="AZ2530" s="59">
        <v>0</v>
      </c>
      <c r="BB2530" s="1" t="s">
        <v>438</v>
      </c>
      <c r="CC2530" s="7"/>
    </row>
    <row r="2531" spans="2:81">
      <c r="B2531" s="6"/>
      <c r="E2531" s="1" t="s">
        <v>320</v>
      </c>
      <c r="I2531" s="1" t="s">
        <v>508</v>
      </c>
      <c r="K2531" s="66">
        <f>+BD2496</f>
        <v>3.75</v>
      </c>
      <c r="L2531" s="66"/>
      <c r="M2531" s="9" t="s">
        <v>9</v>
      </c>
      <c r="N2531" s="9" t="s">
        <v>4</v>
      </c>
      <c r="O2531" s="9" t="s">
        <v>5</v>
      </c>
      <c r="P2531" s="66">
        <f>+K2531</f>
        <v>3.75</v>
      </c>
      <c r="Q2531" s="66"/>
      <c r="R2531" s="1" t="s">
        <v>254</v>
      </c>
      <c r="S2531" s="1">
        <v>2</v>
      </c>
      <c r="T2531" s="9" t="s">
        <v>6</v>
      </c>
      <c r="U2531" s="66">
        <f>+Q2519</f>
        <v>2.5</v>
      </c>
      <c r="V2531" s="66"/>
      <c r="W2531" s="9" t="s">
        <v>5</v>
      </c>
      <c r="X2531" s="66">
        <f>+P2531</f>
        <v>3.75</v>
      </c>
      <c r="Y2531" s="66"/>
      <c r="Z2531" s="1" t="s">
        <v>321</v>
      </c>
      <c r="AA2531" s="1">
        <v>6</v>
      </c>
      <c r="AB2531" s="9" t="s">
        <v>7</v>
      </c>
      <c r="AC2531" s="1" t="s">
        <v>508</v>
      </c>
      <c r="AE2531" s="66">
        <f>+K2531</f>
        <v>3.75</v>
      </c>
      <c r="AF2531" s="66"/>
      <c r="AG2531" s="9" t="s">
        <v>9</v>
      </c>
      <c r="AH2531" s="9" t="s">
        <v>4</v>
      </c>
      <c r="AI2531" s="9" t="s">
        <v>5</v>
      </c>
      <c r="AJ2531" s="66">
        <f>P2531^2/S2531</f>
        <v>7.03125</v>
      </c>
      <c r="AK2531" s="66"/>
      <c r="AL2531" s="9" t="s">
        <v>6</v>
      </c>
      <c r="AM2531" s="66">
        <f>U2531*X2531^3/AA2531</f>
        <v>21.97265625</v>
      </c>
      <c r="AN2531" s="66"/>
      <c r="AO2531" s="66"/>
      <c r="CC2531" s="7"/>
    </row>
    <row r="2532" spans="2:81">
      <c r="B2532" s="6"/>
      <c r="E2532" s="1" t="s">
        <v>470</v>
      </c>
      <c r="I2532" s="9" t="s">
        <v>4</v>
      </c>
      <c r="J2532" s="9" t="s">
        <v>5</v>
      </c>
      <c r="K2532" s="66">
        <f>+M2523</f>
        <v>3.75</v>
      </c>
      <c r="L2532" s="66"/>
      <c r="M2532" s="1" t="s">
        <v>254</v>
      </c>
      <c r="N2532" s="1">
        <v>2</v>
      </c>
      <c r="O2532" s="9" t="s">
        <v>6</v>
      </c>
      <c r="P2532" s="66">
        <f>+U2523</f>
        <v>9.375</v>
      </c>
      <c r="Q2532" s="66"/>
      <c r="R2532" s="9" t="s">
        <v>5</v>
      </c>
      <c r="S2532" s="66">
        <f>+X2523</f>
        <v>1.875</v>
      </c>
      <c r="T2532" s="66"/>
      <c r="U2532" s="1" t="s">
        <v>254</v>
      </c>
      <c r="V2532" s="1">
        <v>2</v>
      </c>
      <c r="W2532" s="9" t="s">
        <v>9</v>
      </c>
      <c r="X2532" s="1" t="s">
        <v>313</v>
      </c>
      <c r="Y2532" s="9" t="s">
        <v>7</v>
      </c>
      <c r="Z2532" s="9" t="s">
        <v>4</v>
      </c>
      <c r="AA2532" s="9" t="s">
        <v>5</v>
      </c>
      <c r="AB2532" s="66">
        <f>+K2532^2/N2532</f>
        <v>7.03125</v>
      </c>
      <c r="AC2532" s="66"/>
      <c r="AD2532" s="9" t="s">
        <v>9</v>
      </c>
      <c r="AE2532" s="1" t="s">
        <v>313</v>
      </c>
      <c r="AF2532" s="9" t="s">
        <v>6</v>
      </c>
      <c r="AG2532" s="66">
        <f>+P2532*S2532^2/V2532</f>
        <v>16.4794921875</v>
      </c>
      <c r="AH2532" s="66"/>
      <c r="AI2532" s="66"/>
      <c r="CC2532" s="7"/>
    </row>
    <row r="2533" spans="2:81">
      <c r="B2533" s="6"/>
      <c r="E2533" s="1" t="s">
        <v>639</v>
      </c>
      <c r="O2533" s="1" t="s">
        <v>508</v>
      </c>
      <c r="Q2533" s="66">
        <f>+AE2531</f>
        <v>3.75</v>
      </c>
      <c r="R2533" s="66"/>
      <c r="S2533" s="9" t="s">
        <v>9</v>
      </c>
      <c r="T2533" s="9" t="s">
        <v>4</v>
      </c>
      <c r="U2533" s="9" t="s">
        <v>5</v>
      </c>
      <c r="V2533" s="66">
        <f>+AJ2531</f>
        <v>7.03125</v>
      </c>
      <c r="W2533" s="66"/>
      <c r="X2533" s="9" t="s">
        <v>6</v>
      </c>
      <c r="Y2533" s="66">
        <f>+AM2531</f>
        <v>21.97265625</v>
      </c>
      <c r="Z2533" s="66"/>
      <c r="AA2533" s="66"/>
      <c r="AB2533" s="9" t="s">
        <v>7</v>
      </c>
      <c r="AC2533" s="9" t="s">
        <v>4</v>
      </c>
      <c r="AD2533" s="9" t="s">
        <v>5</v>
      </c>
      <c r="AE2533" s="66">
        <f>+AB2532</f>
        <v>7.03125</v>
      </c>
      <c r="AF2533" s="66"/>
      <c r="AG2533" s="9" t="s">
        <v>9</v>
      </c>
      <c r="AH2533" s="1" t="s">
        <v>313</v>
      </c>
      <c r="AI2533" s="9" t="s">
        <v>6</v>
      </c>
      <c r="AJ2533" s="66">
        <f>+AG2532</f>
        <v>16.4794921875</v>
      </c>
      <c r="AK2533" s="66"/>
      <c r="AL2533" s="66"/>
      <c r="AO2533" s="58" t="s">
        <v>508</v>
      </c>
      <c r="AP2533" s="49"/>
      <c r="AQ2533" s="68">
        <f>+Q2533</f>
        <v>3.75</v>
      </c>
      <c r="AR2533" s="68"/>
      <c r="AS2533" s="48" t="s">
        <v>6</v>
      </c>
      <c r="AT2533" s="49" t="s">
        <v>313</v>
      </c>
      <c r="AU2533" s="48" t="s">
        <v>6</v>
      </c>
      <c r="AV2533" s="68">
        <f>+Y2533-AJ2533</f>
        <v>5.4931640625</v>
      </c>
      <c r="AW2533" s="68"/>
      <c r="AX2533" s="68"/>
      <c r="AY2533" s="48" t="s">
        <v>7</v>
      </c>
      <c r="AZ2533" s="59">
        <v>0</v>
      </c>
      <c r="BB2533" s="1" t="s">
        <v>439</v>
      </c>
      <c r="CC2533" s="7"/>
    </row>
    <row r="2534" spans="2:81">
      <c r="B2534" s="6"/>
      <c r="E2534" s="1" t="s">
        <v>418</v>
      </c>
      <c r="CC2534" s="7"/>
    </row>
    <row r="2535" spans="2:81">
      <c r="B2535" s="6"/>
      <c r="E2535" s="9" t="s">
        <v>4</v>
      </c>
      <c r="F2535" s="9" t="s">
        <v>9</v>
      </c>
      <c r="G2535" s="9" t="s">
        <v>10</v>
      </c>
      <c r="H2535" s="9" t="s">
        <v>6</v>
      </c>
      <c r="I2535" s="66">
        <f>+BC2487</f>
        <v>2.5</v>
      </c>
      <c r="J2535" s="66"/>
      <c r="K2535" s="9" t="s">
        <v>5</v>
      </c>
      <c r="L2535" s="66">
        <f>+BH2498</f>
        <v>6</v>
      </c>
      <c r="M2535" s="66"/>
      <c r="N2535" s="9" t="s">
        <v>6</v>
      </c>
      <c r="O2535" s="66">
        <f>+BJ2486</f>
        <v>150</v>
      </c>
      <c r="P2535" s="66"/>
      <c r="Q2535" s="9" t="s">
        <v>7</v>
      </c>
      <c r="R2535" s="9">
        <v>0</v>
      </c>
      <c r="U2535" s="57" t="s">
        <v>4</v>
      </c>
      <c r="V2535" s="48" t="s">
        <v>9</v>
      </c>
      <c r="W2535" s="48" t="s">
        <v>10</v>
      </c>
      <c r="X2535" s="48" t="s">
        <v>6</v>
      </c>
      <c r="Y2535" s="68">
        <f>+I2535*L2535+O2535</f>
        <v>165</v>
      </c>
      <c r="Z2535" s="68"/>
      <c r="AA2535" s="68"/>
      <c r="AB2535" s="48" t="s">
        <v>7</v>
      </c>
      <c r="AC2535" s="59">
        <v>0</v>
      </c>
      <c r="AE2535" s="1" t="s">
        <v>456</v>
      </c>
      <c r="CC2535" s="7"/>
    </row>
    <row r="2536" spans="2:81">
      <c r="B2536" s="6"/>
      <c r="E2536" s="11" t="s">
        <v>803</v>
      </c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U2536" s="9"/>
      <c r="V2536" s="9"/>
      <c r="W2536" s="9"/>
      <c r="X2536" s="9"/>
      <c r="Y2536" s="9"/>
      <c r="Z2536" s="9"/>
      <c r="AA2536" s="9"/>
      <c r="AB2536" s="9"/>
      <c r="AC2536" s="9"/>
      <c r="CC2536" s="7"/>
    </row>
    <row r="2537" spans="2:81">
      <c r="B2537" s="6"/>
      <c r="E2537" s="1" t="s">
        <v>804</v>
      </c>
      <c r="F2537" s="9"/>
      <c r="G2537" s="9"/>
      <c r="H2537" s="9"/>
      <c r="I2537" s="9"/>
      <c r="L2537" s="1" t="s">
        <v>407</v>
      </c>
      <c r="N2537" s="9" t="s">
        <v>4</v>
      </c>
      <c r="O2537" s="9" t="s">
        <v>14</v>
      </c>
      <c r="P2537" s="66">
        <f>+K2522</f>
        <v>3.75</v>
      </c>
      <c r="Q2537" s="66"/>
      <c r="R2537" s="9" t="s">
        <v>9</v>
      </c>
      <c r="S2537" s="66">
        <f>+BN2496</f>
        <v>2.25</v>
      </c>
      <c r="T2537" s="66"/>
      <c r="U2537" s="1" t="s">
        <v>16</v>
      </c>
      <c r="V2537" s="66">
        <f>+P2522</f>
        <v>2.5</v>
      </c>
      <c r="W2537" s="66"/>
      <c r="X2537" s="9" t="s">
        <v>5</v>
      </c>
      <c r="Y2537" s="66">
        <f>+S2522</f>
        <v>3.75</v>
      </c>
      <c r="Z2537" s="66"/>
      <c r="AA2537" s="9" t="s">
        <v>14</v>
      </c>
      <c r="AB2537" s="66">
        <f>+V2522</f>
        <v>1.875</v>
      </c>
      <c r="AC2537" s="66"/>
      <c r="AD2537" s="9" t="s">
        <v>9</v>
      </c>
      <c r="AE2537" s="66">
        <f>+BN2496</f>
        <v>2.25</v>
      </c>
      <c r="AF2537" s="66"/>
      <c r="AG2537" s="1" t="s">
        <v>16</v>
      </c>
      <c r="AH2537" s="66">
        <f>+AA2522</f>
        <v>150</v>
      </c>
      <c r="AI2537" s="66"/>
      <c r="AJ2537" s="9" t="s">
        <v>5</v>
      </c>
      <c r="AK2537" s="66">
        <f>+BN2496</f>
        <v>2.25</v>
      </c>
      <c r="AL2537" s="66"/>
      <c r="AM2537" s="9" t="s">
        <v>7</v>
      </c>
      <c r="AN2537" s="9">
        <v>0</v>
      </c>
      <c r="AQ2537" s="58" t="s">
        <v>407</v>
      </c>
      <c r="AR2537" s="49"/>
      <c r="AS2537" s="48" t="s">
        <v>4</v>
      </c>
      <c r="AT2537" s="48" t="s">
        <v>5</v>
      </c>
      <c r="AU2537" s="68">
        <f>+P2537+S2537</f>
        <v>6</v>
      </c>
      <c r="AV2537" s="68"/>
      <c r="AW2537" s="48" t="s">
        <v>6</v>
      </c>
      <c r="AX2537" s="68">
        <f>+V2537*Y2537*(AB2537+AE2537)+AH2537*AK2537</f>
        <v>376.171875</v>
      </c>
      <c r="AY2537" s="68"/>
      <c r="AZ2537" s="68"/>
      <c r="BA2537" s="48" t="s">
        <v>7</v>
      </c>
      <c r="BB2537" s="59">
        <v>0</v>
      </c>
      <c r="BD2537" s="1" t="s">
        <v>514</v>
      </c>
      <c r="CC2537" s="7"/>
    </row>
    <row r="2538" spans="2:81">
      <c r="B2538" s="6"/>
      <c r="E2538" s="24" t="s">
        <v>802</v>
      </c>
      <c r="CC2538" s="7"/>
    </row>
    <row r="2539" spans="2:81">
      <c r="B2539" s="6"/>
      <c r="E2539" s="1" t="s">
        <v>708</v>
      </c>
      <c r="J2539" s="1" t="s">
        <v>508</v>
      </c>
      <c r="L2539" s="66">
        <f>+BN2496</f>
        <v>2.25</v>
      </c>
      <c r="M2539" s="66"/>
      <c r="N2539" s="1" t="s">
        <v>254</v>
      </c>
      <c r="O2539" s="1">
        <v>2</v>
      </c>
      <c r="P2539" s="9" t="s">
        <v>9</v>
      </c>
      <c r="Q2539" s="9" t="s">
        <v>4</v>
      </c>
      <c r="R2539" s="9" t="s">
        <v>14</v>
      </c>
      <c r="S2539" s="66">
        <f>+O2524</f>
        <v>3.75</v>
      </c>
      <c r="T2539" s="66"/>
      <c r="U2539" s="9" t="s">
        <v>9</v>
      </c>
      <c r="V2539" s="66">
        <f>+L2539</f>
        <v>2.25</v>
      </c>
      <c r="W2539" s="66"/>
      <c r="X2539" s="1" t="s">
        <v>311</v>
      </c>
      <c r="Y2539" s="1" t="s">
        <v>173</v>
      </c>
      <c r="Z2539" s="1">
        <v>6</v>
      </c>
      <c r="AA2539" s="9" t="s">
        <v>6</v>
      </c>
      <c r="AB2539" s="66">
        <f>+W2524</f>
        <v>9.375</v>
      </c>
      <c r="AC2539" s="66"/>
      <c r="AD2539" s="9" t="s">
        <v>14</v>
      </c>
      <c r="AE2539" s="66">
        <f>+Z2524</f>
        <v>1.875</v>
      </c>
      <c r="AF2539" s="66"/>
      <c r="AG2539" s="9" t="s">
        <v>9</v>
      </c>
      <c r="AH2539" s="66">
        <f>+V2539</f>
        <v>2.25</v>
      </c>
      <c r="AI2539" s="66"/>
      <c r="AJ2539" s="1" t="s">
        <v>311</v>
      </c>
      <c r="AK2539" s="1" t="s">
        <v>173</v>
      </c>
      <c r="AL2539" s="1">
        <v>6</v>
      </c>
      <c r="AM2539" s="9" t="s">
        <v>6</v>
      </c>
      <c r="AN2539" s="66">
        <f>+AH2524</f>
        <v>150</v>
      </c>
      <c r="AO2539" s="66"/>
      <c r="AP2539" s="9" t="s">
        <v>5</v>
      </c>
      <c r="AQ2539" s="66">
        <f>+AH2539</f>
        <v>2.25</v>
      </c>
      <c r="AR2539" s="66"/>
      <c r="AS2539" s="1" t="s">
        <v>321</v>
      </c>
      <c r="AT2539" s="1">
        <v>6</v>
      </c>
      <c r="AU2539" s="9" t="s">
        <v>9</v>
      </c>
      <c r="AV2539" s="1" t="s">
        <v>313</v>
      </c>
      <c r="AW2539" s="9" t="s">
        <v>5</v>
      </c>
      <c r="AX2539" s="66">
        <f>+AQ2539</f>
        <v>2.25</v>
      </c>
      <c r="AY2539" s="66"/>
      <c r="AZ2539" s="9" t="s">
        <v>9</v>
      </c>
      <c r="BA2539" s="1" t="s">
        <v>315</v>
      </c>
      <c r="CC2539" s="7"/>
    </row>
    <row r="2540" spans="2:81">
      <c r="B2540" s="6"/>
      <c r="E2540" s="1" t="s">
        <v>709</v>
      </c>
      <c r="G2540" s="1" t="s">
        <v>508</v>
      </c>
      <c r="I2540" s="66">
        <f>+L2539^2/O2539</f>
        <v>2.53125</v>
      </c>
      <c r="J2540" s="66"/>
      <c r="K2540" s="9" t="s">
        <v>9</v>
      </c>
      <c r="L2540" s="9" t="s">
        <v>4</v>
      </c>
      <c r="M2540" s="9" t="s">
        <v>5</v>
      </c>
      <c r="N2540" s="66">
        <f>(S2539+V2539)^3/Z2539</f>
        <v>36</v>
      </c>
      <c r="O2540" s="66"/>
      <c r="P2540" s="9" t="s">
        <v>9</v>
      </c>
      <c r="Q2540" s="1" t="s">
        <v>313</v>
      </c>
      <c r="R2540" s="9" t="s">
        <v>5</v>
      </c>
      <c r="S2540" s="66">
        <f>+AX2539</f>
        <v>2.25</v>
      </c>
      <c r="T2540" s="66"/>
      <c r="U2540" s="9" t="s">
        <v>9</v>
      </c>
      <c r="V2540" s="1" t="s">
        <v>315</v>
      </c>
      <c r="W2540" s="9" t="s">
        <v>6</v>
      </c>
      <c r="X2540" s="66">
        <f>AB2539*(AE2539+AH2539)^3/AL2539+AN2539*AQ2539^3/AT2539</f>
        <v>394.4366455078125</v>
      </c>
      <c r="Y2540" s="66"/>
      <c r="Z2540" s="66"/>
      <c r="AA2540" s="1" t="s">
        <v>255</v>
      </c>
      <c r="AB2540" s="9" t="s">
        <v>710</v>
      </c>
      <c r="AC2540" s="9" t="s">
        <v>5</v>
      </c>
      <c r="AD2540" s="60" t="s">
        <v>687</v>
      </c>
      <c r="AE2540" s="1" t="s">
        <v>40</v>
      </c>
      <c r="CC2540" s="7"/>
    </row>
    <row r="2541" spans="2:81">
      <c r="B2541" s="6"/>
      <c r="P2541" s="1" t="s">
        <v>11</v>
      </c>
      <c r="R2541" s="66">
        <f>+G2562</f>
        <v>102.54882819297963</v>
      </c>
      <c r="S2541" s="66"/>
      <c r="T2541" s="66"/>
      <c r="U2541" s="9" t="s">
        <v>0</v>
      </c>
      <c r="V2541" s="9"/>
      <c r="AA2541" s="11"/>
      <c r="AE2541" s="9"/>
      <c r="AG2541" s="9"/>
      <c r="AH2541" s="9"/>
      <c r="AI2541" s="9"/>
      <c r="AJ2541" s="9"/>
      <c r="AK2541" s="9"/>
      <c r="AL2541" s="9"/>
      <c r="CC2541" s="7"/>
    </row>
    <row r="2542" spans="2:81">
      <c r="B2542" s="6"/>
      <c r="CC2542" s="7"/>
    </row>
    <row r="2543" spans="2:81">
      <c r="B2543" s="6"/>
      <c r="CC2543" s="7"/>
    </row>
    <row r="2544" spans="2:81">
      <c r="B2544" s="6"/>
      <c r="H2544" s="1" t="s">
        <v>581</v>
      </c>
      <c r="AC2544" s="9" t="s">
        <v>685</v>
      </c>
      <c r="CC2544" s="7"/>
    </row>
    <row r="2545" spans="2:81">
      <c r="B2545" s="6"/>
      <c r="N2545" s="10" t="s">
        <v>690</v>
      </c>
      <c r="R2545" s="66" t="s">
        <v>10</v>
      </c>
      <c r="S2545" s="66"/>
      <c r="V2545" s="10" t="s">
        <v>690</v>
      </c>
      <c r="CC2545" s="7"/>
    </row>
    <row r="2546" spans="2:81">
      <c r="B2546" s="6"/>
      <c r="CC2546" s="7"/>
    </row>
    <row r="2547" spans="2:81">
      <c r="B2547" s="6"/>
      <c r="CC2547" s="7"/>
    </row>
    <row r="2548" spans="2:81">
      <c r="B2548" s="6"/>
      <c r="CC2548" s="7"/>
    </row>
    <row r="2549" spans="2:81">
      <c r="B2549" s="6"/>
      <c r="G2549" s="1" t="s">
        <v>712</v>
      </c>
      <c r="H2549" s="66">
        <f>+R2541/2</f>
        <v>51.274414096489814</v>
      </c>
      <c r="I2549" s="66"/>
      <c r="J2549" s="66"/>
      <c r="K2549" s="1" t="s">
        <v>0</v>
      </c>
      <c r="AA2549" s="1" t="s">
        <v>713</v>
      </c>
      <c r="AB2549" s="66">
        <f>+R2541/2</f>
        <v>51.274414096489814</v>
      </c>
      <c r="AC2549" s="66"/>
      <c r="AD2549" s="66"/>
      <c r="AE2549" s="1" t="s">
        <v>0</v>
      </c>
      <c r="CC2549" s="7"/>
    </row>
    <row r="2550" spans="2:81">
      <c r="B2550" s="6"/>
      <c r="M2550" s="66">
        <f>+R2552/2</f>
        <v>2.25</v>
      </c>
      <c r="N2550" s="66"/>
      <c r="O2550" s="1" t="s">
        <v>1</v>
      </c>
      <c r="W2550" s="66">
        <f>+R2552/2</f>
        <v>2.25</v>
      </c>
      <c r="X2550" s="66"/>
      <c r="Y2550" s="1" t="s">
        <v>1</v>
      </c>
      <c r="CC2550" s="7"/>
    </row>
    <row r="2551" spans="2:81">
      <c r="B2551" s="6"/>
      <c r="CC2551" s="7"/>
    </row>
    <row r="2552" spans="2:81">
      <c r="B2552" s="6"/>
      <c r="R2552" s="66">
        <f>+AH2506</f>
        <v>4.5</v>
      </c>
      <c r="S2552" s="66"/>
      <c r="T2552" s="1" t="s">
        <v>1</v>
      </c>
      <c r="CC2552" s="7"/>
    </row>
    <row r="2553" spans="2:81">
      <c r="B2553" s="6"/>
      <c r="CC2553" s="7"/>
    </row>
    <row r="2554" spans="2:81">
      <c r="B2554" s="6"/>
      <c r="E2554" s="1" t="s">
        <v>806</v>
      </c>
      <c r="M2554" s="9" t="s">
        <v>10</v>
      </c>
      <c r="N2554" s="9" t="s">
        <v>5</v>
      </c>
      <c r="O2554" s="66">
        <f>+R2552</f>
        <v>4.5</v>
      </c>
      <c r="P2554" s="66"/>
      <c r="Q2554" s="1" t="s">
        <v>660</v>
      </c>
      <c r="R2554" s="66">
        <v>48</v>
      </c>
      <c r="S2554" s="66"/>
      <c r="T2554" s="9" t="s">
        <v>5</v>
      </c>
      <c r="U2554" s="9" t="s">
        <v>710</v>
      </c>
      <c r="V2554" s="9" t="s">
        <v>5</v>
      </c>
      <c r="W2554" s="60" t="s">
        <v>690</v>
      </c>
      <c r="X2554" s="1" t="s">
        <v>201</v>
      </c>
      <c r="Y2554" s="66">
        <f>+O2554^3/R2554</f>
        <v>1.8984375</v>
      </c>
      <c r="Z2554" s="66"/>
      <c r="AA2554" s="9" t="s">
        <v>5</v>
      </c>
      <c r="AB2554" s="9" t="s">
        <v>10</v>
      </c>
      <c r="AC2554" s="1" t="s">
        <v>275</v>
      </c>
      <c r="AD2554" s="9" t="s">
        <v>710</v>
      </c>
      <c r="AE2554" s="9" t="s">
        <v>5</v>
      </c>
      <c r="AF2554" s="60" t="s">
        <v>690</v>
      </c>
      <c r="AG2554" s="1" t="s">
        <v>40</v>
      </c>
      <c r="AI2554" s="1" t="s">
        <v>715</v>
      </c>
      <c r="CC2554" s="7"/>
    </row>
    <row r="2555" spans="2:81">
      <c r="B2555" s="6"/>
      <c r="E2555" s="1" t="s">
        <v>716</v>
      </c>
      <c r="AA2555" s="9"/>
      <c r="CC2555" s="7"/>
    </row>
    <row r="2556" spans="2:81">
      <c r="B2556" s="6"/>
      <c r="E2556" s="9" t="s">
        <v>518</v>
      </c>
      <c r="F2556" s="1" t="s">
        <v>508</v>
      </c>
      <c r="H2556" s="66">
        <f>+I2540</f>
        <v>2.53125</v>
      </c>
      <c r="I2556" s="66"/>
      <c r="J2556" s="9" t="s">
        <v>9</v>
      </c>
      <c r="K2556" s="9" t="s">
        <v>4</v>
      </c>
      <c r="L2556" s="9" t="s">
        <v>5</v>
      </c>
      <c r="M2556" s="66">
        <f>+N2540</f>
        <v>36</v>
      </c>
      <c r="N2556" s="66"/>
      <c r="O2556" s="9" t="s">
        <v>9</v>
      </c>
      <c r="P2556" s="1" t="s">
        <v>313</v>
      </c>
      <c r="Q2556" s="9" t="s">
        <v>5</v>
      </c>
      <c r="R2556" s="66">
        <f>+S2540</f>
        <v>2.25</v>
      </c>
      <c r="S2556" s="66"/>
      <c r="T2556" s="9" t="s">
        <v>9</v>
      </c>
      <c r="U2556" s="1" t="s">
        <v>315</v>
      </c>
      <c r="V2556" s="9" t="s">
        <v>6</v>
      </c>
      <c r="W2556" s="66">
        <f>+X2540</f>
        <v>394.4366455078125</v>
      </c>
      <c r="X2556" s="66"/>
      <c r="Y2556" s="66"/>
      <c r="Z2556" s="1" t="s">
        <v>255</v>
      </c>
      <c r="AA2556" s="9" t="s">
        <v>710</v>
      </c>
      <c r="AB2556" s="9" t="s">
        <v>5</v>
      </c>
      <c r="AC2556" s="60" t="s">
        <v>687</v>
      </c>
      <c r="AD2556" s="1" t="s">
        <v>201</v>
      </c>
      <c r="AE2556" s="66">
        <f>+Y2554</f>
        <v>1.8984375</v>
      </c>
      <c r="AF2556" s="66"/>
      <c r="AG2556" s="9" t="s">
        <v>5</v>
      </c>
      <c r="AH2556" s="9" t="s">
        <v>10</v>
      </c>
      <c r="AI2556" s="1" t="s">
        <v>275</v>
      </c>
      <c r="AJ2556" s="9" t="s">
        <v>710</v>
      </c>
      <c r="AK2556" s="9" t="s">
        <v>5</v>
      </c>
      <c r="AL2556" s="60" t="s">
        <v>690</v>
      </c>
      <c r="AM2556" s="1" t="s">
        <v>40</v>
      </c>
      <c r="CC2556" s="7"/>
    </row>
    <row r="2557" spans="2:81">
      <c r="B2557" s="6"/>
      <c r="E2557" s="1" t="s">
        <v>508</v>
      </c>
      <c r="G2557" s="66">
        <f>+H2556/(BA2517*10000)</f>
        <v>2.7489682884448305E-9</v>
      </c>
      <c r="H2557" s="66"/>
      <c r="I2557" s="66"/>
      <c r="J2557" s="9" t="s">
        <v>9</v>
      </c>
      <c r="K2557" s="9" t="s">
        <v>4</v>
      </c>
      <c r="L2557" s="9" t="s">
        <v>5</v>
      </c>
      <c r="M2557" s="66">
        <f>+M2556/(BA2517*10000)</f>
        <v>3.9096437880104255E-8</v>
      </c>
      <c r="N2557" s="66"/>
      <c r="O2557" s="66"/>
      <c r="P2557" s="9" t="s">
        <v>9</v>
      </c>
      <c r="Q2557" s="1" t="s">
        <v>313</v>
      </c>
      <c r="R2557" s="9" t="s">
        <v>5</v>
      </c>
      <c r="S2557" s="66">
        <f>+R2556/(BA2517*10000)</f>
        <v>2.443527367506516E-9</v>
      </c>
      <c r="T2557" s="66"/>
      <c r="U2557" s="66"/>
      <c r="V2557" s="9" t="s">
        <v>9</v>
      </c>
      <c r="W2557" s="1" t="s">
        <v>315</v>
      </c>
      <c r="X2557" s="9" t="s">
        <v>5</v>
      </c>
      <c r="Y2557" s="66">
        <f>1/(BA2517/10000)</f>
        <v>0.10860121633362294</v>
      </c>
      <c r="Z2557" s="66"/>
      <c r="AA2557" s="66"/>
      <c r="AB2557" s="9" t="s">
        <v>6</v>
      </c>
      <c r="AC2557" s="66">
        <f>+W2556/(BA2517*10000)</f>
        <v>4.2836299468702489E-7</v>
      </c>
      <c r="AD2557" s="66"/>
      <c r="AE2557" s="66"/>
      <c r="AF2557" s="9" t="s">
        <v>7</v>
      </c>
      <c r="AG2557" s="9" t="s">
        <v>10</v>
      </c>
      <c r="AH2557" s="9" t="s">
        <v>5</v>
      </c>
      <c r="AI2557" s="66">
        <f>+AE2556/(BO2517*10000)</f>
        <v>2.2708582535885169E-8</v>
      </c>
      <c r="AJ2557" s="66"/>
      <c r="AK2557" s="66"/>
      <c r="CC2557" s="7"/>
    </row>
    <row r="2558" spans="2:81">
      <c r="B2558" s="6"/>
      <c r="E2558" s="58" t="s">
        <v>508</v>
      </c>
      <c r="F2558" s="49"/>
      <c r="G2558" s="68">
        <f>+G2557</f>
        <v>2.7489682884448305E-9</v>
      </c>
      <c r="H2558" s="68"/>
      <c r="I2558" s="68"/>
      <c r="J2558" s="48" t="s">
        <v>9</v>
      </c>
      <c r="K2558" s="48" t="s">
        <v>4</v>
      </c>
      <c r="L2558" s="48" t="s">
        <v>5</v>
      </c>
      <c r="M2558" s="68">
        <f>+M2557</f>
        <v>3.9096437880104255E-8</v>
      </c>
      <c r="N2558" s="68"/>
      <c r="O2558" s="68"/>
      <c r="P2558" s="48" t="s">
        <v>6</v>
      </c>
      <c r="Q2558" s="48" t="s">
        <v>10</v>
      </c>
      <c r="R2558" s="48" t="s">
        <v>5</v>
      </c>
      <c r="S2558" s="68">
        <f>+AI2557</f>
        <v>2.2708582535885169E-8</v>
      </c>
      <c r="T2558" s="68"/>
      <c r="U2558" s="68"/>
      <c r="V2558" s="48" t="s">
        <v>9</v>
      </c>
      <c r="W2558" s="49" t="s">
        <v>313</v>
      </c>
      <c r="X2558" s="48" t="s">
        <v>5</v>
      </c>
      <c r="Y2558" s="68">
        <f>+S2557</f>
        <v>2.443527367506516E-9</v>
      </c>
      <c r="Z2558" s="68"/>
      <c r="AA2558" s="68"/>
      <c r="AB2558" s="48" t="s">
        <v>9</v>
      </c>
      <c r="AC2558" s="49" t="s">
        <v>315</v>
      </c>
      <c r="AD2558" s="48" t="s">
        <v>5</v>
      </c>
      <c r="AE2558" s="68">
        <f>+Y2557</f>
        <v>0.10860121633362294</v>
      </c>
      <c r="AF2558" s="68"/>
      <c r="AG2558" s="68"/>
      <c r="AH2558" s="48" t="s">
        <v>6</v>
      </c>
      <c r="AI2558" s="68">
        <f>+AC2557</f>
        <v>4.2836299468702489E-7</v>
      </c>
      <c r="AJ2558" s="68"/>
      <c r="AK2558" s="68"/>
      <c r="AL2558" s="48" t="s">
        <v>7</v>
      </c>
      <c r="AM2558" s="59">
        <v>0</v>
      </c>
      <c r="AO2558" s="1" t="s">
        <v>468</v>
      </c>
      <c r="CC2558" s="7"/>
    </row>
    <row r="2559" spans="2:81">
      <c r="B2559" s="6"/>
      <c r="E2559" s="24" t="s">
        <v>367</v>
      </c>
      <c r="I2559" s="9"/>
      <c r="CC2559" s="7"/>
    </row>
    <row r="2560" spans="2:81">
      <c r="B2560" s="6"/>
      <c r="E2560" s="1" t="s">
        <v>405</v>
      </c>
      <c r="G2560" s="66">
        <f>+W2560</f>
        <v>1.4648441578777001</v>
      </c>
      <c r="H2560" s="66"/>
      <c r="I2560" s="66"/>
      <c r="J2560" s="40">
        <f>+AQ2530</f>
        <v>7.03125</v>
      </c>
      <c r="K2560" s="40">
        <v>0</v>
      </c>
      <c r="L2560" s="40">
        <v>0</v>
      </c>
      <c r="M2560" s="40">
        <v>0</v>
      </c>
      <c r="N2560" s="40">
        <v>-1</v>
      </c>
      <c r="O2560" s="40">
        <f>+AV2530</f>
        <v>10.2996826171875</v>
      </c>
      <c r="P2560" s="40"/>
      <c r="Q2560" s="40"/>
      <c r="R2560" s="40" cm="1">
        <f t="array" ref="R2560:V2564">MINVERSE(J2560:N2564)</f>
        <v>0.14222222192210385</v>
      </c>
      <c r="S2560" s="40">
        <v>3.1999999932473364E-9</v>
      </c>
      <c r="T2560" s="40">
        <v>2.9738755918106308E-8</v>
      </c>
      <c r="U2560" s="40">
        <v>-1.3489792635010615E-8</v>
      </c>
      <c r="V2560" s="40">
        <v>1.3095822194587321</v>
      </c>
      <c r="W2560" s="40" cm="1">
        <f t="array" ref="W2560:W2564">MMULT(R2560:V2564,O2560:O2564)</f>
        <v>1.4648441578777001</v>
      </c>
      <c r="CC2560" s="7"/>
    </row>
    <row r="2561" spans="2:81">
      <c r="B2561" s="6"/>
      <c r="E2561" s="1" t="s">
        <v>8</v>
      </c>
      <c r="G2561" s="66">
        <f t="shared" ref="G2561:G2564" si="14">+W2561</f>
        <v>62.45117180702038</v>
      </c>
      <c r="H2561" s="66"/>
      <c r="I2561" s="66"/>
      <c r="J2561" s="40">
        <f>+AQ2533</f>
        <v>3.75</v>
      </c>
      <c r="K2561" s="40">
        <v>0</v>
      </c>
      <c r="L2561" s="40">
        <v>0</v>
      </c>
      <c r="M2561" s="40">
        <v>-1</v>
      </c>
      <c r="N2561" s="40">
        <v>0</v>
      </c>
      <c r="O2561" s="40">
        <f>+AV2533</f>
        <v>5.4931640625</v>
      </c>
      <c r="P2561" s="40"/>
      <c r="Q2561" s="40"/>
      <c r="R2561" s="40">
        <v>-2.3703703653683975E-2</v>
      </c>
      <c r="S2561" s="40">
        <v>-5.333333322078894E-10</v>
      </c>
      <c r="T2561" s="40">
        <v>-4.9564593196843846E-9</v>
      </c>
      <c r="U2561" s="40">
        <v>0.16666666891496543</v>
      </c>
      <c r="V2561" s="40">
        <v>-0.21826370324312203</v>
      </c>
      <c r="W2561" s="40">
        <v>62.45117180702038</v>
      </c>
      <c r="CC2561" s="7"/>
    </row>
    <row r="2562" spans="2:81">
      <c r="B2562" s="6"/>
      <c r="E2562" s="1" t="s">
        <v>11</v>
      </c>
      <c r="G2562" s="66">
        <f t="shared" si="14"/>
        <v>102.54882819297963</v>
      </c>
      <c r="H2562" s="66"/>
      <c r="I2562" s="66"/>
      <c r="J2562" s="40">
        <v>0</v>
      </c>
      <c r="K2562" s="40">
        <v>1</v>
      </c>
      <c r="L2562" s="40">
        <v>1</v>
      </c>
      <c r="M2562" s="40">
        <v>0</v>
      </c>
      <c r="N2562" s="40">
        <v>0</v>
      </c>
      <c r="O2562" s="40">
        <f>+Y2535</f>
        <v>165</v>
      </c>
      <c r="P2562" s="40"/>
      <c r="Q2562" s="40"/>
      <c r="R2562" s="40">
        <v>2.3703703653683975E-2</v>
      </c>
      <c r="S2562" s="40">
        <v>5.333333322078894E-10</v>
      </c>
      <c r="T2562" s="40">
        <v>1.0000000049564592</v>
      </c>
      <c r="U2562" s="40">
        <v>-0.16666666891496543</v>
      </c>
      <c r="V2562" s="40">
        <v>0.21826370324312203</v>
      </c>
      <c r="W2562" s="40">
        <v>102.54882819297963</v>
      </c>
      <c r="CC2562" s="7"/>
    </row>
    <row r="2563" spans="2:81">
      <c r="B2563" s="6"/>
      <c r="E2563" s="1" t="s">
        <v>354</v>
      </c>
      <c r="G2563" s="66">
        <f t="shared" si="14"/>
        <v>1.5295413738195014E-6</v>
      </c>
      <c r="H2563" s="66"/>
      <c r="I2563" s="66"/>
      <c r="J2563" s="40">
        <v>1</v>
      </c>
      <c r="K2563" s="40">
        <f>+AU2537</f>
        <v>6</v>
      </c>
      <c r="L2563" s="40">
        <v>0</v>
      </c>
      <c r="M2563" s="40">
        <v>0</v>
      </c>
      <c r="N2563" s="40">
        <v>0</v>
      </c>
      <c r="O2563" s="40">
        <f>+AX2537</f>
        <v>376.171875</v>
      </c>
      <c r="P2563" s="40"/>
      <c r="Q2563" s="40"/>
      <c r="R2563" s="40">
        <v>0.53333333220788937</v>
      </c>
      <c r="S2563" s="40">
        <v>-0.99999998800000001</v>
      </c>
      <c r="T2563" s="40">
        <v>1.1152033469289864E-7</v>
      </c>
      <c r="U2563" s="40">
        <v>-5.0586722381289802E-8</v>
      </c>
      <c r="V2563" s="40">
        <v>4.9109333229702461</v>
      </c>
      <c r="W2563" s="40">
        <v>1.5295413738195014E-6</v>
      </c>
      <c r="CC2563" s="7"/>
    </row>
    <row r="2564" spans="2:81">
      <c r="B2564" s="6"/>
      <c r="E2564" s="1" t="s">
        <v>355</v>
      </c>
      <c r="G2564" s="66">
        <f t="shared" si="14"/>
        <v>2.8678900772246412E-6</v>
      </c>
      <c r="H2564" s="66"/>
      <c r="I2564" s="66"/>
      <c r="J2564" s="40">
        <f>+G2558</f>
        <v>2.7489682884448305E-9</v>
      </c>
      <c r="K2564" s="40">
        <f>+M2558</f>
        <v>3.9096437880104255E-8</v>
      </c>
      <c r="L2564" s="40">
        <f>-S2558</f>
        <v>-2.2708582535885169E-8</v>
      </c>
      <c r="M2564" s="40">
        <f>+Y2558</f>
        <v>2.443527367506516E-9</v>
      </c>
      <c r="N2564" s="40">
        <f>+AE2558</f>
        <v>0.10860121633362294</v>
      </c>
      <c r="O2564" s="40">
        <f>+AI2558</f>
        <v>4.2836299468702489E-7</v>
      </c>
      <c r="P2564" s="40"/>
      <c r="Q2564" s="40"/>
      <c r="R2564" s="40">
        <v>-2.1102073320701504E-9</v>
      </c>
      <c r="S2564" s="40">
        <v>2.2499999952520335E-8</v>
      </c>
      <c r="T2564" s="40">
        <v>2.0910062754918497E-7</v>
      </c>
      <c r="U2564" s="40">
        <v>-9.4850104464918384E-8</v>
      </c>
      <c r="V2564" s="40">
        <v>9.2079999805692108</v>
      </c>
      <c r="W2564" s="40">
        <v>2.8678900772246412E-6</v>
      </c>
      <c r="CC2564" s="7"/>
    </row>
    <row r="2565" spans="2:81">
      <c r="B2565" s="6"/>
      <c r="E2565" s="23" t="s">
        <v>805</v>
      </c>
      <c r="CC2565" s="7"/>
    </row>
    <row r="2566" spans="2:81">
      <c r="B2566" s="6"/>
      <c r="E2566" s="1" t="s">
        <v>714</v>
      </c>
      <c r="M2566" s="66">
        <f>+R2541*1000</f>
        <v>102548.82819297962</v>
      </c>
      <c r="N2566" s="66"/>
      <c r="O2566" s="66"/>
      <c r="P2566" s="9" t="s">
        <v>5</v>
      </c>
      <c r="Q2566" s="66">
        <f>+R2552*1000</f>
        <v>4500</v>
      </c>
      <c r="R2566" s="66"/>
      <c r="S2566" s="66"/>
      <c r="T2566" s="1" t="s">
        <v>660</v>
      </c>
      <c r="U2566" s="66">
        <v>48</v>
      </c>
      <c r="V2566" s="66"/>
      <c r="W2566" s="9" t="s">
        <v>5</v>
      </c>
      <c r="X2566" s="66">
        <f>+BA2501</f>
        <v>200000</v>
      </c>
      <c r="Y2566" s="66"/>
      <c r="Z2566" s="66"/>
      <c r="AA2566" s="9" t="s">
        <v>5</v>
      </c>
      <c r="AB2566" s="66">
        <f>+BO2517</f>
        <v>8360</v>
      </c>
      <c r="AC2566" s="66"/>
      <c r="AD2566" s="66"/>
      <c r="AE2566" s="9" t="s">
        <v>5</v>
      </c>
      <c r="AF2566" s="66">
        <v>10000</v>
      </c>
      <c r="AG2566" s="66"/>
      <c r="AH2566" s="66"/>
      <c r="AI2566" s="1" t="s">
        <v>40</v>
      </c>
      <c r="CC2566" s="7"/>
    </row>
    <row r="2567" spans="2:81">
      <c r="B2567" s="6"/>
      <c r="E2567" s="1" t="s">
        <v>718</v>
      </c>
      <c r="G2567" s="66">
        <f>M2566*Q2566^3/(U2566*X2566*AB2566*AF2566)</f>
        <v>11.643692644892928</v>
      </c>
      <c r="H2567" s="66"/>
      <c r="I2567" s="66"/>
      <c r="J2567" s="1" t="s">
        <v>41</v>
      </c>
      <c r="CC2567" s="7"/>
    </row>
    <row r="2568" spans="2:81">
      <c r="B2568" s="6"/>
      <c r="E2568" s="1" t="s">
        <v>172</v>
      </c>
      <c r="J2568" s="66">
        <f>R2552*1000</f>
        <v>4500</v>
      </c>
      <c r="K2568" s="66"/>
      <c r="L2568" s="66"/>
      <c r="M2568" s="1" t="s">
        <v>173</v>
      </c>
      <c r="N2568" s="66">
        <v>300</v>
      </c>
      <c r="O2568" s="66"/>
      <c r="P2568" s="9" t="s">
        <v>7</v>
      </c>
      <c r="Q2568" s="66">
        <f>+J2568/N2568</f>
        <v>15</v>
      </c>
      <c r="R2568" s="66"/>
      <c r="S2568" s="66"/>
      <c r="T2568" s="1" t="s">
        <v>41</v>
      </c>
      <c r="W2568" s="1" t="s">
        <v>192</v>
      </c>
      <c r="CC2568" s="7"/>
    </row>
    <row r="2569" spans="2:81">
      <c r="B2569" s="6"/>
      <c r="E2569" s="1" t="s">
        <v>718</v>
      </c>
      <c r="G2569" s="66">
        <f>+G2567</f>
        <v>11.643692644892928</v>
      </c>
      <c r="H2569" s="66"/>
      <c r="I2569" s="66"/>
      <c r="J2569" s="1" t="s">
        <v>41</v>
      </c>
      <c r="L2569" s="1" t="str">
        <f>IF(ABS(G2569)&lt;ABS(P2569),"&lt;","&gt;")</f>
        <v>&lt;</v>
      </c>
      <c r="M2569" s="1" t="s">
        <v>174</v>
      </c>
      <c r="P2569" s="66">
        <f>+Q2568</f>
        <v>15</v>
      </c>
      <c r="Q2569" s="66"/>
      <c r="R2569" s="66"/>
      <c r="S2569" s="1" t="s">
        <v>41</v>
      </c>
      <c r="U2569" s="8" t="str">
        <f>IF(ABS(G2569)&lt;ABS(P2569),"uygun.","uygun değil.")</f>
        <v>uygun.</v>
      </c>
      <c r="CC2569" s="7"/>
    </row>
    <row r="2570" spans="2:81">
      <c r="B2570" s="6"/>
      <c r="E2570" s="23" t="s">
        <v>807</v>
      </c>
      <c r="G2570" s="9"/>
      <c r="H2570" s="9"/>
      <c r="I2570" s="9"/>
      <c r="P2570" s="9"/>
      <c r="Q2570" s="9"/>
      <c r="R2570" s="9"/>
      <c r="U2570" s="8"/>
      <c r="CC2570" s="7"/>
    </row>
    <row r="2571" spans="2:81">
      <c r="B2571" s="6"/>
      <c r="E2571" s="1" t="s">
        <v>35</v>
      </c>
      <c r="G2571" s="1" t="s">
        <v>508</v>
      </c>
      <c r="I2571" s="9" t="s">
        <v>183</v>
      </c>
      <c r="J2571" s="1" t="s">
        <v>173</v>
      </c>
      <c r="K2571" s="1">
        <v>2</v>
      </c>
      <c r="L2571" s="9" t="s">
        <v>9</v>
      </c>
      <c r="M2571" s="9" t="s">
        <v>4</v>
      </c>
      <c r="N2571" s="9" t="s">
        <v>5</v>
      </c>
      <c r="O2571" s="1" t="s">
        <v>184</v>
      </c>
      <c r="P2571" s="1" t="s">
        <v>173</v>
      </c>
      <c r="Q2571" s="1">
        <v>6</v>
      </c>
      <c r="R2571" s="9" t="s">
        <v>6</v>
      </c>
      <c r="S2571" s="66">
        <f>+S2520</f>
        <v>2.5</v>
      </c>
      <c r="T2571" s="66"/>
      <c r="U2571" s="9" t="s">
        <v>5</v>
      </c>
      <c r="V2571" s="1" t="s">
        <v>185</v>
      </c>
      <c r="W2571" s="1" t="s">
        <v>173</v>
      </c>
      <c r="X2571" s="66">
        <v>24</v>
      </c>
      <c r="Y2571" s="66"/>
      <c r="Z2571" s="9" t="s">
        <v>9</v>
      </c>
      <c r="AA2571" s="1" t="s">
        <v>24</v>
      </c>
      <c r="AB2571" s="9" t="s">
        <v>5</v>
      </c>
      <c r="AC2571" s="9" t="s">
        <v>13</v>
      </c>
      <c r="AD2571" s="9" t="s">
        <v>9</v>
      </c>
      <c r="AE2571" s="1" t="s">
        <v>307</v>
      </c>
      <c r="AF2571" s="1" t="s">
        <v>322</v>
      </c>
      <c r="CC2571" s="7"/>
    </row>
    <row r="2572" spans="2:81">
      <c r="B2572" s="6"/>
      <c r="E2572" s="1" t="s">
        <v>27</v>
      </c>
      <c r="F2572" s="67">
        <v>3.75</v>
      </c>
      <c r="G2572" s="67"/>
      <c r="H2572" s="67"/>
      <c r="I2572" s="1" t="s">
        <v>42</v>
      </c>
      <c r="R2572" s="8" t="str">
        <f>IF(F2572&lt;=N2497,"","azalt.")</f>
        <v/>
      </c>
      <c r="CC2572" s="7"/>
    </row>
    <row r="2573" spans="2:81">
      <c r="B2573" s="6"/>
      <c r="E2573" s="1" t="s">
        <v>35</v>
      </c>
      <c r="G2573" s="66">
        <f>+G2560</f>
        <v>1.4648441578777001</v>
      </c>
      <c r="H2573" s="66"/>
      <c r="I2573" s="66"/>
      <c r="J2573" s="9" t="s">
        <v>5</v>
      </c>
      <c r="K2573" s="66">
        <f>+F2572</f>
        <v>3.75</v>
      </c>
      <c r="L2573" s="66"/>
      <c r="M2573" s="1" t="s">
        <v>254</v>
      </c>
      <c r="N2573" s="1">
        <v>2</v>
      </c>
      <c r="O2573" s="9" t="s">
        <v>9</v>
      </c>
      <c r="P2573" s="66">
        <f>+G2561</f>
        <v>62.45117180702038</v>
      </c>
      <c r="Q2573" s="66"/>
      <c r="R2573" s="66"/>
      <c r="S2573" s="9" t="s">
        <v>5</v>
      </c>
      <c r="T2573" s="66">
        <f>+K2573</f>
        <v>3.75</v>
      </c>
      <c r="U2573" s="66"/>
      <c r="V2573" s="1" t="s">
        <v>321</v>
      </c>
      <c r="W2573" s="1">
        <v>6</v>
      </c>
      <c r="X2573" s="9" t="s">
        <v>6</v>
      </c>
      <c r="Y2573" s="66">
        <f>+S2571</f>
        <v>2.5</v>
      </c>
      <c r="Z2573" s="66"/>
      <c r="AA2573" s="9" t="s">
        <v>5</v>
      </c>
      <c r="AB2573" s="66">
        <f>+T2573</f>
        <v>3.75</v>
      </c>
      <c r="AC2573" s="66"/>
      <c r="AD2573" s="1" t="s">
        <v>509</v>
      </c>
      <c r="AE2573" s="66">
        <v>24</v>
      </c>
      <c r="AF2573" s="66"/>
      <c r="AG2573" s="1" t="s">
        <v>193</v>
      </c>
      <c r="AJ2573" s="66">
        <f>+BA2501</f>
        <v>200000</v>
      </c>
      <c r="AK2573" s="66"/>
      <c r="AL2573" s="66"/>
      <c r="AM2573" s="9" t="s">
        <v>5</v>
      </c>
      <c r="AN2573" s="66">
        <f>+BA2517</f>
        <v>92080</v>
      </c>
      <c r="AO2573" s="66"/>
      <c r="AP2573" s="66"/>
      <c r="AQ2573" s="1" t="s">
        <v>40</v>
      </c>
      <c r="CC2573" s="7"/>
    </row>
    <row r="2574" spans="2:81">
      <c r="B2574" s="6"/>
      <c r="E2574" s="1" t="s">
        <v>33</v>
      </c>
      <c r="G2574" s="66">
        <f>(G2573*K2573^2/N2573+P2573*T2573^3/W2573-Y2573*AB2573^4/AE2573)*100000000/(AJ2573*AN2573)</f>
        <v>2.9245632735710392</v>
      </c>
      <c r="H2574" s="66"/>
      <c r="I2574" s="66"/>
      <c r="J2574" s="1" t="s">
        <v>41</v>
      </c>
      <c r="N2574" s="9"/>
      <c r="CC2574" s="7"/>
    </row>
    <row r="2575" spans="2:81">
      <c r="B2575" s="6"/>
      <c r="E2575" s="1" t="s">
        <v>172</v>
      </c>
      <c r="J2575" s="66">
        <f>+O2502*1000</f>
        <v>6000</v>
      </c>
      <c r="K2575" s="66"/>
      <c r="L2575" s="66"/>
      <c r="M2575" s="1" t="s">
        <v>173</v>
      </c>
      <c r="N2575" s="66">
        <v>300</v>
      </c>
      <c r="O2575" s="66"/>
      <c r="P2575" s="9" t="s">
        <v>7</v>
      </c>
      <c r="Q2575" s="66">
        <f>+J2575/N2575</f>
        <v>20</v>
      </c>
      <c r="R2575" s="66"/>
      <c r="S2575" s="66"/>
      <c r="T2575" s="1" t="s">
        <v>41</v>
      </c>
      <c r="W2575" s="1" t="s">
        <v>192</v>
      </c>
      <c r="CC2575" s="7"/>
    </row>
    <row r="2576" spans="2:81">
      <c r="B2576" s="6"/>
      <c r="E2576" s="1" t="s">
        <v>34</v>
      </c>
      <c r="F2576" s="66">
        <f>+G2574</f>
        <v>2.9245632735710392</v>
      </c>
      <c r="G2576" s="66"/>
      <c r="H2576" s="66"/>
      <c r="I2576" s="1" t="s">
        <v>41</v>
      </c>
      <c r="K2576" s="1" t="str">
        <f>IF(ABS(F2576)&lt;ABS(O2576),"&lt;","&gt;")</f>
        <v>&lt;</v>
      </c>
      <c r="L2576" s="1" t="s">
        <v>174</v>
      </c>
      <c r="O2576" s="66">
        <f>+Q2575</f>
        <v>20</v>
      </c>
      <c r="P2576" s="66"/>
      <c r="Q2576" s="66"/>
      <c r="R2576" s="1" t="s">
        <v>41</v>
      </c>
      <c r="T2576" s="8" t="str">
        <f>IF(ABS(F2576)&lt;ABS(O2576),"uygun.","uygun değil.")</f>
        <v>uygun.</v>
      </c>
      <c r="CC2576" s="7"/>
    </row>
    <row r="2577" spans="2:81">
      <c r="B2577" s="6"/>
      <c r="E2577" s="24" t="s">
        <v>339</v>
      </c>
      <c r="CC2577" s="7"/>
    </row>
    <row r="2578" spans="2:81">
      <c r="B2578" s="6"/>
      <c r="E2578" s="1" t="s">
        <v>35</v>
      </c>
      <c r="G2578" s="1" t="s">
        <v>508</v>
      </c>
      <c r="I2578" s="9" t="s">
        <v>183</v>
      </c>
      <c r="J2578" s="1" t="s">
        <v>173</v>
      </c>
      <c r="K2578" s="1">
        <v>2</v>
      </c>
      <c r="L2578" s="9" t="s">
        <v>9</v>
      </c>
      <c r="M2578" s="9" t="s">
        <v>4</v>
      </c>
      <c r="N2578" s="9" t="s">
        <v>14</v>
      </c>
      <c r="O2578" s="66">
        <f>+O2524</f>
        <v>3.75</v>
      </c>
      <c r="P2578" s="66"/>
      <c r="Q2578" s="9" t="s">
        <v>9</v>
      </c>
      <c r="R2578" s="9" t="s">
        <v>428</v>
      </c>
      <c r="S2578" s="1" t="s">
        <v>311</v>
      </c>
      <c r="T2578" s="1" t="s">
        <v>173</v>
      </c>
      <c r="U2578" s="1">
        <v>6</v>
      </c>
      <c r="V2578" s="9" t="s">
        <v>6</v>
      </c>
      <c r="W2578" s="66">
        <f>+W2524</f>
        <v>9.375</v>
      </c>
      <c r="X2578" s="66"/>
      <c r="Y2578" s="9" t="s">
        <v>14</v>
      </c>
      <c r="Z2578" s="66">
        <f>+Z2524</f>
        <v>1.875</v>
      </c>
      <c r="AA2578" s="66"/>
      <c r="AB2578" s="9" t="s">
        <v>9</v>
      </c>
      <c r="AC2578" s="9" t="s">
        <v>428</v>
      </c>
      <c r="AD2578" s="1" t="s">
        <v>311</v>
      </c>
      <c r="AE2578" s="1" t="s">
        <v>173</v>
      </c>
      <c r="AF2578" s="1">
        <v>6</v>
      </c>
      <c r="AG2578" s="9" t="s">
        <v>6</v>
      </c>
      <c r="AH2578" s="66">
        <f>+AH2524</f>
        <v>150</v>
      </c>
      <c r="AI2578" s="66"/>
      <c r="AJ2578" s="9" t="s">
        <v>5</v>
      </c>
      <c r="AK2578" s="9" t="s">
        <v>444</v>
      </c>
      <c r="AL2578" s="1" t="s">
        <v>173</v>
      </c>
      <c r="AM2578" s="1">
        <v>6</v>
      </c>
      <c r="AN2578" s="9" t="s">
        <v>9</v>
      </c>
      <c r="AO2578" s="1" t="s">
        <v>313</v>
      </c>
      <c r="AP2578" s="9" t="s">
        <v>5</v>
      </c>
      <c r="AQ2578" s="9" t="s">
        <v>13</v>
      </c>
      <c r="AR2578" s="9" t="s">
        <v>9</v>
      </c>
      <c r="AS2578" s="1" t="s">
        <v>315</v>
      </c>
      <c r="AT2578" s="1" t="s">
        <v>322</v>
      </c>
      <c r="CC2578" s="7"/>
    </row>
    <row r="2579" spans="2:81">
      <c r="B2579" s="6"/>
      <c r="E2579" s="1" t="s">
        <v>482</v>
      </c>
      <c r="F2579" s="67">
        <v>0</v>
      </c>
      <c r="G2579" s="67"/>
      <c r="H2579" s="67"/>
      <c r="I2579" s="1" t="s">
        <v>42</v>
      </c>
      <c r="R2579" s="8" t="str">
        <f>IF(F2579&lt;=V2513,"","azalt.")</f>
        <v/>
      </c>
      <c r="CC2579" s="7"/>
    </row>
    <row r="2580" spans="2:81">
      <c r="B2580" s="6"/>
      <c r="E2580" s="1" t="s">
        <v>35</v>
      </c>
      <c r="G2580" s="66">
        <f>+G2560</f>
        <v>1.4648441578777001</v>
      </c>
      <c r="H2580" s="66"/>
      <c r="I2580" s="66"/>
      <c r="J2580" s="9" t="s">
        <v>5</v>
      </c>
      <c r="K2580" s="66">
        <f>+F2579</f>
        <v>0</v>
      </c>
      <c r="L2580" s="66"/>
      <c r="M2580" s="1" t="s">
        <v>254</v>
      </c>
      <c r="N2580" s="1">
        <v>2</v>
      </c>
      <c r="O2580" s="9" t="s">
        <v>9</v>
      </c>
      <c r="P2580" s="66">
        <f>+G2561</f>
        <v>62.45117180702038</v>
      </c>
      <c r="Q2580" s="66"/>
      <c r="R2580" s="66"/>
      <c r="S2580" s="9" t="s">
        <v>14</v>
      </c>
      <c r="T2580" s="66">
        <f>+O2578</f>
        <v>3.75</v>
      </c>
      <c r="U2580" s="66"/>
      <c r="V2580" s="9" t="s">
        <v>9</v>
      </c>
      <c r="W2580" s="66">
        <f>+K2580</f>
        <v>0</v>
      </c>
      <c r="X2580" s="66"/>
      <c r="Y2580" s="1" t="s">
        <v>311</v>
      </c>
      <c r="Z2580" s="1" t="s">
        <v>173</v>
      </c>
      <c r="AA2580" s="1">
        <v>6</v>
      </c>
      <c r="AB2580" s="9" t="s">
        <v>6</v>
      </c>
      <c r="AC2580" s="66">
        <f>+W2578</f>
        <v>9.375</v>
      </c>
      <c r="AD2580" s="66"/>
      <c r="AE2580" s="1" t="s">
        <v>14</v>
      </c>
      <c r="AF2580" s="66">
        <f>+Z2578</f>
        <v>1.875</v>
      </c>
      <c r="AG2580" s="66"/>
      <c r="AH2580" s="9" t="s">
        <v>9</v>
      </c>
      <c r="AI2580" s="66">
        <f>+W2580</f>
        <v>0</v>
      </c>
      <c r="AJ2580" s="66"/>
      <c r="AK2580" s="1" t="s">
        <v>311</v>
      </c>
      <c r="AL2580" s="1" t="s">
        <v>173</v>
      </c>
      <c r="AM2580" s="1">
        <v>6</v>
      </c>
      <c r="AN2580" s="9" t="s">
        <v>9</v>
      </c>
      <c r="AO2580" s="66">
        <f>+AH2578</f>
        <v>150</v>
      </c>
      <c r="AP2580" s="66"/>
      <c r="AQ2580" s="9" t="s">
        <v>5</v>
      </c>
      <c r="AR2580" s="66">
        <f>+AI2580</f>
        <v>0</v>
      </c>
      <c r="AS2580" s="66"/>
      <c r="AT2580" s="1" t="s">
        <v>321</v>
      </c>
      <c r="AU2580" s="1">
        <v>6</v>
      </c>
      <c r="AV2580" s="9" t="s">
        <v>9</v>
      </c>
      <c r="AW2580" s="66">
        <f>+G2563</f>
        <v>1.5295413738195014E-6</v>
      </c>
      <c r="AX2580" s="66"/>
      <c r="AY2580" s="66"/>
      <c r="AZ2580" s="9" t="s">
        <v>5</v>
      </c>
      <c r="BA2580" s="66">
        <f>+AR2580</f>
        <v>0</v>
      </c>
      <c r="BB2580" s="66"/>
      <c r="BC2580" s="9" t="s">
        <v>9</v>
      </c>
      <c r="BD2580" s="66">
        <f>+G2564</f>
        <v>2.8678900772246412E-6</v>
      </c>
      <c r="BE2580" s="66"/>
      <c r="BF2580" s="66"/>
      <c r="BG2580" s="1" t="s">
        <v>193</v>
      </c>
      <c r="BJ2580" s="66">
        <f>+AJ2573</f>
        <v>200000</v>
      </c>
      <c r="BK2580" s="66"/>
      <c r="BL2580" s="66"/>
      <c r="BM2580" s="9" t="s">
        <v>5</v>
      </c>
      <c r="BN2580" s="66">
        <f>+AN2573</f>
        <v>92080</v>
      </c>
      <c r="BO2580" s="66"/>
      <c r="BP2580" s="66"/>
      <c r="BQ2580" s="1" t="s">
        <v>40</v>
      </c>
      <c r="CC2580" s="7"/>
    </row>
    <row r="2581" spans="2:81">
      <c r="B2581" s="6"/>
      <c r="E2581" s="1" t="s">
        <v>33</v>
      </c>
      <c r="G2581" s="66">
        <f>(G2580*K2580^2/N2580+P2580*(T2580+W2580)^3/AA2580-AC2580*(AF2580+AI2580)^3/AM2580+AO2580*AR2580^3/AU2580+AW2580*BA2580+BD2580)*100000000/(BJ2580*BN2580)</f>
        <v>2.9245632735710392</v>
      </c>
      <c r="H2581" s="66"/>
      <c r="I2581" s="66"/>
      <c r="J2581" s="1" t="s">
        <v>41</v>
      </c>
      <c r="N2581" s="9"/>
      <c r="CC2581" s="7"/>
    </row>
    <row r="2582" spans="2:81">
      <c r="B2582" s="6"/>
      <c r="E2582" s="1" t="s">
        <v>172</v>
      </c>
      <c r="J2582" s="66">
        <f>+O2502*1000</f>
        <v>6000</v>
      </c>
      <c r="K2582" s="66"/>
      <c r="L2582" s="66"/>
      <c r="M2582" s="1" t="s">
        <v>173</v>
      </c>
      <c r="N2582" s="66">
        <v>300</v>
      </c>
      <c r="O2582" s="66"/>
      <c r="P2582" s="9" t="s">
        <v>7</v>
      </c>
      <c r="Q2582" s="66">
        <f>+J2582/N2582</f>
        <v>20</v>
      </c>
      <c r="R2582" s="66"/>
      <c r="S2582" s="66"/>
      <c r="T2582" s="1" t="s">
        <v>41</v>
      </c>
      <c r="W2582" s="1" t="s">
        <v>192</v>
      </c>
      <c r="CC2582" s="7"/>
    </row>
    <row r="2583" spans="2:81">
      <c r="B2583" s="6"/>
      <c r="E2583" s="1" t="s">
        <v>34</v>
      </c>
      <c r="F2583" s="66">
        <f>+G2581</f>
        <v>2.9245632735710392</v>
      </c>
      <c r="G2583" s="66"/>
      <c r="H2583" s="66"/>
      <c r="I2583" s="1" t="s">
        <v>41</v>
      </c>
      <c r="K2583" s="1" t="str">
        <f>IF(ABS(F2583)&lt;ABS(O2583),"&lt;","&gt;")</f>
        <v>&lt;</v>
      </c>
      <c r="L2583" s="1" t="s">
        <v>174</v>
      </c>
      <c r="O2583" s="66">
        <f>+Q2582</f>
        <v>20</v>
      </c>
      <c r="P2583" s="66"/>
      <c r="Q2583" s="66"/>
      <c r="R2583" s="1" t="s">
        <v>41</v>
      </c>
      <c r="T2583" s="8" t="str">
        <f>IF(ABS(F2583)&lt;ABS(O2583),"uygun.","uygun değil.")</f>
        <v>uygun.</v>
      </c>
      <c r="CC2583" s="7"/>
    </row>
    <row r="2584" spans="2:81" ht="12" thickBot="1">
      <c r="B2584" s="12"/>
      <c r="C2584" s="13"/>
      <c r="D2584" s="13"/>
      <c r="E2584" s="13"/>
      <c r="F2584" s="13"/>
      <c r="G2584" s="13"/>
      <c r="H2584" s="13"/>
      <c r="I2584" s="13"/>
      <c r="J2584" s="13"/>
      <c r="K2584" s="13"/>
      <c r="L2584" s="13"/>
      <c r="M2584" s="13"/>
      <c r="N2584" s="13"/>
      <c r="O2584" s="13"/>
      <c r="P2584" s="13"/>
      <c r="Q2584" s="1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  <c r="AK2584" s="13"/>
      <c r="AL2584" s="13"/>
      <c r="AM2584" s="13"/>
      <c r="AN2584" s="13"/>
      <c r="AO2584" s="13"/>
      <c r="AP2584" s="13"/>
      <c r="AQ2584" s="13"/>
      <c r="AR2584" s="13"/>
      <c r="AS2584" s="13"/>
      <c r="AT2584" s="13"/>
      <c r="AU2584" s="13"/>
      <c r="AV2584" s="13"/>
      <c r="AW2584" s="13"/>
      <c r="AX2584" s="13"/>
      <c r="AY2584" s="13"/>
      <c r="AZ2584" s="13"/>
      <c r="BA2584" s="13"/>
      <c r="BB2584" s="13"/>
      <c r="BC2584" s="13"/>
      <c r="BD2584" s="13"/>
      <c r="BE2584" s="13"/>
      <c r="BF2584" s="13"/>
      <c r="BG2584" s="13"/>
      <c r="BH2584" s="13"/>
      <c r="BI2584" s="13"/>
      <c r="BJ2584" s="13"/>
      <c r="BK2584" s="13"/>
      <c r="BL2584" s="13"/>
      <c r="BM2584" s="13"/>
      <c r="BN2584" s="13"/>
      <c r="BO2584" s="13"/>
      <c r="BP2584" s="13"/>
      <c r="BQ2584" s="13"/>
      <c r="BR2584" s="13"/>
      <c r="BS2584" s="13"/>
      <c r="BT2584" s="13"/>
      <c r="BU2584" s="13"/>
      <c r="BV2584" s="13"/>
      <c r="BW2584" s="13"/>
      <c r="BX2584" s="13"/>
      <c r="BY2584" s="13"/>
      <c r="BZ2584" s="13"/>
      <c r="CA2584" s="13"/>
      <c r="CB2584" s="13"/>
      <c r="CC2584" s="14"/>
    </row>
    <row r="2585" spans="2:81" ht="12" thickBot="1"/>
    <row r="2586" spans="2:81" ht="44.25" customHeight="1">
      <c r="B2586" s="73" t="s">
        <v>816</v>
      </c>
      <c r="C2586" s="74"/>
      <c r="D2586" s="74"/>
      <c r="E2586" s="74"/>
      <c r="F2586" s="74"/>
      <c r="G2586" s="74"/>
      <c r="H2586" s="74"/>
      <c r="I2586" s="74"/>
      <c r="J2586" s="74"/>
      <c r="K2586" s="74"/>
      <c r="L2586" s="74"/>
      <c r="M2586" s="74"/>
      <c r="N2586" s="74"/>
      <c r="O2586" s="74"/>
      <c r="P2586" s="74"/>
      <c r="Q2586" s="74"/>
      <c r="R2586" s="74"/>
      <c r="S2586" s="74"/>
      <c r="T2586" s="74"/>
      <c r="U2586" s="74"/>
      <c r="V2586" s="74"/>
      <c r="W2586" s="74"/>
      <c r="X2586" s="74"/>
      <c r="Y2586" s="74"/>
      <c r="Z2586" s="74"/>
      <c r="AA2586" s="74"/>
      <c r="AB2586" s="74"/>
      <c r="AC2586" s="74"/>
      <c r="AD2586" s="74"/>
      <c r="AE2586" s="74"/>
      <c r="AF2586" s="74"/>
      <c r="AG2586" s="74"/>
      <c r="AH2586" s="74"/>
      <c r="AI2586" s="74"/>
      <c r="AJ2586" s="74"/>
      <c r="AK2586" s="74"/>
      <c r="AL2586" s="74"/>
      <c r="AM2586" s="74"/>
      <c r="AN2586" s="74"/>
      <c r="AO2586" s="74"/>
      <c r="AP2586" s="74"/>
      <c r="AQ2586" s="74"/>
      <c r="AR2586" s="74"/>
      <c r="AS2586" s="74"/>
      <c r="AT2586" s="74"/>
      <c r="AU2586" s="74"/>
      <c r="AV2586" s="74"/>
      <c r="AW2586" s="74"/>
      <c r="AX2586" s="74"/>
      <c r="AY2586" s="74"/>
      <c r="AZ2586" s="74"/>
      <c r="BA2586" s="74"/>
      <c r="BB2586" s="74"/>
      <c r="BC2586" s="74"/>
      <c r="BD2586" s="74"/>
      <c r="BE2586" s="74"/>
      <c r="BF2586" s="74"/>
      <c r="BG2586" s="74"/>
      <c r="BH2586" s="74"/>
      <c r="BI2586" s="74"/>
      <c r="BJ2586" s="74"/>
      <c r="BK2586" s="74"/>
      <c r="BL2586" s="74"/>
      <c r="BM2586" s="74"/>
      <c r="BN2586" s="74"/>
      <c r="BO2586" s="74"/>
      <c r="BP2586" s="74"/>
      <c r="BQ2586" s="74"/>
      <c r="BR2586" s="74"/>
      <c r="BS2586" s="74"/>
      <c r="BT2586" s="74"/>
      <c r="BU2586" s="74"/>
      <c r="BV2586" s="74"/>
      <c r="BW2586" s="74"/>
      <c r="BX2586" s="74"/>
      <c r="BY2586" s="74"/>
      <c r="BZ2586" s="74"/>
      <c r="CA2586" s="74"/>
      <c r="CB2586" s="74"/>
      <c r="CC2586" s="75"/>
    </row>
    <row r="2587" spans="2:81">
      <c r="B2587" s="6"/>
      <c r="O2587" s="1" t="s">
        <v>691</v>
      </c>
      <c r="W2587" s="1" t="s">
        <v>290</v>
      </c>
      <c r="AV2587" s="8" t="s">
        <v>176</v>
      </c>
      <c r="CC2587" s="7"/>
    </row>
    <row r="2588" spans="2:81">
      <c r="B2588" s="6"/>
      <c r="O2588" s="67" t="s">
        <v>171</v>
      </c>
      <c r="P2588" s="67"/>
      <c r="Q2588" s="67"/>
      <c r="R2588" s="67"/>
      <c r="S2588" s="67"/>
      <c r="T2588" s="67"/>
      <c r="CC2588" s="7"/>
    </row>
    <row r="2589" spans="2:81">
      <c r="B2589" s="6"/>
      <c r="Y2589" s="67">
        <v>4</v>
      </c>
      <c r="Z2589" s="67"/>
      <c r="AA2589" s="9" t="s">
        <v>0</v>
      </c>
      <c r="AG2589" s="67">
        <v>6</v>
      </c>
      <c r="AH2589" s="67"/>
      <c r="AI2589" s="9" t="s">
        <v>0</v>
      </c>
      <c r="CC2589" s="7"/>
    </row>
    <row r="2590" spans="2:81">
      <c r="B2590" s="6"/>
      <c r="T2590" s="67">
        <v>15</v>
      </c>
      <c r="U2590" s="67"/>
      <c r="V2590" s="1" t="s">
        <v>187</v>
      </c>
      <c r="CC2590" s="7"/>
    </row>
    <row r="2591" spans="2:81">
      <c r="B2591" s="6"/>
      <c r="CC2591" s="7"/>
    </row>
    <row r="2592" spans="2:81">
      <c r="B2592" s="6"/>
      <c r="N2592" s="1" t="s">
        <v>4</v>
      </c>
      <c r="AI2592" s="10" t="s">
        <v>687</v>
      </c>
      <c r="CC2592" s="7"/>
    </row>
    <row r="2593" spans="2:81">
      <c r="B2593" s="6"/>
      <c r="AA2593" s="1" t="s">
        <v>581</v>
      </c>
      <c r="AH2593" s="1" t="s">
        <v>10</v>
      </c>
      <c r="CC2593" s="7"/>
    </row>
    <row r="2594" spans="2:81">
      <c r="B2594" s="6"/>
      <c r="CC2594" s="7"/>
    </row>
    <row r="2595" spans="2:81">
      <c r="B2595" s="6"/>
      <c r="N2595" s="1" t="s">
        <v>685</v>
      </c>
      <c r="Z2595" s="1" t="s">
        <v>710</v>
      </c>
      <c r="AA2595" s="60" t="s">
        <v>690</v>
      </c>
      <c r="CC2595" s="7"/>
    </row>
    <row r="2596" spans="2:81">
      <c r="B2596" s="6"/>
      <c r="Q2596" s="1" t="s">
        <v>684</v>
      </c>
      <c r="CC2596" s="7"/>
    </row>
    <row r="2597" spans="2:81">
      <c r="B2597" s="6"/>
      <c r="Q2597" s="67" t="s">
        <v>638</v>
      </c>
      <c r="R2597" s="67"/>
      <c r="S2597" s="67"/>
      <c r="T2597" s="67"/>
      <c r="U2597" s="67"/>
      <c r="V2597" s="67"/>
      <c r="CC2597" s="7"/>
    </row>
    <row r="2598" spans="2:81">
      <c r="B2598" s="6"/>
      <c r="CC2598" s="7"/>
    </row>
    <row r="2599" spans="2:81">
      <c r="B2599" s="6"/>
      <c r="T2599" s="67">
        <f>X2601*2/3</f>
        <v>1.6666666666666667</v>
      </c>
      <c r="U2599" s="67"/>
      <c r="V2599" s="1" t="s">
        <v>1</v>
      </c>
      <c r="AC2599" s="66">
        <f>+X2601-T2599</f>
        <v>0.83333333333333326</v>
      </c>
      <c r="AD2599" s="66"/>
      <c r="AE2599" s="1" t="s">
        <v>1</v>
      </c>
      <c r="CC2599" s="7"/>
    </row>
    <row r="2600" spans="2:81">
      <c r="B2600" s="6"/>
      <c r="CC2600" s="7"/>
    </row>
    <row r="2601" spans="2:81">
      <c r="B2601" s="6"/>
      <c r="X2601" s="67">
        <v>2.5</v>
      </c>
      <c r="Y2601" s="67"/>
      <c r="Z2601" s="1" t="s">
        <v>1</v>
      </c>
      <c r="CC2601" s="7"/>
    </row>
    <row r="2602" spans="2:81">
      <c r="B2602" s="6"/>
      <c r="CC2602" s="7"/>
    </row>
    <row r="2603" spans="2:81">
      <c r="B2603" s="6"/>
      <c r="Y2603" s="66">
        <f>+Y2589</f>
        <v>4</v>
      </c>
      <c r="Z2603" s="66"/>
      <c r="AA2603" s="9" t="s">
        <v>0</v>
      </c>
      <c r="AG2603" s="66">
        <f>+AG2589</f>
        <v>6</v>
      </c>
      <c r="AH2603" s="66"/>
      <c r="AI2603" s="9" t="s">
        <v>0</v>
      </c>
      <c r="AR2603" s="1" t="s">
        <v>38</v>
      </c>
      <c r="AT2603" s="67">
        <v>200000</v>
      </c>
      <c r="AU2603" s="67"/>
      <c r="AV2603" s="67"/>
      <c r="AW2603" s="67"/>
      <c r="AX2603" s="1" t="s">
        <v>39</v>
      </c>
      <c r="BA2603" s="1" t="s">
        <v>689</v>
      </c>
      <c r="CC2603" s="7"/>
    </row>
    <row r="2604" spans="2:81">
      <c r="B2604" s="6"/>
      <c r="T2604" s="66">
        <f>+T2590</f>
        <v>15</v>
      </c>
      <c r="U2604" s="66"/>
      <c r="V2604" s="1" t="s">
        <v>187</v>
      </c>
      <c r="CC2604" s="7"/>
    </row>
    <row r="2605" spans="2:81">
      <c r="B2605" s="6"/>
      <c r="AT2605" s="23" t="s">
        <v>728</v>
      </c>
      <c r="BG2605" s="23" t="s">
        <v>729</v>
      </c>
      <c r="CC2605" s="7"/>
    </row>
    <row r="2606" spans="2:81">
      <c r="B2606" s="6"/>
      <c r="CC2606" s="7"/>
    </row>
    <row r="2607" spans="2:81">
      <c r="B2607" s="6"/>
      <c r="G2607" s="1" t="s">
        <v>405</v>
      </c>
      <c r="I2607" s="66">
        <f>+E2650</f>
        <v>74.913307807329574</v>
      </c>
      <c r="J2607" s="66"/>
      <c r="K2607" s="66"/>
      <c r="L2607" s="1" t="s">
        <v>191</v>
      </c>
      <c r="N2607" s="55" t="s">
        <v>4</v>
      </c>
      <c r="Z2607" s="9" t="s">
        <v>581</v>
      </c>
      <c r="AH2607" s="1" t="s">
        <v>10</v>
      </c>
      <c r="CC2607" s="7"/>
    </row>
    <row r="2608" spans="2:81">
      <c r="B2608" s="6"/>
      <c r="CC2608" s="7"/>
    </row>
    <row r="2609" spans="2:81">
      <c r="B2609" s="6"/>
      <c r="S2609" s="1" t="s">
        <v>13</v>
      </c>
      <c r="AC2609" s="1" t="s">
        <v>428</v>
      </c>
      <c r="CC2609" s="7"/>
    </row>
    <row r="2610" spans="2:81">
      <c r="B2610" s="6"/>
      <c r="X2610" s="1" t="s">
        <v>808</v>
      </c>
      <c r="Y2610" s="66">
        <f>+E2652</f>
        <v>3.8229846843977349</v>
      </c>
      <c r="Z2610" s="66"/>
      <c r="AA2610" s="66"/>
      <c r="AB2610" s="1" t="s">
        <v>0</v>
      </c>
      <c r="AQ2610" s="71">
        <f>INDEX($CI$24:$CI$138,MATCH(O2588,$CG$24:$CG$138,0),0)</f>
        <v>600</v>
      </c>
      <c r="BD2610" s="71">
        <f>INDEX($CI$24:$CI$138,MATCH(Q2597,$CG$24:$CG$138,0),0)</f>
        <v>300</v>
      </c>
      <c r="CC2610" s="7"/>
    </row>
    <row r="2611" spans="2:81">
      <c r="B2611" s="6"/>
      <c r="N2611" s="1" t="s">
        <v>2</v>
      </c>
      <c r="O2611" s="66">
        <f>+E2651</f>
        <v>-51.322984684397731</v>
      </c>
      <c r="P2611" s="66"/>
      <c r="Q2611" s="66"/>
      <c r="R2611" s="1" t="s">
        <v>0</v>
      </c>
      <c r="Y2611" s="9"/>
      <c r="Z2611" s="9"/>
      <c r="AQ2611" s="71"/>
      <c r="AU2611" s="66">
        <f>INDEX($CK$24:$CK$138,MATCH(O2588,$CG$24:$CG$138,0),0)</f>
        <v>12</v>
      </c>
      <c r="AV2611" s="66"/>
      <c r="BD2611" s="71"/>
      <c r="BH2611" s="66">
        <f>INDEX($CK$24:$CK$138,MATCH(Q2597,$CG$24:$CG$138,0),0)</f>
        <v>7.1</v>
      </c>
      <c r="BI2611" s="66"/>
      <c r="CC2611" s="7"/>
    </row>
    <row r="2612" spans="2:81">
      <c r="B2612" s="6"/>
      <c r="T2612" s="66">
        <f>+T2599</f>
        <v>1.6666666666666667</v>
      </c>
      <c r="U2612" s="66"/>
      <c r="V2612" s="1" t="s">
        <v>1</v>
      </c>
      <c r="AC2612" s="66">
        <f>+AC2599</f>
        <v>0.83333333333333326</v>
      </c>
      <c r="AD2612" s="66"/>
      <c r="AE2612" s="1" t="s">
        <v>1</v>
      </c>
      <c r="AQ2612" s="71"/>
      <c r="BD2612" s="71"/>
      <c r="CC2612" s="7"/>
    </row>
    <row r="2613" spans="2:81">
      <c r="B2613" s="6"/>
      <c r="CC2613" s="7"/>
    </row>
    <row r="2614" spans="2:81">
      <c r="B2614" s="6"/>
      <c r="X2614" s="1" t="s">
        <v>808</v>
      </c>
      <c r="Y2614" s="66">
        <f>+Y2610</f>
        <v>3.8229846843977349</v>
      </c>
      <c r="Z2614" s="66"/>
      <c r="AA2614" s="66"/>
      <c r="AB2614" s="1" t="s">
        <v>0</v>
      </c>
      <c r="AX2614" s="66">
        <f>INDEX($CL$24:$CL$138,MATCH(O2588,$CG$24:$CG$138,0),0)</f>
        <v>19</v>
      </c>
      <c r="AY2614" s="66"/>
      <c r="BK2614" s="66">
        <f>INDEX($CL$24:$CL$138,MATCH(Q2597,$CG$24:$CG$138,0),0)</f>
        <v>10.7</v>
      </c>
      <c r="BL2614" s="66"/>
      <c r="CC2614" s="7"/>
    </row>
    <row r="2615" spans="2:81">
      <c r="B2615" s="6"/>
      <c r="CC2615" s="7"/>
    </row>
    <row r="2616" spans="2:81">
      <c r="B2616" s="6"/>
      <c r="CC2616" s="7"/>
    </row>
    <row r="2617" spans="2:81">
      <c r="B2617" s="6"/>
      <c r="N2617" s="1" t="s">
        <v>685</v>
      </c>
      <c r="Z2617" s="1" t="s">
        <v>710</v>
      </c>
      <c r="AV2617" s="66">
        <f>INDEX($CJ$24:$CJ$138,MATCH(O2588,$CG$24:$CG$138,0),0)</f>
        <v>220</v>
      </c>
      <c r="AW2617" s="66"/>
      <c r="BI2617" s="66">
        <f>INDEX($CJ$24:$CJ$138,MATCH(Q2597,$CG$24:$CG$138,0),0)</f>
        <v>150</v>
      </c>
      <c r="BJ2617" s="66"/>
      <c r="CC2617" s="7"/>
    </row>
    <row r="2618" spans="2:81">
      <c r="B2618" s="6"/>
      <c r="CC2618" s="7"/>
    </row>
    <row r="2619" spans="2:81">
      <c r="B2619" s="6"/>
      <c r="C2619" s="23" t="s">
        <v>223</v>
      </c>
      <c r="T2619" s="66">
        <f>+T2612</f>
        <v>1.6666666666666667</v>
      </c>
      <c r="U2619" s="66"/>
      <c r="V2619" s="1" t="s">
        <v>1</v>
      </c>
      <c r="AR2619" s="10" t="s">
        <v>686</v>
      </c>
      <c r="AT2619" s="66">
        <f>INDEX($CM$24:$CM$138,MATCH(O2588,$CG$24:$CG$138,0),0)</f>
        <v>92080</v>
      </c>
      <c r="AU2619" s="66"/>
      <c r="AV2619" s="66"/>
      <c r="AW2619" s="66"/>
      <c r="AX2619" s="1" t="s">
        <v>37</v>
      </c>
      <c r="BF2619" s="10" t="s">
        <v>688</v>
      </c>
      <c r="BH2619" s="66">
        <f>INDEX($CM$24:$CM$138,MATCH(Q2597,$CG$24:$CG$138,0),0)</f>
        <v>8360</v>
      </c>
      <c r="BI2619" s="66"/>
      <c r="BJ2619" s="66"/>
      <c r="BK2619" s="66"/>
      <c r="BL2619" s="1" t="s">
        <v>37</v>
      </c>
      <c r="CC2619" s="7"/>
    </row>
    <row r="2620" spans="2:81">
      <c r="B2620" s="6"/>
      <c r="C2620" s="24" t="s">
        <v>696</v>
      </c>
      <c r="CC2620" s="7"/>
    </row>
    <row r="2621" spans="2:81">
      <c r="B2621" s="6"/>
      <c r="C2621" s="1" t="s">
        <v>429</v>
      </c>
      <c r="E2621" s="1" t="s">
        <v>407</v>
      </c>
      <c r="G2621" s="9" t="s">
        <v>4</v>
      </c>
      <c r="H2621" s="9" t="s">
        <v>5</v>
      </c>
      <c r="I2621" s="9" t="s">
        <v>13</v>
      </c>
      <c r="J2621" s="9" t="s">
        <v>6</v>
      </c>
      <c r="K2621" s="66">
        <f>+T2612</f>
        <v>1.6666666666666667</v>
      </c>
      <c r="L2621" s="66"/>
      <c r="M2621" s="9" t="s">
        <v>5</v>
      </c>
      <c r="N2621" s="1" t="s">
        <v>183</v>
      </c>
      <c r="O2621" s="1" t="s">
        <v>173</v>
      </c>
      <c r="P2621" s="1">
        <v>2</v>
      </c>
      <c r="CC2621" s="7"/>
    </row>
    <row r="2622" spans="2:81">
      <c r="B2622" s="6"/>
      <c r="C2622" s="1" t="s">
        <v>432</v>
      </c>
      <c r="E2622" s="1" t="s">
        <v>508</v>
      </c>
      <c r="G2622" s="9" t="s">
        <v>13</v>
      </c>
      <c r="H2622" s="9" t="s">
        <v>9</v>
      </c>
      <c r="I2622" s="9" t="s">
        <v>4</v>
      </c>
      <c r="J2622" s="9" t="s">
        <v>5</v>
      </c>
      <c r="K2622" s="9" t="s">
        <v>183</v>
      </c>
      <c r="L2622" s="1" t="s">
        <v>173</v>
      </c>
      <c r="M2622" s="1">
        <v>2</v>
      </c>
      <c r="N2622" s="9" t="s">
        <v>6</v>
      </c>
      <c r="O2622" s="66">
        <f>+K2621</f>
        <v>1.6666666666666667</v>
      </c>
      <c r="P2622" s="66"/>
      <c r="Q2622" s="9" t="s">
        <v>5</v>
      </c>
      <c r="R2622" s="1" t="s">
        <v>184</v>
      </c>
      <c r="S2622" s="1" t="s">
        <v>173</v>
      </c>
      <c r="T2622" s="1">
        <v>6</v>
      </c>
      <c r="U2622" s="9" t="s">
        <v>9</v>
      </c>
      <c r="V2622" s="1" t="s">
        <v>24</v>
      </c>
      <c r="CC2622" s="7"/>
    </row>
    <row r="2623" spans="2:81">
      <c r="B2623" s="6"/>
      <c r="C2623" s="1" t="s">
        <v>431</v>
      </c>
      <c r="E2623" s="1" t="s">
        <v>508</v>
      </c>
      <c r="G2623" s="9" t="s">
        <v>183</v>
      </c>
      <c r="H2623" s="1" t="s">
        <v>173</v>
      </c>
      <c r="I2623" s="1">
        <v>2</v>
      </c>
      <c r="J2623" s="9" t="s">
        <v>9</v>
      </c>
      <c r="K2623" s="9" t="s">
        <v>4</v>
      </c>
      <c r="L2623" s="9" t="s">
        <v>5</v>
      </c>
      <c r="M2623" s="1" t="s">
        <v>184</v>
      </c>
      <c r="N2623" s="1" t="s">
        <v>173</v>
      </c>
      <c r="O2623" s="1">
        <v>6</v>
      </c>
      <c r="P2623" s="9" t="s">
        <v>6</v>
      </c>
      <c r="Q2623" s="66">
        <f>+O2622</f>
        <v>1.6666666666666667</v>
      </c>
      <c r="R2623" s="66"/>
      <c r="S2623" s="9" t="s">
        <v>5</v>
      </c>
      <c r="T2623" s="1" t="s">
        <v>185</v>
      </c>
      <c r="U2623" s="1" t="s">
        <v>173</v>
      </c>
      <c r="V2623" s="66">
        <v>24</v>
      </c>
      <c r="W2623" s="66"/>
      <c r="X2623" s="9" t="s">
        <v>9</v>
      </c>
      <c r="Y2623" s="1" t="s">
        <v>24</v>
      </c>
      <c r="Z2623" s="9" t="s">
        <v>5</v>
      </c>
      <c r="AA2623" s="9" t="s">
        <v>13</v>
      </c>
      <c r="AB2623" s="9" t="s">
        <v>9</v>
      </c>
      <c r="AC2623" s="1" t="s">
        <v>307</v>
      </c>
      <c r="CC2623" s="7"/>
    </row>
    <row r="2624" spans="2:81">
      <c r="B2624" s="6"/>
      <c r="C2624" s="24" t="s">
        <v>700</v>
      </c>
      <c r="CC2624" s="7"/>
    </row>
    <row r="2625" spans="2:81">
      <c r="B2625" s="6"/>
      <c r="C2625" s="1" t="s">
        <v>433</v>
      </c>
      <c r="E2625" s="1" t="s">
        <v>407</v>
      </c>
      <c r="G2625" s="9" t="s">
        <v>4</v>
      </c>
      <c r="H2625" s="9" t="s">
        <v>14</v>
      </c>
      <c r="I2625" s="66">
        <f>+T2612</f>
        <v>1.6666666666666667</v>
      </c>
      <c r="J2625" s="66"/>
      <c r="K2625" s="9" t="s">
        <v>9</v>
      </c>
      <c r="L2625" s="9" t="s">
        <v>428</v>
      </c>
      <c r="M2625" s="1" t="s">
        <v>16</v>
      </c>
      <c r="N2625" s="66">
        <f>+T2604</f>
        <v>15</v>
      </c>
      <c r="O2625" s="66"/>
      <c r="P2625" s="9" t="s">
        <v>5</v>
      </c>
      <c r="Q2625" s="66">
        <f>+T2612</f>
        <v>1.6666666666666667</v>
      </c>
      <c r="R2625" s="66"/>
      <c r="S2625" s="9" t="s">
        <v>14</v>
      </c>
      <c r="T2625" s="66">
        <f>+T2612/2</f>
        <v>0.83333333333333337</v>
      </c>
      <c r="U2625" s="66"/>
      <c r="V2625" s="9" t="s">
        <v>9</v>
      </c>
      <c r="W2625" s="9" t="s">
        <v>428</v>
      </c>
      <c r="X2625" s="1" t="s">
        <v>16</v>
      </c>
      <c r="Y2625" s="66">
        <f>+Y2603</f>
        <v>4</v>
      </c>
      <c r="Z2625" s="66"/>
      <c r="AA2625" s="9" t="s">
        <v>5</v>
      </c>
      <c r="AB2625" s="9" t="s">
        <v>428</v>
      </c>
      <c r="AC2625" s="9" t="s">
        <v>9</v>
      </c>
      <c r="AD2625" s="9" t="s">
        <v>809</v>
      </c>
      <c r="AE2625" s="9" t="s">
        <v>5</v>
      </c>
      <c r="AF2625" s="9" t="s">
        <v>428</v>
      </c>
      <c r="AG2625" s="9" t="s">
        <v>6</v>
      </c>
      <c r="AH2625" s="66">
        <f>+T2604</f>
        <v>15</v>
      </c>
      <c r="AI2625" s="66"/>
      <c r="AJ2625" s="9" t="s">
        <v>5</v>
      </c>
      <c r="AK2625" s="1" t="s">
        <v>443</v>
      </c>
      <c r="AL2625" s="1" t="s">
        <v>173</v>
      </c>
      <c r="AM2625" s="1">
        <v>2</v>
      </c>
      <c r="CC2625" s="7"/>
    </row>
    <row r="2626" spans="2:81">
      <c r="B2626" s="6"/>
      <c r="C2626" s="1" t="s">
        <v>430</v>
      </c>
      <c r="E2626" s="1" t="s">
        <v>508</v>
      </c>
      <c r="G2626" s="9" t="s">
        <v>428</v>
      </c>
      <c r="H2626" s="9" t="s">
        <v>9</v>
      </c>
      <c r="I2626" s="9" t="s">
        <v>4</v>
      </c>
      <c r="J2626" s="9" t="s">
        <v>14</v>
      </c>
      <c r="K2626" s="66">
        <f>+I2625</f>
        <v>1.6666666666666667</v>
      </c>
      <c r="L2626" s="66"/>
      <c r="M2626" s="9" t="s">
        <v>9</v>
      </c>
      <c r="N2626" s="9" t="s">
        <v>428</v>
      </c>
      <c r="O2626" s="1" t="s">
        <v>200</v>
      </c>
      <c r="P2626" s="1" t="s">
        <v>173</v>
      </c>
      <c r="Q2626" s="1">
        <v>2</v>
      </c>
      <c r="R2626" s="9" t="s">
        <v>6</v>
      </c>
      <c r="S2626" s="66">
        <f>+N2625*Q2625</f>
        <v>25</v>
      </c>
      <c r="T2626" s="66"/>
      <c r="U2626" s="9" t="s">
        <v>14</v>
      </c>
      <c r="V2626" s="66">
        <f>+T2625</f>
        <v>0.83333333333333337</v>
      </c>
      <c r="W2626" s="66"/>
      <c r="X2626" s="9" t="s">
        <v>9</v>
      </c>
      <c r="Y2626" s="9" t="s">
        <v>428</v>
      </c>
      <c r="Z2626" s="1" t="s">
        <v>200</v>
      </c>
      <c r="AA2626" s="1" t="s">
        <v>173</v>
      </c>
      <c r="AB2626" s="1">
        <v>2</v>
      </c>
      <c r="AC2626" s="9" t="s">
        <v>6</v>
      </c>
      <c r="AD2626" s="66">
        <f>+Y2625</f>
        <v>4</v>
      </c>
      <c r="AE2626" s="66"/>
      <c r="AF2626" s="9" t="s">
        <v>5</v>
      </c>
      <c r="AG2626" s="9" t="s">
        <v>443</v>
      </c>
      <c r="AH2626" s="1" t="s">
        <v>173</v>
      </c>
      <c r="AI2626" s="1">
        <v>2</v>
      </c>
      <c r="AJ2626" s="9" t="s">
        <v>9</v>
      </c>
      <c r="AK2626" s="9" t="s">
        <v>809</v>
      </c>
      <c r="AL2626" s="9" t="s">
        <v>5</v>
      </c>
      <c r="AM2626" s="9" t="s">
        <v>443</v>
      </c>
      <c r="AN2626" s="1" t="s">
        <v>173</v>
      </c>
      <c r="AO2626" s="1">
        <v>2</v>
      </c>
      <c r="AP2626" s="9" t="s">
        <v>6</v>
      </c>
      <c r="AQ2626" s="66">
        <f>+AH2625</f>
        <v>15</v>
      </c>
      <c r="AR2626" s="66"/>
      <c r="AS2626" s="9" t="s">
        <v>5</v>
      </c>
      <c r="AT2626" s="1" t="s">
        <v>444</v>
      </c>
      <c r="AU2626" s="1" t="s">
        <v>173</v>
      </c>
      <c r="AV2626" s="1">
        <v>6</v>
      </c>
      <c r="AW2626" s="9" t="s">
        <v>9</v>
      </c>
      <c r="AX2626" s="1" t="s">
        <v>313</v>
      </c>
      <c r="CC2626" s="7"/>
    </row>
    <row r="2627" spans="2:81">
      <c r="B2627" s="6"/>
      <c r="C2627" s="1" t="s">
        <v>435</v>
      </c>
      <c r="E2627" s="1" t="s">
        <v>508</v>
      </c>
      <c r="G2627" s="9" t="s">
        <v>443</v>
      </c>
      <c r="H2627" s="1" t="s">
        <v>173</v>
      </c>
      <c r="I2627" s="1">
        <v>2</v>
      </c>
      <c r="J2627" s="9" t="s">
        <v>9</v>
      </c>
      <c r="K2627" s="9" t="s">
        <v>4</v>
      </c>
      <c r="L2627" s="9" t="s">
        <v>14</v>
      </c>
      <c r="M2627" s="66">
        <f>+K2626</f>
        <v>1.6666666666666667</v>
      </c>
      <c r="N2627" s="66"/>
      <c r="O2627" s="9" t="s">
        <v>9</v>
      </c>
      <c r="P2627" s="9" t="s">
        <v>428</v>
      </c>
      <c r="Q2627" s="1" t="s">
        <v>311</v>
      </c>
      <c r="R2627" s="1" t="s">
        <v>173</v>
      </c>
      <c r="S2627" s="1">
        <v>6</v>
      </c>
      <c r="T2627" s="9" t="s">
        <v>6</v>
      </c>
      <c r="U2627" s="66">
        <f>+S2626</f>
        <v>25</v>
      </c>
      <c r="V2627" s="66"/>
      <c r="W2627" s="9" t="s">
        <v>14</v>
      </c>
      <c r="X2627" s="66">
        <f>+V2626</f>
        <v>0.83333333333333337</v>
      </c>
      <c r="Y2627" s="66"/>
      <c r="Z2627" s="9" t="s">
        <v>9</v>
      </c>
      <c r="AA2627" s="9" t="s">
        <v>428</v>
      </c>
      <c r="AB2627" s="1" t="s">
        <v>311</v>
      </c>
      <c r="AC2627" s="1" t="s">
        <v>173</v>
      </c>
      <c r="AD2627" s="1">
        <v>6</v>
      </c>
      <c r="AE2627" s="9" t="s">
        <v>6</v>
      </c>
      <c r="AF2627" s="66">
        <f>+AD2626</f>
        <v>4</v>
      </c>
      <c r="AG2627" s="66"/>
      <c r="AH2627" s="9" t="s">
        <v>5</v>
      </c>
      <c r="AI2627" s="9" t="s">
        <v>444</v>
      </c>
      <c r="AJ2627" s="1" t="s">
        <v>173</v>
      </c>
      <c r="AK2627" s="1">
        <v>6</v>
      </c>
      <c r="AL2627" s="9" t="s">
        <v>9</v>
      </c>
      <c r="AM2627" s="9" t="s">
        <v>809</v>
      </c>
      <c r="AN2627" s="9" t="s">
        <v>5</v>
      </c>
      <c r="AO2627" s="9" t="s">
        <v>444</v>
      </c>
      <c r="AP2627" s="1" t="s">
        <v>173</v>
      </c>
      <c r="AQ2627" s="1">
        <v>6</v>
      </c>
      <c r="AR2627" s="9" t="s">
        <v>6</v>
      </c>
      <c r="AS2627" s="66">
        <f>+AQ2626</f>
        <v>15</v>
      </c>
      <c r="AT2627" s="66"/>
      <c r="AU2627" s="9" t="s">
        <v>5</v>
      </c>
      <c r="AV2627" s="1" t="s">
        <v>445</v>
      </c>
      <c r="AW2627" s="1" t="s">
        <v>173</v>
      </c>
      <c r="AX2627" s="66">
        <v>24</v>
      </c>
      <c r="AY2627" s="66"/>
      <c r="AZ2627" s="9" t="s">
        <v>9</v>
      </c>
      <c r="BA2627" s="1" t="s">
        <v>313</v>
      </c>
      <c r="BB2627" s="9" t="s">
        <v>5</v>
      </c>
      <c r="BC2627" s="9" t="s">
        <v>428</v>
      </c>
      <c r="BD2627" s="9" t="s">
        <v>9</v>
      </c>
      <c r="BE2627" s="1" t="s">
        <v>315</v>
      </c>
      <c r="CC2627" s="7"/>
    </row>
    <row r="2628" spans="2:81">
      <c r="B2628" s="6"/>
      <c r="C2628" s="24" t="s">
        <v>318</v>
      </c>
      <c r="CC2628" s="7"/>
    </row>
    <row r="2629" spans="2:81">
      <c r="B2629" s="6"/>
      <c r="C2629" s="1" t="s">
        <v>319</v>
      </c>
      <c r="I2629" s="1" t="s">
        <v>411</v>
      </c>
      <c r="CC2629" s="7"/>
    </row>
    <row r="2630" spans="2:81">
      <c r="B2630" s="6"/>
      <c r="C2630" s="1" t="s">
        <v>436</v>
      </c>
      <c r="I2630" s="1" t="s">
        <v>416</v>
      </c>
      <c r="CC2630" s="7"/>
    </row>
    <row r="2631" spans="2:81">
      <c r="B2631" s="6"/>
      <c r="C2631" s="1" t="s">
        <v>358</v>
      </c>
      <c r="G2631" s="1" t="s">
        <v>508</v>
      </c>
      <c r="I2631" s="66">
        <f>+T2612</f>
        <v>1.6666666666666667</v>
      </c>
      <c r="J2631" s="66"/>
      <c r="K2631" s="1" t="s">
        <v>254</v>
      </c>
      <c r="L2631" s="1">
        <v>2</v>
      </c>
      <c r="M2631" s="9" t="s">
        <v>9</v>
      </c>
      <c r="N2631" s="9" t="s">
        <v>4</v>
      </c>
      <c r="O2631" s="9" t="s">
        <v>5</v>
      </c>
      <c r="P2631" s="66">
        <f>+I2631</f>
        <v>1.6666666666666667</v>
      </c>
      <c r="Q2631" s="66"/>
      <c r="R2631" s="1" t="s">
        <v>321</v>
      </c>
      <c r="S2631" s="1">
        <v>6</v>
      </c>
      <c r="T2631" s="9" t="s">
        <v>6</v>
      </c>
      <c r="U2631" s="66">
        <f>+Q2623</f>
        <v>1.6666666666666667</v>
      </c>
      <c r="V2631" s="66"/>
      <c r="W2631" s="9" t="s">
        <v>5</v>
      </c>
      <c r="X2631" s="66">
        <f>+P2631</f>
        <v>1.6666666666666667</v>
      </c>
      <c r="Y2631" s="66"/>
      <c r="Z2631" s="1" t="s">
        <v>403</v>
      </c>
      <c r="AA2631" s="66">
        <v>24</v>
      </c>
      <c r="AB2631" s="66"/>
      <c r="AC2631" s="9" t="s">
        <v>7</v>
      </c>
      <c r="AD2631" s="1" t="s">
        <v>508</v>
      </c>
      <c r="AF2631" s="66">
        <f>I2631^2/L2631</f>
        <v>1.3888888888888891</v>
      </c>
      <c r="AG2631" s="66"/>
      <c r="AH2631" s="9" t="s">
        <v>9</v>
      </c>
      <c r="AI2631" s="9" t="s">
        <v>4</v>
      </c>
      <c r="AJ2631" s="9" t="s">
        <v>5</v>
      </c>
      <c r="AK2631" s="66">
        <f>+P2631^3/S2631</f>
        <v>0.77160493827160515</v>
      </c>
      <c r="AL2631" s="66"/>
      <c r="AM2631" s="9" t="s">
        <v>6</v>
      </c>
      <c r="AN2631" s="66">
        <f>U2631*X2631^4/AA2631</f>
        <v>0.53583676268861469</v>
      </c>
      <c r="AO2631" s="66"/>
      <c r="AP2631" s="66"/>
      <c r="CC2631" s="7"/>
    </row>
    <row r="2632" spans="2:81">
      <c r="B2632" s="6"/>
      <c r="C2632" s="1" t="s">
        <v>458</v>
      </c>
      <c r="G2632" s="9" t="s">
        <v>4</v>
      </c>
      <c r="H2632" s="9" t="s">
        <v>5</v>
      </c>
      <c r="I2632" s="66">
        <f>+M2627</f>
        <v>1.6666666666666667</v>
      </c>
      <c r="J2632" s="66"/>
      <c r="K2632" s="1" t="s">
        <v>321</v>
      </c>
      <c r="L2632" s="1">
        <v>6</v>
      </c>
      <c r="M2632" s="9" t="s">
        <v>6</v>
      </c>
      <c r="N2632" s="66">
        <f>+U2627</f>
        <v>25</v>
      </c>
      <c r="O2632" s="66"/>
      <c r="P2632" s="9" t="s">
        <v>5</v>
      </c>
      <c r="Q2632" s="66">
        <f>+X2627</f>
        <v>0.83333333333333337</v>
      </c>
      <c r="R2632" s="66"/>
      <c r="S2632" s="1" t="s">
        <v>321</v>
      </c>
      <c r="T2632" s="1">
        <v>6</v>
      </c>
      <c r="U2632" s="9" t="s">
        <v>9</v>
      </c>
      <c r="V2632" s="1" t="s">
        <v>315</v>
      </c>
      <c r="W2632" s="9" t="s">
        <v>7</v>
      </c>
      <c r="X2632" s="9" t="s">
        <v>4</v>
      </c>
      <c r="Y2632" s="9" t="s">
        <v>5</v>
      </c>
      <c r="Z2632" s="66">
        <f>+I2632^3/L2632</f>
        <v>0.77160493827160515</v>
      </c>
      <c r="AA2632" s="66"/>
      <c r="AB2632" s="9" t="s">
        <v>9</v>
      </c>
      <c r="AC2632" s="1" t="s">
        <v>315</v>
      </c>
      <c r="AD2632" s="9" t="s">
        <v>6</v>
      </c>
      <c r="AE2632" s="66">
        <f>N2632*Q2632^3/T2632</f>
        <v>2.4112654320987659</v>
      </c>
      <c r="AF2632" s="66"/>
      <c r="AG2632" s="66"/>
      <c r="CC2632" s="7"/>
    </row>
    <row r="2633" spans="2:81">
      <c r="B2633" s="6"/>
      <c r="C2633" s="1" t="s">
        <v>461</v>
      </c>
      <c r="M2633" s="1" t="s">
        <v>508</v>
      </c>
      <c r="O2633" s="66">
        <f>+AF2631</f>
        <v>1.3888888888888891</v>
      </c>
      <c r="P2633" s="66"/>
      <c r="Q2633" s="9" t="s">
        <v>9</v>
      </c>
      <c r="R2633" s="9" t="s">
        <v>4</v>
      </c>
      <c r="S2633" s="9" t="s">
        <v>5</v>
      </c>
      <c r="T2633" s="66">
        <f>+AK2631</f>
        <v>0.77160493827160515</v>
      </c>
      <c r="U2633" s="66"/>
      <c r="V2633" s="9" t="s">
        <v>6</v>
      </c>
      <c r="W2633" s="66">
        <f>+AN2631</f>
        <v>0.53583676268861469</v>
      </c>
      <c r="X2633" s="66"/>
      <c r="Y2633" s="66"/>
      <c r="Z2633" s="9" t="s">
        <v>7</v>
      </c>
      <c r="AA2633" s="9" t="s">
        <v>4</v>
      </c>
      <c r="AB2633" s="9" t="s">
        <v>5</v>
      </c>
      <c r="AC2633" s="66">
        <f>+Z2632</f>
        <v>0.77160493827160515</v>
      </c>
      <c r="AD2633" s="66"/>
      <c r="AE2633" s="9" t="s">
        <v>9</v>
      </c>
      <c r="AF2633" s="1" t="s">
        <v>315</v>
      </c>
      <c r="AG2633" s="9" t="s">
        <v>6</v>
      </c>
      <c r="AH2633" s="66">
        <f>+AE2632</f>
        <v>2.4112654320987659</v>
      </c>
      <c r="AI2633" s="66"/>
      <c r="AJ2633" s="66"/>
      <c r="AM2633" s="58" t="s">
        <v>508</v>
      </c>
      <c r="AN2633" s="49"/>
      <c r="AO2633" s="68">
        <f>+O2633</f>
        <v>1.3888888888888891</v>
      </c>
      <c r="AP2633" s="68"/>
      <c r="AQ2633" s="48" t="s">
        <v>6</v>
      </c>
      <c r="AR2633" s="49" t="s">
        <v>315</v>
      </c>
      <c r="AS2633" s="48" t="s">
        <v>6</v>
      </c>
      <c r="AT2633" s="68">
        <f>+W2633-AH2633</f>
        <v>-1.8754286694101512</v>
      </c>
      <c r="AU2633" s="68"/>
      <c r="AV2633" s="68"/>
      <c r="AW2633" s="48" t="s">
        <v>7</v>
      </c>
      <c r="AX2633" s="59">
        <v>0</v>
      </c>
      <c r="AZ2633" s="1" t="s">
        <v>438</v>
      </c>
      <c r="CC2633" s="7"/>
    </row>
    <row r="2634" spans="2:81">
      <c r="B2634" s="6"/>
      <c r="C2634" s="1" t="s">
        <v>320</v>
      </c>
      <c r="G2634" s="1" t="s">
        <v>508</v>
      </c>
      <c r="I2634" s="66">
        <f>+T2612</f>
        <v>1.6666666666666667</v>
      </c>
      <c r="J2634" s="66"/>
      <c r="K2634" s="9" t="s">
        <v>9</v>
      </c>
      <c r="L2634" s="9" t="s">
        <v>4</v>
      </c>
      <c r="M2634" s="9" t="s">
        <v>5</v>
      </c>
      <c r="N2634" s="66">
        <f>+I2634</f>
        <v>1.6666666666666667</v>
      </c>
      <c r="O2634" s="66"/>
      <c r="P2634" s="1" t="s">
        <v>254</v>
      </c>
      <c r="Q2634" s="1">
        <v>2</v>
      </c>
      <c r="R2634" s="9" t="s">
        <v>6</v>
      </c>
      <c r="S2634" s="66">
        <f>+O2622</f>
        <v>1.6666666666666667</v>
      </c>
      <c r="T2634" s="66"/>
      <c r="U2634" s="9" t="s">
        <v>5</v>
      </c>
      <c r="V2634" s="66">
        <f>+N2634</f>
        <v>1.6666666666666667</v>
      </c>
      <c r="W2634" s="66"/>
      <c r="X2634" s="1" t="s">
        <v>321</v>
      </c>
      <c r="Y2634" s="1">
        <v>6</v>
      </c>
      <c r="Z2634" s="9" t="s">
        <v>7</v>
      </c>
      <c r="AA2634" s="1" t="s">
        <v>508</v>
      </c>
      <c r="AC2634" s="66">
        <f>+I2634</f>
        <v>1.6666666666666667</v>
      </c>
      <c r="AD2634" s="66"/>
      <c r="AE2634" s="9" t="s">
        <v>9</v>
      </c>
      <c r="AF2634" s="9" t="s">
        <v>4</v>
      </c>
      <c r="AG2634" s="9" t="s">
        <v>5</v>
      </c>
      <c r="AH2634" s="66">
        <f>N2634^2/Q2634</f>
        <v>1.3888888888888891</v>
      </c>
      <c r="AI2634" s="66"/>
      <c r="AJ2634" s="9" t="s">
        <v>6</v>
      </c>
      <c r="AK2634" s="66">
        <f>S2634*V2634^3/Y2634</f>
        <v>1.2860082304526752</v>
      </c>
      <c r="AL2634" s="66"/>
      <c r="AM2634" s="66"/>
      <c r="CC2634" s="7"/>
    </row>
    <row r="2635" spans="2:81">
      <c r="B2635" s="6"/>
      <c r="C2635" s="1" t="s">
        <v>470</v>
      </c>
      <c r="G2635" s="9" t="s">
        <v>4</v>
      </c>
      <c r="H2635" s="9" t="s">
        <v>5</v>
      </c>
      <c r="I2635" s="66">
        <f>+K2626</f>
        <v>1.6666666666666667</v>
      </c>
      <c r="J2635" s="66"/>
      <c r="K2635" s="1" t="s">
        <v>254</v>
      </c>
      <c r="L2635" s="1">
        <v>2</v>
      </c>
      <c r="M2635" s="9" t="s">
        <v>6</v>
      </c>
      <c r="N2635" s="66">
        <f>+S2626</f>
        <v>25</v>
      </c>
      <c r="O2635" s="66"/>
      <c r="P2635" s="9" t="s">
        <v>5</v>
      </c>
      <c r="Q2635" s="66">
        <f>+V2626</f>
        <v>0.83333333333333337</v>
      </c>
      <c r="R2635" s="66"/>
      <c r="S2635" s="1" t="s">
        <v>254</v>
      </c>
      <c r="T2635" s="1">
        <v>2</v>
      </c>
      <c r="U2635" s="9" t="s">
        <v>9</v>
      </c>
      <c r="V2635" s="1" t="s">
        <v>313</v>
      </c>
      <c r="W2635" s="9" t="s">
        <v>7</v>
      </c>
      <c r="X2635" s="9" t="s">
        <v>4</v>
      </c>
      <c r="Y2635" s="9" t="s">
        <v>5</v>
      </c>
      <c r="Z2635" s="66">
        <f>+I2635^2/L2635</f>
        <v>1.3888888888888891</v>
      </c>
      <c r="AA2635" s="66"/>
      <c r="AB2635" s="9" t="s">
        <v>9</v>
      </c>
      <c r="AC2635" s="1" t="s">
        <v>313</v>
      </c>
      <c r="AD2635" s="9" t="s">
        <v>6</v>
      </c>
      <c r="AE2635" s="66">
        <f>+N2635*Q2635^2/T2635</f>
        <v>8.6805555555555571</v>
      </c>
      <c r="AF2635" s="66"/>
      <c r="AG2635" s="66"/>
      <c r="CC2635" s="7"/>
    </row>
    <row r="2636" spans="2:81">
      <c r="B2636" s="6"/>
      <c r="C2636" s="1" t="s">
        <v>639</v>
      </c>
      <c r="M2636" s="1" t="s">
        <v>508</v>
      </c>
      <c r="O2636" s="66">
        <f>+AC2634</f>
        <v>1.6666666666666667</v>
      </c>
      <c r="P2636" s="66"/>
      <c r="Q2636" s="9" t="s">
        <v>9</v>
      </c>
      <c r="R2636" s="9" t="s">
        <v>4</v>
      </c>
      <c r="S2636" s="9" t="s">
        <v>5</v>
      </c>
      <c r="T2636" s="66">
        <f>+AH2634</f>
        <v>1.3888888888888891</v>
      </c>
      <c r="U2636" s="66"/>
      <c r="V2636" s="9" t="s">
        <v>6</v>
      </c>
      <c r="W2636" s="66">
        <f>+AK2634</f>
        <v>1.2860082304526752</v>
      </c>
      <c r="X2636" s="66"/>
      <c r="Y2636" s="66"/>
      <c r="Z2636" s="9" t="s">
        <v>7</v>
      </c>
      <c r="AA2636" s="9" t="s">
        <v>4</v>
      </c>
      <c r="AB2636" s="9" t="s">
        <v>5</v>
      </c>
      <c r="AC2636" s="66">
        <f>+Z2635</f>
        <v>1.3888888888888891</v>
      </c>
      <c r="AD2636" s="66"/>
      <c r="AE2636" s="9" t="s">
        <v>9</v>
      </c>
      <c r="AF2636" s="1" t="s">
        <v>313</v>
      </c>
      <c r="AG2636" s="9" t="s">
        <v>6</v>
      </c>
      <c r="AH2636" s="66">
        <f>+AE2635</f>
        <v>8.6805555555555571</v>
      </c>
      <c r="AI2636" s="66"/>
      <c r="AJ2636" s="66"/>
      <c r="AM2636" s="58" t="s">
        <v>508</v>
      </c>
      <c r="AN2636" s="49"/>
      <c r="AO2636" s="68">
        <f>+O2636</f>
        <v>1.6666666666666667</v>
      </c>
      <c r="AP2636" s="68"/>
      <c r="AQ2636" s="48" t="s">
        <v>6</v>
      </c>
      <c r="AR2636" s="49" t="s">
        <v>313</v>
      </c>
      <c r="AS2636" s="48" t="s">
        <v>6</v>
      </c>
      <c r="AT2636" s="68">
        <f>+W2636-AH2636</f>
        <v>-7.3945473251028817</v>
      </c>
      <c r="AU2636" s="68"/>
      <c r="AV2636" s="68"/>
      <c r="AW2636" s="48" t="s">
        <v>7</v>
      </c>
      <c r="AX2636" s="59">
        <v>0</v>
      </c>
      <c r="AZ2636" s="1" t="s">
        <v>439</v>
      </c>
      <c r="CC2636" s="7"/>
    </row>
    <row r="2637" spans="2:81">
      <c r="B2637" s="6"/>
      <c r="C2637" s="1" t="s">
        <v>418</v>
      </c>
      <c r="CC2637" s="7"/>
    </row>
    <row r="2638" spans="2:81">
      <c r="B2638" s="6"/>
      <c r="C2638" s="9" t="s">
        <v>4</v>
      </c>
      <c r="D2638" s="9" t="s">
        <v>9</v>
      </c>
      <c r="E2638" s="9" t="s">
        <v>809</v>
      </c>
      <c r="F2638" s="9" t="s">
        <v>6</v>
      </c>
      <c r="G2638" s="66">
        <f>+T2604</f>
        <v>15</v>
      </c>
      <c r="H2638" s="66"/>
      <c r="I2638" s="9" t="s">
        <v>5</v>
      </c>
      <c r="J2638" s="66">
        <f>+X2601</f>
        <v>2.5</v>
      </c>
      <c r="K2638" s="66"/>
      <c r="L2638" s="9" t="s">
        <v>6</v>
      </c>
      <c r="M2638" s="66">
        <f>+Y2603</f>
        <v>4</v>
      </c>
      <c r="N2638" s="66"/>
      <c r="O2638" s="9" t="s">
        <v>6</v>
      </c>
      <c r="P2638" s="66">
        <f>+AG2603</f>
        <v>6</v>
      </c>
      <c r="Q2638" s="66"/>
      <c r="R2638" s="9" t="s">
        <v>7</v>
      </c>
      <c r="S2638" s="9">
        <v>0</v>
      </c>
      <c r="V2638" s="57" t="s">
        <v>4</v>
      </c>
      <c r="W2638" s="48" t="s">
        <v>9</v>
      </c>
      <c r="X2638" s="48" t="s">
        <v>809</v>
      </c>
      <c r="Y2638" s="48" t="s">
        <v>6</v>
      </c>
      <c r="Z2638" s="68">
        <f>+G2638*J2638+M2638+P2638</f>
        <v>47.5</v>
      </c>
      <c r="AA2638" s="68"/>
      <c r="AB2638" s="68"/>
      <c r="AC2638" s="48" t="s">
        <v>7</v>
      </c>
      <c r="AD2638" s="59">
        <v>0</v>
      </c>
      <c r="AF2638" s="1" t="s">
        <v>456</v>
      </c>
      <c r="CC2638" s="7"/>
    </row>
    <row r="2639" spans="2:81">
      <c r="B2639" s="6"/>
      <c r="C2639" s="11" t="s">
        <v>803</v>
      </c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S2639" s="9"/>
      <c r="T2639" s="9"/>
      <c r="U2639" s="9"/>
      <c r="V2639" s="9"/>
      <c r="W2639" s="9"/>
      <c r="X2639" s="9"/>
      <c r="Y2639" s="9"/>
      <c r="Z2639" s="9"/>
      <c r="AA2639" s="9"/>
      <c r="CC2639" s="7"/>
    </row>
    <row r="2640" spans="2:81">
      <c r="B2640" s="6"/>
      <c r="C2640" s="1" t="s">
        <v>804</v>
      </c>
      <c r="D2640" s="9"/>
      <c r="E2640" s="9"/>
      <c r="F2640" s="9"/>
      <c r="G2640" s="9"/>
      <c r="J2640" s="1" t="s">
        <v>407</v>
      </c>
      <c r="L2640" s="9" t="s">
        <v>4</v>
      </c>
      <c r="M2640" s="9" t="s">
        <v>14</v>
      </c>
      <c r="N2640" s="66">
        <f>+I2625</f>
        <v>1.6666666666666667</v>
      </c>
      <c r="O2640" s="66"/>
      <c r="P2640" s="9" t="s">
        <v>9</v>
      </c>
      <c r="Q2640" s="66">
        <f>+AC2612</f>
        <v>0.83333333333333326</v>
      </c>
      <c r="R2640" s="66"/>
      <c r="S2640" s="1" t="s">
        <v>16</v>
      </c>
      <c r="T2640" s="66">
        <f>+N2625</f>
        <v>15</v>
      </c>
      <c r="U2640" s="66"/>
      <c r="V2640" s="9" t="s">
        <v>5</v>
      </c>
      <c r="W2640" s="66">
        <f>+Q2625</f>
        <v>1.6666666666666667</v>
      </c>
      <c r="X2640" s="66"/>
      <c r="Y2640" s="9" t="s">
        <v>14</v>
      </c>
      <c r="Z2640" s="66">
        <f>+T2625</f>
        <v>0.83333333333333337</v>
      </c>
      <c r="AA2640" s="66"/>
      <c r="AB2640" s="9" t="s">
        <v>9</v>
      </c>
      <c r="AC2640" s="66">
        <f>+Q2640</f>
        <v>0.83333333333333326</v>
      </c>
      <c r="AD2640" s="66"/>
      <c r="AE2640" s="1" t="s">
        <v>16</v>
      </c>
      <c r="AF2640" s="66">
        <f>+Y2625</f>
        <v>4</v>
      </c>
      <c r="AG2640" s="66"/>
      <c r="AH2640" s="9" t="s">
        <v>5</v>
      </c>
      <c r="AI2640" s="66">
        <f>+AC2640</f>
        <v>0.83333333333333326</v>
      </c>
      <c r="AJ2640" s="66"/>
      <c r="AK2640" s="9" t="s">
        <v>9</v>
      </c>
      <c r="AL2640" s="9" t="s">
        <v>809</v>
      </c>
      <c r="AM2640" s="9" t="s">
        <v>5</v>
      </c>
      <c r="AN2640" s="66">
        <f>+AI2640</f>
        <v>0.83333333333333326</v>
      </c>
      <c r="AO2640" s="66"/>
      <c r="AP2640" s="9" t="s">
        <v>6</v>
      </c>
      <c r="AQ2640" s="66">
        <f>+AH2625</f>
        <v>15</v>
      </c>
      <c r="AR2640" s="66"/>
      <c r="AS2640" s="9" t="s">
        <v>5</v>
      </c>
      <c r="AT2640" s="66">
        <f>+AN2640</f>
        <v>0.83333333333333326</v>
      </c>
      <c r="AU2640" s="66"/>
      <c r="AV2640" s="1" t="s">
        <v>254</v>
      </c>
      <c r="AW2640" s="1">
        <v>2</v>
      </c>
      <c r="AX2640" s="9" t="s">
        <v>7</v>
      </c>
      <c r="AY2640" s="9">
        <v>0</v>
      </c>
      <c r="BB2640" s="58" t="s">
        <v>407</v>
      </c>
      <c r="BC2640" s="49"/>
      <c r="BD2640" s="48" t="s">
        <v>4</v>
      </c>
      <c r="BE2640" s="48" t="s">
        <v>5</v>
      </c>
      <c r="BF2640" s="68">
        <f>+N2640+Q2640</f>
        <v>2.5</v>
      </c>
      <c r="BG2640" s="68"/>
      <c r="BH2640" s="48" t="s">
        <v>9</v>
      </c>
      <c r="BI2640" s="48" t="s">
        <v>809</v>
      </c>
      <c r="BJ2640" s="48" t="s">
        <v>5</v>
      </c>
      <c r="BK2640" s="68">
        <f>+AN2640</f>
        <v>0.83333333333333326</v>
      </c>
      <c r="BL2640" s="68"/>
      <c r="BM2640" s="48" t="s">
        <v>6</v>
      </c>
      <c r="BN2640" s="68">
        <f>+T2640*W2640*(Z2640+AC2640)+AF2640*AI2640+AQ2640*AT2640^2/AW2640</f>
        <v>50.208333333333329</v>
      </c>
      <c r="BO2640" s="68"/>
      <c r="BP2640" s="68"/>
      <c r="BQ2640" s="48" t="s">
        <v>7</v>
      </c>
      <c r="BR2640" s="59">
        <v>0</v>
      </c>
      <c r="BT2640" s="1" t="s">
        <v>514</v>
      </c>
      <c r="CC2640" s="7"/>
    </row>
    <row r="2641" spans="2:81">
      <c r="B2641" s="6"/>
      <c r="C2641" s="24" t="s">
        <v>810</v>
      </c>
      <c r="CC2641" s="7"/>
    </row>
    <row r="2642" spans="2:81">
      <c r="B2642" s="6"/>
      <c r="C2642" s="1" t="s">
        <v>708</v>
      </c>
      <c r="H2642" s="1" t="s">
        <v>508</v>
      </c>
      <c r="J2642" s="66">
        <f>+T2612</f>
        <v>1.6666666666666667</v>
      </c>
      <c r="K2642" s="66"/>
      <c r="L2642" s="1" t="s">
        <v>254</v>
      </c>
      <c r="M2642" s="1">
        <v>2</v>
      </c>
      <c r="N2642" s="9" t="s">
        <v>9</v>
      </c>
      <c r="O2642" s="9" t="s">
        <v>4</v>
      </c>
      <c r="P2642" s="9" t="s">
        <v>5</v>
      </c>
      <c r="Q2642" s="66">
        <f>+J2642</f>
        <v>1.6666666666666667</v>
      </c>
      <c r="R2642" s="66"/>
      <c r="S2642" s="1" t="s">
        <v>321</v>
      </c>
      <c r="T2642" s="1">
        <v>6</v>
      </c>
      <c r="U2642" s="9" t="s">
        <v>6</v>
      </c>
      <c r="V2642" s="66">
        <f>+Q2623</f>
        <v>1.6666666666666667</v>
      </c>
      <c r="W2642" s="66"/>
      <c r="X2642" s="9" t="s">
        <v>5</v>
      </c>
      <c r="Y2642" s="66">
        <f>+Q2642</f>
        <v>1.6666666666666667</v>
      </c>
      <c r="Z2642" s="66"/>
      <c r="AA2642" s="1" t="s">
        <v>403</v>
      </c>
      <c r="AB2642" s="66">
        <v>24</v>
      </c>
      <c r="AC2642" s="66"/>
      <c r="AD2642" s="9"/>
      <c r="AI2642" s="9"/>
      <c r="AJ2642" s="9"/>
      <c r="AK2642" s="9"/>
      <c r="AN2642" s="9"/>
      <c r="CC2642" s="7"/>
    </row>
    <row r="2643" spans="2:81">
      <c r="B2643" s="6"/>
      <c r="C2643" s="1" t="s">
        <v>709</v>
      </c>
      <c r="E2643" s="1" t="s">
        <v>508</v>
      </c>
      <c r="G2643" s="66">
        <f>+J2642^2/M2642</f>
        <v>1.3888888888888891</v>
      </c>
      <c r="H2643" s="66"/>
      <c r="I2643" s="9" t="s">
        <v>9</v>
      </c>
      <c r="J2643" s="9" t="s">
        <v>4</v>
      </c>
      <c r="K2643" s="9" t="s">
        <v>5</v>
      </c>
      <c r="L2643" s="66">
        <f>Q2642^3/T2642</f>
        <v>0.77160493827160515</v>
      </c>
      <c r="M2643" s="66"/>
      <c r="N2643" s="9" t="s">
        <v>6</v>
      </c>
      <c r="O2643" s="66">
        <f>+V2642*Y2642^4/AB2642</f>
        <v>0.53583676268861469</v>
      </c>
      <c r="P2643" s="66"/>
      <c r="Q2643" s="66"/>
      <c r="R2643" s="1" t="s">
        <v>255</v>
      </c>
      <c r="S2643" s="9" t="s">
        <v>710</v>
      </c>
      <c r="T2643" s="9" t="s">
        <v>5</v>
      </c>
      <c r="U2643" s="60" t="s">
        <v>687</v>
      </c>
      <c r="V2643" s="1" t="s">
        <v>40</v>
      </c>
      <c r="CC2643" s="7"/>
    </row>
    <row r="2644" spans="2:81">
      <c r="B2644" s="6"/>
      <c r="C2644" s="1" t="s">
        <v>811</v>
      </c>
      <c r="K2644" s="9" t="s">
        <v>809</v>
      </c>
      <c r="L2644" s="9" t="s">
        <v>5</v>
      </c>
      <c r="M2644" s="66">
        <f>+T2619</f>
        <v>1.6666666666666667</v>
      </c>
      <c r="N2644" s="66"/>
      <c r="O2644" s="1" t="s">
        <v>660</v>
      </c>
      <c r="P2644" s="1">
        <v>3</v>
      </c>
      <c r="Q2644" s="9" t="s">
        <v>5</v>
      </c>
      <c r="R2644" s="9" t="s">
        <v>710</v>
      </c>
      <c r="S2644" s="9" t="s">
        <v>5</v>
      </c>
      <c r="T2644" s="60" t="s">
        <v>690</v>
      </c>
      <c r="U2644" s="1" t="s">
        <v>201</v>
      </c>
      <c r="V2644" s="66">
        <f>+M2644^3/P2644</f>
        <v>1.5432098765432103</v>
      </c>
      <c r="W2644" s="66"/>
      <c r="X2644" s="9" t="s">
        <v>5</v>
      </c>
      <c r="Y2644" s="9" t="s">
        <v>809</v>
      </c>
      <c r="Z2644" s="1" t="s">
        <v>275</v>
      </c>
      <c r="AA2644" s="9" t="s">
        <v>710</v>
      </c>
      <c r="AB2644" s="9" t="s">
        <v>5</v>
      </c>
      <c r="AC2644" s="60" t="s">
        <v>690</v>
      </c>
      <c r="AD2644" s="1" t="s">
        <v>40</v>
      </c>
      <c r="AF2644" s="1" t="s">
        <v>715</v>
      </c>
      <c r="CC2644" s="7"/>
    </row>
    <row r="2645" spans="2:81">
      <c r="B2645" s="6"/>
      <c r="C2645" s="1" t="s">
        <v>716</v>
      </c>
      <c r="Y2645" s="9"/>
      <c r="CC2645" s="7"/>
    </row>
    <row r="2646" spans="2:81">
      <c r="B2646" s="6"/>
      <c r="C2646" s="9" t="s">
        <v>518</v>
      </c>
      <c r="D2646" s="1" t="s">
        <v>508</v>
      </c>
      <c r="F2646" s="66">
        <f>+G2643</f>
        <v>1.3888888888888891</v>
      </c>
      <c r="G2646" s="66"/>
      <c r="H2646" s="9" t="s">
        <v>9</v>
      </c>
      <c r="I2646" s="9" t="s">
        <v>4</v>
      </c>
      <c r="J2646" s="9" t="s">
        <v>5</v>
      </c>
      <c r="K2646" s="66">
        <f>+L2643</f>
        <v>0.77160493827160515</v>
      </c>
      <c r="L2646" s="66"/>
      <c r="M2646" s="9" t="s">
        <v>6</v>
      </c>
      <c r="N2646" s="66">
        <f>+O2643</f>
        <v>0.53583676268861469</v>
      </c>
      <c r="O2646" s="66"/>
      <c r="P2646" s="66"/>
      <c r="Q2646" s="1" t="s">
        <v>255</v>
      </c>
      <c r="R2646" s="9" t="s">
        <v>710</v>
      </c>
      <c r="S2646" s="9" t="s">
        <v>5</v>
      </c>
      <c r="T2646" s="60" t="s">
        <v>687</v>
      </c>
      <c r="U2646" s="1" t="s">
        <v>201</v>
      </c>
      <c r="V2646" s="66">
        <f>+V2644</f>
        <v>1.5432098765432103</v>
      </c>
      <c r="W2646" s="66"/>
      <c r="X2646" s="9" t="s">
        <v>5</v>
      </c>
      <c r="Y2646" s="9" t="s">
        <v>809</v>
      </c>
      <c r="Z2646" s="1" t="s">
        <v>275</v>
      </c>
      <c r="AA2646" s="9" t="s">
        <v>710</v>
      </c>
      <c r="AB2646" s="9" t="s">
        <v>5</v>
      </c>
      <c r="AC2646" s="60" t="s">
        <v>690</v>
      </c>
      <c r="AD2646" s="1" t="s">
        <v>40</v>
      </c>
      <c r="CC2646" s="7"/>
    </row>
    <row r="2647" spans="2:81">
      <c r="B2647" s="6"/>
      <c r="C2647" s="1" t="s">
        <v>508</v>
      </c>
      <c r="E2647" s="66">
        <f>F2646/(AT2619*10000)</f>
        <v>1.5083502268558744E-9</v>
      </c>
      <c r="F2647" s="66"/>
      <c r="G2647" s="66"/>
      <c r="H2647" s="9" t="s">
        <v>9</v>
      </c>
      <c r="I2647" s="9" t="s">
        <v>4</v>
      </c>
      <c r="J2647" s="9" t="s">
        <v>5</v>
      </c>
      <c r="K2647" s="66">
        <f>K2646/(AT2619*10000)</f>
        <v>8.3797234825326367E-10</v>
      </c>
      <c r="L2647" s="66"/>
      <c r="M2647" s="66"/>
      <c r="N2647" s="9" t="s">
        <v>6</v>
      </c>
      <c r="O2647" s="66">
        <f>N2646/(AT2619*10000)</f>
        <v>5.8192524184254416E-10</v>
      </c>
      <c r="P2647" s="66"/>
      <c r="Q2647" s="66"/>
      <c r="R2647" s="9" t="s">
        <v>7</v>
      </c>
      <c r="S2647" s="9" t="s">
        <v>809</v>
      </c>
      <c r="T2647" s="9" t="s">
        <v>5</v>
      </c>
      <c r="U2647" s="66">
        <f>V2646/(BH2619*10000)</f>
        <v>1.8459448284009691E-8</v>
      </c>
      <c r="V2647" s="66"/>
      <c r="W2647" s="66"/>
      <c r="CC2647" s="7"/>
    </row>
    <row r="2648" spans="2:81">
      <c r="B2648" s="6"/>
      <c r="C2648" s="58" t="s">
        <v>508</v>
      </c>
      <c r="D2648" s="49"/>
      <c r="E2648" s="68">
        <f>+E2647</f>
        <v>1.5083502268558744E-9</v>
      </c>
      <c r="F2648" s="68"/>
      <c r="G2648" s="68"/>
      <c r="H2648" s="48" t="s">
        <v>9</v>
      </c>
      <c r="I2648" s="48" t="s">
        <v>4</v>
      </c>
      <c r="J2648" s="48" t="s">
        <v>5</v>
      </c>
      <c r="K2648" s="68">
        <f>+K2647</f>
        <v>8.3797234825326367E-10</v>
      </c>
      <c r="L2648" s="68"/>
      <c r="M2648" s="68"/>
      <c r="N2648" s="48" t="s">
        <v>6</v>
      </c>
      <c r="O2648" s="48" t="s">
        <v>809</v>
      </c>
      <c r="P2648" s="48" t="s">
        <v>5</v>
      </c>
      <c r="Q2648" s="68">
        <f>+U2647</f>
        <v>1.8459448284009691E-8</v>
      </c>
      <c r="R2648" s="68"/>
      <c r="S2648" s="68"/>
      <c r="T2648" s="48" t="s">
        <v>6</v>
      </c>
      <c r="U2648" s="68">
        <f>+O2647</f>
        <v>5.8192524184254416E-10</v>
      </c>
      <c r="V2648" s="68"/>
      <c r="W2648" s="68"/>
      <c r="X2648" s="48" t="s">
        <v>7</v>
      </c>
      <c r="Y2648" s="59">
        <v>0</v>
      </c>
      <c r="AA2648" s="1" t="s">
        <v>468</v>
      </c>
      <c r="CC2648" s="7"/>
    </row>
    <row r="2649" spans="2:81">
      <c r="B2649" s="6"/>
      <c r="C2649" s="24" t="s">
        <v>367</v>
      </c>
      <c r="G2649" s="9"/>
      <c r="CC2649" s="7"/>
    </row>
    <row r="2650" spans="2:81">
      <c r="B2650" s="6"/>
      <c r="C2650" s="1" t="s">
        <v>405</v>
      </c>
      <c r="E2650" s="66">
        <f>+V2650</f>
        <v>74.913307807329574</v>
      </c>
      <c r="F2650" s="66"/>
      <c r="G2650" s="66"/>
      <c r="H2650" s="2"/>
      <c r="I2650" s="40">
        <f>+AO2633</f>
        <v>1.3888888888888891</v>
      </c>
      <c r="J2650" s="40">
        <v>0</v>
      </c>
      <c r="K2650" s="40">
        <v>0</v>
      </c>
      <c r="L2650" s="40">
        <v>0</v>
      </c>
      <c r="M2650" s="40">
        <v>-1</v>
      </c>
      <c r="N2650" s="40">
        <f>+AT2633</f>
        <v>-1.8754286694101512</v>
      </c>
      <c r="O2650" s="40"/>
      <c r="P2650" s="40"/>
      <c r="Q2650" s="40" cm="1">
        <f t="array" ref="Q2650:U2654">MINVERSE(I2650:M2654)</f>
        <v>0</v>
      </c>
      <c r="R2650" s="40">
        <v>0</v>
      </c>
      <c r="S2650" s="40">
        <v>-2.7912486064659983</v>
      </c>
      <c r="T2650" s="40">
        <v>1.1497849976110848</v>
      </c>
      <c r="U2650" s="40">
        <v>-99303858.576206401</v>
      </c>
      <c r="V2650" s="40" cm="1">
        <f t="array" ref="V2650:V2654">MMULT(Q2650:U2654,N2650:N2654)</f>
        <v>74.913307807329574</v>
      </c>
      <c r="W2650" s="2"/>
      <c r="X2650" s="2"/>
      <c r="Y2650" s="2"/>
      <c r="Z2650" s="2"/>
      <c r="AA2650" s="2"/>
      <c r="AB2650" s="2"/>
      <c r="AC2650" s="2"/>
      <c r="AD2650" s="2"/>
      <c r="AE2650" s="2"/>
      <c r="AF2650" s="2"/>
      <c r="AG2650" s="2"/>
      <c r="AH2650" s="2"/>
      <c r="AI2650" s="2"/>
      <c r="AJ2650" s="2"/>
      <c r="AK2650" s="2"/>
      <c r="AL2650" s="2"/>
      <c r="AM2650" s="2"/>
      <c r="AN2650" s="2"/>
      <c r="AO2650" s="2"/>
      <c r="AP2650" s="2"/>
      <c r="AQ2650" s="2"/>
      <c r="AR2650" s="2"/>
      <c r="AS2650" s="2"/>
      <c r="AT2650" s="2"/>
      <c r="AU2650" s="2"/>
      <c r="AV2650" s="2"/>
      <c r="AW2650" s="2"/>
      <c r="CC2650" s="7"/>
    </row>
    <row r="2651" spans="2:81">
      <c r="B2651" s="6"/>
      <c r="C2651" s="1" t="s">
        <v>8</v>
      </c>
      <c r="E2651" s="66">
        <f t="shared" ref="E2651:E2654" si="15">+V2651</f>
        <v>-51.322984684397731</v>
      </c>
      <c r="F2651" s="66"/>
      <c r="G2651" s="66"/>
      <c r="H2651" s="2"/>
      <c r="I2651" s="40">
        <f>+AO2636</f>
        <v>1.6666666666666667</v>
      </c>
      <c r="J2651" s="40">
        <v>0</v>
      </c>
      <c r="K2651" s="40">
        <v>0</v>
      </c>
      <c r="L2651" s="40">
        <v>-1</v>
      </c>
      <c r="M2651" s="40">
        <v>0</v>
      </c>
      <c r="N2651" s="40">
        <f>+AT2636</f>
        <v>-7.3945473251028817</v>
      </c>
      <c r="O2651" s="40"/>
      <c r="P2651" s="40"/>
      <c r="Q2651" s="40">
        <v>0</v>
      </c>
      <c r="R2651" s="40">
        <v>0</v>
      </c>
      <c r="S2651" s="40">
        <v>1.1747491638795988</v>
      </c>
      <c r="T2651" s="40">
        <v>-8.9870998566650817E-2</v>
      </c>
      <c r="U2651" s="40">
        <v>59582315.145723842</v>
      </c>
      <c r="V2651" s="40">
        <v>-51.322984684397731</v>
      </c>
      <c r="W2651" s="2"/>
      <c r="X2651" s="2"/>
      <c r="Y2651" s="2"/>
      <c r="Z2651" s="2"/>
      <c r="AA2651" s="2"/>
      <c r="AB2651" s="2"/>
      <c r="AC2651" s="2"/>
      <c r="AD2651" s="2"/>
      <c r="AE2651" s="2"/>
      <c r="AF2651" s="2"/>
      <c r="AG2651" s="2"/>
      <c r="AH2651" s="2"/>
      <c r="AI2651" s="2"/>
      <c r="AJ2651" s="2"/>
      <c r="AK2651" s="2"/>
      <c r="AL2651" s="2"/>
      <c r="AM2651" s="2"/>
      <c r="AN2651" s="2"/>
      <c r="AO2651" s="2"/>
      <c r="AP2651" s="2"/>
      <c r="AQ2651" s="2"/>
      <c r="AR2651" s="2"/>
      <c r="AS2651" s="2"/>
      <c r="AT2651" s="2"/>
      <c r="AU2651" s="2"/>
      <c r="AV2651" s="2"/>
      <c r="AW2651" s="2"/>
      <c r="CC2651" s="7"/>
    </row>
    <row r="2652" spans="2:81">
      <c r="B2652" s="6"/>
      <c r="C2652" s="1" t="s">
        <v>812</v>
      </c>
      <c r="E2652" s="66">
        <f t="shared" si="15"/>
        <v>3.8229846843977349</v>
      </c>
      <c r="F2652" s="66"/>
      <c r="G2652" s="66"/>
      <c r="H2652" s="2"/>
      <c r="I2652" s="40">
        <v>0</v>
      </c>
      <c r="J2652" s="40">
        <v>1</v>
      </c>
      <c r="K2652" s="40">
        <v>1</v>
      </c>
      <c r="L2652" s="40">
        <v>0</v>
      </c>
      <c r="M2652" s="40">
        <v>0</v>
      </c>
      <c r="N2652" s="40">
        <f>-Z2638</f>
        <v>-47.5</v>
      </c>
      <c r="O2652" s="40"/>
      <c r="P2652" s="40"/>
      <c r="Q2652" s="40">
        <v>0</v>
      </c>
      <c r="R2652" s="40">
        <v>0</v>
      </c>
      <c r="S2652" s="40">
        <v>-0.1747491638795988</v>
      </c>
      <c r="T2652" s="40">
        <v>8.9870998566650748E-2</v>
      </c>
      <c r="U2652" s="40">
        <v>-59582315.145723835</v>
      </c>
      <c r="V2652" s="40">
        <v>3.8229846843977349</v>
      </c>
      <c r="W2652" s="2"/>
      <c r="X2652" s="2"/>
      <c r="Y2652" s="2"/>
      <c r="Z2652" s="2"/>
      <c r="AA2652" s="2"/>
      <c r="AB2652" s="2"/>
      <c r="AC2652" s="2"/>
      <c r="AD2652" s="2"/>
      <c r="AE2652" s="2"/>
      <c r="AF2652" s="2"/>
      <c r="AG2652" s="2"/>
      <c r="AH2652" s="2"/>
      <c r="AI2652" s="2"/>
      <c r="AJ2652" s="2"/>
      <c r="AK2652" s="2"/>
      <c r="AL2652" s="2"/>
      <c r="AM2652" s="2"/>
      <c r="AN2652" s="2"/>
      <c r="AO2652" s="2"/>
      <c r="AP2652" s="2"/>
      <c r="AQ2652" s="2"/>
      <c r="AR2652" s="2"/>
      <c r="AS2652" s="2"/>
      <c r="AT2652" s="2"/>
      <c r="AU2652" s="2"/>
      <c r="AV2652" s="2"/>
      <c r="AW2652" s="2"/>
      <c r="CC2652" s="7"/>
    </row>
    <row r="2653" spans="2:81">
      <c r="B2653" s="6"/>
      <c r="C2653" s="1" t="s">
        <v>354</v>
      </c>
      <c r="E2653" s="66">
        <f t="shared" si="15"/>
        <v>132.25006033731881</v>
      </c>
      <c r="F2653" s="66"/>
      <c r="G2653" s="66"/>
      <c r="H2653" s="2"/>
      <c r="I2653" s="40">
        <v>1</v>
      </c>
      <c r="J2653" s="40">
        <f>+BF2640</f>
        <v>2.5</v>
      </c>
      <c r="K2653" s="40">
        <f>+BK2640</f>
        <v>0.83333333333333326</v>
      </c>
      <c r="L2653" s="40">
        <v>0</v>
      </c>
      <c r="M2653" s="40">
        <v>0</v>
      </c>
      <c r="N2653" s="40">
        <f>-BN2640</f>
        <v>-50.208333333333329</v>
      </c>
      <c r="O2653" s="40"/>
      <c r="P2653" s="40"/>
      <c r="Q2653" s="40">
        <v>0</v>
      </c>
      <c r="R2653" s="40">
        <v>-1</v>
      </c>
      <c r="S2653" s="40">
        <v>-4.6520810107766639</v>
      </c>
      <c r="T2653" s="40">
        <v>1.9163083293518079</v>
      </c>
      <c r="U2653" s="40">
        <v>-165506430.96034402</v>
      </c>
      <c r="V2653" s="40">
        <v>132.25006033731881</v>
      </c>
      <c r="W2653" s="2"/>
      <c r="X2653" s="2"/>
      <c r="Y2653" s="2"/>
      <c r="Z2653" s="2"/>
      <c r="AA2653" s="2"/>
      <c r="AB2653" s="2"/>
      <c r="AC2653" s="2"/>
      <c r="AD2653" s="2"/>
      <c r="AE2653" s="2"/>
      <c r="AF2653" s="2"/>
      <c r="AG2653" s="2"/>
      <c r="AH2653" s="2"/>
      <c r="AI2653" s="2"/>
      <c r="AJ2653" s="2"/>
      <c r="AK2653" s="2"/>
      <c r="AL2653" s="2"/>
      <c r="AM2653" s="2"/>
      <c r="AN2653" s="2"/>
      <c r="AO2653" s="2"/>
      <c r="AP2653" s="2"/>
      <c r="AQ2653" s="2"/>
      <c r="AR2653" s="2"/>
      <c r="AS2653" s="72"/>
      <c r="AT2653" s="72"/>
      <c r="AU2653" s="72"/>
      <c r="AV2653" s="72"/>
      <c r="AW2653" s="2"/>
      <c r="CC2653" s="7"/>
    </row>
    <row r="2654" spans="2:81">
      <c r="B2654" s="6"/>
      <c r="C2654" s="1" t="s">
        <v>355</v>
      </c>
      <c r="E2654" s="66">
        <f t="shared" si="15"/>
        <v>105.92168951292345</v>
      </c>
      <c r="F2654" s="66"/>
      <c r="G2654" s="66"/>
      <c r="H2654" s="2"/>
      <c r="I2654" s="40">
        <f>+E2648</f>
        <v>1.5083502268558744E-9</v>
      </c>
      <c r="J2654" s="40">
        <f>+K2648</f>
        <v>8.3797234825326367E-10</v>
      </c>
      <c r="K2654" s="40">
        <f>-Q2648</f>
        <v>-1.8459448284009691E-8</v>
      </c>
      <c r="L2654" s="40">
        <v>0</v>
      </c>
      <c r="M2654" s="40">
        <v>0</v>
      </c>
      <c r="N2654" s="40">
        <f>-U2648</f>
        <v>-5.8192524184254416E-10</v>
      </c>
      <c r="O2654" s="40"/>
      <c r="P2654" s="40"/>
      <c r="Q2654" s="40">
        <v>-1</v>
      </c>
      <c r="R2654" s="40">
        <v>0</v>
      </c>
      <c r="S2654" s="40">
        <v>-3.8767341756472198</v>
      </c>
      <c r="T2654" s="40">
        <v>1.5969236077931734</v>
      </c>
      <c r="U2654" s="40">
        <v>-137922025.80028668</v>
      </c>
      <c r="V2654" s="40">
        <v>105.92168951292345</v>
      </c>
      <c r="W2654" s="2"/>
      <c r="X2654" s="2"/>
      <c r="Y2654" s="2"/>
      <c r="Z2654" s="2"/>
      <c r="AA2654" s="2"/>
      <c r="AB2654" s="2"/>
      <c r="AC2654" s="2"/>
      <c r="AD2654" s="2"/>
      <c r="AE2654" s="2"/>
      <c r="AF2654" s="2"/>
      <c r="AG2654" s="2"/>
      <c r="AH2654" s="2"/>
      <c r="AI2654" s="2"/>
      <c r="AJ2654" s="2"/>
      <c r="AK2654" s="2"/>
      <c r="AL2654" s="2"/>
      <c r="AM2654" s="2"/>
      <c r="AN2654" s="2"/>
      <c r="AO2654" s="2"/>
      <c r="AP2654" s="2"/>
      <c r="AQ2654" s="2"/>
      <c r="AR2654" s="2"/>
      <c r="AS2654" s="2"/>
      <c r="AT2654" s="2"/>
      <c r="AU2654" s="2"/>
      <c r="AV2654" s="2"/>
      <c r="AW2654" s="2"/>
      <c r="CC2654" s="7"/>
    </row>
    <row r="2655" spans="2:81">
      <c r="B2655" s="6"/>
      <c r="C2655" s="23" t="s">
        <v>813</v>
      </c>
      <c r="E2655" s="9"/>
      <c r="F2655" s="9"/>
      <c r="G2655" s="9"/>
      <c r="CC2655" s="7"/>
    </row>
    <row r="2656" spans="2:81">
      <c r="B2656" s="6"/>
      <c r="C2656" s="24" t="s">
        <v>340</v>
      </c>
      <c r="CC2656" s="7"/>
    </row>
    <row r="2657" spans="2:81">
      <c r="B2657" s="6"/>
      <c r="C2657" s="1" t="s">
        <v>35</v>
      </c>
      <c r="E2657" s="1" t="s">
        <v>508</v>
      </c>
      <c r="G2657" s="9" t="s">
        <v>183</v>
      </c>
      <c r="H2657" s="1" t="s">
        <v>173</v>
      </c>
      <c r="I2657" s="1">
        <v>2</v>
      </c>
      <c r="J2657" s="9" t="s">
        <v>9</v>
      </c>
      <c r="K2657" s="9" t="s">
        <v>4</v>
      </c>
      <c r="L2657" s="9" t="s">
        <v>5</v>
      </c>
      <c r="M2657" s="1" t="s">
        <v>184</v>
      </c>
      <c r="N2657" s="1" t="s">
        <v>173</v>
      </c>
      <c r="O2657" s="1">
        <v>6</v>
      </c>
      <c r="P2657" s="9" t="s">
        <v>6</v>
      </c>
      <c r="Q2657" s="66">
        <f>+Q2623</f>
        <v>1.6666666666666667</v>
      </c>
      <c r="R2657" s="66"/>
      <c r="S2657" s="9" t="s">
        <v>5</v>
      </c>
      <c r="T2657" s="1" t="s">
        <v>185</v>
      </c>
      <c r="U2657" s="1" t="s">
        <v>173</v>
      </c>
      <c r="V2657" s="66">
        <v>24</v>
      </c>
      <c r="W2657" s="66"/>
      <c r="X2657" s="9" t="s">
        <v>9</v>
      </c>
      <c r="Y2657" s="1" t="s">
        <v>24</v>
      </c>
      <c r="Z2657" s="9" t="s">
        <v>5</v>
      </c>
      <c r="AA2657" s="9" t="s">
        <v>13</v>
      </c>
      <c r="AB2657" s="9" t="s">
        <v>9</v>
      </c>
      <c r="AC2657" s="1" t="s">
        <v>307</v>
      </c>
      <c r="AD2657" s="1" t="s">
        <v>322</v>
      </c>
      <c r="AE2657" s="9"/>
      <c r="AH2657" s="9"/>
      <c r="AI2657" s="9"/>
      <c r="AL2657" s="9"/>
      <c r="AM2657" s="9"/>
      <c r="AN2657" s="9"/>
      <c r="AO2657" s="9"/>
      <c r="AR2657" s="9"/>
      <c r="AT2657" s="9"/>
      <c r="AU2657" s="9"/>
      <c r="AV2657" s="9"/>
      <c r="CC2657" s="7"/>
    </row>
    <row r="2658" spans="2:81">
      <c r="B2658" s="6"/>
      <c r="C2658" s="1" t="s">
        <v>27</v>
      </c>
      <c r="D2658" s="67">
        <f>+T2599</f>
        <v>1.6666666666666667</v>
      </c>
      <c r="E2658" s="67"/>
      <c r="F2658" s="67"/>
      <c r="G2658" s="1" t="s">
        <v>42</v>
      </c>
      <c r="P2658" s="8" t="str">
        <f>IF(D2658&lt;=T2612,"","azalt.")</f>
        <v/>
      </c>
      <c r="CC2658" s="7"/>
    </row>
    <row r="2659" spans="2:81">
      <c r="B2659" s="6"/>
      <c r="C2659" s="1" t="s">
        <v>35</v>
      </c>
      <c r="E2659" s="66">
        <f>+E2650</f>
        <v>74.913307807329574</v>
      </c>
      <c r="F2659" s="66"/>
      <c r="G2659" s="66"/>
      <c r="H2659" s="9" t="s">
        <v>5</v>
      </c>
      <c r="I2659" s="66">
        <f>+D2658</f>
        <v>1.6666666666666667</v>
      </c>
      <c r="J2659" s="66"/>
      <c r="K2659" s="1" t="s">
        <v>254</v>
      </c>
      <c r="L2659" s="1">
        <v>2</v>
      </c>
      <c r="M2659" s="9" t="s">
        <v>9</v>
      </c>
      <c r="N2659" s="66">
        <f>+E2651</f>
        <v>-51.322984684397731</v>
      </c>
      <c r="O2659" s="66"/>
      <c r="P2659" s="66"/>
      <c r="Q2659" s="9" t="s">
        <v>5</v>
      </c>
      <c r="R2659" s="66">
        <f>+I2659</f>
        <v>1.6666666666666667</v>
      </c>
      <c r="S2659" s="66"/>
      <c r="T2659" s="1" t="s">
        <v>321</v>
      </c>
      <c r="U2659" s="1">
        <v>6</v>
      </c>
      <c r="V2659" s="9" t="s">
        <v>6</v>
      </c>
      <c r="W2659" s="66">
        <f>+Q2657</f>
        <v>1.6666666666666667</v>
      </c>
      <c r="X2659" s="66"/>
      <c r="Y2659" s="9" t="s">
        <v>5</v>
      </c>
      <c r="Z2659" s="66">
        <f>+R2659</f>
        <v>1.6666666666666667</v>
      </c>
      <c r="AA2659" s="66"/>
      <c r="AB2659" s="1" t="s">
        <v>403</v>
      </c>
      <c r="AC2659" s="66">
        <v>24</v>
      </c>
      <c r="AD2659" s="66"/>
      <c r="AE2659" s="1" t="s">
        <v>193</v>
      </c>
      <c r="AH2659" s="66">
        <f>+AT2603</f>
        <v>200000</v>
      </c>
      <c r="AI2659" s="66"/>
      <c r="AJ2659" s="66"/>
      <c r="AK2659" s="9" t="s">
        <v>5</v>
      </c>
      <c r="AL2659" s="66">
        <f>+AT2619</f>
        <v>92080</v>
      </c>
      <c r="AM2659" s="66"/>
      <c r="AN2659" s="66"/>
      <c r="AO2659" s="1" t="s">
        <v>40</v>
      </c>
      <c r="AX2659" s="9"/>
      <c r="BA2659" s="9"/>
      <c r="BE2659" s="9"/>
      <c r="BH2659" s="9"/>
      <c r="CC2659" s="7"/>
    </row>
    <row r="2660" spans="2:81">
      <c r="B2660" s="6"/>
      <c r="C2660" s="1" t="s">
        <v>33</v>
      </c>
      <c r="E2660" s="66">
        <f>(E2659*I2659^2/L2659+N2659*R2659^3/U2659-W2659*Z2659^4/AC2659)*100000000/(AH2659*AL2659)</f>
        <v>0.34703168794257944</v>
      </c>
      <c r="F2660" s="66"/>
      <c r="G2660" s="66"/>
      <c r="H2660" s="1" t="s">
        <v>41</v>
      </c>
      <c r="L2660" s="9"/>
      <c r="CC2660" s="7"/>
    </row>
    <row r="2661" spans="2:81">
      <c r="B2661" s="6"/>
      <c r="C2661" s="1" t="s">
        <v>202</v>
      </c>
      <c r="H2661" s="66">
        <f>X2601*1000</f>
        <v>2500</v>
      </c>
      <c r="I2661" s="66"/>
      <c r="J2661" s="66"/>
      <c r="K2661" s="1" t="s">
        <v>173</v>
      </c>
      <c r="L2661" s="66">
        <v>200</v>
      </c>
      <c r="M2661" s="66"/>
      <c r="N2661" s="9" t="s">
        <v>7</v>
      </c>
      <c r="O2661" s="66">
        <f>+H2661/L2661</f>
        <v>12.5</v>
      </c>
      <c r="P2661" s="66"/>
      <c r="Q2661" s="66"/>
      <c r="R2661" s="1" t="s">
        <v>41</v>
      </c>
      <c r="U2661" s="1" t="s">
        <v>192</v>
      </c>
      <c r="CC2661" s="7"/>
    </row>
    <row r="2662" spans="2:81">
      <c r="B2662" s="6"/>
      <c r="C2662" s="1" t="s">
        <v>34</v>
      </c>
      <c r="D2662" s="66">
        <f>+E2660</f>
        <v>0.34703168794257944</v>
      </c>
      <c r="E2662" s="66"/>
      <c r="F2662" s="66"/>
      <c r="G2662" s="1" t="s">
        <v>41</v>
      </c>
      <c r="I2662" s="1" t="str">
        <f>IF(ABS(D2662)&lt;ABS(M2662),"&lt;","&gt;")</f>
        <v>&lt;</v>
      </c>
      <c r="J2662" s="1" t="s">
        <v>174</v>
      </c>
      <c r="M2662" s="66">
        <f>+O2661</f>
        <v>12.5</v>
      </c>
      <c r="N2662" s="66"/>
      <c r="O2662" s="66"/>
      <c r="P2662" s="1" t="s">
        <v>41</v>
      </c>
      <c r="R2662" s="8" t="str">
        <f>IF(ABS(D2662)&lt;ABS(M2662),"uygun.","uygun değil.")</f>
        <v>uygun.</v>
      </c>
      <c r="CC2662" s="7"/>
    </row>
    <row r="2663" spans="2:81">
      <c r="B2663" s="6"/>
      <c r="C2663" s="24" t="s">
        <v>339</v>
      </c>
      <c r="CC2663" s="7"/>
    </row>
    <row r="2664" spans="2:81">
      <c r="B2664" s="6"/>
      <c r="C2664" s="1" t="s">
        <v>35</v>
      </c>
      <c r="E2664" s="1" t="s">
        <v>508</v>
      </c>
      <c r="G2664" s="9" t="s">
        <v>443</v>
      </c>
      <c r="H2664" s="1" t="s">
        <v>173</v>
      </c>
      <c r="I2664" s="1">
        <v>2</v>
      </c>
      <c r="J2664" s="9" t="s">
        <v>9</v>
      </c>
      <c r="K2664" s="9" t="s">
        <v>4</v>
      </c>
      <c r="L2664" s="9" t="s">
        <v>14</v>
      </c>
      <c r="M2664" s="66">
        <f>+M2627</f>
        <v>1.6666666666666667</v>
      </c>
      <c r="N2664" s="66"/>
      <c r="O2664" s="9" t="s">
        <v>9</v>
      </c>
      <c r="P2664" s="9" t="s">
        <v>428</v>
      </c>
      <c r="Q2664" s="1" t="s">
        <v>311</v>
      </c>
      <c r="R2664" s="1" t="s">
        <v>173</v>
      </c>
      <c r="S2664" s="1">
        <v>6</v>
      </c>
      <c r="T2664" s="9" t="s">
        <v>6</v>
      </c>
      <c r="U2664" s="66">
        <f>+U2627</f>
        <v>25</v>
      </c>
      <c r="V2664" s="66"/>
      <c r="W2664" s="9" t="s">
        <v>14</v>
      </c>
      <c r="X2664" s="66">
        <f>+X2627</f>
        <v>0.83333333333333337</v>
      </c>
      <c r="Y2664" s="66"/>
      <c r="Z2664" s="9" t="s">
        <v>9</v>
      </c>
      <c r="AA2664" s="9" t="s">
        <v>428</v>
      </c>
      <c r="AB2664" s="1" t="s">
        <v>311</v>
      </c>
      <c r="AC2664" s="1" t="s">
        <v>173</v>
      </c>
      <c r="AD2664" s="1">
        <v>6</v>
      </c>
      <c r="AE2664" s="9" t="s">
        <v>6</v>
      </c>
      <c r="AF2664" s="66">
        <f>+AF2627</f>
        <v>4</v>
      </c>
      <c r="AG2664" s="66"/>
      <c r="AH2664" s="9" t="s">
        <v>5</v>
      </c>
      <c r="AI2664" s="9" t="s">
        <v>444</v>
      </c>
      <c r="AJ2664" s="1" t="s">
        <v>173</v>
      </c>
      <c r="AK2664" s="1">
        <v>6</v>
      </c>
      <c r="AL2664" s="9" t="s">
        <v>9</v>
      </c>
      <c r="AM2664" s="9" t="s">
        <v>809</v>
      </c>
      <c r="AN2664" s="9" t="s">
        <v>5</v>
      </c>
      <c r="AO2664" s="9" t="s">
        <v>444</v>
      </c>
      <c r="AP2664" s="1" t="s">
        <v>173</v>
      </c>
      <c r="AQ2664" s="1">
        <v>6</v>
      </c>
      <c r="AR2664" s="9" t="s">
        <v>9</v>
      </c>
      <c r="AS2664" s="1" t="s">
        <v>313</v>
      </c>
      <c r="AT2664" s="9" t="s">
        <v>5</v>
      </c>
      <c r="AU2664" s="9" t="s">
        <v>428</v>
      </c>
      <c r="AV2664" s="9" t="s">
        <v>9</v>
      </c>
      <c r="AW2664" s="1" t="s">
        <v>315</v>
      </c>
      <c r="AX2664" s="1" t="s">
        <v>322</v>
      </c>
      <c r="CC2664" s="7"/>
    </row>
    <row r="2665" spans="2:81">
      <c r="B2665" s="6"/>
      <c r="C2665" s="1" t="s">
        <v>482</v>
      </c>
      <c r="D2665" s="67">
        <v>0</v>
      </c>
      <c r="E2665" s="67"/>
      <c r="F2665" s="67"/>
      <c r="G2665" s="1" t="s">
        <v>42</v>
      </c>
      <c r="P2665" s="8" t="str">
        <f>IF(D2665&lt;=AC2599,"","azalt.")</f>
        <v/>
      </c>
      <c r="CC2665" s="7"/>
    </row>
    <row r="2666" spans="2:81">
      <c r="B2666" s="6"/>
      <c r="C2666" s="1" t="s">
        <v>35</v>
      </c>
      <c r="E2666" s="66">
        <f>+E2650</f>
        <v>74.913307807329574</v>
      </c>
      <c r="F2666" s="66"/>
      <c r="G2666" s="66"/>
      <c r="H2666" s="9" t="s">
        <v>5</v>
      </c>
      <c r="I2666" s="66">
        <f>+D2665</f>
        <v>0</v>
      </c>
      <c r="J2666" s="66"/>
      <c r="K2666" s="1" t="s">
        <v>254</v>
      </c>
      <c r="L2666" s="1">
        <v>2</v>
      </c>
      <c r="M2666" s="9" t="s">
        <v>9</v>
      </c>
      <c r="N2666" s="66">
        <f>+E2651</f>
        <v>-51.322984684397731</v>
      </c>
      <c r="O2666" s="66"/>
      <c r="P2666" s="66"/>
      <c r="Q2666" s="9" t="s">
        <v>14</v>
      </c>
      <c r="R2666" s="66">
        <f>+M2664</f>
        <v>1.6666666666666667</v>
      </c>
      <c r="S2666" s="66"/>
      <c r="T2666" s="9" t="s">
        <v>9</v>
      </c>
      <c r="U2666" s="66">
        <f>+I2666</f>
        <v>0</v>
      </c>
      <c r="V2666" s="66"/>
      <c r="W2666" s="1" t="s">
        <v>311</v>
      </c>
      <c r="X2666" s="1" t="s">
        <v>173</v>
      </c>
      <c r="Y2666" s="1">
        <v>6</v>
      </c>
      <c r="Z2666" s="9" t="s">
        <v>6</v>
      </c>
      <c r="AA2666" s="66">
        <f>+U2664</f>
        <v>25</v>
      </c>
      <c r="AB2666" s="66"/>
      <c r="AC2666" s="1" t="s">
        <v>14</v>
      </c>
      <c r="AD2666" s="66">
        <f>+X2664</f>
        <v>0.83333333333333337</v>
      </c>
      <c r="AE2666" s="66"/>
      <c r="AF2666" s="9" t="s">
        <v>9</v>
      </c>
      <c r="AG2666" s="66">
        <f>+U2666</f>
        <v>0</v>
      </c>
      <c r="AH2666" s="66"/>
      <c r="AI2666" s="1" t="s">
        <v>311</v>
      </c>
      <c r="AJ2666" s="1" t="s">
        <v>173</v>
      </c>
      <c r="AK2666" s="1">
        <v>6</v>
      </c>
      <c r="AL2666" s="9" t="s">
        <v>9</v>
      </c>
      <c r="AM2666" s="66">
        <f>+AF2664</f>
        <v>4</v>
      </c>
      <c r="AN2666" s="66"/>
      <c r="AO2666" s="9" t="s">
        <v>5</v>
      </c>
      <c r="AP2666" s="66">
        <f>+AG2666</f>
        <v>0</v>
      </c>
      <c r="AQ2666" s="66"/>
      <c r="AR2666" s="1" t="s">
        <v>321</v>
      </c>
      <c r="AS2666" s="1">
        <v>6</v>
      </c>
      <c r="AT2666" s="1" t="s">
        <v>9</v>
      </c>
      <c r="AU2666" s="66">
        <f>+E2652</f>
        <v>3.8229846843977349</v>
      </c>
      <c r="AV2666" s="66"/>
      <c r="AW2666" s="66"/>
      <c r="AX2666" s="9" t="s">
        <v>5</v>
      </c>
      <c r="AY2666" s="66">
        <f>+AP2666</f>
        <v>0</v>
      </c>
      <c r="AZ2666" s="66"/>
      <c r="BA2666" s="9" t="s">
        <v>9</v>
      </c>
      <c r="BB2666" s="66">
        <f>+E2653</f>
        <v>132.25006033731881</v>
      </c>
      <c r="BC2666" s="66"/>
      <c r="BD2666" s="66"/>
      <c r="BE2666" s="9" t="s">
        <v>5</v>
      </c>
      <c r="BF2666" s="66">
        <f>+AP2666</f>
        <v>0</v>
      </c>
      <c r="BG2666" s="66"/>
      <c r="BH2666" s="9" t="s">
        <v>9</v>
      </c>
      <c r="BI2666" s="66">
        <f>+E2654</f>
        <v>105.92168951292345</v>
      </c>
      <c r="BJ2666" s="66"/>
      <c r="BK2666" s="66"/>
      <c r="BL2666" s="1" t="s">
        <v>193</v>
      </c>
      <c r="BO2666" s="66">
        <f>+AT2603</f>
        <v>200000</v>
      </c>
      <c r="BP2666" s="66"/>
      <c r="BQ2666" s="66"/>
      <c r="BR2666" s="9" t="s">
        <v>5</v>
      </c>
      <c r="BS2666" s="66">
        <f>+AT2619</f>
        <v>92080</v>
      </c>
      <c r="BT2666" s="66"/>
      <c r="BU2666" s="66"/>
      <c r="BV2666" s="1" t="s">
        <v>40</v>
      </c>
      <c r="CC2666" s="7"/>
    </row>
    <row r="2667" spans="2:81">
      <c r="B2667" s="6"/>
      <c r="C2667" s="1" t="s">
        <v>33</v>
      </c>
      <c r="E2667" s="66">
        <f>(E2666*I2666^2/L2666+N2666*(R2666+U2666)^3/Y2666-AA2666*(AD2666+AG2666)^3/AK2666+AM2666*AP2666^3/AS2666+AU2666*AY2666+BB2666*BF2666+BI2666)*100000000/(BO2666*BS2666)</f>
        <v>0.34703168794257944</v>
      </c>
      <c r="F2667" s="66"/>
      <c r="G2667" s="66"/>
      <c r="H2667" s="1" t="s">
        <v>41</v>
      </c>
      <c r="L2667" s="9"/>
      <c r="CC2667" s="7"/>
    </row>
    <row r="2668" spans="2:81">
      <c r="B2668" s="6"/>
      <c r="C2668" s="1" t="s">
        <v>202</v>
      </c>
      <c r="H2668" s="66">
        <f>X2601*1000</f>
        <v>2500</v>
      </c>
      <c r="I2668" s="66"/>
      <c r="J2668" s="66"/>
      <c r="K2668" s="1" t="s">
        <v>173</v>
      </c>
      <c r="L2668" s="66">
        <v>200</v>
      </c>
      <c r="M2668" s="66"/>
      <c r="N2668" s="9" t="s">
        <v>7</v>
      </c>
      <c r="O2668" s="66">
        <f>+H2668/L2668</f>
        <v>12.5</v>
      </c>
      <c r="P2668" s="66"/>
      <c r="Q2668" s="66"/>
      <c r="R2668" s="1" t="s">
        <v>41</v>
      </c>
      <c r="U2668" s="1" t="s">
        <v>192</v>
      </c>
      <c r="CC2668" s="7"/>
    </row>
    <row r="2669" spans="2:81">
      <c r="B2669" s="6"/>
      <c r="C2669" s="1" t="s">
        <v>34</v>
      </c>
      <c r="D2669" s="66">
        <f>+E2667</f>
        <v>0.34703168794257944</v>
      </c>
      <c r="E2669" s="66"/>
      <c r="F2669" s="66"/>
      <c r="G2669" s="1" t="s">
        <v>41</v>
      </c>
      <c r="I2669" s="1" t="str">
        <f>IF(ABS(D2669)&lt;ABS(M2669),"&lt;","&gt;")</f>
        <v>&lt;</v>
      </c>
      <c r="J2669" s="1" t="s">
        <v>174</v>
      </c>
      <c r="M2669" s="66">
        <f>+O2668</f>
        <v>12.5</v>
      </c>
      <c r="N2669" s="66"/>
      <c r="O2669" s="66"/>
      <c r="P2669" s="1" t="s">
        <v>41</v>
      </c>
      <c r="R2669" s="8" t="str">
        <f>IF(ABS(D2669)&lt;ABS(M2669),"uygun.","uygun değil.")</f>
        <v>uygun.</v>
      </c>
      <c r="CC2669" s="7"/>
    </row>
    <row r="2670" spans="2:81">
      <c r="B2670" s="6"/>
      <c r="C2670" s="23" t="s">
        <v>814</v>
      </c>
      <c r="CC2670" s="7"/>
    </row>
    <row r="2671" spans="2:81">
      <c r="B2671" s="6"/>
      <c r="C2671" s="1" t="s">
        <v>811</v>
      </c>
      <c r="K2671" s="66">
        <f>+E2652*1000</f>
        <v>3822.9846843977348</v>
      </c>
      <c r="L2671" s="66"/>
      <c r="M2671" s="66"/>
      <c r="N2671" s="9" t="s">
        <v>5</v>
      </c>
      <c r="O2671" s="66">
        <f>+T2619*1000</f>
        <v>1666.6666666666667</v>
      </c>
      <c r="P2671" s="66"/>
      <c r="Q2671" s="66"/>
      <c r="R2671" s="1" t="s">
        <v>660</v>
      </c>
      <c r="S2671" s="1">
        <v>3</v>
      </c>
      <c r="T2671" s="9" t="s">
        <v>5</v>
      </c>
      <c r="U2671" s="66">
        <f>+AT2603</f>
        <v>200000</v>
      </c>
      <c r="V2671" s="66"/>
      <c r="W2671" s="66"/>
      <c r="X2671" s="9" t="s">
        <v>5</v>
      </c>
      <c r="Y2671" s="66">
        <f>+BH2619</f>
        <v>8360</v>
      </c>
      <c r="Z2671" s="66"/>
      <c r="AA2671" s="66"/>
      <c r="AB2671" s="9" t="s">
        <v>5</v>
      </c>
      <c r="AC2671" s="66">
        <v>10000</v>
      </c>
      <c r="AD2671" s="66"/>
      <c r="AE2671" s="66"/>
      <c r="AF2671" s="1" t="s">
        <v>40</v>
      </c>
      <c r="CC2671" s="7"/>
    </row>
    <row r="2672" spans="2:81">
      <c r="B2672" s="6"/>
      <c r="C2672" s="1" t="s">
        <v>718</v>
      </c>
      <c r="E2672" s="66">
        <f>K2671*O2671^3/(S2671*U2671*Y2671*AC2671)</f>
        <v>0.35285094036100539</v>
      </c>
      <c r="F2672" s="66"/>
      <c r="G2672" s="66"/>
      <c r="H2672" s="1" t="s">
        <v>41</v>
      </c>
      <c r="CC2672" s="7"/>
    </row>
    <row r="2673" spans="2:81">
      <c r="B2673" s="6"/>
      <c r="C2673" s="1" t="s">
        <v>202</v>
      </c>
      <c r="H2673" s="66">
        <f>T2619*1000</f>
        <v>1666.6666666666667</v>
      </c>
      <c r="I2673" s="66"/>
      <c r="J2673" s="66"/>
      <c r="K2673" s="1" t="s">
        <v>173</v>
      </c>
      <c r="L2673" s="66">
        <v>200</v>
      </c>
      <c r="M2673" s="66"/>
      <c r="N2673" s="9" t="s">
        <v>7</v>
      </c>
      <c r="O2673" s="66">
        <f>+H2673/L2673</f>
        <v>8.3333333333333339</v>
      </c>
      <c r="P2673" s="66"/>
      <c r="Q2673" s="66"/>
      <c r="R2673" s="1" t="s">
        <v>41</v>
      </c>
      <c r="U2673" s="1" t="s">
        <v>192</v>
      </c>
      <c r="CC2673" s="7"/>
    </row>
    <row r="2674" spans="2:81">
      <c r="B2674" s="6"/>
      <c r="C2674" s="1" t="s">
        <v>718</v>
      </c>
      <c r="E2674" s="66">
        <f>+E2672</f>
        <v>0.35285094036100539</v>
      </c>
      <c r="F2674" s="66"/>
      <c r="G2674" s="66"/>
      <c r="H2674" s="1" t="s">
        <v>41</v>
      </c>
      <c r="J2674" s="1" t="str">
        <f>IF(ABS(E2674)&lt;ABS(N2674),"&lt;","&gt;")</f>
        <v>&lt;</v>
      </c>
      <c r="K2674" s="1" t="s">
        <v>174</v>
      </c>
      <c r="N2674" s="66">
        <f>+O2673</f>
        <v>8.3333333333333339</v>
      </c>
      <c r="O2674" s="66"/>
      <c r="P2674" s="66"/>
      <c r="Q2674" s="1" t="s">
        <v>41</v>
      </c>
      <c r="S2674" s="8" t="str">
        <f>IF(ABS(E2674)&lt;ABS(N2674),"uygun.","uygun değil.")</f>
        <v>uygun.</v>
      </c>
      <c r="CC2674" s="7"/>
    </row>
    <row r="2675" spans="2:81" ht="12" thickBot="1">
      <c r="B2675" s="12"/>
      <c r="C2675" s="13"/>
      <c r="D2675" s="13"/>
      <c r="E2675" s="13"/>
      <c r="F2675" s="13"/>
      <c r="G2675" s="13"/>
      <c r="H2675" s="13"/>
      <c r="I2675" s="13"/>
      <c r="J2675" s="13"/>
      <c r="K2675" s="13"/>
      <c r="L2675" s="13"/>
      <c r="M2675" s="13"/>
      <c r="N2675" s="13"/>
      <c r="O2675" s="13"/>
      <c r="P2675" s="13"/>
      <c r="Q2675" s="1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  <c r="AK2675" s="13"/>
      <c r="AL2675" s="13"/>
      <c r="AM2675" s="13"/>
      <c r="AN2675" s="13"/>
      <c r="AO2675" s="13"/>
      <c r="AP2675" s="13"/>
      <c r="AQ2675" s="13"/>
      <c r="AR2675" s="13"/>
      <c r="AS2675" s="13"/>
      <c r="AT2675" s="13"/>
      <c r="AU2675" s="13"/>
      <c r="AV2675" s="13"/>
      <c r="AW2675" s="13"/>
      <c r="AX2675" s="13"/>
      <c r="AY2675" s="13"/>
      <c r="AZ2675" s="13"/>
      <c r="BA2675" s="13"/>
      <c r="BB2675" s="13"/>
      <c r="BC2675" s="13"/>
      <c r="BD2675" s="13"/>
      <c r="BE2675" s="13"/>
      <c r="BF2675" s="13"/>
      <c r="BG2675" s="13"/>
      <c r="BH2675" s="13"/>
      <c r="BI2675" s="13"/>
      <c r="BJ2675" s="13"/>
      <c r="BK2675" s="13"/>
      <c r="BL2675" s="13"/>
      <c r="BM2675" s="13"/>
      <c r="BN2675" s="13"/>
      <c r="BO2675" s="13"/>
      <c r="BP2675" s="13"/>
      <c r="BQ2675" s="13"/>
      <c r="BR2675" s="13"/>
      <c r="BS2675" s="13"/>
      <c r="BT2675" s="13"/>
      <c r="BU2675" s="13"/>
      <c r="BV2675" s="13"/>
      <c r="BW2675" s="13"/>
      <c r="BX2675" s="13"/>
      <c r="BY2675" s="13"/>
      <c r="BZ2675" s="13"/>
      <c r="CA2675" s="13"/>
      <c r="CB2675" s="13"/>
      <c r="CC2675" s="14"/>
    </row>
    <row r="2676" spans="2:81" ht="12" thickBot="1"/>
    <row r="2677" spans="2:81" ht="44.25" customHeight="1">
      <c r="B2677" s="73" t="s">
        <v>815</v>
      </c>
      <c r="C2677" s="74"/>
      <c r="D2677" s="74"/>
      <c r="E2677" s="74"/>
      <c r="F2677" s="74"/>
      <c r="G2677" s="74"/>
      <c r="H2677" s="74"/>
      <c r="I2677" s="74"/>
      <c r="J2677" s="74"/>
      <c r="K2677" s="74"/>
      <c r="L2677" s="74"/>
      <c r="M2677" s="74"/>
      <c r="N2677" s="74"/>
      <c r="O2677" s="74"/>
      <c r="P2677" s="74"/>
      <c r="Q2677" s="74"/>
      <c r="R2677" s="74"/>
      <c r="S2677" s="74"/>
      <c r="T2677" s="74"/>
      <c r="U2677" s="74"/>
      <c r="V2677" s="74"/>
      <c r="W2677" s="74"/>
      <c r="X2677" s="74"/>
      <c r="Y2677" s="74"/>
      <c r="Z2677" s="74"/>
      <c r="AA2677" s="74"/>
      <c r="AB2677" s="74"/>
      <c r="AC2677" s="74"/>
      <c r="AD2677" s="74"/>
      <c r="AE2677" s="74"/>
      <c r="AF2677" s="74"/>
      <c r="AG2677" s="74"/>
      <c r="AH2677" s="74"/>
      <c r="AI2677" s="74"/>
      <c r="AJ2677" s="74"/>
      <c r="AK2677" s="74"/>
      <c r="AL2677" s="74"/>
      <c r="AM2677" s="74"/>
      <c r="AN2677" s="74"/>
      <c r="AO2677" s="74"/>
      <c r="AP2677" s="74"/>
      <c r="AQ2677" s="74"/>
      <c r="AR2677" s="74"/>
      <c r="AS2677" s="74"/>
      <c r="AT2677" s="74"/>
      <c r="AU2677" s="74"/>
      <c r="AV2677" s="74"/>
      <c r="AW2677" s="74"/>
      <c r="AX2677" s="74"/>
      <c r="AY2677" s="74"/>
      <c r="AZ2677" s="74"/>
      <c r="BA2677" s="74"/>
      <c r="BB2677" s="74"/>
      <c r="BC2677" s="74"/>
      <c r="BD2677" s="74"/>
      <c r="BE2677" s="74"/>
      <c r="BF2677" s="74"/>
      <c r="BG2677" s="74"/>
      <c r="BH2677" s="74"/>
      <c r="BI2677" s="74"/>
      <c r="BJ2677" s="74"/>
      <c r="BK2677" s="74"/>
      <c r="BL2677" s="74"/>
      <c r="BM2677" s="74"/>
      <c r="BN2677" s="74"/>
      <c r="BO2677" s="74"/>
      <c r="BP2677" s="74"/>
      <c r="BQ2677" s="74"/>
      <c r="BR2677" s="74"/>
      <c r="BS2677" s="74"/>
      <c r="BT2677" s="74"/>
      <c r="BU2677" s="74"/>
      <c r="BV2677" s="74"/>
      <c r="BW2677" s="74"/>
      <c r="BX2677" s="74"/>
      <c r="BY2677" s="74"/>
      <c r="BZ2677" s="74"/>
      <c r="CA2677" s="74"/>
      <c r="CB2677" s="74"/>
      <c r="CC2677" s="75"/>
    </row>
    <row r="2678" spans="2:81">
      <c r="B2678" s="6"/>
      <c r="H2678" s="1" t="s">
        <v>290</v>
      </c>
      <c r="AO2678" s="8" t="s">
        <v>176</v>
      </c>
      <c r="CC2678" s="7"/>
    </row>
    <row r="2679" spans="2:81">
      <c r="B2679" s="6"/>
      <c r="Y2679" s="67">
        <v>50</v>
      </c>
      <c r="Z2679" s="67"/>
      <c r="AA2679" s="9" t="s">
        <v>0</v>
      </c>
      <c r="AG2679" s="1" t="s">
        <v>691</v>
      </c>
      <c r="CC2679" s="7"/>
    </row>
    <row r="2680" spans="2:81">
      <c r="B2680" s="6"/>
      <c r="N2680" s="67">
        <v>12</v>
      </c>
      <c r="O2680" s="67"/>
      <c r="P2680" s="1" t="s">
        <v>187</v>
      </c>
      <c r="AG2680" s="67" t="s">
        <v>171</v>
      </c>
      <c r="AH2680" s="67"/>
      <c r="AI2680" s="67"/>
      <c r="AJ2680" s="67"/>
      <c r="AK2680" s="67"/>
      <c r="AL2680" s="67"/>
      <c r="AV2680" s="1" t="s">
        <v>38</v>
      </c>
      <c r="AX2680" s="67">
        <v>200000</v>
      </c>
      <c r="AY2680" s="67"/>
      <c r="AZ2680" s="67"/>
      <c r="BA2680" s="67"/>
      <c r="BB2680" s="1" t="s">
        <v>39</v>
      </c>
      <c r="BE2680" s="1" t="s">
        <v>689</v>
      </c>
      <c r="CC2680" s="7"/>
    </row>
    <row r="2681" spans="2:81">
      <c r="B2681" s="6"/>
      <c r="CC2681" s="7"/>
    </row>
    <row r="2682" spans="2:81">
      <c r="B2682" s="6"/>
      <c r="AX2682" s="23" t="s">
        <v>728</v>
      </c>
      <c r="BK2682" s="23" t="s">
        <v>729</v>
      </c>
      <c r="CC2682" s="7"/>
    </row>
    <row r="2683" spans="2:81">
      <c r="B2683" s="6"/>
      <c r="I2683" s="1" t="s">
        <v>4</v>
      </c>
      <c r="AP2683" s="55" t="s">
        <v>10</v>
      </c>
      <c r="CC2683" s="7"/>
    </row>
    <row r="2684" spans="2:81">
      <c r="B2684" s="6"/>
      <c r="CC2684" s="7"/>
    </row>
    <row r="2685" spans="2:81">
      <c r="B2685" s="6"/>
      <c r="M2685" s="60" t="s">
        <v>687</v>
      </c>
      <c r="R2685" s="1" t="s">
        <v>581</v>
      </c>
      <c r="AG2685" s="9" t="s">
        <v>685</v>
      </c>
      <c r="AI2685" s="1" t="s">
        <v>684</v>
      </c>
      <c r="CC2685" s="7"/>
    </row>
    <row r="2686" spans="2:81">
      <c r="B2686" s="6"/>
      <c r="AI2686" s="67" t="s">
        <v>638</v>
      </c>
      <c r="AJ2686" s="67"/>
      <c r="AK2686" s="67"/>
      <c r="AL2686" s="67"/>
      <c r="AM2686" s="67"/>
      <c r="AN2686" s="67"/>
      <c r="CC2686" s="7"/>
    </row>
    <row r="2687" spans="2:81">
      <c r="B2687" s="6"/>
      <c r="V2687" s="60" t="s">
        <v>690</v>
      </c>
      <c r="AU2687" s="71">
        <f>INDEX($CI$24:$CI$138,MATCH(AG2680,$CG$24:$CG$138,0),0)</f>
        <v>600</v>
      </c>
      <c r="BH2687" s="71">
        <f>INDEX($CI$24:$CI$138,MATCH(AI2686,$CG$24:$CG$138,0),0)</f>
        <v>300</v>
      </c>
      <c r="CC2687" s="7"/>
    </row>
    <row r="2688" spans="2:81">
      <c r="B2688" s="6"/>
      <c r="U2688" s="66">
        <f>+Y2690/2</f>
        <v>2</v>
      </c>
      <c r="V2688" s="66"/>
      <c r="W2688" s="1" t="s">
        <v>1</v>
      </c>
      <c r="AB2688" s="66">
        <f>+Y2690/2</f>
        <v>2</v>
      </c>
      <c r="AC2688" s="66"/>
      <c r="AD2688" s="1" t="s">
        <v>1</v>
      </c>
      <c r="AU2688" s="71"/>
      <c r="AY2688" s="66">
        <f>INDEX($CK$24:$CK$138,MATCH(AG2680,$CG$24:$CG$138,0),0)</f>
        <v>12</v>
      </c>
      <c r="AZ2688" s="66"/>
      <c r="BH2688" s="71"/>
      <c r="BL2688" s="66">
        <f>INDEX($CK$24:$CK$138,MATCH(AI2686,$CG$24:$CG$138,0),0)</f>
        <v>7.1</v>
      </c>
      <c r="BM2688" s="66"/>
      <c r="CC2688" s="7"/>
    </row>
    <row r="2689" spans="2:81">
      <c r="B2689" s="6"/>
      <c r="V2689" s="60"/>
      <c r="AU2689" s="71"/>
      <c r="BH2689" s="71"/>
      <c r="CC2689" s="7"/>
    </row>
    <row r="2690" spans="2:81">
      <c r="B2690" s="6"/>
      <c r="M2690" s="66">
        <f>(Y2692-Y2690)/2</f>
        <v>2</v>
      </c>
      <c r="N2690" s="66"/>
      <c r="O2690" s="1" t="s">
        <v>1</v>
      </c>
      <c r="Y2690" s="67">
        <v>4</v>
      </c>
      <c r="Z2690" s="67"/>
      <c r="AA2690" s="1" t="s">
        <v>1</v>
      </c>
      <c r="AK2690" s="66">
        <f>+M2690</f>
        <v>2</v>
      </c>
      <c r="AL2690" s="66"/>
      <c r="AM2690" s="1" t="s">
        <v>1</v>
      </c>
      <c r="CC2690" s="7"/>
    </row>
    <row r="2691" spans="2:81">
      <c r="B2691" s="6"/>
      <c r="BB2691" s="66">
        <f>INDEX($CL$24:$CL$138,MATCH(AG2680,$CG$24:$CG$138,0),0)</f>
        <v>19</v>
      </c>
      <c r="BC2691" s="66"/>
      <c r="BO2691" s="66">
        <f>INDEX($CL$24:$CL$138,MATCH(AI2686,$CG$24:$CG$138,0),0)</f>
        <v>10.7</v>
      </c>
      <c r="BP2691" s="66"/>
      <c r="CC2691" s="7"/>
    </row>
    <row r="2692" spans="2:81">
      <c r="B2692" s="6"/>
      <c r="Y2692" s="67">
        <v>8</v>
      </c>
      <c r="Z2692" s="67"/>
      <c r="AA2692" s="1" t="s">
        <v>1</v>
      </c>
      <c r="CC2692" s="7"/>
    </row>
    <row r="2693" spans="2:81">
      <c r="B2693" s="6"/>
      <c r="CC2693" s="7"/>
    </row>
    <row r="2694" spans="2:81">
      <c r="B2694" s="6"/>
      <c r="Y2694" s="66">
        <f>+Y2679</f>
        <v>50</v>
      </c>
      <c r="Z2694" s="66"/>
      <c r="AA2694" s="1" t="s">
        <v>0</v>
      </c>
      <c r="AZ2694" s="66">
        <f>INDEX($CJ$24:$CJ$138,MATCH(AG2680,$CG$24:$CG$138,0),0)</f>
        <v>220</v>
      </c>
      <c r="BA2694" s="66"/>
      <c r="BM2694" s="66">
        <f>INDEX($CJ$24:$CJ$138,MATCH(AI2686,$CG$24:$CG$138,0),0)</f>
        <v>150</v>
      </c>
      <c r="BN2694" s="66"/>
      <c r="CC2694" s="7"/>
    </row>
    <row r="2695" spans="2:81">
      <c r="B2695" s="6"/>
      <c r="N2695" s="66">
        <f>+N2680</f>
        <v>12</v>
      </c>
      <c r="O2695" s="66"/>
      <c r="P2695" s="1" t="s">
        <v>187</v>
      </c>
      <c r="CC2695" s="7"/>
    </row>
    <row r="2696" spans="2:81">
      <c r="B2696" s="6"/>
      <c r="AV2696" s="10" t="s">
        <v>686</v>
      </c>
      <c r="AX2696" s="66">
        <f>INDEX($CM$24:$CM$138,MATCH(AG2680,$CG$24:$CG$138,0),0)</f>
        <v>92080</v>
      </c>
      <c r="AY2696" s="66"/>
      <c r="AZ2696" s="66"/>
      <c r="BA2696" s="66"/>
      <c r="BB2696" s="1" t="s">
        <v>37</v>
      </c>
      <c r="BJ2696" s="10" t="s">
        <v>688</v>
      </c>
      <c r="BL2696" s="66">
        <f>INDEX($CM$24:$CM$138,MATCH(AI2686,$CG$24:$CG$138,0),0)</f>
        <v>8360</v>
      </c>
      <c r="BM2696" s="66"/>
      <c r="BN2696" s="66"/>
      <c r="BO2696" s="66"/>
      <c r="BP2696" s="1" t="s">
        <v>37</v>
      </c>
      <c r="CC2696" s="7"/>
    </row>
    <row r="2697" spans="2:81">
      <c r="B2697" s="6"/>
      <c r="CC2697" s="7"/>
    </row>
    <row r="2698" spans="2:81">
      <c r="B2698" s="6"/>
      <c r="I2698" s="1" t="s">
        <v>4</v>
      </c>
      <c r="AP2698" s="55" t="s">
        <v>10</v>
      </c>
      <c r="CC2698" s="7"/>
    </row>
    <row r="2699" spans="2:81">
      <c r="B2699" s="6"/>
      <c r="CC2699" s="7"/>
    </row>
    <row r="2700" spans="2:81">
      <c r="B2700" s="6"/>
      <c r="O2700" s="1" t="s">
        <v>505</v>
      </c>
      <c r="AC2700" s="55" t="s">
        <v>428</v>
      </c>
      <c r="AG2700" s="1" t="s">
        <v>504</v>
      </c>
      <c r="CC2700" s="7"/>
    </row>
    <row r="2701" spans="2:81">
      <c r="B2701" s="6"/>
      <c r="CC2701" s="7"/>
    </row>
    <row r="2702" spans="2:81">
      <c r="B2702" s="6"/>
      <c r="M2702" s="55" t="s">
        <v>13</v>
      </c>
      <c r="X2702" s="1" t="s">
        <v>808</v>
      </c>
      <c r="Y2702" s="66">
        <f>+Y2709</f>
        <v>21.036738802214394</v>
      </c>
      <c r="Z2702" s="66"/>
      <c r="AA2702" s="66"/>
      <c r="AB2702" s="1" t="s">
        <v>0</v>
      </c>
      <c r="CC2702" s="7"/>
    </row>
    <row r="2703" spans="2:81">
      <c r="B2703" s="6"/>
      <c r="H2703" s="1" t="s">
        <v>2</v>
      </c>
      <c r="I2703" s="66">
        <f>(N2695*Y2707+Y2694-Y2702)/2</f>
        <v>62.481630598892806</v>
      </c>
      <c r="J2703" s="66"/>
      <c r="K2703" s="66"/>
      <c r="L2703" s="1" t="s">
        <v>0</v>
      </c>
      <c r="Y2703" s="9"/>
      <c r="Z2703" s="9"/>
      <c r="AA2703" s="9"/>
      <c r="AN2703" s="1" t="s">
        <v>3</v>
      </c>
      <c r="AO2703" s="66">
        <f>+I2703</f>
        <v>62.481630598892806</v>
      </c>
      <c r="AP2703" s="66"/>
      <c r="AQ2703" s="66"/>
      <c r="AR2703" s="1" t="s">
        <v>0</v>
      </c>
      <c r="CC2703" s="7"/>
    </row>
    <row r="2704" spans="2:81">
      <c r="B2704" s="6"/>
      <c r="Y2704" s="9"/>
      <c r="Z2704" s="9"/>
      <c r="AA2704" s="9"/>
      <c r="CC2704" s="7"/>
    </row>
    <row r="2705" spans="2:81">
      <c r="B2705" s="6"/>
      <c r="Q2705" s="66">
        <f>+Y2707/2</f>
        <v>4</v>
      </c>
      <c r="R2705" s="66"/>
      <c r="S2705" s="1" t="s">
        <v>1</v>
      </c>
      <c r="Y2705" s="9"/>
      <c r="Z2705" s="9"/>
      <c r="AA2705" s="9"/>
      <c r="AG2705" s="66">
        <f>+Y2707/2</f>
        <v>4</v>
      </c>
      <c r="AH2705" s="66"/>
      <c r="AI2705" s="1" t="s">
        <v>1</v>
      </c>
      <c r="CC2705" s="7"/>
    </row>
    <row r="2706" spans="2:81">
      <c r="B2706" s="6"/>
      <c r="Y2706" s="9"/>
      <c r="Z2706" s="9"/>
      <c r="AA2706" s="9"/>
      <c r="CC2706" s="7"/>
    </row>
    <row r="2707" spans="2:81">
      <c r="B2707" s="6"/>
      <c r="Y2707" s="66">
        <f>+Y2692</f>
        <v>8</v>
      </c>
      <c r="Z2707" s="66"/>
      <c r="AA2707" s="1" t="s">
        <v>1</v>
      </c>
      <c r="CC2707" s="7"/>
    </row>
    <row r="2708" spans="2:81">
      <c r="B2708" s="6"/>
      <c r="CC2708" s="7"/>
    </row>
    <row r="2709" spans="2:81">
      <c r="B2709" s="6"/>
      <c r="X2709" s="1" t="s">
        <v>808</v>
      </c>
      <c r="Y2709" s="66">
        <f>+I2733</f>
        <v>21.036738802214394</v>
      </c>
      <c r="Z2709" s="66"/>
      <c r="AA2709" s="66"/>
      <c r="AB2709" s="1" t="s">
        <v>0</v>
      </c>
      <c r="CC2709" s="7"/>
    </row>
    <row r="2710" spans="2:81">
      <c r="B2710" s="6"/>
      <c r="CC2710" s="7"/>
    </row>
    <row r="2711" spans="2:81">
      <c r="B2711" s="6"/>
      <c r="CC2711" s="7"/>
    </row>
    <row r="2712" spans="2:81">
      <c r="B2712" s="6"/>
      <c r="R2712" s="1" t="s">
        <v>581</v>
      </c>
      <c r="AG2712" s="9" t="s">
        <v>685</v>
      </c>
      <c r="CC2712" s="7"/>
    </row>
    <row r="2713" spans="2:81">
      <c r="B2713" s="6"/>
      <c r="CC2713" s="7"/>
    </row>
    <row r="2714" spans="2:81">
      <c r="B2714" s="6"/>
      <c r="CC2714" s="7"/>
    </row>
    <row r="2715" spans="2:81">
      <c r="B2715" s="6"/>
      <c r="CC2715" s="7"/>
    </row>
    <row r="2716" spans="2:81">
      <c r="B2716" s="6"/>
      <c r="Y2716" s="9"/>
      <c r="Z2716" s="9"/>
      <c r="CC2716" s="7"/>
    </row>
    <row r="2717" spans="2:81">
      <c r="B2717" s="6"/>
      <c r="Q2717" s="1" t="s">
        <v>712</v>
      </c>
      <c r="R2717" s="66">
        <f>+Y2709/2</f>
        <v>10.518369401107197</v>
      </c>
      <c r="S2717" s="66"/>
      <c r="T2717" s="66"/>
      <c r="U2717" s="1" t="s">
        <v>0</v>
      </c>
      <c r="Y2717" s="9"/>
      <c r="Z2717" s="9"/>
      <c r="AE2717" s="1" t="s">
        <v>713</v>
      </c>
      <c r="AF2717" s="66">
        <f>+Y2709/2</f>
        <v>10.518369401107197</v>
      </c>
      <c r="AG2717" s="66"/>
      <c r="AH2717" s="66"/>
      <c r="AI2717" s="1" t="s">
        <v>0</v>
      </c>
      <c r="CC2717" s="7"/>
    </row>
    <row r="2718" spans="2:81">
      <c r="B2718" s="6"/>
      <c r="G2718" s="23" t="s">
        <v>223</v>
      </c>
      <c r="Y2718" s="66">
        <f>+Y2690</f>
        <v>4</v>
      </c>
      <c r="Z2718" s="66"/>
      <c r="AA2718" s="1" t="s">
        <v>1</v>
      </c>
      <c r="CC2718" s="7"/>
    </row>
    <row r="2719" spans="2:81">
      <c r="B2719" s="6"/>
      <c r="G2719" s="1" t="s">
        <v>813</v>
      </c>
      <c r="Y2719" s="9"/>
      <c r="Z2719" s="9"/>
      <c r="CC2719" s="7"/>
    </row>
    <row r="2720" spans="2:81">
      <c r="B2720" s="6"/>
      <c r="G2720" s="1" t="s">
        <v>817</v>
      </c>
      <c r="I2720" s="9"/>
      <c r="J2720" s="9"/>
      <c r="K2720" s="9"/>
      <c r="L2720" s="9"/>
      <c r="O2720" s="9"/>
      <c r="CC2720" s="7"/>
    </row>
    <row r="2721" spans="2:81">
      <c r="B2721" s="6"/>
      <c r="G2721" s="1" t="s">
        <v>818</v>
      </c>
      <c r="I2721" s="9"/>
      <c r="J2721" s="9"/>
      <c r="K2721" s="9"/>
      <c r="Q2721" s="1">
        <v>5</v>
      </c>
      <c r="R2721" s="9" t="s">
        <v>5</v>
      </c>
      <c r="S2721" s="66">
        <f>+N2680</f>
        <v>12</v>
      </c>
      <c r="T2721" s="66"/>
      <c r="U2721" s="9" t="s">
        <v>5</v>
      </c>
      <c r="V2721" s="66">
        <f>+Y2692*1000</f>
        <v>8000</v>
      </c>
      <c r="W2721" s="66"/>
      <c r="X2721" s="66"/>
      <c r="Y2721" s="1" t="s">
        <v>215</v>
      </c>
      <c r="Z2721" s="66">
        <v>384</v>
      </c>
      <c r="AA2721" s="66"/>
      <c r="AB2721" s="9" t="s">
        <v>5</v>
      </c>
      <c r="AC2721" s="66">
        <f>+AX2680</f>
        <v>200000</v>
      </c>
      <c r="AD2721" s="66"/>
      <c r="AE2721" s="66"/>
      <c r="AF2721" s="9" t="s">
        <v>5</v>
      </c>
      <c r="AG2721" s="66">
        <f>+AX2696</f>
        <v>92080</v>
      </c>
      <c r="AH2721" s="66"/>
      <c r="AI2721" s="66"/>
      <c r="AJ2721" s="9" t="s">
        <v>5</v>
      </c>
      <c r="AK2721" s="66">
        <v>10000</v>
      </c>
      <c r="AL2721" s="66"/>
      <c r="AM2721" s="66"/>
      <c r="AN2721" s="1" t="s">
        <v>201</v>
      </c>
      <c r="AO2721" s="66">
        <f>Q2721*S2721*V2721^4/(Z2721*AC2721*AG2721*AK2721)</f>
        <v>3.4752389226759339</v>
      </c>
      <c r="AP2721" s="66"/>
      <c r="AQ2721" s="66"/>
      <c r="AR2721" s="1" t="s">
        <v>41</v>
      </c>
      <c r="CC2721" s="7"/>
    </row>
    <row r="2722" spans="2:81">
      <c r="B2722" s="6"/>
      <c r="G2722" s="1" t="s">
        <v>822</v>
      </c>
      <c r="I2722" s="9"/>
      <c r="J2722" s="9"/>
      <c r="K2722" s="9"/>
      <c r="R2722" s="9"/>
      <c r="S2722" s="9"/>
      <c r="T2722" s="9"/>
      <c r="U2722" s="9"/>
      <c r="V2722" s="9"/>
      <c r="W2722" s="9"/>
      <c r="CC2722" s="7"/>
    </row>
    <row r="2723" spans="2:81">
      <c r="B2723" s="6"/>
      <c r="G2723" s="1" t="s">
        <v>819</v>
      </c>
      <c r="I2723" s="9"/>
      <c r="J2723" s="9"/>
      <c r="K2723" s="9"/>
      <c r="R2723" s="66">
        <f>+Y2679*1000</f>
        <v>50000</v>
      </c>
      <c r="S2723" s="66"/>
      <c r="T2723" s="66"/>
      <c r="U2723" s="9" t="s">
        <v>6</v>
      </c>
      <c r="V2723" s="9" t="s">
        <v>809</v>
      </c>
      <c r="W2723" s="9" t="s">
        <v>5</v>
      </c>
      <c r="X2723" s="66">
        <v>1000</v>
      </c>
      <c r="Y2723" s="66"/>
      <c r="Z2723" s="66"/>
      <c r="AA2723" s="2" t="s">
        <v>519</v>
      </c>
      <c r="AB2723" s="66">
        <f>+V2721</f>
        <v>8000</v>
      </c>
      <c r="AC2723" s="66"/>
      <c r="AD2723" s="66"/>
      <c r="AE2723" s="1" t="s">
        <v>660</v>
      </c>
      <c r="AF2723" s="66">
        <v>48</v>
      </c>
      <c r="AG2723" s="66"/>
      <c r="AH2723" s="9" t="s">
        <v>5</v>
      </c>
      <c r="AI2723" s="66">
        <f>+AC2721</f>
        <v>200000</v>
      </c>
      <c r="AJ2723" s="66"/>
      <c r="AK2723" s="66"/>
      <c r="AL2723" s="9" t="s">
        <v>5</v>
      </c>
      <c r="AM2723" s="66">
        <f>+AG2721</f>
        <v>92080</v>
      </c>
      <c r="AN2723" s="66"/>
      <c r="AO2723" s="66"/>
      <c r="AP2723" s="9" t="s">
        <v>5</v>
      </c>
      <c r="AQ2723" s="66">
        <v>10000</v>
      </c>
      <c r="AR2723" s="66"/>
      <c r="AS2723" s="66"/>
      <c r="AT2723" s="1" t="s">
        <v>201</v>
      </c>
      <c r="AU2723" s="66">
        <f>+AB2723^3/(AF2723*AI2723*AM2723*AQ2723)</f>
        <v>5.7920648711265567E-5</v>
      </c>
      <c r="AV2723" s="66"/>
      <c r="AW2723" s="66"/>
      <c r="AX2723" s="1" t="s">
        <v>14</v>
      </c>
      <c r="AY2723" s="66">
        <f>+R2723</f>
        <v>50000</v>
      </c>
      <c r="AZ2723" s="66"/>
      <c r="BA2723" s="66"/>
      <c r="BB2723" s="9" t="s">
        <v>6</v>
      </c>
      <c r="BC2723" s="9" t="s">
        <v>809</v>
      </c>
      <c r="BD2723" s="9" t="s">
        <v>5</v>
      </c>
      <c r="BE2723" s="66">
        <v>1000</v>
      </c>
      <c r="BF2723" s="66"/>
      <c r="BG2723" s="66"/>
      <c r="BH2723" s="1" t="s">
        <v>40</v>
      </c>
      <c r="CC2723" s="7"/>
    </row>
    <row r="2724" spans="2:81">
      <c r="B2724" s="6"/>
      <c r="G2724" s="1" t="s">
        <v>820</v>
      </c>
      <c r="I2724" s="9"/>
      <c r="J2724" s="9"/>
      <c r="K2724" s="9"/>
      <c r="P2724" s="66">
        <f>+AO2721</f>
        <v>3.4752389226759339</v>
      </c>
      <c r="Q2724" s="66"/>
      <c r="R2724" s="66"/>
      <c r="S2724" s="9" t="s">
        <v>9</v>
      </c>
      <c r="T2724" s="66">
        <f>+AU2723</f>
        <v>5.7920648711265567E-5</v>
      </c>
      <c r="U2724" s="66"/>
      <c r="V2724" s="66"/>
      <c r="W2724" s="1" t="s">
        <v>14</v>
      </c>
      <c r="X2724" s="66">
        <f>+AY2723</f>
        <v>50000</v>
      </c>
      <c r="Y2724" s="66"/>
      <c r="Z2724" s="66"/>
      <c r="AA2724" s="9" t="s">
        <v>6</v>
      </c>
      <c r="AB2724" s="9" t="s">
        <v>809</v>
      </c>
      <c r="AC2724" s="9" t="s">
        <v>5</v>
      </c>
      <c r="AD2724" s="66">
        <v>1000</v>
      </c>
      <c r="AE2724" s="66"/>
      <c r="AF2724" s="66"/>
      <c r="AG2724" s="1" t="s">
        <v>40</v>
      </c>
      <c r="CC2724" s="7"/>
    </row>
    <row r="2725" spans="2:81">
      <c r="B2725" s="6"/>
      <c r="G2725" s="1" t="s">
        <v>821</v>
      </c>
      <c r="I2725" s="9"/>
      <c r="J2725" s="9"/>
      <c r="K2725" s="9"/>
      <c r="R2725" s="9"/>
      <c r="S2725" s="9"/>
      <c r="T2725" s="9"/>
      <c r="W2725" s="8"/>
      <c r="CC2725" s="7"/>
    </row>
    <row r="2726" spans="2:81">
      <c r="B2726" s="6"/>
      <c r="G2726" s="1" t="s">
        <v>822</v>
      </c>
      <c r="I2726" s="9"/>
      <c r="J2726" s="9"/>
      <c r="K2726" s="9"/>
      <c r="R2726" s="9"/>
      <c r="S2726" s="9"/>
      <c r="T2726" s="9"/>
      <c r="W2726" s="8"/>
      <c r="CC2726" s="7"/>
    </row>
    <row r="2727" spans="2:81">
      <c r="B2727" s="6"/>
      <c r="G2727" s="1" t="s">
        <v>823</v>
      </c>
      <c r="I2727" s="9"/>
      <c r="J2727" s="9"/>
      <c r="K2727" s="9"/>
      <c r="O2727" s="9" t="s">
        <v>809</v>
      </c>
      <c r="P2727" s="9" t="s">
        <v>5</v>
      </c>
      <c r="Q2727" s="66">
        <v>1000</v>
      </c>
      <c r="R2727" s="66"/>
      <c r="S2727" s="66"/>
      <c r="T2727" s="9" t="s">
        <v>5</v>
      </c>
      <c r="U2727" s="66">
        <f>+Y2690*1000</f>
        <v>4000</v>
      </c>
      <c r="V2727" s="66"/>
      <c r="W2727" s="66"/>
      <c r="X2727" s="1" t="s">
        <v>660</v>
      </c>
      <c r="Y2727" s="66">
        <v>48</v>
      </c>
      <c r="Z2727" s="66"/>
      <c r="AA2727" s="9" t="s">
        <v>5</v>
      </c>
      <c r="AB2727" s="66">
        <f>+AI2723</f>
        <v>200000</v>
      </c>
      <c r="AC2727" s="66"/>
      <c r="AD2727" s="66"/>
      <c r="AE2727" s="9" t="s">
        <v>5</v>
      </c>
      <c r="AF2727" s="66">
        <f>+BL2696</f>
        <v>8360</v>
      </c>
      <c r="AG2727" s="66"/>
      <c r="AH2727" s="66"/>
      <c r="AI2727" s="9" t="s">
        <v>5</v>
      </c>
      <c r="AJ2727" s="66">
        <v>10000</v>
      </c>
      <c r="AK2727" s="66"/>
      <c r="AL2727" s="66"/>
      <c r="AM2727" s="1" t="s">
        <v>201</v>
      </c>
      <c r="AN2727" s="66">
        <f>Q2727*U2727^3/(Y2727*AB2727*AF2727*AJ2727)</f>
        <v>7.9744816586921854E-2</v>
      </c>
      <c r="AO2727" s="66"/>
      <c r="AP2727" s="66"/>
      <c r="AQ2727" s="9" t="s">
        <v>5</v>
      </c>
      <c r="AR2727" s="9" t="s">
        <v>809</v>
      </c>
      <c r="CC2727" s="7"/>
    </row>
    <row r="2728" spans="2:81">
      <c r="B2728" s="6"/>
      <c r="G2728" s="1" t="s">
        <v>824</v>
      </c>
      <c r="I2728" s="9"/>
      <c r="J2728" s="9"/>
      <c r="K2728" s="9"/>
      <c r="R2728" s="9"/>
      <c r="S2728" s="9"/>
      <c r="T2728" s="9"/>
      <c r="W2728" s="8"/>
      <c r="CC2728" s="7"/>
    </row>
    <row r="2729" spans="2:81">
      <c r="B2729" s="6"/>
      <c r="G2729" s="1" t="s">
        <v>825</v>
      </c>
      <c r="I2729" s="9"/>
      <c r="J2729" s="9"/>
      <c r="K2729" s="9"/>
      <c r="R2729" s="9"/>
      <c r="S2729" s="9"/>
      <c r="T2729" s="9"/>
      <c r="W2729" s="8"/>
      <c r="CC2729" s="7"/>
    </row>
    <row r="2730" spans="2:81">
      <c r="B2730" s="6"/>
      <c r="G2730" s="66">
        <f>+AU2723</f>
        <v>5.7920648711265567E-5</v>
      </c>
      <c r="H2730" s="66"/>
      <c r="I2730" s="66"/>
      <c r="J2730" s="1" t="s">
        <v>14</v>
      </c>
      <c r="K2730" s="66">
        <f>+AY2723</f>
        <v>50000</v>
      </c>
      <c r="L2730" s="66"/>
      <c r="M2730" s="66"/>
      <c r="N2730" s="9" t="s">
        <v>6</v>
      </c>
      <c r="O2730" s="9" t="s">
        <v>809</v>
      </c>
      <c r="P2730" s="9" t="s">
        <v>5</v>
      </c>
      <c r="Q2730" s="66">
        <v>1000</v>
      </c>
      <c r="R2730" s="66"/>
      <c r="S2730" s="66"/>
      <c r="T2730" s="1" t="s">
        <v>201</v>
      </c>
      <c r="U2730" s="66">
        <f>+AN2727</f>
        <v>7.9744816586921854E-2</v>
      </c>
      <c r="V2730" s="66"/>
      <c r="W2730" s="66"/>
      <c r="X2730" s="9" t="s">
        <v>5</v>
      </c>
      <c r="Y2730" s="9" t="s">
        <v>809</v>
      </c>
      <c r="CC2730" s="7"/>
    </row>
    <row r="2731" spans="2:81">
      <c r="B2731" s="6"/>
      <c r="G2731" s="66">
        <f>+G2730*K2730</f>
        <v>2.8960324355632783</v>
      </c>
      <c r="H2731" s="66"/>
      <c r="I2731" s="66"/>
      <c r="J2731" s="9" t="s">
        <v>6</v>
      </c>
      <c r="K2731" s="66">
        <f>+G2730*Q2730</f>
        <v>5.7920648711265565E-2</v>
      </c>
      <c r="L2731" s="66"/>
      <c r="M2731" s="66"/>
      <c r="N2731" s="9" t="s">
        <v>5</v>
      </c>
      <c r="O2731" s="9" t="s">
        <v>809</v>
      </c>
      <c r="P2731" s="9" t="s">
        <v>7</v>
      </c>
      <c r="Q2731" s="66">
        <f>+U2730</f>
        <v>7.9744816586921854E-2</v>
      </c>
      <c r="R2731" s="66"/>
      <c r="S2731" s="66"/>
      <c r="T2731" s="9" t="s">
        <v>5</v>
      </c>
      <c r="U2731" s="9" t="s">
        <v>809</v>
      </c>
      <c r="W2731" s="8"/>
      <c r="CC2731" s="7"/>
    </row>
    <row r="2732" spans="2:81">
      <c r="B2732" s="6"/>
      <c r="G2732" s="66">
        <f>+G2731</f>
        <v>2.8960324355632783</v>
      </c>
      <c r="H2732" s="66"/>
      <c r="I2732" s="66"/>
      <c r="J2732" s="9" t="s">
        <v>7</v>
      </c>
      <c r="K2732" s="66">
        <f>+Q2731+K2731</f>
        <v>0.13766546529818741</v>
      </c>
      <c r="L2732" s="66"/>
      <c r="M2732" s="66"/>
      <c r="N2732" s="9" t="s">
        <v>5</v>
      </c>
      <c r="O2732" s="9" t="s">
        <v>809</v>
      </c>
      <c r="R2732" s="9"/>
      <c r="S2732" s="9"/>
      <c r="T2732" s="9"/>
      <c r="W2732" s="8"/>
      <c r="CC2732" s="7"/>
    </row>
    <row r="2733" spans="2:81">
      <c r="B2733" s="6"/>
      <c r="G2733" s="9" t="s">
        <v>809</v>
      </c>
      <c r="H2733" s="9" t="s">
        <v>7</v>
      </c>
      <c r="I2733" s="66">
        <f>+G2732/K2732</f>
        <v>21.036738802214394</v>
      </c>
      <c r="J2733" s="66"/>
      <c r="K2733" s="66"/>
      <c r="L2733" s="1" t="s">
        <v>0</v>
      </c>
      <c r="R2733" s="9"/>
      <c r="S2733" s="9"/>
      <c r="T2733" s="9"/>
      <c r="W2733" s="8"/>
      <c r="CC2733" s="7"/>
    </row>
    <row r="2734" spans="2:81">
      <c r="B2734" s="6"/>
      <c r="G2734" s="1" t="s">
        <v>813</v>
      </c>
      <c r="H2734" s="9"/>
      <c r="I2734" s="9"/>
      <c r="J2734" s="9"/>
      <c r="K2734" s="9"/>
      <c r="R2734" s="9"/>
      <c r="S2734" s="9"/>
      <c r="T2734" s="9"/>
      <c r="W2734" s="8"/>
      <c r="CC2734" s="7"/>
    </row>
    <row r="2735" spans="2:81">
      <c r="B2735" s="6"/>
      <c r="G2735" s="1" t="s">
        <v>817</v>
      </c>
      <c r="H2735" s="9"/>
      <c r="I2735" s="9"/>
      <c r="J2735" s="9"/>
      <c r="K2735" s="9"/>
      <c r="R2735" s="9"/>
      <c r="S2735" s="9"/>
      <c r="T2735" s="9"/>
      <c r="W2735" s="8"/>
      <c r="CC2735" s="7"/>
    </row>
    <row r="2736" spans="2:81">
      <c r="B2736" s="6"/>
      <c r="G2736" s="11" t="s">
        <v>826</v>
      </c>
      <c r="H2736" s="9"/>
      <c r="I2736" s="66">
        <f>+AO2721</f>
        <v>3.4752389226759339</v>
      </c>
      <c r="J2736" s="66"/>
      <c r="K2736" s="66"/>
      <c r="L2736" s="1" t="s">
        <v>41</v>
      </c>
      <c r="R2736" s="9"/>
      <c r="S2736" s="9"/>
      <c r="T2736" s="9"/>
      <c r="W2736" s="8"/>
      <c r="CC2736" s="7"/>
    </row>
    <row r="2737" spans="2:81">
      <c r="B2737" s="6"/>
      <c r="G2737" s="1" t="s">
        <v>822</v>
      </c>
      <c r="H2737" s="9"/>
      <c r="I2737" s="9"/>
      <c r="J2737" s="9"/>
      <c r="K2737" s="9"/>
      <c r="R2737" s="9"/>
      <c r="S2737" s="9"/>
      <c r="T2737" s="9"/>
      <c r="W2737" s="8"/>
      <c r="CC2737" s="7"/>
    </row>
    <row r="2738" spans="2:81">
      <c r="B2738" s="6"/>
      <c r="G2738" s="1" t="s">
        <v>819</v>
      </c>
      <c r="H2738" s="9"/>
      <c r="I2738" s="9"/>
      <c r="J2738" s="9"/>
      <c r="K2738" s="9"/>
      <c r="R2738" s="66">
        <f>+Y2679*1000</f>
        <v>50000</v>
      </c>
      <c r="S2738" s="66"/>
      <c r="T2738" s="66"/>
      <c r="U2738" s="9" t="s">
        <v>6</v>
      </c>
      <c r="V2738" s="66">
        <f>+I2733*1000</f>
        <v>21036.738802214393</v>
      </c>
      <c r="W2738" s="66"/>
      <c r="X2738" s="66"/>
      <c r="Y2738" s="1" t="s">
        <v>519</v>
      </c>
      <c r="Z2738" s="66">
        <f>+AB2723</f>
        <v>8000</v>
      </c>
      <c r="AA2738" s="66"/>
      <c r="AB2738" s="66"/>
      <c r="AC2738" s="1" t="s">
        <v>660</v>
      </c>
      <c r="AD2738" s="66">
        <v>48</v>
      </c>
      <c r="AE2738" s="66"/>
      <c r="AF2738" s="9" t="s">
        <v>5</v>
      </c>
      <c r="AG2738" s="66">
        <f>+AI2723</f>
        <v>200000</v>
      </c>
      <c r="AH2738" s="66"/>
      <c r="AI2738" s="66"/>
      <c r="AJ2738" s="9" t="s">
        <v>5</v>
      </c>
      <c r="AK2738" s="66">
        <f>+AM2723</f>
        <v>92080</v>
      </c>
      <c r="AL2738" s="66"/>
      <c r="AM2738" s="66"/>
      <c r="AN2738" s="9" t="s">
        <v>5</v>
      </c>
      <c r="AO2738" s="66">
        <f>+AQ2723</f>
        <v>10000</v>
      </c>
      <c r="AP2738" s="66"/>
      <c r="AQ2738" s="66"/>
      <c r="AR2738" s="1" t="s">
        <v>201</v>
      </c>
      <c r="AS2738" s="66">
        <f>(R2738-V2738)*Z2738^3/(AD2738*AG2738*AK2738*AO2738)</f>
        <v>1.6775708773695688</v>
      </c>
      <c r="AT2738" s="66"/>
      <c r="AU2738" s="66"/>
      <c r="AV2738" s="1" t="s">
        <v>41</v>
      </c>
      <c r="CC2738" s="7"/>
    </row>
    <row r="2739" spans="2:81">
      <c r="B2739" s="6"/>
      <c r="G2739" s="1" t="s">
        <v>820</v>
      </c>
      <c r="H2739" s="9"/>
      <c r="I2739" s="9"/>
      <c r="J2739" s="9"/>
      <c r="K2739" s="9"/>
      <c r="P2739" s="66">
        <f>+I2736</f>
        <v>3.4752389226759339</v>
      </c>
      <c r="Q2739" s="66"/>
      <c r="R2739" s="66"/>
      <c r="S2739" s="9" t="s">
        <v>9</v>
      </c>
      <c r="T2739" s="66">
        <f>+AS2738</f>
        <v>1.6775708773695688</v>
      </c>
      <c r="U2739" s="66"/>
      <c r="V2739" s="66"/>
      <c r="W2739" s="9" t="s">
        <v>7</v>
      </c>
      <c r="X2739" s="66">
        <f>+P2739+T2739</f>
        <v>5.1528098000455032</v>
      </c>
      <c r="Y2739" s="66"/>
      <c r="Z2739" s="66"/>
      <c r="AA2739" s="1" t="s">
        <v>41</v>
      </c>
      <c r="CC2739" s="7"/>
    </row>
    <row r="2740" spans="2:81">
      <c r="B2740" s="6"/>
      <c r="G2740" s="1" t="s">
        <v>828</v>
      </c>
      <c r="I2740" s="66">
        <f>+X2739</f>
        <v>5.1528098000455032</v>
      </c>
      <c r="J2740" s="66"/>
      <c r="K2740" s="66"/>
      <c r="L2740" s="1" t="s">
        <v>41</v>
      </c>
      <c r="P2740" s="9"/>
      <c r="CC2740" s="7"/>
    </row>
    <row r="2741" spans="2:81">
      <c r="B2741" s="6"/>
      <c r="G2741" s="1" t="s">
        <v>172</v>
      </c>
      <c r="L2741" s="66">
        <f>Y2707*1000</f>
        <v>8000</v>
      </c>
      <c r="M2741" s="66"/>
      <c r="N2741" s="66"/>
      <c r="O2741" s="1" t="s">
        <v>173</v>
      </c>
      <c r="P2741" s="66">
        <v>300</v>
      </c>
      <c r="Q2741" s="66"/>
      <c r="R2741" s="9" t="s">
        <v>7</v>
      </c>
      <c r="S2741" s="66">
        <f>+L2741/P2741</f>
        <v>26.666666666666668</v>
      </c>
      <c r="T2741" s="66"/>
      <c r="U2741" s="66"/>
      <c r="V2741" s="1" t="s">
        <v>41</v>
      </c>
      <c r="Y2741" s="1" t="s">
        <v>192</v>
      </c>
      <c r="CC2741" s="7"/>
    </row>
    <row r="2742" spans="2:81">
      <c r="B2742" s="6"/>
      <c r="G2742" s="1" t="s">
        <v>828</v>
      </c>
      <c r="I2742" s="66">
        <f>+I2740</f>
        <v>5.1528098000455032</v>
      </c>
      <c r="J2742" s="66"/>
      <c r="K2742" s="66"/>
      <c r="L2742" s="1" t="s">
        <v>41</v>
      </c>
      <c r="N2742" s="1" t="str">
        <f>IF(ABS(I2742)&lt;ABS(R2742),"&lt;","&gt;")</f>
        <v>&lt;</v>
      </c>
      <c r="O2742" s="1" t="s">
        <v>174</v>
      </c>
      <c r="R2742" s="66">
        <f>+S2741</f>
        <v>26.666666666666668</v>
      </c>
      <c r="S2742" s="66"/>
      <c r="T2742" s="66"/>
      <c r="U2742" s="1" t="s">
        <v>41</v>
      </c>
      <c r="W2742" s="8" t="str">
        <f>IF(ABS(I2742)&lt;ABS(R2742),"uygun.","uygun değil.")</f>
        <v>uygun.</v>
      </c>
      <c r="CC2742" s="7"/>
    </row>
    <row r="2743" spans="2:81">
      <c r="B2743" s="6"/>
      <c r="G2743" s="1" t="s">
        <v>821</v>
      </c>
      <c r="H2743" s="9"/>
      <c r="I2743" s="9"/>
      <c r="J2743" s="9"/>
      <c r="K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CC2743" s="7"/>
    </row>
    <row r="2744" spans="2:81">
      <c r="B2744" s="6"/>
      <c r="G2744" s="1" t="s">
        <v>822</v>
      </c>
      <c r="H2744" s="9"/>
      <c r="I2744" s="9"/>
      <c r="J2744" s="9"/>
      <c r="K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CC2744" s="7"/>
    </row>
    <row r="2745" spans="2:81">
      <c r="B2745" s="6"/>
      <c r="G2745" s="1" t="s">
        <v>823</v>
      </c>
      <c r="H2745" s="9"/>
      <c r="I2745" s="9"/>
      <c r="J2745" s="9"/>
      <c r="K2745" s="9"/>
      <c r="O2745" s="66">
        <f>+I2733*1000</f>
        <v>21036.738802214393</v>
      </c>
      <c r="P2745" s="66"/>
      <c r="Q2745" s="66"/>
      <c r="R2745" s="9" t="s">
        <v>5</v>
      </c>
      <c r="S2745" s="66">
        <f>+U2727</f>
        <v>4000</v>
      </c>
      <c r="T2745" s="66"/>
      <c r="U2745" s="66"/>
      <c r="V2745" s="1" t="s">
        <v>660</v>
      </c>
      <c r="W2745" s="66">
        <v>48</v>
      </c>
      <c r="X2745" s="66"/>
      <c r="Y2745" s="9" t="s">
        <v>5</v>
      </c>
      <c r="Z2745" s="66">
        <f>+AB2727</f>
        <v>200000</v>
      </c>
      <c r="AA2745" s="66"/>
      <c r="AB2745" s="66"/>
      <c r="AC2745" s="9" t="s">
        <v>5</v>
      </c>
      <c r="AD2745" s="66">
        <f>+AF2727</f>
        <v>8360</v>
      </c>
      <c r="AE2745" s="66"/>
      <c r="AF2745" s="66"/>
      <c r="AG2745" s="9" t="s">
        <v>5</v>
      </c>
      <c r="AH2745" s="66">
        <f>+AJ2727</f>
        <v>10000</v>
      </c>
      <c r="AI2745" s="66"/>
      <c r="AJ2745" s="66"/>
      <c r="AK2745" s="1" t="s">
        <v>201</v>
      </c>
      <c r="AL2745" s="79">
        <f>+O2745*S2745^3/(W2745*Z2745*AD2745*AH2745)</f>
        <v>1.677570877369569</v>
      </c>
      <c r="AM2745" s="79"/>
      <c r="AN2745" s="79"/>
      <c r="AO2745" s="1" t="s">
        <v>41</v>
      </c>
      <c r="CC2745" s="7"/>
    </row>
    <row r="2746" spans="2:81">
      <c r="B2746" s="6"/>
      <c r="G2746" s="1" t="s">
        <v>827</v>
      </c>
      <c r="I2746" s="66">
        <f>+AL2745</f>
        <v>1.677570877369569</v>
      </c>
      <c r="J2746" s="66"/>
      <c r="K2746" s="66"/>
      <c r="L2746" s="1" t="s">
        <v>41</v>
      </c>
      <c r="P2746" s="9"/>
      <c r="CC2746" s="7"/>
    </row>
    <row r="2747" spans="2:81">
      <c r="B2747" s="6"/>
      <c r="G2747" s="1" t="s">
        <v>172</v>
      </c>
      <c r="L2747" s="66">
        <f>Y2718*1000</f>
        <v>4000</v>
      </c>
      <c r="M2747" s="66"/>
      <c r="N2747" s="66"/>
      <c r="O2747" s="1" t="s">
        <v>173</v>
      </c>
      <c r="P2747" s="66">
        <v>300</v>
      </c>
      <c r="Q2747" s="66"/>
      <c r="R2747" s="9" t="s">
        <v>7</v>
      </c>
      <c r="S2747" s="66">
        <f>+L2747/P2747</f>
        <v>13.333333333333334</v>
      </c>
      <c r="T2747" s="66"/>
      <c r="U2747" s="66"/>
      <c r="V2747" s="1" t="s">
        <v>41</v>
      </c>
      <c r="Y2747" s="1" t="s">
        <v>192</v>
      </c>
      <c r="CC2747" s="7"/>
    </row>
    <row r="2748" spans="2:81">
      <c r="B2748" s="6"/>
      <c r="G2748" s="1" t="s">
        <v>827</v>
      </c>
      <c r="I2748" s="66">
        <f>+I2746</f>
        <v>1.677570877369569</v>
      </c>
      <c r="J2748" s="66"/>
      <c r="K2748" s="66"/>
      <c r="L2748" s="1" t="s">
        <v>41</v>
      </c>
      <c r="N2748" s="1" t="str">
        <f>IF(ABS(I2748)&lt;ABS(R2748),"&lt;","&gt;")</f>
        <v>&lt;</v>
      </c>
      <c r="O2748" s="1" t="s">
        <v>174</v>
      </c>
      <c r="R2748" s="66">
        <f>+S2747</f>
        <v>13.333333333333334</v>
      </c>
      <c r="S2748" s="66"/>
      <c r="T2748" s="66"/>
      <c r="U2748" s="1" t="s">
        <v>41</v>
      </c>
      <c r="W2748" s="8" t="str">
        <f>IF(ABS(I2748)&lt;ABS(R2748),"uygun.","uygun değil.")</f>
        <v>uygun.</v>
      </c>
      <c r="CC2748" s="7"/>
    </row>
    <row r="2749" spans="2:81" ht="12" thickBot="1">
      <c r="B2749" s="12"/>
      <c r="C2749" s="13"/>
      <c r="D2749" s="13"/>
      <c r="E2749" s="13"/>
      <c r="F2749" s="13"/>
      <c r="G2749" s="13"/>
      <c r="H2749" s="13"/>
      <c r="I2749" s="13"/>
      <c r="J2749" s="13"/>
      <c r="K2749" s="13"/>
      <c r="L2749" s="13"/>
      <c r="M2749" s="13"/>
      <c r="N2749" s="13"/>
      <c r="O2749" s="13"/>
      <c r="P2749" s="13"/>
      <c r="Q2749" s="1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  <c r="AK2749" s="13"/>
      <c r="AL2749" s="13"/>
      <c r="AM2749" s="13"/>
      <c r="AN2749" s="13"/>
      <c r="AO2749" s="13"/>
      <c r="AP2749" s="13"/>
      <c r="AQ2749" s="13"/>
      <c r="AR2749" s="13"/>
      <c r="AS2749" s="13"/>
      <c r="AT2749" s="13"/>
      <c r="AU2749" s="13"/>
      <c r="AV2749" s="13"/>
      <c r="AW2749" s="13"/>
      <c r="AX2749" s="13"/>
      <c r="AY2749" s="13"/>
      <c r="AZ2749" s="13"/>
      <c r="BA2749" s="13"/>
      <c r="BB2749" s="13"/>
      <c r="BC2749" s="13"/>
      <c r="BD2749" s="13"/>
      <c r="BE2749" s="13"/>
      <c r="BF2749" s="13"/>
      <c r="BG2749" s="13"/>
      <c r="BH2749" s="13"/>
      <c r="BI2749" s="13"/>
      <c r="BJ2749" s="13"/>
      <c r="BK2749" s="13"/>
      <c r="BL2749" s="13"/>
      <c r="BM2749" s="13"/>
      <c r="BN2749" s="13"/>
      <c r="BO2749" s="13"/>
      <c r="BP2749" s="13"/>
      <c r="BQ2749" s="13"/>
      <c r="BR2749" s="13"/>
      <c r="BS2749" s="13"/>
      <c r="BT2749" s="13"/>
      <c r="BU2749" s="13"/>
      <c r="BV2749" s="13"/>
      <c r="BW2749" s="13"/>
      <c r="BX2749" s="13"/>
      <c r="BY2749" s="13"/>
      <c r="BZ2749" s="13"/>
      <c r="CA2749" s="13"/>
      <c r="CB2749" s="13"/>
      <c r="CC2749" s="14"/>
    </row>
    <row r="2750" spans="2:81" ht="12" thickBot="1"/>
    <row r="2751" spans="2:81" ht="48" customHeight="1">
      <c r="B2751" s="73" t="s">
        <v>750</v>
      </c>
      <c r="C2751" s="74"/>
      <c r="D2751" s="74"/>
      <c r="E2751" s="74"/>
      <c r="F2751" s="74"/>
      <c r="G2751" s="74"/>
      <c r="H2751" s="74"/>
      <c r="I2751" s="74"/>
      <c r="J2751" s="74"/>
      <c r="K2751" s="74"/>
      <c r="L2751" s="74"/>
      <c r="M2751" s="74"/>
      <c r="N2751" s="74"/>
      <c r="O2751" s="74"/>
      <c r="P2751" s="74"/>
      <c r="Q2751" s="74"/>
      <c r="R2751" s="74"/>
      <c r="S2751" s="74"/>
      <c r="T2751" s="74"/>
      <c r="U2751" s="74"/>
      <c r="V2751" s="74"/>
      <c r="W2751" s="74"/>
      <c r="X2751" s="74"/>
      <c r="Y2751" s="74"/>
      <c r="Z2751" s="74"/>
      <c r="AA2751" s="74"/>
      <c r="AB2751" s="74"/>
      <c r="AC2751" s="74"/>
      <c r="AD2751" s="74"/>
      <c r="AE2751" s="74"/>
      <c r="AF2751" s="74"/>
      <c r="AG2751" s="74"/>
      <c r="AH2751" s="74"/>
      <c r="AI2751" s="74"/>
      <c r="AJ2751" s="74"/>
      <c r="AK2751" s="74"/>
      <c r="AL2751" s="74"/>
      <c r="AM2751" s="74"/>
      <c r="AN2751" s="74"/>
      <c r="AO2751" s="74"/>
      <c r="AP2751" s="74"/>
      <c r="AQ2751" s="74"/>
      <c r="AR2751" s="74"/>
      <c r="AS2751" s="74"/>
      <c r="AT2751" s="74"/>
      <c r="AU2751" s="74"/>
      <c r="AV2751" s="74"/>
      <c r="AW2751" s="74"/>
      <c r="AX2751" s="74"/>
      <c r="AY2751" s="74"/>
      <c r="AZ2751" s="74"/>
      <c r="BA2751" s="74"/>
      <c r="BB2751" s="74"/>
      <c r="BC2751" s="74"/>
      <c r="BD2751" s="74"/>
      <c r="BE2751" s="74"/>
      <c r="BF2751" s="74"/>
      <c r="BG2751" s="74"/>
      <c r="BH2751" s="74"/>
      <c r="BI2751" s="74"/>
      <c r="BJ2751" s="74"/>
      <c r="BK2751" s="74"/>
      <c r="BL2751" s="74"/>
      <c r="BM2751" s="74"/>
      <c r="BN2751" s="74"/>
      <c r="BO2751" s="74"/>
      <c r="BP2751" s="74"/>
      <c r="BQ2751" s="74"/>
      <c r="BR2751" s="74"/>
      <c r="BS2751" s="74"/>
      <c r="BT2751" s="74"/>
      <c r="BU2751" s="74"/>
      <c r="BV2751" s="74"/>
      <c r="BW2751" s="74"/>
      <c r="BX2751" s="74"/>
      <c r="BY2751" s="74"/>
      <c r="BZ2751" s="74"/>
      <c r="CA2751" s="74"/>
      <c r="CB2751" s="74"/>
      <c r="CC2751" s="75"/>
    </row>
    <row r="2752" spans="2:81">
      <c r="B2752" s="6"/>
      <c r="D2752" s="1" t="s">
        <v>290</v>
      </c>
      <c r="AQ2752" s="8" t="s">
        <v>176</v>
      </c>
      <c r="CC2752" s="7"/>
    </row>
    <row r="2753" spans="2:81">
      <c r="B2753" s="6"/>
      <c r="CC2753" s="7"/>
    </row>
    <row r="2754" spans="2:81">
      <c r="B2754" s="6"/>
      <c r="O2754" s="67" t="s">
        <v>171</v>
      </c>
      <c r="P2754" s="67"/>
      <c r="Q2754" s="67"/>
      <c r="R2754" s="67"/>
      <c r="S2754" s="67"/>
      <c r="T2754" s="67"/>
      <c r="W2754" s="1" t="s">
        <v>581</v>
      </c>
      <c r="CC2754" s="7"/>
    </row>
    <row r="2755" spans="2:81">
      <c r="B2755" s="6"/>
      <c r="BA2755" s="23" t="s">
        <v>747</v>
      </c>
      <c r="BN2755" s="23" t="s">
        <v>748</v>
      </c>
      <c r="CC2755" s="7"/>
    </row>
    <row r="2756" spans="2:81">
      <c r="B2756" s="6"/>
      <c r="AF2756" s="47" t="s">
        <v>1</v>
      </c>
      <c r="AJ2756" s="24" t="s">
        <v>730</v>
      </c>
      <c r="CC2756" s="7"/>
    </row>
    <row r="2757" spans="2:81">
      <c r="B2757" s="6"/>
      <c r="AF2757" s="77">
        <v>3</v>
      </c>
      <c r="AJ2757" s="1" t="s">
        <v>8</v>
      </c>
      <c r="AL2757" s="66">
        <f>INDEX($CH$24:$CH$138,MATCH(O2754,$CG$24:$CG$138,0),0)</f>
        <v>156</v>
      </c>
      <c r="AM2757" s="66"/>
      <c r="AN2757" s="66"/>
      <c r="AO2757" s="1" t="s">
        <v>731</v>
      </c>
      <c r="CC2757" s="7"/>
    </row>
    <row r="2758" spans="2:81">
      <c r="B2758" s="6"/>
      <c r="N2758" s="1" t="s">
        <v>505</v>
      </c>
      <c r="Y2758" s="1" t="s">
        <v>504</v>
      </c>
      <c r="AF2758" s="77"/>
      <c r="AJ2758" s="24" t="s">
        <v>732</v>
      </c>
      <c r="CC2758" s="7"/>
    </row>
    <row r="2759" spans="2:81">
      <c r="B2759" s="6"/>
      <c r="O2759" s="67">
        <v>15</v>
      </c>
      <c r="P2759" s="67"/>
      <c r="Q2759" s="1" t="s">
        <v>187</v>
      </c>
      <c r="AB2759" s="67">
        <v>25</v>
      </c>
      <c r="AC2759" s="67"/>
      <c r="AD2759" s="1" t="s">
        <v>0</v>
      </c>
      <c r="AF2759" s="77"/>
      <c r="AJ2759" s="10" t="s">
        <v>686</v>
      </c>
      <c r="AL2759" s="66">
        <f>INDEX($CM$24:$CM$138,MATCH(L2764,$CG$24:$CG$138,0),0)</f>
        <v>92080</v>
      </c>
      <c r="AM2759" s="66"/>
      <c r="AN2759" s="66"/>
      <c r="AO2759" s="66"/>
      <c r="AP2759" s="1" t="s">
        <v>37</v>
      </c>
      <c r="CC2759" s="7"/>
    </row>
    <row r="2760" spans="2:81">
      <c r="B2760" s="6"/>
      <c r="AJ2760" s="24" t="s">
        <v>763</v>
      </c>
      <c r="AX2760" s="71">
        <f>INDEX($CI$24:$CI$138,MATCH(L2764,$CG$24:$CG$138,0),0)</f>
        <v>600</v>
      </c>
      <c r="BK2760" s="71">
        <f>INDEX($CI$24:$CI$138,MATCH(O2754,$CG$24:$CG$138,0),0)</f>
        <v>600</v>
      </c>
      <c r="CC2760" s="7"/>
    </row>
    <row r="2761" spans="2:81">
      <c r="B2761" s="6"/>
      <c r="H2761" s="1" t="s">
        <v>4</v>
      </c>
      <c r="AJ2761" s="1" t="s">
        <v>38</v>
      </c>
      <c r="AL2761" s="67">
        <v>200000</v>
      </c>
      <c r="AM2761" s="67"/>
      <c r="AN2761" s="67"/>
      <c r="AO2761" s="67"/>
      <c r="AP2761" s="1" t="s">
        <v>39</v>
      </c>
      <c r="AX2761" s="71"/>
      <c r="BB2761" s="66">
        <f>INDEX($CK$24:$CK$138,MATCH(L2764,$CG$24:$CG$138,0),0)</f>
        <v>12</v>
      </c>
      <c r="BC2761" s="66"/>
      <c r="BK2761" s="71"/>
      <c r="BO2761" s="66">
        <f>INDEX($CK$24:$CK$138,MATCH(O2754,$CG$24:$CG$138,0),0)</f>
        <v>12</v>
      </c>
      <c r="BP2761" s="66"/>
      <c r="CC2761" s="7"/>
    </row>
    <row r="2762" spans="2:81">
      <c r="B2762" s="6"/>
      <c r="AX2762" s="71"/>
      <c r="BK2762" s="71"/>
      <c r="CC2762" s="7"/>
    </row>
    <row r="2763" spans="2:81">
      <c r="B2763" s="6"/>
      <c r="AC2763" s="1" t="s">
        <v>685</v>
      </c>
      <c r="CC2763" s="7"/>
    </row>
    <row r="2764" spans="2:81">
      <c r="B2764" s="6"/>
      <c r="J2764" s="10" t="s">
        <v>686</v>
      </c>
      <c r="L2764" s="67" t="s">
        <v>171</v>
      </c>
      <c r="M2764" s="67"/>
      <c r="N2764" s="67"/>
      <c r="O2764" s="67"/>
      <c r="P2764" s="67"/>
      <c r="Q2764" s="67"/>
      <c r="W2764" s="1" t="s">
        <v>10</v>
      </c>
      <c r="BE2764" s="66">
        <f>INDEX($CL$24:$CL$138,MATCH(L2764,$CG$24:$CG$138,0),0)</f>
        <v>19</v>
      </c>
      <c r="BF2764" s="66"/>
      <c r="BR2764" s="66">
        <f>INDEX($CL$24:$CL$138,MATCH(O2754,$CG$24:$CG$138,0),0)</f>
        <v>19</v>
      </c>
      <c r="BS2764" s="66"/>
      <c r="CC2764" s="7"/>
    </row>
    <row r="2765" spans="2:81">
      <c r="B2765" s="6"/>
      <c r="CC2765" s="7"/>
    </row>
    <row r="2766" spans="2:81">
      <c r="B2766" s="6"/>
      <c r="P2766" s="67">
        <v>3</v>
      </c>
      <c r="Q2766" s="67"/>
      <c r="R2766" s="1" t="s">
        <v>1</v>
      </c>
      <c r="Y2766" s="67">
        <v>1.5</v>
      </c>
      <c r="Z2766" s="67"/>
      <c r="AA2766" s="1" t="s">
        <v>1</v>
      </c>
      <c r="CC2766" s="7"/>
    </row>
    <row r="2767" spans="2:81">
      <c r="B2767" s="6"/>
      <c r="BC2767" s="66">
        <f>INDEX($CJ$24:$CJ$138,MATCH(L2764,$CG$24:$CG$138,0),0)</f>
        <v>220</v>
      </c>
      <c r="BD2767" s="66"/>
      <c r="BP2767" s="66">
        <f>INDEX($CJ$24:$CJ$138,MATCH(O2754,$CG$24:$CG$138,0),0)</f>
        <v>220</v>
      </c>
      <c r="BQ2767" s="66"/>
      <c r="CC2767" s="7"/>
    </row>
    <row r="2768" spans="2:81">
      <c r="B2768" s="6"/>
      <c r="R2768" s="66">
        <f>+P2766+Y2766</f>
        <v>4.5</v>
      </c>
      <c r="S2768" s="66"/>
      <c r="T2768" s="1" t="s">
        <v>1</v>
      </c>
      <c r="CC2768" s="7"/>
    </row>
    <row r="2769" spans="2:81">
      <c r="B2769" s="6"/>
      <c r="CC2769" s="7"/>
    </row>
    <row r="2770" spans="2:81">
      <c r="B2770" s="6"/>
      <c r="CC2770" s="7"/>
    </row>
    <row r="2771" spans="2:81">
      <c r="B2771" s="6"/>
      <c r="U2771" s="1" t="s">
        <v>692</v>
      </c>
      <c r="V2771" s="66">
        <f>+G2782</f>
        <v>88.125</v>
      </c>
      <c r="W2771" s="66"/>
      <c r="X2771" s="66"/>
      <c r="Y2771" s="1" t="s">
        <v>0</v>
      </c>
      <c r="AB2771" s="66">
        <f>+AB2759</f>
        <v>25</v>
      </c>
      <c r="AC2771" s="66"/>
      <c r="AD2771" s="1" t="s">
        <v>0</v>
      </c>
      <c r="CC2771" s="7"/>
    </row>
    <row r="2772" spans="2:81">
      <c r="B2772" s="6"/>
      <c r="P2772" s="66">
        <f>+O2759</f>
        <v>15</v>
      </c>
      <c r="Q2772" s="66"/>
      <c r="R2772" s="1" t="s">
        <v>187</v>
      </c>
      <c r="CC2772" s="7"/>
    </row>
    <row r="2773" spans="2:81">
      <c r="B2773" s="6"/>
      <c r="CC2773" s="7"/>
    </row>
    <row r="2774" spans="2:81">
      <c r="B2774" s="6"/>
      <c r="C2774" s="1" t="s">
        <v>733</v>
      </c>
      <c r="E2774" s="66">
        <v>0</v>
      </c>
      <c r="F2774" s="66"/>
      <c r="G2774" s="1" t="s">
        <v>0</v>
      </c>
      <c r="CC2774" s="7"/>
    </row>
    <row r="2775" spans="2:81">
      <c r="B2775" s="6"/>
      <c r="I2775" s="55" t="s">
        <v>4</v>
      </c>
      <c r="W2775" s="55" t="s">
        <v>10</v>
      </c>
      <c r="AC2775" s="1" t="s">
        <v>685</v>
      </c>
      <c r="CC2775" s="7"/>
    </row>
    <row r="2776" spans="2:81">
      <c r="B2776" s="6"/>
      <c r="M2776" s="1" t="s">
        <v>13</v>
      </c>
      <c r="AA2776" s="1" t="s">
        <v>428</v>
      </c>
      <c r="CC2776" s="7"/>
    </row>
    <row r="2777" spans="2:81">
      <c r="B2777" s="6"/>
      <c r="F2777" s="1" t="s">
        <v>734</v>
      </c>
      <c r="H2777" s="66">
        <f>+G2785</f>
        <v>4.375</v>
      </c>
      <c r="I2777" s="66"/>
      <c r="J2777" s="66"/>
      <c r="K2777" s="1" t="s">
        <v>0</v>
      </c>
      <c r="CC2777" s="7"/>
    </row>
    <row r="2778" spans="2:81">
      <c r="B2778" s="6"/>
      <c r="P2778" s="66">
        <f>+P2766</f>
        <v>3</v>
      </c>
      <c r="Q2778" s="66"/>
      <c r="R2778" s="1" t="s">
        <v>1</v>
      </c>
      <c r="Y2778" s="66">
        <f>+Y2766</f>
        <v>1.5</v>
      </c>
      <c r="Z2778" s="66"/>
      <c r="AA2778" s="1" t="s">
        <v>1</v>
      </c>
      <c r="CC2778" s="7"/>
    </row>
    <row r="2779" spans="2:81">
      <c r="B2779" s="6"/>
      <c r="CC2779" s="7"/>
    </row>
    <row r="2780" spans="2:81">
      <c r="B2780" s="6"/>
      <c r="E2780" s="1" t="s">
        <v>735</v>
      </c>
      <c r="CC2780" s="7"/>
    </row>
    <row r="2781" spans="2:81">
      <c r="B2781" s="6"/>
      <c r="E2781" s="1" t="s">
        <v>694</v>
      </c>
      <c r="F2781" s="9" t="s">
        <v>5</v>
      </c>
      <c r="G2781" s="66">
        <f>+P2778</f>
        <v>3</v>
      </c>
      <c r="H2781" s="66"/>
      <c r="I2781" s="9" t="s">
        <v>6</v>
      </c>
      <c r="J2781" s="66">
        <f>+P2772</f>
        <v>15</v>
      </c>
      <c r="K2781" s="66"/>
      <c r="L2781" s="9" t="s">
        <v>5</v>
      </c>
      <c r="M2781" s="66">
        <f>+P2778+Y2778</f>
        <v>4.5</v>
      </c>
      <c r="N2781" s="66"/>
      <c r="O2781" s="9" t="s">
        <v>5</v>
      </c>
      <c r="P2781" s="66">
        <f>+M2781/2</f>
        <v>2.25</v>
      </c>
      <c r="Q2781" s="66"/>
      <c r="R2781" s="9" t="s">
        <v>6</v>
      </c>
      <c r="S2781" s="66">
        <f>+AB2771</f>
        <v>25</v>
      </c>
      <c r="T2781" s="66"/>
      <c r="U2781" s="9" t="s">
        <v>5</v>
      </c>
      <c r="V2781" s="66">
        <f>+P2778+Y2778</f>
        <v>4.5</v>
      </c>
      <c r="W2781" s="66"/>
      <c r="X2781" s="9" t="s">
        <v>7</v>
      </c>
      <c r="Y2781" s="9">
        <v>0</v>
      </c>
      <c r="CC2781" s="7"/>
    </row>
    <row r="2782" spans="2:81">
      <c r="B2782" s="6"/>
      <c r="E2782" s="1" t="s">
        <v>694</v>
      </c>
      <c r="F2782" s="9" t="s">
        <v>7</v>
      </c>
      <c r="G2782" s="66">
        <f>(J2781*M2781*P2781+S2781*V2781)/G2781</f>
        <v>88.125</v>
      </c>
      <c r="H2782" s="66"/>
      <c r="I2782" s="66"/>
      <c r="J2782" s="1" t="s">
        <v>0</v>
      </c>
      <c r="CC2782" s="7"/>
    </row>
    <row r="2783" spans="2:81">
      <c r="B2783" s="6"/>
      <c r="E2783" s="1" t="s">
        <v>736</v>
      </c>
      <c r="CC2783" s="7"/>
    </row>
    <row r="2784" spans="2:81">
      <c r="B2784" s="6"/>
      <c r="E2784" s="1" t="s">
        <v>737</v>
      </c>
      <c r="G2784" s="9" t="s">
        <v>694</v>
      </c>
      <c r="H2784" s="9" t="s">
        <v>6</v>
      </c>
      <c r="I2784" s="66">
        <f>+P2772</f>
        <v>15</v>
      </c>
      <c r="J2784" s="66"/>
      <c r="K2784" s="9" t="s">
        <v>5</v>
      </c>
      <c r="L2784" s="66">
        <f>+P2778+Y2778</f>
        <v>4.5</v>
      </c>
      <c r="M2784" s="66"/>
      <c r="N2784" s="9" t="s">
        <v>6</v>
      </c>
      <c r="O2784" s="66">
        <f>+AB2771</f>
        <v>25</v>
      </c>
      <c r="P2784" s="66"/>
      <c r="Q2784" s="9" t="s">
        <v>7</v>
      </c>
      <c r="R2784" s="9">
        <v>0</v>
      </c>
      <c r="CC2784" s="7"/>
    </row>
    <row r="2785" spans="2:81">
      <c r="B2785" s="6"/>
      <c r="E2785" s="1" t="s">
        <v>738</v>
      </c>
      <c r="G2785" s="66">
        <f>+I2784*L2784+O2784-G2782</f>
        <v>4.375</v>
      </c>
      <c r="H2785" s="66"/>
      <c r="I2785" s="66"/>
      <c r="J2785" s="1" t="s">
        <v>0</v>
      </c>
      <c r="CC2785" s="7"/>
    </row>
    <row r="2786" spans="2:81">
      <c r="B2786" s="6"/>
      <c r="E2786" s="1" t="s">
        <v>739</v>
      </c>
      <c r="CC2786" s="7"/>
    </row>
    <row r="2787" spans="2:81">
      <c r="B2787" s="6"/>
      <c r="E2787" s="10" t="s">
        <v>740</v>
      </c>
      <c r="N2787" s="9"/>
      <c r="U2787" s="9"/>
      <c r="CC2787" s="7"/>
    </row>
    <row r="2788" spans="2:81">
      <c r="B2788" s="6"/>
      <c r="E2788" s="24" t="s">
        <v>696</v>
      </c>
      <c r="CC2788" s="7"/>
    </row>
    <row r="2789" spans="2:81">
      <c r="B2789" s="6"/>
      <c r="E2789" s="1" t="s">
        <v>429</v>
      </c>
      <c r="G2789" s="66">
        <f>+H2777</f>
        <v>4.375</v>
      </c>
      <c r="H2789" s="66"/>
      <c r="I2789" s="66"/>
      <c r="J2789" s="9" t="s">
        <v>5</v>
      </c>
      <c r="K2789" s="9" t="s">
        <v>13</v>
      </c>
      <c r="L2789" s="9" t="s">
        <v>6</v>
      </c>
      <c r="M2789" s="66">
        <f>+P2772</f>
        <v>15</v>
      </c>
      <c r="N2789" s="66"/>
      <c r="O2789" s="9" t="s">
        <v>5</v>
      </c>
      <c r="P2789" s="1" t="s">
        <v>183</v>
      </c>
      <c r="Q2789" s="1" t="s">
        <v>173</v>
      </c>
      <c r="R2789" s="1">
        <v>2</v>
      </c>
      <c r="CC2789" s="7"/>
    </row>
    <row r="2790" spans="2:81">
      <c r="B2790" s="6"/>
      <c r="E2790" s="1" t="s">
        <v>432</v>
      </c>
      <c r="G2790" s="66">
        <f>+G2789</f>
        <v>4.375</v>
      </c>
      <c r="H2790" s="66"/>
      <c r="I2790" s="66"/>
      <c r="J2790" s="9" t="s">
        <v>5</v>
      </c>
      <c r="K2790" s="9" t="s">
        <v>183</v>
      </c>
      <c r="L2790" s="1" t="s">
        <v>173</v>
      </c>
      <c r="M2790" s="1">
        <v>2</v>
      </c>
      <c r="N2790" s="9" t="s">
        <v>6</v>
      </c>
      <c r="O2790" s="66">
        <f>+M2789</f>
        <v>15</v>
      </c>
      <c r="P2790" s="66"/>
      <c r="Q2790" s="9" t="s">
        <v>5</v>
      </c>
      <c r="R2790" s="1" t="s">
        <v>184</v>
      </c>
      <c r="S2790" s="1" t="s">
        <v>173</v>
      </c>
      <c r="T2790" s="1">
        <v>6</v>
      </c>
      <c r="U2790" s="9" t="s">
        <v>9</v>
      </c>
      <c r="V2790" s="1" t="s">
        <v>24</v>
      </c>
      <c r="CC2790" s="7"/>
    </row>
    <row r="2791" spans="2:81">
      <c r="B2791" s="6"/>
      <c r="E2791" s="1" t="s">
        <v>431</v>
      </c>
      <c r="G2791" s="66">
        <f>+G2790</f>
        <v>4.375</v>
      </c>
      <c r="H2791" s="66"/>
      <c r="I2791" s="66"/>
      <c r="J2791" s="9" t="s">
        <v>5</v>
      </c>
      <c r="K2791" s="9" t="s">
        <v>184</v>
      </c>
      <c r="L2791" s="1" t="s">
        <v>173</v>
      </c>
      <c r="M2791" s="1">
        <v>6</v>
      </c>
      <c r="N2791" s="9" t="s">
        <v>6</v>
      </c>
      <c r="O2791" s="66">
        <f>+O2790</f>
        <v>15</v>
      </c>
      <c r="P2791" s="66"/>
      <c r="Q2791" s="9" t="s">
        <v>5</v>
      </c>
      <c r="R2791" s="1" t="s">
        <v>185</v>
      </c>
      <c r="S2791" s="1" t="s">
        <v>173</v>
      </c>
      <c r="T2791" s="66">
        <v>24</v>
      </c>
      <c r="U2791" s="66"/>
      <c r="V2791" s="9" t="s">
        <v>9</v>
      </c>
      <c r="W2791" s="1" t="s">
        <v>24</v>
      </c>
      <c r="X2791" s="9" t="s">
        <v>5</v>
      </c>
      <c r="Y2791" s="9" t="s">
        <v>13</v>
      </c>
      <c r="Z2791" s="9" t="s">
        <v>9</v>
      </c>
      <c r="AA2791" s="1" t="s">
        <v>307</v>
      </c>
      <c r="CC2791" s="7"/>
    </row>
    <row r="2792" spans="2:81">
      <c r="B2792" s="6"/>
      <c r="E2792" s="24" t="s">
        <v>700</v>
      </c>
      <c r="CC2792" s="7"/>
    </row>
    <row r="2793" spans="2:81">
      <c r="B2793" s="6"/>
      <c r="E2793" s="1" t="s">
        <v>433</v>
      </c>
      <c r="G2793" s="66">
        <f>+H2777</f>
        <v>4.375</v>
      </c>
      <c r="H2793" s="66"/>
      <c r="I2793" s="66"/>
      <c r="J2793" s="1" t="s">
        <v>14</v>
      </c>
      <c r="K2793" s="66">
        <f>+P2778</f>
        <v>3</v>
      </c>
      <c r="L2793" s="66"/>
      <c r="M2793" s="9" t="s">
        <v>9</v>
      </c>
      <c r="N2793" s="9" t="s">
        <v>428</v>
      </c>
      <c r="O2793" s="1" t="s">
        <v>16</v>
      </c>
      <c r="P2793" s="66">
        <f>+P2772</f>
        <v>15</v>
      </c>
      <c r="Q2793" s="66"/>
      <c r="R2793" s="9" t="s">
        <v>5</v>
      </c>
      <c r="S2793" s="66">
        <f>+P2778</f>
        <v>3</v>
      </c>
      <c r="T2793" s="66"/>
      <c r="U2793" s="1" t="s">
        <v>14</v>
      </c>
      <c r="V2793" s="66">
        <f>+P2778/2</f>
        <v>1.5</v>
      </c>
      <c r="W2793" s="66"/>
      <c r="X2793" s="9" t="s">
        <v>9</v>
      </c>
      <c r="Y2793" s="9" t="s">
        <v>428</v>
      </c>
      <c r="Z2793" s="1" t="s">
        <v>306</v>
      </c>
      <c r="AA2793" s="66">
        <f>+V2771</f>
        <v>88.125</v>
      </c>
      <c r="AB2793" s="66"/>
      <c r="AC2793" s="66"/>
      <c r="AD2793" s="9" t="s">
        <v>5</v>
      </c>
      <c r="AE2793" s="9" t="s">
        <v>428</v>
      </c>
      <c r="AF2793" s="9" t="s">
        <v>6</v>
      </c>
      <c r="AG2793" s="66">
        <f>+O2759</f>
        <v>15</v>
      </c>
      <c r="AH2793" s="66"/>
      <c r="AI2793" s="9" t="s">
        <v>5</v>
      </c>
      <c r="AJ2793" s="9" t="s">
        <v>443</v>
      </c>
      <c r="AK2793" s="1" t="s">
        <v>173</v>
      </c>
      <c r="AL2793" s="1">
        <v>2</v>
      </c>
      <c r="CC2793" s="7"/>
    </row>
    <row r="2794" spans="2:81">
      <c r="B2794" s="6"/>
      <c r="E2794" s="1" t="s">
        <v>430</v>
      </c>
      <c r="G2794" s="66">
        <f>+G2793</f>
        <v>4.375</v>
      </c>
      <c r="H2794" s="66"/>
      <c r="I2794" s="66"/>
      <c r="J2794" s="1" t="s">
        <v>14</v>
      </c>
      <c r="K2794" s="66">
        <f>+K2793</f>
        <v>3</v>
      </c>
      <c r="L2794" s="66"/>
      <c r="M2794" s="9" t="s">
        <v>9</v>
      </c>
      <c r="N2794" s="9" t="s">
        <v>428</v>
      </c>
      <c r="O2794" s="1" t="s">
        <v>200</v>
      </c>
      <c r="P2794" s="1" t="s">
        <v>173</v>
      </c>
      <c r="Q2794" s="1">
        <v>2</v>
      </c>
      <c r="R2794" s="9" t="s">
        <v>6</v>
      </c>
      <c r="S2794" s="66">
        <f>+S2793*P2793</f>
        <v>45</v>
      </c>
      <c r="T2794" s="66"/>
      <c r="U2794" s="1" t="s">
        <v>14</v>
      </c>
      <c r="V2794" s="66">
        <f>+V2793</f>
        <v>1.5</v>
      </c>
      <c r="W2794" s="66"/>
      <c r="X2794" s="9" t="s">
        <v>9</v>
      </c>
      <c r="Y2794" s="9" t="s">
        <v>428</v>
      </c>
      <c r="Z2794" s="1" t="s">
        <v>200</v>
      </c>
      <c r="AA2794" s="1" t="s">
        <v>173</v>
      </c>
      <c r="AB2794" s="1">
        <v>2</v>
      </c>
      <c r="AC2794" s="9" t="s">
        <v>9</v>
      </c>
      <c r="AD2794" s="66">
        <f>+AA2793</f>
        <v>88.125</v>
      </c>
      <c r="AE2794" s="66"/>
      <c r="AF2794" s="66"/>
      <c r="AG2794" s="9" t="s">
        <v>5</v>
      </c>
      <c r="AH2794" s="9" t="s">
        <v>443</v>
      </c>
      <c r="AI2794" s="1" t="s">
        <v>173</v>
      </c>
      <c r="AJ2794" s="1">
        <v>2</v>
      </c>
      <c r="AK2794" s="9" t="s">
        <v>6</v>
      </c>
      <c r="AL2794" s="66">
        <f>+AG2793</f>
        <v>15</v>
      </c>
      <c r="AM2794" s="66"/>
      <c r="AN2794" s="9" t="s">
        <v>5</v>
      </c>
      <c r="AO2794" s="9" t="s">
        <v>444</v>
      </c>
      <c r="AP2794" s="1" t="s">
        <v>173</v>
      </c>
      <c r="AQ2794" s="1">
        <v>6</v>
      </c>
      <c r="AR2794" s="9" t="s">
        <v>9</v>
      </c>
      <c r="AS2794" s="1" t="s">
        <v>313</v>
      </c>
      <c r="CC2794" s="7"/>
    </row>
    <row r="2795" spans="2:81">
      <c r="B2795" s="6"/>
      <c r="E2795" s="1" t="s">
        <v>435</v>
      </c>
      <c r="G2795" s="66">
        <f>+G2794</f>
        <v>4.375</v>
      </c>
      <c r="H2795" s="66"/>
      <c r="I2795" s="66"/>
      <c r="J2795" s="1" t="s">
        <v>14</v>
      </c>
      <c r="K2795" s="66">
        <f>+K2794</f>
        <v>3</v>
      </c>
      <c r="L2795" s="66"/>
      <c r="M2795" s="9" t="s">
        <v>9</v>
      </c>
      <c r="N2795" s="9" t="s">
        <v>428</v>
      </c>
      <c r="O2795" s="1" t="s">
        <v>311</v>
      </c>
      <c r="P2795" s="1" t="s">
        <v>173</v>
      </c>
      <c r="Q2795" s="1">
        <v>6</v>
      </c>
      <c r="R2795" s="9" t="s">
        <v>6</v>
      </c>
      <c r="S2795" s="66">
        <f>+S2794</f>
        <v>45</v>
      </c>
      <c r="T2795" s="66"/>
      <c r="U2795" s="1" t="s">
        <v>14</v>
      </c>
      <c r="V2795" s="66">
        <f>+V2794</f>
        <v>1.5</v>
      </c>
      <c r="W2795" s="66"/>
      <c r="X2795" s="9" t="s">
        <v>9</v>
      </c>
      <c r="Y2795" s="9" t="s">
        <v>428</v>
      </c>
      <c r="Z2795" s="1" t="s">
        <v>311</v>
      </c>
      <c r="AA2795" s="1" t="s">
        <v>173</v>
      </c>
      <c r="AB2795" s="1">
        <v>6</v>
      </c>
      <c r="AC2795" s="9" t="s">
        <v>9</v>
      </c>
      <c r="AD2795" s="66">
        <f>+AD2794</f>
        <v>88.125</v>
      </c>
      <c r="AE2795" s="66"/>
      <c r="AF2795" s="66"/>
      <c r="AG2795" s="9" t="s">
        <v>5</v>
      </c>
      <c r="AH2795" s="9" t="s">
        <v>444</v>
      </c>
      <c r="AI2795" s="1" t="s">
        <v>173</v>
      </c>
      <c r="AJ2795" s="1">
        <v>6</v>
      </c>
      <c r="AK2795" s="9" t="s">
        <v>6</v>
      </c>
      <c r="AL2795" s="66">
        <f>+AL2794</f>
        <v>15</v>
      </c>
      <c r="AM2795" s="66"/>
      <c r="AN2795" s="9" t="s">
        <v>5</v>
      </c>
      <c r="AO2795" s="9" t="s">
        <v>445</v>
      </c>
      <c r="AP2795" s="1" t="s">
        <v>173</v>
      </c>
      <c r="AQ2795" s="66">
        <v>24</v>
      </c>
      <c r="AR2795" s="66"/>
      <c r="AS2795" s="9" t="s">
        <v>9</v>
      </c>
      <c r="AT2795" s="1" t="s">
        <v>313</v>
      </c>
      <c r="AU2795" s="9" t="s">
        <v>5</v>
      </c>
      <c r="AV2795" s="9" t="s">
        <v>428</v>
      </c>
      <c r="AW2795" s="9" t="s">
        <v>9</v>
      </c>
      <c r="AX2795" s="1" t="s">
        <v>315</v>
      </c>
      <c r="CC2795" s="7"/>
    </row>
    <row r="2796" spans="2:81">
      <c r="B2796" s="6"/>
      <c r="E2796" s="24" t="s">
        <v>318</v>
      </c>
      <c r="G2796" s="9"/>
      <c r="H2796" s="9"/>
      <c r="I2796" s="9"/>
      <c r="CC2796" s="7"/>
    </row>
    <row r="2797" spans="2:81">
      <c r="B2797" s="6"/>
      <c r="E2797" s="1" t="s">
        <v>319</v>
      </c>
      <c r="G2797" s="9"/>
      <c r="H2797" s="9"/>
      <c r="K2797" s="1" t="s">
        <v>411</v>
      </c>
      <c r="CC2797" s="7"/>
    </row>
    <row r="2798" spans="2:81">
      <c r="B2798" s="6"/>
      <c r="E2798" s="1" t="s">
        <v>358</v>
      </c>
      <c r="I2798" s="66">
        <f>+G2791</f>
        <v>4.375</v>
      </c>
      <c r="J2798" s="66"/>
      <c r="K2798" s="66"/>
      <c r="L2798" s="9" t="s">
        <v>5</v>
      </c>
      <c r="M2798" s="66">
        <f>+P2778</f>
        <v>3</v>
      </c>
      <c r="N2798" s="66"/>
      <c r="O2798" s="1" t="s">
        <v>30</v>
      </c>
      <c r="P2798" s="1">
        <v>6</v>
      </c>
      <c r="Q2798" s="9" t="s">
        <v>6</v>
      </c>
      <c r="R2798" s="66">
        <f>+O2791</f>
        <v>15</v>
      </c>
      <c r="S2798" s="66"/>
      <c r="T2798" s="9" t="s">
        <v>5</v>
      </c>
      <c r="U2798" s="66">
        <f>+M2798</f>
        <v>3</v>
      </c>
      <c r="V2798" s="66"/>
      <c r="W2798" s="1" t="s">
        <v>186</v>
      </c>
      <c r="X2798" s="66">
        <v>24</v>
      </c>
      <c r="Y2798" s="66"/>
      <c r="Z2798" s="9" t="s">
        <v>9</v>
      </c>
      <c r="AA2798" s="1" t="s">
        <v>24</v>
      </c>
      <c r="AB2798" s="9" t="s">
        <v>5</v>
      </c>
      <c r="AC2798" s="66">
        <f>+U2798</f>
        <v>3</v>
      </c>
      <c r="AD2798" s="66"/>
      <c r="AE2798" s="9" t="s">
        <v>7</v>
      </c>
      <c r="AF2798" s="1" t="s">
        <v>24</v>
      </c>
      <c r="AG2798" s="9" t="s">
        <v>5</v>
      </c>
      <c r="AH2798" s="66">
        <f>+AC2798</f>
        <v>3</v>
      </c>
      <c r="AI2798" s="66"/>
      <c r="AJ2798" s="9" t="s">
        <v>9</v>
      </c>
      <c r="AK2798" s="66">
        <f>I2798*M2798^3/P2798-R2798*U2798^4/X2798</f>
        <v>-30.9375</v>
      </c>
      <c r="AL2798" s="66"/>
      <c r="AM2798" s="66"/>
      <c r="CC2798" s="7"/>
    </row>
    <row r="2799" spans="2:81">
      <c r="B2799" s="6"/>
      <c r="E2799" s="1" t="s">
        <v>458</v>
      </c>
      <c r="I2799" s="66">
        <f>+G2795</f>
        <v>4.375</v>
      </c>
      <c r="J2799" s="66"/>
      <c r="K2799" s="66"/>
      <c r="L2799" s="9" t="s">
        <v>5</v>
      </c>
      <c r="M2799" s="66">
        <f>+K2795</f>
        <v>3</v>
      </c>
      <c r="N2799" s="66"/>
      <c r="O2799" s="1" t="s">
        <v>30</v>
      </c>
      <c r="P2799" s="1">
        <v>6</v>
      </c>
      <c r="Q2799" s="9" t="s">
        <v>6</v>
      </c>
      <c r="R2799" s="66">
        <f>+S2795</f>
        <v>45</v>
      </c>
      <c r="S2799" s="66"/>
      <c r="T2799" s="66"/>
      <c r="U2799" s="9" t="s">
        <v>5</v>
      </c>
      <c r="V2799" s="66">
        <f>+V2795</f>
        <v>1.5</v>
      </c>
      <c r="W2799" s="66"/>
      <c r="X2799" s="1" t="s">
        <v>30</v>
      </c>
      <c r="Y2799" s="1">
        <v>6</v>
      </c>
      <c r="Z2799" s="9" t="s">
        <v>9</v>
      </c>
      <c r="AA2799" s="1" t="s">
        <v>315</v>
      </c>
      <c r="AB2799" s="1" t="s">
        <v>7</v>
      </c>
      <c r="AC2799" s="1" t="s">
        <v>315</v>
      </c>
      <c r="AD2799" s="9" t="s">
        <v>9</v>
      </c>
      <c r="AE2799" s="66">
        <f>I2799*M2799^3/P2799-R2799*V2799^3/Y2799</f>
        <v>-5.625</v>
      </c>
      <c r="AF2799" s="66"/>
      <c r="AG2799" s="66"/>
      <c r="CC2799" s="7"/>
    </row>
    <row r="2800" spans="2:81">
      <c r="B2800" s="6"/>
      <c r="E2800" s="1" t="s">
        <v>461</v>
      </c>
      <c r="O2800" s="1" t="s">
        <v>315</v>
      </c>
      <c r="P2800" s="9" t="s">
        <v>9</v>
      </c>
      <c r="Q2800" s="66">
        <f>+AE2799</f>
        <v>-5.625</v>
      </c>
      <c r="R2800" s="66"/>
      <c r="S2800" s="66"/>
      <c r="T2800" s="9" t="s">
        <v>7</v>
      </c>
      <c r="U2800" s="1" t="s">
        <v>24</v>
      </c>
      <c r="V2800" s="9" t="s">
        <v>5</v>
      </c>
      <c r="W2800" s="66">
        <f>+AK2798</f>
        <v>-30.9375</v>
      </c>
      <c r="X2800" s="66"/>
      <c r="Y2800" s="9" t="s">
        <v>9</v>
      </c>
      <c r="Z2800" s="66">
        <f>+AK2798</f>
        <v>-30.9375</v>
      </c>
      <c r="AA2800" s="66"/>
      <c r="AB2800" s="66"/>
      <c r="AE2800" s="58" t="s">
        <v>24</v>
      </c>
      <c r="AF2800" s="48" t="s">
        <v>5</v>
      </c>
      <c r="AG2800" s="68">
        <f>+W2800</f>
        <v>-30.9375</v>
      </c>
      <c r="AH2800" s="68"/>
      <c r="AI2800" s="48" t="s">
        <v>6</v>
      </c>
      <c r="AJ2800" s="49" t="s">
        <v>315</v>
      </c>
      <c r="AK2800" s="48" t="s">
        <v>9</v>
      </c>
      <c r="AL2800" s="68">
        <f>+Z2800-Q2800</f>
        <v>-25.3125</v>
      </c>
      <c r="AM2800" s="68"/>
      <c r="AN2800" s="68"/>
      <c r="AO2800" s="48" t="s">
        <v>7</v>
      </c>
      <c r="AP2800" s="50">
        <v>0</v>
      </c>
      <c r="AR2800" s="1" t="s">
        <v>438</v>
      </c>
      <c r="CC2800" s="7"/>
    </row>
    <row r="2801" spans="2:81">
      <c r="B2801" s="6"/>
      <c r="E2801" s="1" t="s">
        <v>320</v>
      </c>
      <c r="I2801" s="66">
        <f>+G2790</f>
        <v>4.375</v>
      </c>
      <c r="J2801" s="66"/>
      <c r="K2801" s="66"/>
      <c r="L2801" s="9" t="s">
        <v>5</v>
      </c>
      <c r="M2801" s="66">
        <f>+P2778</f>
        <v>3</v>
      </c>
      <c r="N2801" s="66"/>
      <c r="O2801" s="1" t="s">
        <v>190</v>
      </c>
      <c r="P2801" s="1">
        <v>2</v>
      </c>
      <c r="Q2801" s="9" t="s">
        <v>6</v>
      </c>
      <c r="R2801" s="66">
        <f>+O2790</f>
        <v>15</v>
      </c>
      <c r="S2801" s="66"/>
      <c r="T2801" s="9" t="s">
        <v>5</v>
      </c>
      <c r="U2801" s="66">
        <f>+M2801</f>
        <v>3</v>
      </c>
      <c r="V2801" s="66"/>
      <c r="W2801" s="1" t="s">
        <v>30</v>
      </c>
      <c r="X2801" s="1">
        <v>6</v>
      </c>
      <c r="Y2801" s="9" t="s">
        <v>9</v>
      </c>
      <c r="Z2801" s="1" t="s">
        <v>24</v>
      </c>
      <c r="AA2801" s="9" t="s">
        <v>7</v>
      </c>
      <c r="AB2801" s="1" t="s">
        <v>24</v>
      </c>
      <c r="AC2801" s="9" t="s">
        <v>9</v>
      </c>
      <c r="AD2801" s="66">
        <f>I2801*M2801^2/P2801-R2801*U2801^3/X2801</f>
        <v>-47.8125</v>
      </c>
      <c r="AE2801" s="66"/>
      <c r="AF2801" s="66"/>
      <c r="CC2801" s="7"/>
    </row>
    <row r="2802" spans="2:81">
      <c r="B2802" s="6"/>
      <c r="E2802" s="1" t="s">
        <v>470</v>
      </c>
      <c r="I2802" s="66">
        <f>+G2794</f>
        <v>4.375</v>
      </c>
      <c r="J2802" s="66"/>
      <c r="K2802" s="66"/>
      <c r="L2802" s="9" t="s">
        <v>5</v>
      </c>
      <c r="M2802" s="66">
        <f>+K2794</f>
        <v>3</v>
      </c>
      <c r="N2802" s="66"/>
      <c r="O2802" s="1" t="s">
        <v>254</v>
      </c>
      <c r="P2802" s="1">
        <v>2</v>
      </c>
      <c r="Q2802" s="9" t="s">
        <v>6</v>
      </c>
      <c r="R2802" s="66">
        <f>+S2794</f>
        <v>45</v>
      </c>
      <c r="S2802" s="66"/>
      <c r="T2802" s="66"/>
      <c r="U2802" s="9" t="s">
        <v>5</v>
      </c>
      <c r="V2802" s="66">
        <f>+V2794</f>
        <v>1.5</v>
      </c>
      <c r="W2802" s="66"/>
      <c r="X2802" s="1" t="s">
        <v>254</v>
      </c>
      <c r="Y2802" s="1">
        <v>2</v>
      </c>
      <c r="Z2802" s="9" t="s">
        <v>9</v>
      </c>
      <c r="AA2802" s="1" t="s">
        <v>313</v>
      </c>
      <c r="AB2802" s="9" t="s">
        <v>7</v>
      </c>
      <c r="AC2802" s="1" t="s">
        <v>313</v>
      </c>
      <c r="AD2802" s="9" t="s">
        <v>9</v>
      </c>
      <c r="AE2802" s="79">
        <f>I2802*M2802^2/P2802-R2802*V2802^2/Y2802</f>
        <v>-30.9375</v>
      </c>
      <c r="AF2802" s="79"/>
      <c r="AG2802" s="79"/>
      <c r="CC2802" s="7"/>
    </row>
    <row r="2803" spans="2:81">
      <c r="B2803" s="6"/>
      <c r="E2803" s="1" t="s">
        <v>639</v>
      </c>
      <c r="O2803" s="1" t="s">
        <v>313</v>
      </c>
      <c r="P2803" s="9" t="s">
        <v>9</v>
      </c>
      <c r="Q2803" s="66">
        <f>+AE2802</f>
        <v>-30.9375</v>
      </c>
      <c r="R2803" s="66"/>
      <c r="S2803" s="66"/>
      <c r="T2803" s="9" t="s">
        <v>7</v>
      </c>
      <c r="U2803" s="1" t="s">
        <v>24</v>
      </c>
      <c r="V2803" s="9" t="s">
        <v>9</v>
      </c>
      <c r="W2803" s="66">
        <f>+AD2801</f>
        <v>-47.8125</v>
      </c>
      <c r="X2803" s="66"/>
      <c r="Y2803" s="66"/>
      <c r="AB2803" s="58" t="s">
        <v>24</v>
      </c>
      <c r="AC2803" s="48" t="s">
        <v>6</v>
      </c>
      <c r="AD2803" s="49" t="s">
        <v>313</v>
      </c>
      <c r="AE2803" s="48" t="s">
        <v>9</v>
      </c>
      <c r="AF2803" s="68">
        <f>+W2803-Q2803</f>
        <v>-16.875</v>
      </c>
      <c r="AG2803" s="68"/>
      <c r="AH2803" s="68"/>
      <c r="AI2803" s="48" t="s">
        <v>7</v>
      </c>
      <c r="AJ2803" s="48" t="s">
        <v>7</v>
      </c>
      <c r="AK2803" s="50">
        <v>0</v>
      </c>
      <c r="AM2803" s="1" t="s">
        <v>439</v>
      </c>
      <c r="CC2803" s="7"/>
    </row>
    <row r="2804" spans="2:81">
      <c r="B2804" s="6"/>
      <c r="E2804" s="1" t="s">
        <v>741</v>
      </c>
      <c r="CC2804" s="7"/>
    </row>
    <row r="2805" spans="2:81">
      <c r="B2805" s="6"/>
      <c r="E2805" s="1" t="s">
        <v>742</v>
      </c>
      <c r="I2805" s="66">
        <f>+G2791</f>
        <v>4.375</v>
      </c>
      <c r="J2805" s="66"/>
      <c r="K2805" s="66"/>
      <c r="L2805" s="9" t="s">
        <v>5</v>
      </c>
      <c r="M2805" s="66">
        <f>+P2778</f>
        <v>3</v>
      </c>
      <c r="N2805" s="66"/>
      <c r="O2805" s="1" t="s">
        <v>321</v>
      </c>
      <c r="P2805" s="1">
        <v>6</v>
      </c>
      <c r="Q2805" s="9" t="s">
        <v>6</v>
      </c>
      <c r="R2805" s="66">
        <f>+O2791</f>
        <v>15</v>
      </c>
      <c r="S2805" s="66"/>
      <c r="T2805" s="9" t="s">
        <v>5</v>
      </c>
      <c r="U2805" s="66">
        <f>+M2805</f>
        <v>3</v>
      </c>
      <c r="V2805" s="66"/>
      <c r="W2805" s="1" t="s">
        <v>186</v>
      </c>
      <c r="X2805" s="66">
        <v>24</v>
      </c>
      <c r="Y2805" s="66"/>
      <c r="Z2805" s="9" t="s">
        <v>9</v>
      </c>
      <c r="AA2805" s="1" t="s">
        <v>24</v>
      </c>
      <c r="AB2805" s="9" t="s">
        <v>5</v>
      </c>
      <c r="AC2805" s="66">
        <f>+U2805</f>
        <v>3</v>
      </c>
      <c r="AD2805" s="66"/>
      <c r="AE2805" s="9" t="s">
        <v>7</v>
      </c>
      <c r="AF2805" s="66">
        <f>I2805*M2805^3/P2805-R2805*U2805^4/X2805</f>
        <v>-30.9375</v>
      </c>
      <c r="AG2805" s="66"/>
      <c r="AH2805" s="66"/>
      <c r="AI2805" s="9" t="s">
        <v>9</v>
      </c>
      <c r="AJ2805" s="1" t="s">
        <v>24</v>
      </c>
      <c r="AK2805" s="9" t="s">
        <v>5</v>
      </c>
      <c r="AL2805" s="66">
        <f>+AC2805</f>
        <v>3</v>
      </c>
      <c r="AM2805" s="66"/>
      <c r="CC2805" s="7"/>
    </row>
    <row r="2806" spans="2:81">
      <c r="B2806" s="6"/>
      <c r="E2806" s="1" t="s">
        <v>35</v>
      </c>
      <c r="G2806" s="66">
        <f>+AF2805</f>
        <v>-30.9375</v>
      </c>
      <c r="H2806" s="66"/>
      <c r="I2806" s="66"/>
      <c r="J2806" s="9" t="s">
        <v>9</v>
      </c>
      <c r="K2806" s="1" t="s">
        <v>24</v>
      </c>
      <c r="L2806" s="9" t="s">
        <v>5</v>
      </c>
      <c r="M2806" s="66">
        <f>+AL2805</f>
        <v>3</v>
      </c>
      <c r="N2806" s="66"/>
      <c r="O2806" s="9" t="s">
        <v>255</v>
      </c>
      <c r="P2806" s="1" t="s">
        <v>710</v>
      </c>
      <c r="Q2806" s="9" t="s">
        <v>5</v>
      </c>
      <c r="R2806" s="10" t="s">
        <v>687</v>
      </c>
      <c r="S2806" s="1" t="s">
        <v>40</v>
      </c>
      <c r="X2806" s="9"/>
      <c r="Z2806" s="9"/>
      <c r="CC2806" s="7"/>
    </row>
    <row r="2807" spans="2:81">
      <c r="B2807" s="6"/>
      <c r="E2807" s="1" t="s">
        <v>743</v>
      </c>
      <c r="AD2807" s="9"/>
      <c r="CC2807" s="7"/>
    </row>
    <row r="2808" spans="2:81">
      <c r="B2808" s="6"/>
      <c r="E2808" s="10" t="s">
        <v>744</v>
      </c>
      <c r="M2808" s="66">
        <f>+G2806</f>
        <v>-30.9375</v>
      </c>
      <c r="N2808" s="66"/>
      <c r="O2808" s="66"/>
      <c r="P2808" s="9" t="s">
        <v>9</v>
      </c>
      <c r="Q2808" s="1" t="s">
        <v>24</v>
      </c>
      <c r="R2808" s="9" t="s">
        <v>5</v>
      </c>
      <c r="S2808" s="66">
        <f>+M2806</f>
        <v>3</v>
      </c>
      <c r="T2808" s="66"/>
      <c r="U2808" s="9" t="s">
        <v>255</v>
      </c>
      <c r="V2808" s="1" t="s">
        <v>710</v>
      </c>
      <c r="W2808" s="9" t="s">
        <v>5</v>
      </c>
      <c r="X2808" s="10" t="s">
        <v>687</v>
      </c>
      <c r="Y2808" s="1" t="s">
        <v>40</v>
      </c>
      <c r="CC2808" s="7"/>
    </row>
    <row r="2809" spans="2:81">
      <c r="B2809" s="6"/>
      <c r="E2809" s="78">
        <f>+G2782</f>
        <v>88.125</v>
      </c>
      <c r="F2809" s="78"/>
      <c r="G2809" s="78"/>
      <c r="H2809" s="9" t="s">
        <v>5</v>
      </c>
      <c r="I2809" s="66">
        <f>+AF2757</f>
        <v>3</v>
      </c>
      <c r="J2809" s="66"/>
      <c r="K2809" s="1" t="s">
        <v>173</v>
      </c>
      <c r="L2809" s="66">
        <f>+AL2757/10000</f>
        <v>1.5599999999999999E-2</v>
      </c>
      <c r="M2809" s="66"/>
      <c r="N2809" s="66"/>
      <c r="O2809" s="9" t="s">
        <v>7</v>
      </c>
      <c r="P2809" s="9" t="s">
        <v>518</v>
      </c>
      <c r="Q2809" s="66">
        <f>+M2808</f>
        <v>-30.9375</v>
      </c>
      <c r="R2809" s="66"/>
      <c r="S2809" s="66"/>
      <c r="T2809" s="9" t="s">
        <v>9</v>
      </c>
      <c r="U2809" s="1" t="s">
        <v>24</v>
      </c>
      <c r="V2809" s="9" t="s">
        <v>5</v>
      </c>
      <c r="W2809" s="66">
        <f>+S2808</f>
        <v>3</v>
      </c>
      <c r="X2809" s="66"/>
      <c r="Y2809" s="1" t="s">
        <v>255</v>
      </c>
      <c r="Z2809" s="66">
        <f>+AL2759</f>
        <v>92080</v>
      </c>
      <c r="AA2809" s="66"/>
      <c r="AB2809" s="66"/>
      <c r="AC2809" s="1" t="s">
        <v>173</v>
      </c>
      <c r="AD2809" s="66">
        <v>100000000</v>
      </c>
      <c r="AE2809" s="66"/>
      <c r="AF2809" s="66"/>
      <c r="AG2809" s="66"/>
      <c r="AH2809" s="1" t="s">
        <v>40</v>
      </c>
      <c r="CC2809" s="7"/>
    </row>
    <row r="2810" spans="2:81">
      <c r="B2810" s="6"/>
      <c r="E2810" s="60" t="s">
        <v>24</v>
      </c>
      <c r="F2810" s="60" t="s">
        <v>7</v>
      </c>
      <c r="G2810" s="78">
        <f>((E2809*I2809/L2809)*(Z2809/AD2809)-Q2809)/W2809</f>
        <v>15.514134615384615</v>
      </c>
      <c r="H2810" s="78"/>
      <c r="I2810" s="78"/>
      <c r="J2810" s="9"/>
      <c r="L2810" s="9"/>
      <c r="M2810" s="9"/>
      <c r="N2810" s="9"/>
      <c r="O2810" s="9"/>
      <c r="P2810" s="9"/>
      <c r="Q2810" s="9"/>
      <c r="R2810" s="9"/>
      <c r="S2810" s="9"/>
      <c r="T2810" s="9"/>
      <c r="V2810" s="9"/>
      <c r="W2810" s="9"/>
      <c r="X2810" s="9"/>
      <c r="Z2810" s="9"/>
      <c r="AA2810" s="9"/>
      <c r="AB2810" s="9"/>
      <c r="AD2810" s="9"/>
      <c r="AE2810" s="9"/>
      <c r="AF2810" s="9"/>
      <c r="AG2810" s="9"/>
      <c r="CC2810" s="7"/>
    </row>
    <row r="2811" spans="2:81">
      <c r="B2811" s="6"/>
      <c r="E2811" s="60" t="s">
        <v>313</v>
      </c>
      <c r="F2811" s="60" t="s">
        <v>7</v>
      </c>
      <c r="G2811" s="78">
        <f>G2810+AF2803</f>
        <v>-1.3608653846153853</v>
      </c>
      <c r="H2811" s="78"/>
      <c r="I2811" s="78"/>
      <c r="J2811" s="9"/>
      <c r="L2811" s="9"/>
      <c r="M2811" s="9"/>
      <c r="N2811" s="9"/>
      <c r="O2811" s="9"/>
      <c r="P2811" s="9"/>
      <c r="Q2811" s="9"/>
      <c r="R2811" s="9"/>
      <c r="S2811" s="9"/>
      <c r="T2811" s="9"/>
      <c r="V2811" s="9"/>
      <c r="W2811" s="9"/>
      <c r="X2811" s="9"/>
      <c r="Z2811" s="9"/>
      <c r="AA2811" s="9"/>
      <c r="AB2811" s="9"/>
      <c r="AD2811" s="9"/>
      <c r="AE2811" s="9"/>
      <c r="AF2811" s="9"/>
      <c r="AG2811" s="9"/>
      <c r="CC2811" s="7"/>
    </row>
    <row r="2812" spans="2:81">
      <c r="B2812" s="6"/>
      <c r="E2812" s="60" t="s">
        <v>315</v>
      </c>
      <c r="F2812" s="60" t="s">
        <v>7</v>
      </c>
      <c r="G2812" s="78">
        <f>+G2810*AG2800+AL2800</f>
        <v>-505.28103966346151</v>
      </c>
      <c r="H2812" s="78"/>
      <c r="I2812" s="78"/>
      <c r="J2812" s="9"/>
      <c r="L2812" s="9"/>
      <c r="M2812" s="9"/>
      <c r="N2812" s="9"/>
      <c r="O2812" s="9"/>
      <c r="P2812" s="9"/>
      <c r="Q2812" s="9"/>
      <c r="R2812" s="9"/>
      <c r="S2812" s="9"/>
      <c r="T2812" s="9"/>
      <c r="V2812" s="9"/>
      <c r="W2812" s="9"/>
      <c r="X2812" s="9"/>
      <c r="Z2812" s="9"/>
      <c r="AA2812" s="9"/>
      <c r="AB2812" s="9"/>
      <c r="AD2812" s="9"/>
      <c r="AE2812" s="9"/>
      <c r="AF2812" s="9"/>
      <c r="AG2812" s="9"/>
      <c r="CC2812" s="7"/>
    </row>
    <row r="2813" spans="2:81">
      <c r="B2813" s="6"/>
      <c r="E2813" s="24" t="s">
        <v>758</v>
      </c>
      <c r="F2813" s="60"/>
      <c r="G2813" s="60"/>
      <c r="H2813" s="60"/>
      <c r="I2813" s="60"/>
      <c r="J2813" s="9"/>
      <c r="L2813" s="9"/>
      <c r="M2813" s="9"/>
      <c r="N2813" s="9"/>
      <c r="O2813" s="9"/>
      <c r="P2813" s="9"/>
      <c r="Q2813" s="9"/>
      <c r="R2813" s="9"/>
      <c r="S2813" s="9"/>
      <c r="T2813" s="9"/>
      <c r="V2813" s="9"/>
      <c r="W2813" s="9"/>
      <c r="X2813" s="9"/>
      <c r="Z2813" s="9"/>
      <c r="AA2813" s="9"/>
      <c r="AB2813" s="9"/>
      <c r="AD2813" s="9"/>
      <c r="AE2813" s="9"/>
      <c r="AF2813" s="9"/>
      <c r="AG2813" s="9"/>
      <c r="CC2813" s="7"/>
    </row>
    <row r="2814" spans="2:81">
      <c r="B2814" s="6"/>
      <c r="E2814" s="1" t="s">
        <v>27</v>
      </c>
      <c r="F2814" s="67">
        <v>3</v>
      </c>
      <c r="G2814" s="67"/>
      <c r="H2814" s="67"/>
      <c r="I2814" s="1" t="s">
        <v>42</v>
      </c>
      <c r="R2814" s="8"/>
      <c r="S2814" s="8" t="str">
        <f>IF(F2814&lt;=P2766,"","azalt.")</f>
        <v/>
      </c>
      <c r="V2814" s="9"/>
      <c r="W2814" s="9"/>
      <c r="X2814" s="9"/>
      <c r="Z2814" s="9"/>
      <c r="AA2814" s="9"/>
      <c r="AB2814" s="9"/>
      <c r="AD2814" s="9"/>
      <c r="AE2814" s="9"/>
      <c r="AF2814" s="9"/>
      <c r="AG2814" s="9"/>
      <c r="CC2814" s="7"/>
    </row>
    <row r="2815" spans="2:81">
      <c r="B2815" s="6"/>
      <c r="E2815" s="1" t="s">
        <v>745</v>
      </c>
      <c r="F2815" s="60"/>
      <c r="G2815" s="60"/>
      <c r="H2815" s="60"/>
      <c r="I2815" s="60"/>
      <c r="J2815" s="9"/>
      <c r="K2815" s="66">
        <f>+G2791</f>
        <v>4.375</v>
      </c>
      <c r="L2815" s="66"/>
      <c r="M2815" s="66"/>
      <c r="N2815" s="9" t="s">
        <v>5</v>
      </c>
      <c r="O2815" s="66">
        <f>+F2814</f>
        <v>3</v>
      </c>
      <c r="P2815" s="66"/>
      <c r="Q2815" s="1" t="s">
        <v>30</v>
      </c>
      <c r="R2815" s="1">
        <v>6</v>
      </c>
      <c r="S2815" s="9" t="s">
        <v>6</v>
      </c>
      <c r="T2815" s="66">
        <f>+O2791</f>
        <v>15</v>
      </c>
      <c r="U2815" s="66"/>
      <c r="V2815" s="9" t="s">
        <v>5</v>
      </c>
      <c r="W2815" s="66">
        <f>+O2815</f>
        <v>3</v>
      </c>
      <c r="X2815" s="66"/>
      <c r="Y2815" s="1" t="s">
        <v>186</v>
      </c>
      <c r="Z2815" s="66">
        <v>24</v>
      </c>
      <c r="AA2815" s="66"/>
      <c r="AB2815" s="9" t="s">
        <v>9</v>
      </c>
      <c r="AC2815" s="66">
        <f>+G2810</f>
        <v>15.514134615384615</v>
      </c>
      <c r="AD2815" s="66"/>
      <c r="AE2815" s="66"/>
      <c r="AF2815" s="9" t="s">
        <v>5</v>
      </c>
      <c r="AG2815" s="66">
        <f>+W2815</f>
        <v>3</v>
      </c>
      <c r="AH2815" s="66"/>
      <c r="CC2815" s="7"/>
    </row>
    <row r="2816" spans="2:81">
      <c r="B2816" s="6"/>
      <c r="E2816" s="1" t="s">
        <v>35</v>
      </c>
      <c r="F2816" s="60"/>
      <c r="G2816" s="66">
        <f>+K2815</f>
        <v>4.375</v>
      </c>
      <c r="H2816" s="66"/>
      <c r="I2816" s="66"/>
      <c r="J2816" s="9" t="s">
        <v>5</v>
      </c>
      <c r="K2816" s="66">
        <f>+O2815</f>
        <v>3</v>
      </c>
      <c r="L2816" s="66"/>
      <c r="M2816" s="1" t="s">
        <v>30</v>
      </c>
      <c r="N2816" s="1">
        <v>6</v>
      </c>
      <c r="O2816" s="9" t="s">
        <v>6</v>
      </c>
      <c r="P2816" s="66">
        <f>+T2815</f>
        <v>15</v>
      </c>
      <c r="Q2816" s="66"/>
      <c r="R2816" s="9" t="s">
        <v>5</v>
      </c>
      <c r="S2816" s="66">
        <f>+W2815</f>
        <v>3</v>
      </c>
      <c r="T2816" s="66"/>
      <c r="U2816" s="1" t="s">
        <v>186</v>
      </c>
      <c r="V2816" s="66">
        <v>24</v>
      </c>
      <c r="W2816" s="66"/>
      <c r="X2816" s="9" t="s">
        <v>9</v>
      </c>
      <c r="Y2816" s="66">
        <f>+AC2815</f>
        <v>15.514134615384615</v>
      </c>
      <c r="Z2816" s="66"/>
      <c r="AA2816" s="66"/>
      <c r="AB2816" s="9" t="s">
        <v>5</v>
      </c>
      <c r="AC2816" s="66">
        <f>+S2816</f>
        <v>3</v>
      </c>
      <c r="AD2816" s="66"/>
      <c r="AE2816" s="1" t="s">
        <v>746</v>
      </c>
      <c r="AH2816" s="66">
        <f>+AL2761</f>
        <v>200000</v>
      </c>
      <c r="AI2816" s="66"/>
      <c r="AJ2816" s="66"/>
      <c r="AK2816" s="9" t="s">
        <v>5</v>
      </c>
      <c r="AL2816" s="66">
        <f>+AL2759</f>
        <v>92080</v>
      </c>
      <c r="AM2816" s="66"/>
      <c r="AN2816" s="66"/>
      <c r="AO2816" s="1" t="s">
        <v>40</v>
      </c>
      <c r="CC2816" s="7"/>
    </row>
    <row r="2817" spans="2:81">
      <c r="B2817" s="6"/>
      <c r="E2817" s="1" t="s">
        <v>33</v>
      </c>
      <c r="G2817" s="66">
        <f>(G2816*K2816^3/N2816-P2816*S2816^4/V2816+Y2816*AC2816)*100000000/(AH2816*AL2816)</f>
        <v>8.4735576923076927E-2</v>
      </c>
      <c r="H2817" s="66"/>
      <c r="I2817" s="66"/>
      <c r="J2817" s="1" t="s">
        <v>41</v>
      </c>
      <c r="CC2817" s="7"/>
    </row>
    <row r="2818" spans="2:81">
      <c r="B2818" s="6"/>
      <c r="E2818" s="1" t="s">
        <v>172</v>
      </c>
      <c r="J2818" s="66">
        <f>P2766*1000</f>
        <v>3000</v>
      </c>
      <c r="K2818" s="66"/>
      <c r="L2818" s="66"/>
      <c r="M2818" s="1" t="s">
        <v>173</v>
      </c>
      <c r="N2818" s="66">
        <v>300</v>
      </c>
      <c r="O2818" s="66"/>
      <c r="P2818" s="9" t="s">
        <v>7</v>
      </c>
      <c r="Q2818" s="66">
        <f>+J2818/N2818</f>
        <v>10</v>
      </c>
      <c r="R2818" s="66"/>
      <c r="S2818" s="66"/>
      <c r="T2818" s="1" t="s">
        <v>41</v>
      </c>
      <c r="W2818" s="1" t="s">
        <v>192</v>
      </c>
      <c r="CC2818" s="7"/>
    </row>
    <row r="2819" spans="2:81">
      <c r="B2819" s="6"/>
      <c r="E2819" s="1" t="s">
        <v>33</v>
      </c>
      <c r="G2819" s="66">
        <f>+G2817</f>
        <v>8.4735576923076927E-2</v>
      </c>
      <c r="H2819" s="66"/>
      <c r="I2819" s="66"/>
      <c r="J2819" s="1" t="s">
        <v>41</v>
      </c>
      <c r="L2819" s="1" t="str">
        <f>IF(ABS(G2819)&lt;ABS(P2819),"&lt;","&gt;")</f>
        <v>&lt;</v>
      </c>
      <c r="M2819" s="1" t="s">
        <v>174</v>
      </c>
      <c r="P2819" s="66">
        <f>+Q2818</f>
        <v>10</v>
      </c>
      <c r="Q2819" s="66"/>
      <c r="R2819" s="66"/>
      <c r="S2819" s="1" t="s">
        <v>41</v>
      </c>
      <c r="U2819" s="8" t="str">
        <f>IF(ABS(G2819)&lt;ABS(P2819),"uygun.","uygun değil.")</f>
        <v>uygun.</v>
      </c>
      <c r="CC2819" s="7"/>
    </row>
    <row r="2820" spans="2:81">
      <c r="B2820" s="6"/>
      <c r="E2820" s="24" t="s">
        <v>759</v>
      </c>
      <c r="I2820" s="9"/>
      <c r="J2820" s="9"/>
      <c r="K2820" s="9"/>
      <c r="L2820" s="9"/>
      <c r="M2820" s="9"/>
      <c r="O2820" s="9"/>
      <c r="P2820" s="9"/>
      <c r="Q2820" s="9"/>
      <c r="S2820" s="9"/>
      <c r="V2820" s="9"/>
      <c r="W2820" s="9"/>
      <c r="X2820" s="9"/>
      <c r="Y2820" s="9"/>
      <c r="AB2820" s="9"/>
      <c r="AC2820" s="9"/>
      <c r="AD2820" s="9"/>
      <c r="AF2820" s="9"/>
      <c r="AG2820" s="9"/>
      <c r="AH2820" s="9"/>
      <c r="CC2820" s="7"/>
    </row>
    <row r="2821" spans="2:81">
      <c r="B2821" s="6"/>
      <c r="E2821" s="1" t="s">
        <v>482</v>
      </c>
      <c r="F2821" s="67">
        <v>1.5</v>
      </c>
      <c r="G2821" s="67"/>
      <c r="H2821" s="67"/>
      <c r="I2821" s="1" t="s">
        <v>42</v>
      </c>
      <c r="R2821" s="8"/>
      <c r="S2821" s="8" t="str">
        <f>IF(F2821&lt;=Y2766,"","azalt.")</f>
        <v/>
      </c>
      <c r="W2821" s="24"/>
      <c r="CC2821" s="7"/>
    </row>
    <row r="2822" spans="2:81">
      <c r="B2822" s="6"/>
      <c r="E2822" s="1" t="s">
        <v>745</v>
      </c>
      <c r="K2822" s="66">
        <f>+G2795</f>
        <v>4.375</v>
      </c>
      <c r="L2822" s="66"/>
      <c r="M2822" s="66"/>
      <c r="N2822" s="1" t="s">
        <v>14</v>
      </c>
      <c r="O2822" s="66">
        <f>+K2795</f>
        <v>3</v>
      </c>
      <c r="P2822" s="66"/>
      <c r="Q2822" s="9" t="s">
        <v>9</v>
      </c>
      <c r="R2822" s="66">
        <f>+F2821</f>
        <v>1.5</v>
      </c>
      <c r="S2822" s="66"/>
      <c r="T2822" s="1" t="s">
        <v>311</v>
      </c>
      <c r="U2822" s="1" t="s">
        <v>173</v>
      </c>
      <c r="V2822" s="1">
        <v>6</v>
      </c>
      <c r="W2822" s="9" t="s">
        <v>6</v>
      </c>
      <c r="X2822" s="66">
        <f>+S2795</f>
        <v>45</v>
      </c>
      <c r="Y2822" s="66"/>
      <c r="Z2822" s="1" t="s">
        <v>14</v>
      </c>
      <c r="AA2822" s="66">
        <f>+V2795</f>
        <v>1.5</v>
      </c>
      <c r="AB2822" s="66"/>
      <c r="AC2822" s="9" t="s">
        <v>9</v>
      </c>
      <c r="AD2822" s="66">
        <f>+R2822</f>
        <v>1.5</v>
      </c>
      <c r="AE2822" s="66"/>
      <c r="AF2822" s="1" t="s">
        <v>311</v>
      </c>
      <c r="AG2822" s="1" t="s">
        <v>173</v>
      </c>
      <c r="AH2822" s="1">
        <v>6</v>
      </c>
      <c r="AI2822" s="9" t="s">
        <v>9</v>
      </c>
      <c r="AJ2822" s="66">
        <f>+AD2795</f>
        <v>88.125</v>
      </c>
      <c r="AK2822" s="66"/>
      <c r="AL2822" s="66"/>
      <c r="AM2822" s="9" t="s">
        <v>5</v>
      </c>
      <c r="AN2822" s="66">
        <f>+AD2822</f>
        <v>1.5</v>
      </c>
      <c r="AO2822" s="66"/>
      <c r="AP2822" s="1" t="s">
        <v>30</v>
      </c>
      <c r="AQ2822" s="1">
        <v>6</v>
      </c>
      <c r="AR2822" s="9" t="s">
        <v>6</v>
      </c>
      <c r="AS2822" s="66">
        <f>+AL2795</f>
        <v>15</v>
      </c>
      <c r="AT2822" s="66"/>
      <c r="AU2822" s="9" t="s">
        <v>5</v>
      </c>
      <c r="AV2822" s="66">
        <f>+AN2822</f>
        <v>1.5</v>
      </c>
      <c r="AW2822" s="66"/>
      <c r="AX2822" s="1" t="s">
        <v>186</v>
      </c>
      <c r="AY2822" s="66">
        <v>24</v>
      </c>
      <c r="AZ2822" s="66"/>
      <c r="BA2822" s="1" t="s">
        <v>9</v>
      </c>
      <c r="BB2822" s="66">
        <f>+G2811</f>
        <v>-1.3608653846153853</v>
      </c>
      <c r="BC2822" s="66"/>
      <c r="BD2822" s="66"/>
      <c r="BE2822" s="1" t="s">
        <v>5</v>
      </c>
      <c r="BF2822" s="66">
        <f>+AV2822</f>
        <v>1.5</v>
      </c>
      <c r="BG2822" s="66"/>
      <c r="BH2822" s="1" t="s">
        <v>9</v>
      </c>
      <c r="BI2822" s="66">
        <f>+G2812</f>
        <v>-505.28103966346151</v>
      </c>
      <c r="BJ2822" s="66"/>
      <c r="BK2822" s="66"/>
      <c r="CC2822" s="7"/>
    </row>
    <row r="2823" spans="2:81">
      <c r="B2823" s="6"/>
      <c r="E2823" s="1" t="s">
        <v>35</v>
      </c>
      <c r="G2823" s="66">
        <f>+K2822</f>
        <v>4.375</v>
      </c>
      <c r="H2823" s="66"/>
      <c r="I2823" s="66"/>
      <c r="J2823" s="1" t="s">
        <v>14</v>
      </c>
      <c r="K2823" s="66">
        <f>+O2822</f>
        <v>3</v>
      </c>
      <c r="L2823" s="66"/>
      <c r="M2823" s="9" t="s">
        <v>9</v>
      </c>
      <c r="N2823" s="66">
        <f>+R2822</f>
        <v>1.5</v>
      </c>
      <c r="O2823" s="66"/>
      <c r="P2823" s="1" t="s">
        <v>311</v>
      </c>
      <c r="Q2823" s="1" t="s">
        <v>173</v>
      </c>
      <c r="R2823" s="1">
        <v>6</v>
      </c>
      <c r="S2823" s="9" t="s">
        <v>6</v>
      </c>
      <c r="T2823" s="66">
        <f>+X2822</f>
        <v>45</v>
      </c>
      <c r="U2823" s="66"/>
      <c r="V2823" s="1" t="s">
        <v>14</v>
      </c>
      <c r="W2823" s="66">
        <f>+AA2822</f>
        <v>1.5</v>
      </c>
      <c r="X2823" s="66"/>
      <c r="Y2823" s="9" t="s">
        <v>9</v>
      </c>
      <c r="Z2823" s="66">
        <f>+N2823</f>
        <v>1.5</v>
      </c>
      <c r="AA2823" s="66"/>
      <c r="AB2823" s="1" t="s">
        <v>311</v>
      </c>
      <c r="AC2823" s="1" t="s">
        <v>173</v>
      </c>
      <c r="AD2823" s="1">
        <v>6</v>
      </c>
      <c r="AE2823" s="9" t="s">
        <v>9</v>
      </c>
      <c r="AF2823" s="66">
        <f>+AJ2822</f>
        <v>88.125</v>
      </c>
      <c r="AG2823" s="66"/>
      <c r="AH2823" s="66"/>
      <c r="AI2823" s="9" t="s">
        <v>5</v>
      </c>
      <c r="AJ2823" s="66">
        <f>+Z2823</f>
        <v>1.5</v>
      </c>
      <c r="AK2823" s="66"/>
      <c r="AL2823" s="1" t="s">
        <v>30</v>
      </c>
      <c r="AM2823" s="1">
        <v>6</v>
      </c>
      <c r="AN2823" s="9" t="s">
        <v>6</v>
      </c>
      <c r="AO2823" s="66">
        <f>+AS2822</f>
        <v>15</v>
      </c>
      <c r="AP2823" s="66"/>
      <c r="AQ2823" s="9" t="s">
        <v>5</v>
      </c>
      <c r="AR2823" s="66">
        <f>+AJ2823</f>
        <v>1.5</v>
      </c>
      <c r="AS2823" s="66"/>
      <c r="AT2823" s="1" t="s">
        <v>186</v>
      </c>
      <c r="AU2823" s="66">
        <v>24</v>
      </c>
      <c r="AV2823" s="66"/>
      <c r="AW2823" s="9" t="s">
        <v>9</v>
      </c>
      <c r="AX2823" s="66">
        <f>+BB2822</f>
        <v>-1.3608653846153853</v>
      </c>
      <c r="AY2823" s="66"/>
      <c r="AZ2823" s="66"/>
      <c r="BA2823" s="9" t="s">
        <v>5</v>
      </c>
      <c r="BB2823" s="66">
        <f>+AR2823</f>
        <v>1.5</v>
      </c>
      <c r="BC2823" s="66"/>
      <c r="BD2823" s="9" t="s">
        <v>9</v>
      </c>
      <c r="BE2823" s="66">
        <f>+BI2822</f>
        <v>-505.28103966346151</v>
      </c>
      <c r="BF2823" s="66"/>
      <c r="BG2823" s="66"/>
      <c r="BH2823" s="1" t="s">
        <v>746</v>
      </c>
      <c r="BK2823" s="66">
        <f>+AL2761</f>
        <v>200000</v>
      </c>
      <c r="BL2823" s="66"/>
      <c r="BM2823" s="66"/>
      <c r="BN2823" s="9" t="s">
        <v>5</v>
      </c>
      <c r="BO2823" s="66">
        <f>+AL2759</f>
        <v>92080</v>
      </c>
      <c r="BP2823" s="66"/>
      <c r="BQ2823" s="66"/>
      <c r="BR2823" s="1" t="s">
        <v>40</v>
      </c>
      <c r="CC2823" s="7"/>
    </row>
    <row r="2824" spans="2:81">
      <c r="B2824" s="6"/>
      <c r="E2824" s="1" t="s">
        <v>33</v>
      </c>
      <c r="G2824" s="66">
        <f>(G2823*(K2823+N2823)^3/R2823-T2823*(W2823+Z2823)^3/AD2823+AF2823*AJ2823^3/AM2823-AO2823*AR2823^4/AU2823+AX2823*BB2823+BE2823)*100000000/(BK2823*BO2823)</f>
        <v>-3.2415876153365804</v>
      </c>
      <c r="H2824" s="66"/>
      <c r="I2824" s="66"/>
      <c r="J2824" s="1" t="s">
        <v>41</v>
      </c>
      <c r="CC2824" s="7"/>
    </row>
    <row r="2825" spans="2:81">
      <c r="B2825" s="6"/>
      <c r="E2825" s="1" t="s">
        <v>202</v>
      </c>
      <c r="J2825" s="66">
        <f>Y2766*1000</f>
        <v>1500</v>
      </c>
      <c r="K2825" s="66"/>
      <c r="L2825" s="66"/>
      <c r="M2825" s="1" t="s">
        <v>173</v>
      </c>
      <c r="N2825" s="66">
        <v>200</v>
      </c>
      <c r="O2825" s="66"/>
      <c r="P2825" s="9" t="s">
        <v>7</v>
      </c>
      <c r="Q2825" s="66">
        <f>+J2825/N2825</f>
        <v>7.5</v>
      </c>
      <c r="R2825" s="66"/>
      <c r="S2825" s="66"/>
      <c r="T2825" s="1" t="s">
        <v>41</v>
      </c>
      <c r="W2825" s="1" t="s">
        <v>192</v>
      </c>
      <c r="CC2825" s="7"/>
    </row>
    <row r="2826" spans="2:81">
      <c r="B2826" s="6"/>
      <c r="E2826" s="1" t="s">
        <v>33</v>
      </c>
      <c r="G2826" s="66">
        <f>+G2824</f>
        <v>-3.2415876153365804</v>
      </c>
      <c r="H2826" s="66"/>
      <c r="I2826" s="66"/>
      <c r="J2826" s="1" t="s">
        <v>41</v>
      </c>
      <c r="L2826" s="1" t="str">
        <f>IF(ABS(G2826)&lt;ABS(P2826),"&lt;","&gt;")</f>
        <v>&lt;</v>
      </c>
      <c r="M2826" s="1" t="s">
        <v>174</v>
      </c>
      <c r="P2826" s="66">
        <f>+Q2825</f>
        <v>7.5</v>
      </c>
      <c r="Q2826" s="66"/>
      <c r="R2826" s="66"/>
      <c r="S2826" s="1" t="s">
        <v>41</v>
      </c>
      <c r="U2826" s="8" t="str">
        <f>IF(ABS(G2826)&lt;ABS(P2826),"uygun.","uygun değil.")</f>
        <v>uygun.</v>
      </c>
      <c r="CC2826" s="7"/>
    </row>
    <row r="2827" spans="2:81">
      <c r="B2827" s="6"/>
      <c r="E2827" s="23" t="s">
        <v>222</v>
      </c>
      <c r="F2827" s="9"/>
      <c r="G2827" s="9"/>
      <c r="H2827" s="9"/>
      <c r="CC2827" s="7"/>
    </row>
    <row r="2828" spans="2:81">
      <c r="B2828" s="6"/>
      <c r="E2828" s="24" t="s">
        <v>303</v>
      </c>
      <c r="F2828" s="9"/>
      <c r="G2828" s="9"/>
      <c r="H2828" s="9"/>
      <c r="CC2828" s="7"/>
    </row>
    <row r="2829" spans="2:81">
      <c r="B2829" s="6"/>
      <c r="E2829" s="1" t="s">
        <v>27</v>
      </c>
      <c r="F2829" s="67">
        <v>1</v>
      </c>
      <c r="G2829" s="67"/>
      <c r="H2829" s="67"/>
      <c r="I2829" s="1" t="s">
        <v>213</v>
      </c>
      <c r="J2829" s="9"/>
      <c r="K2829" s="9"/>
      <c r="L2829" s="9"/>
      <c r="O2829" s="9"/>
      <c r="P2829" s="21"/>
      <c r="R2829" s="9"/>
      <c r="S2829" s="9"/>
      <c r="X2829" s="8" t="str">
        <f>IF(F2829&lt;=P2766,"","azalt.")</f>
        <v/>
      </c>
      <c r="CC2829" s="7"/>
    </row>
    <row r="2830" spans="2:81">
      <c r="B2830" s="6"/>
      <c r="E2830" s="1" t="s">
        <v>12</v>
      </c>
      <c r="G2830" s="66">
        <f>+G2789</f>
        <v>4.375</v>
      </c>
      <c r="H2830" s="66"/>
      <c r="I2830" s="66"/>
      <c r="J2830" s="9" t="s">
        <v>5</v>
      </c>
      <c r="K2830" s="66">
        <f>+F2829</f>
        <v>1</v>
      </c>
      <c r="L2830" s="66"/>
      <c r="M2830" s="9" t="s">
        <v>6</v>
      </c>
      <c r="N2830" s="66">
        <f>+M2789</f>
        <v>15</v>
      </c>
      <c r="O2830" s="66"/>
      <c r="P2830" s="9" t="s">
        <v>5</v>
      </c>
      <c r="Q2830" s="66">
        <f>+K2830</f>
        <v>1</v>
      </c>
      <c r="R2830" s="66"/>
      <c r="S2830" s="1" t="s">
        <v>254</v>
      </c>
      <c r="T2830" s="1">
        <v>2</v>
      </c>
      <c r="U2830" s="9" t="s">
        <v>7</v>
      </c>
      <c r="V2830" s="66">
        <f>+G2830*K2830-N2830*Q2830^2/T2830</f>
        <v>-3.125</v>
      </c>
      <c r="W2830" s="66"/>
      <c r="X2830" s="66"/>
      <c r="Y2830" s="1" t="s">
        <v>191</v>
      </c>
      <c r="AD2830" s="9"/>
      <c r="CC2830" s="7"/>
    </row>
    <row r="2831" spans="2:81">
      <c r="B2831" s="6"/>
      <c r="E2831" s="1" t="s">
        <v>220</v>
      </c>
      <c r="G2831" s="66">
        <f>+G2830</f>
        <v>4.375</v>
      </c>
      <c r="H2831" s="66"/>
      <c r="I2831" s="66"/>
      <c r="J2831" s="9" t="s">
        <v>6</v>
      </c>
      <c r="K2831" s="66">
        <f>+N2830</f>
        <v>15</v>
      </c>
      <c r="L2831" s="66"/>
      <c r="M2831" s="9" t="s">
        <v>5</v>
      </c>
      <c r="N2831" s="66">
        <f>+Q2830</f>
        <v>1</v>
      </c>
      <c r="O2831" s="66"/>
      <c r="P2831" s="9" t="s">
        <v>7</v>
      </c>
      <c r="Q2831" s="66">
        <f>+G2831-K2831*N2831</f>
        <v>-10.625</v>
      </c>
      <c r="R2831" s="66"/>
      <c r="S2831" s="66"/>
      <c r="T2831" s="1" t="s">
        <v>0</v>
      </c>
      <c r="U2831" s="9"/>
      <c r="X2831" s="9"/>
      <c r="AB2831" s="9"/>
      <c r="CC2831" s="7"/>
    </row>
    <row r="2832" spans="2:81">
      <c r="B2832" s="6"/>
      <c r="E2832" s="24" t="s">
        <v>308</v>
      </c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U2832" s="9"/>
      <c r="X2832" s="9"/>
      <c r="AB2832" s="9"/>
      <c r="AN2832" s="9"/>
      <c r="CC2832" s="7"/>
    </row>
    <row r="2833" spans="2:81">
      <c r="B2833" s="6"/>
      <c r="E2833" s="1" t="s">
        <v>482</v>
      </c>
      <c r="F2833" s="67">
        <v>1</v>
      </c>
      <c r="G2833" s="67"/>
      <c r="H2833" s="67"/>
      <c r="I2833" s="1" t="s">
        <v>213</v>
      </c>
      <c r="J2833" s="9"/>
      <c r="K2833" s="9"/>
      <c r="L2833" s="9"/>
      <c r="O2833" s="9"/>
      <c r="P2833" s="21"/>
      <c r="R2833" s="9"/>
      <c r="S2833" s="9"/>
      <c r="X2833" s="8" t="str">
        <f>IF(F2833&lt;=Y2778,"","azalt.")</f>
        <v/>
      </c>
      <c r="AN2833" s="9"/>
      <c r="CC2833" s="7"/>
    </row>
    <row r="2834" spans="2:81">
      <c r="B2834" s="6"/>
      <c r="E2834" s="1" t="s">
        <v>12</v>
      </c>
      <c r="G2834" s="66">
        <f>+G2793</f>
        <v>4.375</v>
      </c>
      <c r="H2834" s="66"/>
      <c r="I2834" s="66"/>
      <c r="J2834" s="1" t="s">
        <v>14</v>
      </c>
      <c r="K2834" s="66">
        <f>+K2793</f>
        <v>3</v>
      </c>
      <c r="L2834" s="66"/>
      <c r="M2834" s="9" t="s">
        <v>9</v>
      </c>
      <c r="N2834" s="66">
        <f>+F2833</f>
        <v>1</v>
      </c>
      <c r="O2834" s="66"/>
      <c r="P2834" s="1" t="s">
        <v>16</v>
      </c>
      <c r="Q2834" s="66">
        <f>+P2793</f>
        <v>15</v>
      </c>
      <c r="R2834" s="66"/>
      <c r="S2834" s="9" t="s">
        <v>5</v>
      </c>
      <c r="T2834" s="66">
        <f>+S2793</f>
        <v>3</v>
      </c>
      <c r="U2834" s="66"/>
      <c r="V2834" s="1" t="s">
        <v>14</v>
      </c>
      <c r="W2834" s="66">
        <f>+V2793</f>
        <v>1.5</v>
      </c>
      <c r="X2834" s="66"/>
      <c r="Y2834" s="9" t="s">
        <v>9</v>
      </c>
      <c r="Z2834" s="66">
        <f>+F2833</f>
        <v>1</v>
      </c>
      <c r="AA2834" s="66"/>
      <c r="AB2834" s="1" t="s">
        <v>306</v>
      </c>
      <c r="AC2834" s="66">
        <f>+AA2793</f>
        <v>88.125</v>
      </c>
      <c r="AD2834" s="66"/>
      <c r="AE2834" s="66"/>
      <c r="AF2834" s="9" t="s">
        <v>5</v>
      </c>
      <c r="AG2834" s="66">
        <f>+F2833</f>
        <v>1</v>
      </c>
      <c r="AH2834" s="66"/>
      <c r="AI2834" s="9" t="s">
        <v>6</v>
      </c>
      <c r="AJ2834" s="66">
        <f>+AG2793</f>
        <v>15</v>
      </c>
      <c r="AK2834" s="66"/>
      <c r="AL2834" s="9" t="s">
        <v>5</v>
      </c>
      <c r="AM2834" s="66">
        <f>+F2833</f>
        <v>1</v>
      </c>
      <c r="AN2834" s="66"/>
      <c r="AO2834" s="1" t="s">
        <v>254</v>
      </c>
      <c r="AP2834" s="1">
        <v>2</v>
      </c>
      <c r="AQ2834" s="9" t="s">
        <v>7</v>
      </c>
      <c r="AR2834" s="66">
        <f>G2834*(K2834+N2834)-Q2834*T2834*(W2834+Z2834)+AC2834*AG2834-AJ2834*AM2834^2/AP2834</f>
        <v>-14.375</v>
      </c>
      <c r="AS2834" s="66"/>
      <c r="AT2834" s="66"/>
      <c r="AU2834" s="1" t="s">
        <v>191</v>
      </c>
      <c r="CC2834" s="7"/>
    </row>
    <row r="2835" spans="2:81">
      <c r="B2835" s="6"/>
      <c r="E2835" s="1" t="s">
        <v>220</v>
      </c>
      <c r="G2835" s="66">
        <f>+G2834</f>
        <v>4.375</v>
      </c>
      <c r="H2835" s="66"/>
      <c r="I2835" s="66"/>
      <c r="J2835" s="9" t="s">
        <v>6</v>
      </c>
      <c r="K2835" s="66">
        <f>+Q2834</f>
        <v>15</v>
      </c>
      <c r="L2835" s="66"/>
      <c r="M2835" s="9" t="s">
        <v>5</v>
      </c>
      <c r="N2835" s="66">
        <f>+T2834</f>
        <v>3</v>
      </c>
      <c r="O2835" s="66"/>
      <c r="P2835" s="9" t="s">
        <v>9</v>
      </c>
      <c r="Q2835" s="66">
        <f>+AC2834</f>
        <v>88.125</v>
      </c>
      <c r="R2835" s="66"/>
      <c r="S2835" s="66"/>
      <c r="T2835" s="9" t="s">
        <v>6</v>
      </c>
      <c r="U2835" s="66">
        <f>+AJ2834</f>
        <v>15</v>
      </c>
      <c r="V2835" s="66"/>
      <c r="W2835" s="9" t="s">
        <v>5</v>
      </c>
      <c r="X2835" s="66">
        <f>+AM2834</f>
        <v>1</v>
      </c>
      <c r="Y2835" s="66"/>
      <c r="Z2835" s="9" t="s">
        <v>7</v>
      </c>
      <c r="AA2835" s="66">
        <f>G2835-K2835*N2835+Q2835-U2835*X2835</f>
        <v>32.5</v>
      </c>
      <c r="AB2835" s="66"/>
      <c r="AC2835" s="66"/>
      <c r="AD2835" s="1" t="s">
        <v>0</v>
      </c>
      <c r="CC2835" s="7"/>
    </row>
    <row r="2836" spans="2:81" ht="12" thickBot="1">
      <c r="B2836" s="12"/>
      <c r="C2836" s="13"/>
      <c r="D2836" s="13"/>
      <c r="E2836" s="13"/>
      <c r="F2836" s="13"/>
      <c r="G2836" s="13"/>
      <c r="H2836" s="13"/>
      <c r="I2836" s="13"/>
      <c r="J2836" s="13"/>
      <c r="K2836" s="13"/>
      <c r="L2836" s="13"/>
      <c r="M2836" s="13"/>
      <c r="N2836" s="13"/>
      <c r="O2836" s="13"/>
      <c r="P2836" s="13"/>
      <c r="Q2836" s="13"/>
      <c r="R2836" s="13"/>
      <c r="S2836" s="13"/>
      <c r="T2836" s="13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  <c r="AK2836" s="13"/>
      <c r="AL2836" s="13"/>
      <c r="AM2836" s="13"/>
      <c r="AN2836" s="13"/>
      <c r="AO2836" s="13"/>
      <c r="AP2836" s="13"/>
      <c r="AQ2836" s="13"/>
      <c r="AR2836" s="13"/>
      <c r="AS2836" s="13"/>
      <c r="AT2836" s="13"/>
      <c r="AU2836" s="13"/>
      <c r="AV2836" s="13"/>
      <c r="AW2836" s="13"/>
      <c r="AX2836" s="13"/>
      <c r="AY2836" s="13"/>
      <c r="AZ2836" s="13"/>
      <c r="BA2836" s="13"/>
      <c r="BB2836" s="13"/>
      <c r="BC2836" s="13"/>
      <c r="BD2836" s="13"/>
      <c r="BE2836" s="13"/>
      <c r="BF2836" s="13"/>
      <c r="BG2836" s="13"/>
      <c r="BH2836" s="13"/>
      <c r="BI2836" s="13"/>
      <c r="BJ2836" s="13"/>
      <c r="BK2836" s="13"/>
      <c r="BL2836" s="13"/>
      <c r="BM2836" s="13"/>
      <c r="BN2836" s="13"/>
      <c r="BO2836" s="13"/>
      <c r="BP2836" s="13"/>
      <c r="BQ2836" s="13"/>
      <c r="BR2836" s="13"/>
      <c r="BS2836" s="13"/>
      <c r="BT2836" s="13"/>
      <c r="BU2836" s="13"/>
      <c r="BV2836" s="13"/>
      <c r="BW2836" s="13"/>
      <c r="BX2836" s="13"/>
      <c r="BY2836" s="13"/>
      <c r="BZ2836" s="13"/>
      <c r="CA2836" s="13"/>
      <c r="CB2836" s="13"/>
      <c r="CC2836" s="14"/>
    </row>
    <row r="2837" spans="2:81" ht="12" thickBot="1"/>
    <row r="2838" spans="2:81" ht="48" customHeight="1">
      <c r="B2838" s="73" t="s">
        <v>750</v>
      </c>
      <c r="C2838" s="74"/>
      <c r="D2838" s="74"/>
      <c r="E2838" s="74"/>
      <c r="F2838" s="74"/>
      <c r="G2838" s="74"/>
      <c r="H2838" s="74"/>
      <c r="I2838" s="74"/>
      <c r="J2838" s="74"/>
      <c r="K2838" s="74"/>
      <c r="L2838" s="74"/>
      <c r="M2838" s="74"/>
      <c r="N2838" s="74"/>
      <c r="O2838" s="74"/>
      <c r="P2838" s="74"/>
      <c r="Q2838" s="74"/>
      <c r="R2838" s="74"/>
      <c r="S2838" s="74"/>
      <c r="T2838" s="74"/>
      <c r="U2838" s="74"/>
      <c r="V2838" s="74"/>
      <c r="W2838" s="74"/>
      <c r="X2838" s="74"/>
      <c r="Y2838" s="74"/>
      <c r="Z2838" s="74"/>
      <c r="AA2838" s="74"/>
      <c r="AB2838" s="74"/>
      <c r="AC2838" s="74"/>
      <c r="AD2838" s="74"/>
      <c r="AE2838" s="74"/>
      <c r="AF2838" s="74"/>
      <c r="AG2838" s="74"/>
      <c r="AH2838" s="74"/>
      <c r="AI2838" s="74"/>
      <c r="AJ2838" s="74"/>
      <c r="AK2838" s="74"/>
      <c r="AL2838" s="74"/>
      <c r="AM2838" s="74"/>
      <c r="AN2838" s="74"/>
      <c r="AO2838" s="74"/>
      <c r="AP2838" s="74"/>
      <c r="AQ2838" s="74"/>
      <c r="AR2838" s="74"/>
      <c r="AS2838" s="74"/>
      <c r="AT2838" s="74"/>
      <c r="AU2838" s="74"/>
      <c r="AV2838" s="74"/>
      <c r="AW2838" s="74"/>
      <c r="AX2838" s="74"/>
      <c r="AY2838" s="74"/>
      <c r="AZ2838" s="74"/>
      <c r="BA2838" s="74"/>
      <c r="BB2838" s="74"/>
      <c r="BC2838" s="74"/>
      <c r="BD2838" s="74"/>
      <c r="BE2838" s="74"/>
      <c r="BF2838" s="74"/>
      <c r="BG2838" s="74"/>
      <c r="BH2838" s="74"/>
      <c r="BI2838" s="74"/>
      <c r="BJ2838" s="74"/>
      <c r="BK2838" s="74"/>
      <c r="BL2838" s="74"/>
      <c r="BM2838" s="74"/>
      <c r="BN2838" s="74"/>
      <c r="BO2838" s="74"/>
      <c r="BP2838" s="74"/>
      <c r="BQ2838" s="74"/>
      <c r="BR2838" s="74"/>
      <c r="BS2838" s="74"/>
      <c r="BT2838" s="74"/>
      <c r="BU2838" s="74"/>
      <c r="BV2838" s="74"/>
      <c r="BW2838" s="74"/>
      <c r="BX2838" s="74"/>
      <c r="BY2838" s="74"/>
      <c r="BZ2838" s="74"/>
      <c r="CA2838" s="74"/>
      <c r="CB2838" s="74"/>
      <c r="CC2838" s="75"/>
    </row>
    <row r="2839" spans="2:81">
      <c r="B2839" s="6"/>
      <c r="D2839" s="1" t="s">
        <v>290</v>
      </c>
      <c r="AQ2839" s="8" t="s">
        <v>176</v>
      </c>
      <c r="CC2839" s="7"/>
    </row>
    <row r="2840" spans="2:81">
      <c r="B2840" s="6"/>
      <c r="CC2840" s="7"/>
    </row>
    <row r="2841" spans="2:81">
      <c r="B2841" s="6"/>
      <c r="P2841" s="67" t="s">
        <v>171</v>
      </c>
      <c r="Q2841" s="67"/>
      <c r="R2841" s="67"/>
      <c r="S2841" s="67"/>
      <c r="T2841" s="67"/>
      <c r="U2841" s="67"/>
      <c r="W2841" s="1" t="s">
        <v>581</v>
      </c>
      <c r="CC2841" s="7"/>
    </row>
    <row r="2842" spans="2:81">
      <c r="B2842" s="6"/>
      <c r="BA2842" s="23" t="s">
        <v>765</v>
      </c>
      <c r="BN2842" s="23" t="s">
        <v>764</v>
      </c>
      <c r="CC2842" s="7"/>
    </row>
    <row r="2843" spans="2:81">
      <c r="B2843" s="6"/>
      <c r="AF2843" s="47" t="s">
        <v>1</v>
      </c>
      <c r="AI2843" s="24" t="s">
        <v>730</v>
      </c>
      <c r="CC2843" s="7"/>
    </row>
    <row r="2844" spans="2:81">
      <c r="B2844" s="6"/>
      <c r="O2844" s="1" t="s">
        <v>505</v>
      </c>
      <c r="AF2844" s="77">
        <v>2.25</v>
      </c>
      <c r="AI2844" s="1" t="s">
        <v>8</v>
      </c>
      <c r="AK2844" s="66">
        <f>INDEX($CH$24:$CH$138,MATCH(P2841,$CG$24:$CG$138,0),0)</f>
        <v>156</v>
      </c>
      <c r="AL2844" s="66"/>
      <c r="AM2844" s="66"/>
      <c r="AN2844" s="1" t="s">
        <v>731</v>
      </c>
      <c r="CC2844" s="7"/>
    </row>
    <row r="2845" spans="2:81">
      <c r="B2845" s="6"/>
      <c r="AF2845" s="77"/>
      <c r="AI2845" s="24" t="s">
        <v>732</v>
      </c>
      <c r="CC2845" s="7"/>
    </row>
    <row r="2846" spans="2:81">
      <c r="B2846" s="6"/>
      <c r="O2846" s="67">
        <v>40</v>
      </c>
      <c r="P2846" s="67"/>
      <c r="Q2846" s="1" t="s">
        <v>187</v>
      </c>
      <c r="Y2846" s="1" t="s">
        <v>504</v>
      </c>
      <c r="AF2846" s="77"/>
      <c r="AI2846" s="10" t="s">
        <v>686</v>
      </c>
      <c r="AK2846" s="66">
        <f>INDEX($CM$24:$CM$138,MATCH(L2851,$CG$24:$CG$138,0),0)</f>
        <v>92080</v>
      </c>
      <c r="AL2846" s="66"/>
      <c r="AM2846" s="66"/>
      <c r="AN2846" s="66"/>
      <c r="AO2846" s="1" t="s">
        <v>37</v>
      </c>
      <c r="CC2846" s="7"/>
    </row>
    <row r="2847" spans="2:81">
      <c r="B2847" s="6"/>
      <c r="AI2847" s="24" t="s">
        <v>763</v>
      </c>
      <c r="AX2847" s="71">
        <f>INDEX($CI$24:$CI$138,MATCH(L2851,$CG$24:$CG$138,0),0)</f>
        <v>600</v>
      </c>
      <c r="BK2847" s="71">
        <f>INDEX($CI$24:$CI$138,MATCH(P2841,$CG$24:$CG$138,0),0)</f>
        <v>600</v>
      </c>
      <c r="CC2847" s="7"/>
    </row>
    <row r="2848" spans="2:81">
      <c r="B2848" s="6"/>
      <c r="H2848" s="1" t="s">
        <v>4</v>
      </c>
      <c r="AC2848" s="1" t="s">
        <v>685</v>
      </c>
      <c r="AI2848" s="1" t="s">
        <v>38</v>
      </c>
      <c r="AK2848" s="67">
        <v>200000</v>
      </c>
      <c r="AL2848" s="67"/>
      <c r="AM2848" s="67"/>
      <c r="AN2848" s="67"/>
      <c r="AO2848" s="1" t="s">
        <v>39</v>
      </c>
      <c r="AX2848" s="71"/>
      <c r="BB2848" s="66">
        <f>INDEX($CK$24:$CK$138,MATCH(L2851,$CG$24:$CG$138,0),0)</f>
        <v>12</v>
      </c>
      <c r="BC2848" s="66"/>
      <c r="BK2848" s="71"/>
      <c r="BO2848" s="66">
        <f>INDEX($CK$24:$CK$138,MATCH(P2841,$CG$24:$CG$138,0),0)</f>
        <v>12</v>
      </c>
      <c r="BP2848" s="66"/>
      <c r="CC2848" s="7"/>
    </row>
    <row r="2849" spans="2:81">
      <c r="B2849" s="6"/>
      <c r="AX2849" s="71"/>
      <c r="BK2849" s="71"/>
      <c r="CC2849" s="7"/>
    </row>
    <row r="2850" spans="2:81">
      <c r="B2850" s="6"/>
      <c r="CC2850" s="7"/>
    </row>
    <row r="2851" spans="2:81">
      <c r="B2851" s="6"/>
      <c r="J2851" s="10" t="s">
        <v>686</v>
      </c>
      <c r="L2851" s="67" t="s">
        <v>171</v>
      </c>
      <c r="M2851" s="67"/>
      <c r="N2851" s="67"/>
      <c r="O2851" s="67"/>
      <c r="P2851" s="67"/>
      <c r="Q2851" s="67"/>
      <c r="W2851" s="1" t="s">
        <v>10</v>
      </c>
      <c r="Y2851" s="1" t="s">
        <v>751</v>
      </c>
      <c r="BE2851" s="66">
        <f>INDEX($CL$24:$CL$138,MATCH(L2851,$CG$24:$CG$138,0),0)</f>
        <v>19</v>
      </c>
      <c r="BF2851" s="66"/>
      <c r="BR2851" s="66">
        <f>INDEX($CL$24:$CL$138,MATCH(P2841,$CG$24:$CG$138,0),0)</f>
        <v>19</v>
      </c>
      <c r="BS2851" s="66"/>
      <c r="CC2851" s="7"/>
    </row>
    <row r="2852" spans="2:81">
      <c r="B2852" s="6"/>
      <c r="CC2852" s="7"/>
    </row>
    <row r="2853" spans="2:81">
      <c r="B2853" s="6"/>
      <c r="P2853" s="67">
        <v>1.8</v>
      </c>
      <c r="Q2853" s="67"/>
      <c r="R2853" s="1" t="s">
        <v>1</v>
      </c>
      <c r="Y2853" s="67">
        <v>1.5</v>
      </c>
      <c r="Z2853" s="67"/>
      <c r="AA2853" s="1" t="s">
        <v>1</v>
      </c>
      <c r="CC2853" s="7"/>
    </row>
    <row r="2854" spans="2:81">
      <c r="B2854" s="6"/>
      <c r="BC2854" s="66">
        <f>INDEX($CJ$24:$CJ$138,MATCH(L2851,$CG$24:$CG$138,0),0)</f>
        <v>220</v>
      </c>
      <c r="BD2854" s="66"/>
      <c r="BP2854" s="66">
        <f>INDEX($CJ$24:$CJ$138,MATCH(P2841,$CG$24:$CG$138,0),0)</f>
        <v>220</v>
      </c>
      <c r="BQ2854" s="66"/>
      <c r="CC2854" s="7"/>
    </row>
    <row r="2855" spans="2:81">
      <c r="B2855" s="6"/>
      <c r="R2855" s="66">
        <f>+P2853+Y2853</f>
        <v>3.3</v>
      </c>
      <c r="S2855" s="66"/>
      <c r="T2855" s="1" t="s">
        <v>1</v>
      </c>
      <c r="CC2855" s="7"/>
    </row>
    <row r="2856" spans="2:81">
      <c r="B2856" s="6"/>
      <c r="CC2856" s="7"/>
    </row>
    <row r="2857" spans="2:81">
      <c r="B2857" s="6"/>
      <c r="U2857" s="1" t="s">
        <v>692</v>
      </c>
      <c r="V2857" s="66">
        <f>+H2902</f>
        <v>101.32449295260604</v>
      </c>
      <c r="W2857" s="66"/>
      <c r="X2857" s="66"/>
      <c r="Y2857" s="1" t="s">
        <v>0</v>
      </c>
      <c r="CC2857" s="7"/>
    </row>
    <row r="2858" spans="2:81">
      <c r="B2858" s="6"/>
      <c r="P2858" s="66">
        <f>+O2846</f>
        <v>40</v>
      </c>
      <c r="Q2858" s="66"/>
      <c r="R2858" s="1" t="s">
        <v>187</v>
      </c>
      <c r="CC2858" s="7"/>
    </row>
    <row r="2859" spans="2:81">
      <c r="B2859" s="6"/>
      <c r="CC2859" s="7"/>
    </row>
    <row r="2860" spans="2:81">
      <c r="B2860" s="6"/>
      <c r="C2860" s="1" t="s">
        <v>733</v>
      </c>
      <c r="E2860" s="66">
        <v>0</v>
      </c>
      <c r="F2860" s="66"/>
      <c r="G2860" s="1" t="s">
        <v>0</v>
      </c>
      <c r="AD2860" s="1" t="s">
        <v>752</v>
      </c>
      <c r="AF2860" s="66">
        <v>0</v>
      </c>
      <c r="AG2860" s="66"/>
      <c r="AH2860" s="1" t="s">
        <v>0</v>
      </c>
      <c r="CC2860" s="7"/>
    </row>
    <row r="2861" spans="2:81">
      <c r="B2861" s="6"/>
      <c r="I2861" s="55" t="s">
        <v>4</v>
      </c>
      <c r="W2861" s="55" t="s">
        <v>10</v>
      </c>
      <c r="AC2861" s="1" t="s">
        <v>685</v>
      </c>
      <c r="CC2861" s="7"/>
    </row>
    <row r="2862" spans="2:81">
      <c r="B2862" s="6"/>
      <c r="M2862" s="1" t="s">
        <v>13</v>
      </c>
      <c r="AA2862" s="1" t="s">
        <v>428</v>
      </c>
      <c r="CC2862" s="7"/>
    </row>
    <row r="2863" spans="2:81">
      <c r="B2863" s="6"/>
      <c r="F2863" s="1" t="s">
        <v>734</v>
      </c>
      <c r="H2863" s="66">
        <f>+AB2919</f>
        <v>19.943412294269983</v>
      </c>
      <c r="I2863" s="66"/>
      <c r="J2863" s="66"/>
      <c r="K2863" s="1" t="s">
        <v>0</v>
      </c>
      <c r="Z2863" s="1" t="s">
        <v>753</v>
      </c>
      <c r="AB2863" s="66">
        <f>+H2921</f>
        <v>10.732094753123974</v>
      </c>
      <c r="AC2863" s="66"/>
      <c r="AD2863" s="66"/>
      <c r="AE2863" s="1" t="s">
        <v>0</v>
      </c>
      <c r="CC2863" s="7"/>
    </row>
    <row r="2864" spans="2:81">
      <c r="B2864" s="6"/>
      <c r="P2864" s="66">
        <f>+P2853</f>
        <v>1.8</v>
      </c>
      <c r="Q2864" s="66"/>
      <c r="R2864" s="1" t="s">
        <v>1</v>
      </c>
      <c r="Y2864" s="66">
        <f>+Y2853</f>
        <v>1.5</v>
      </c>
      <c r="Z2864" s="66"/>
      <c r="AA2864" s="1" t="s">
        <v>1</v>
      </c>
      <c r="CC2864" s="7"/>
    </row>
    <row r="2865" spans="2:81">
      <c r="B2865" s="6"/>
      <c r="CC2865" s="7"/>
    </row>
    <row r="2866" spans="2:81">
      <c r="B2866" s="6"/>
      <c r="F2866" s="1" t="s">
        <v>739</v>
      </c>
      <c r="CC2866" s="7"/>
    </row>
    <row r="2867" spans="2:81">
      <c r="B2867" s="6"/>
      <c r="F2867" s="10" t="s">
        <v>740</v>
      </c>
      <c r="CC2867" s="7"/>
    </row>
    <row r="2868" spans="2:81">
      <c r="B2868" s="6"/>
      <c r="F2868" s="1" t="s">
        <v>754</v>
      </c>
      <c r="CC2868" s="7"/>
    </row>
    <row r="2869" spans="2:81">
      <c r="B2869" s="6"/>
      <c r="F2869" s="1" t="s">
        <v>755</v>
      </c>
      <c r="H2869" s="66">
        <f>+R2855</f>
        <v>3.3</v>
      </c>
      <c r="I2869" s="66"/>
      <c r="J2869" s="9" t="s">
        <v>6</v>
      </c>
      <c r="K2869" s="66">
        <f>+P2858</f>
        <v>40</v>
      </c>
      <c r="L2869" s="66"/>
      <c r="M2869" s="9" t="s">
        <v>5</v>
      </c>
      <c r="N2869" s="66">
        <f>+R2855</f>
        <v>3.3</v>
      </c>
      <c r="O2869" s="66"/>
      <c r="P2869" s="9" t="s">
        <v>5</v>
      </c>
      <c r="Q2869" s="66">
        <f>+N2869/2</f>
        <v>1.65</v>
      </c>
      <c r="R2869" s="66"/>
      <c r="S2869" s="9" t="s">
        <v>9</v>
      </c>
      <c r="T2869" s="9" t="s">
        <v>694</v>
      </c>
      <c r="U2869" s="9" t="s">
        <v>5</v>
      </c>
      <c r="V2869" s="66">
        <f>+Y2864</f>
        <v>1.5</v>
      </c>
      <c r="W2869" s="66"/>
      <c r="X2869" s="9" t="s">
        <v>7</v>
      </c>
      <c r="Y2869" s="9">
        <v>0</v>
      </c>
      <c r="CC2869" s="7"/>
    </row>
    <row r="2870" spans="2:81">
      <c r="B2870" s="6"/>
      <c r="F2870" s="1" t="s">
        <v>756</v>
      </c>
      <c r="H2870" s="66">
        <f>+K2869*N2869*Q2869</f>
        <v>217.79999999999998</v>
      </c>
      <c r="I2870" s="66"/>
      <c r="J2870" s="66"/>
      <c r="K2870" s="9" t="s">
        <v>6</v>
      </c>
      <c r="L2870" s="9" t="s">
        <v>694</v>
      </c>
      <c r="M2870" s="9" t="s">
        <v>5</v>
      </c>
      <c r="N2870" s="66">
        <f>+V2869</f>
        <v>1.5</v>
      </c>
      <c r="O2870" s="66"/>
      <c r="P2870" s="1" t="s">
        <v>287</v>
      </c>
      <c r="Q2870" s="66">
        <f>+H2869</f>
        <v>3.3</v>
      </c>
      <c r="R2870" s="66"/>
      <c r="S2870" s="9" t="s">
        <v>7</v>
      </c>
      <c r="T2870" s="66">
        <f>+H2870/Q2870</f>
        <v>66</v>
      </c>
      <c r="U2870" s="66"/>
      <c r="V2870" s="66"/>
      <c r="W2870" s="9" t="s">
        <v>6</v>
      </c>
      <c r="X2870" s="9" t="s">
        <v>694</v>
      </c>
      <c r="Y2870" s="9" t="s">
        <v>5</v>
      </c>
      <c r="Z2870" s="66">
        <f>+N2870/Q2870</f>
        <v>0.45454545454545459</v>
      </c>
      <c r="AA2870" s="66"/>
      <c r="CC2870" s="7"/>
    </row>
    <row r="2871" spans="2:81">
      <c r="B2871" s="6"/>
      <c r="F2871" s="24" t="s">
        <v>696</v>
      </c>
      <c r="CC2871" s="7"/>
    </row>
    <row r="2872" spans="2:81">
      <c r="B2872" s="6"/>
      <c r="F2872" s="1" t="s">
        <v>429</v>
      </c>
      <c r="H2872" s="9" t="s">
        <v>518</v>
      </c>
      <c r="I2872" s="66">
        <f>+T2870</f>
        <v>66</v>
      </c>
      <c r="J2872" s="66"/>
      <c r="K2872" s="66"/>
      <c r="L2872" s="9" t="s">
        <v>6</v>
      </c>
      <c r="M2872" s="9" t="s">
        <v>694</v>
      </c>
      <c r="N2872" s="9" t="s">
        <v>5</v>
      </c>
      <c r="O2872" s="66">
        <f>+Z2870</f>
        <v>0.45454545454545459</v>
      </c>
      <c r="P2872" s="66"/>
      <c r="Q2872" s="1" t="s">
        <v>519</v>
      </c>
      <c r="R2872" s="9" t="s">
        <v>13</v>
      </c>
      <c r="S2872" s="9" t="s">
        <v>6</v>
      </c>
      <c r="T2872" s="66">
        <f>+P2858</f>
        <v>40</v>
      </c>
      <c r="U2872" s="66"/>
      <c r="V2872" s="9" t="s">
        <v>5</v>
      </c>
      <c r="W2872" s="1" t="s">
        <v>183</v>
      </c>
      <c r="X2872" s="1" t="s">
        <v>173</v>
      </c>
      <c r="Y2872" s="1">
        <v>2</v>
      </c>
      <c r="CC2872" s="7"/>
    </row>
    <row r="2873" spans="2:81">
      <c r="B2873" s="6"/>
      <c r="F2873" s="1" t="s">
        <v>432</v>
      </c>
      <c r="H2873" s="9" t="s">
        <v>518</v>
      </c>
      <c r="I2873" s="66">
        <f>+I2872</f>
        <v>66</v>
      </c>
      <c r="J2873" s="66"/>
      <c r="K2873" s="66"/>
      <c r="L2873" s="9" t="s">
        <v>6</v>
      </c>
      <c r="M2873" s="9" t="s">
        <v>694</v>
      </c>
      <c r="N2873" s="9" t="s">
        <v>5</v>
      </c>
      <c r="O2873" s="66">
        <f>+O2872</f>
        <v>0.45454545454545459</v>
      </c>
      <c r="P2873" s="66"/>
      <c r="Q2873" s="1" t="s">
        <v>519</v>
      </c>
      <c r="R2873" s="9" t="s">
        <v>183</v>
      </c>
      <c r="S2873" s="1" t="s">
        <v>173</v>
      </c>
      <c r="T2873" s="1">
        <v>2</v>
      </c>
      <c r="U2873" s="9" t="s">
        <v>6</v>
      </c>
      <c r="V2873" s="66">
        <f>+T2872</f>
        <v>40</v>
      </c>
      <c r="W2873" s="66"/>
      <c r="X2873" s="9" t="s">
        <v>5</v>
      </c>
      <c r="Y2873" s="1" t="s">
        <v>184</v>
      </c>
      <c r="Z2873" s="1" t="s">
        <v>173</v>
      </c>
      <c r="AA2873" s="1">
        <v>6</v>
      </c>
      <c r="AB2873" s="9" t="s">
        <v>9</v>
      </c>
      <c r="AC2873" s="1" t="s">
        <v>24</v>
      </c>
      <c r="CC2873" s="7"/>
    </row>
    <row r="2874" spans="2:81">
      <c r="B2874" s="6"/>
      <c r="F2874" s="1" t="s">
        <v>431</v>
      </c>
      <c r="H2874" s="9" t="s">
        <v>518</v>
      </c>
      <c r="I2874" s="66">
        <f>+I2873</f>
        <v>66</v>
      </c>
      <c r="J2874" s="66"/>
      <c r="K2874" s="66"/>
      <c r="L2874" s="9" t="s">
        <v>6</v>
      </c>
      <c r="M2874" s="9" t="s">
        <v>694</v>
      </c>
      <c r="N2874" s="9" t="s">
        <v>5</v>
      </c>
      <c r="O2874" s="66">
        <f>+O2873</f>
        <v>0.45454545454545459</v>
      </c>
      <c r="P2874" s="66"/>
      <c r="Q2874" s="1" t="s">
        <v>519</v>
      </c>
      <c r="R2874" s="9" t="s">
        <v>184</v>
      </c>
      <c r="S2874" s="1" t="s">
        <v>173</v>
      </c>
      <c r="T2874" s="1">
        <v>6</v>
      </c>
      <c r="U2874" s="9" t="s">
        <v>6</v>
      </c>
      <c r="V2874" s="66">
        <f>+V2873</f>
        <v>40</v>
      </c>
      <c r="W2874" s="66"/>
      <c r="X2874" s="9" t="s">
        <v>5</v>
      </c>
      <c r="Y2874" s="1" t="s">
        <v>185</v>
      </c>
      <c r="Z2874" s="1" t="s">
        <v>173</v>
      </c>
      <c r="AA2874" s="66">
        <v>24</v>
      </c>
      <c r="AB2874" s="66"/>
      <c r="AC2874" s="9" t="s">
        <v>9</v>
      </c>
      <c r="AD2874" s="1" t="s">
        <v>24</v>
      </c>
      <c r="AE2874" s="9" t="s">
        <v>5</v>
      </c>
      <c r="AF2874" s="9" t="s">
        <v>13</v>
      </c>
      <c r="AG2874" s="9" t="s">
        <v>9</v>
      </c>
      <c r="AH2874" s="1" t="s">
        <v>307</v>
      </c>
      <c r="CC2874" s="7"/>
    </row>
    <row r="2875" spans="2:81">
      <c r="B2875" s="6"/>
      <c r="F2875" s="24" t="s">
        <v>700</v>
      </c>
      <c r="M2875" s="9"/>
      <c r="CC2875" s="7"/>
    </row>
    <row r="2876" spans="2:81">
      <c r="B2876" s="6"/>
      <c r="F2876" s="1" t="s">
        <v>433</v>
      </c>
      <c r="H2876" s="9" t="s">
        <v>518</v>
      </c>
      <c r="I2876" s="66">
        <f>+T2870</f>
        <v>66</v>
      </c>
      <c r="J2876" s="66"/>
      <c r="K2876" s="66"/>
      <c r="L2876" s="9" t="s">
        <v>6</v>
      </c>
      <c r="M2876" s="9" t="s">
        <v>694</v>
      </c>
      <c r="N2876" s="9" t="s">
        <v>5</v>
      </c>
      <c r="O2876" s="66">
        <f>+Z2870</f>
        <v>0.45454545454545459</v>
      </c>
      <c r="P2876" s="66"/>
      <c r="Q2876" s="1" t="s">
        <v>216</v>
      </c>
      <c r="R2876" s="66">
        <f>+P2864</f>
        <v>1.8</v>
      </c>
      <c r="S2876" s="66"/>
      <c r="T2876" s="9" t="s">
        <v>9</v>
      </c>
      <c r="U2876" s="9" t="s">
        <v>428</v>
      </c>
      <c r="V2876" s="1" t="s">
        <v>16</v>
      </c>
      <c r="W2876" s="66">
        <f>+P2858</f>
        <v>40</v>
      </c>
      <c r="X2876" s="66"/>
      <c r="Y2876" s="9" t="s">
        <v>5</v>
      </c>
      <c r="Z2876" s="66">
        <f>+P2864</f>
        <v>1.8</v>
      </c>
      <c r="AA2876" s="66"/>
      <c r="AB2876" s="1" t="s">
        <v>14</v>
      </c>
      <c r="AC2876" s="66">
        <f>+P2864/2</f>
        <v>0.9</v>
      </c>
      <c r="AD2876" s="66"/>
      <c r="AE2876" s="9" t="s">
        <v>9</v>
      </c>
      <c r="AF2876" s="9" t="s">
        <v>428</v>
      </c>
      <c r="AG2876" s="1" t="s">
        <v>306</v>
      </c>
      <c r="AH2876" s="9" t="s">
        <v>694</v>
      </c>
      <c r="AI2876" s="9" t="s">
        <v>5</v>
      </c>
      <c r="AJ2876" s="9" t="s">
        <v>428</v>
      </c>
      <c r="AK2876" s="9" t="s">
        <v>6</v>
      </c>
      <c r="AL2876" s="66">
        <f>+O2846</f>
        <v>40</v>
      </c>
      <c r="AM2876" s="66"/>
      <c r="AN2876" s="9" t="s">
        <v>5</v>
      </c>
      <c r="AO2876" s="9" t="s">
        <v>443</v>
      </c>
      <c r="AP2876" s="1" t="s">
        <v>173</v>
      </c>
      <c r="AQ2876" s="1">
        <v>2</v>
      </c>
      <c r="CC2876" s="7"/>
    </row>
    <row r="2877" spans="2:81">
      <c r="B2877" s="6"/>
      <c r="F2877" s="1" t="s">
        <v>430</v>
      </c>
      <c r="H2877" s="9" t="s">
        <v>518</v>
      </c>
      <c r="I2877" s="66">
        <f>+I2876</f>
        <v>66</v>
      </c>
      <c r="J2877" s="66"/>
      <c r="K2877" s="66"/>
      <c r="L2877" s="9" t="s">
        <v>6</v>
      </c>
      <c r="M2877" s="9" t="s">
        <v>694</v>
      </c>
      <c r="N2877" s="9" t="s">
        <v>5</v>
      </c>
      <c r="O2877" s="66">
        <f>+O2876</f>
        <v>0.45454545454545459</v>
      </c>
      <c r="P2877" s="66"/>
      <c r="Q2877" s="1" t="s">
        <v>216</v>
      </c>
      <c r="R2877" s="66">
        <f>+R2876</f>
        <v>1.8</v>
      </c>
      <c r="S2877" s="66"/>
      <c r="T2877" s="9" t="s">
        <v>9</v>
      </c>
      <c r="U2877" s="9" t="s">
        <v>428</v>
      </c>
      <c r="V2877" s="1" t="s">
        <v>200</v>
      </c>
      <c r="W2877" s="1" t="s">
        <v>173</v>
      </c>
      <c r="X2877" s="1">
        <v>2</v>
      </c>
      <c r="Y2877" s="9" t="s">
        <v>6</v>
      </c>
      <c r="Z2877" s="66">
        <f>+Z2876*W2876</f>
        <v>72</v>
      </c>
      <c r="AA2877" s="66"/>
      <c r="AB2877" s="1" t="s">
        <v>14</v>
      </c>
      <c r="AC2877" s="66">
        <f>+AC2876</f>
        <v>0.9</v>
      </c>
      <c r="AD2877" s="66"/>
      <c r="AE2877" s="9" t="s">
        <v>9</v>
      </c>
      <c r="AF2877" s="9" t="s">
        <v>428</v>
      </c>
      <c r="AG2877" s="1" t="s">
        <v>200</v>
      </c>
      <c r="AH2877" s="1" t="s">
        <v>173</v>
      </c>
      <c r="AI2877" s="1">
        <v>2</v>
      </c>
      <c r="AJ2877" s="9" t="s">
        <v>9</v>
      </c>
      <c r="AK2877" s="9" t="s">
        <v>694</v>
      </c>
      <c r="AL2877" s="9" t="s">
        <v>5</v>
      </c>
      <c r="AM2877" s="9" t="s">
        <v>443</v>
      </c>
      <c r="AN2877" s="1" t="s">
        <v>173</v>
      </c>
      <c r="AO2877" s="1">
        <v>2</v>
      </c>
      <c r="AP2877" s="9" t="s">
        <v>6</v>
      </c>
      <c r="AQ2877" s="66">
        <f>+AL2876</f>
        <v>40</v>
      </c>
      <c r="AR2877" s="66"/>
      <c r="AS2877" s="9" t="s">
        <v>5</v>
      </c>
      <c r="AT2877" s="9" t="s">
        <v>444</v>
      </c>
      <c r="AU2877" s="1" t="s">
        <v>173</v>
      </c>
      <c r="AV2877" s="1">
        <v>6</v>
      </c>
      <c r="AW2877" s="9" t="s">
        <v>9</v>
      </c>
      <c r="AX2877" s="1" t="s">
        <v>313</v>
      </c>
      <c r="CC2877" s="7"/>
    </row>
    <row r="2878" spans="2:81">
      <c r="B2878" s="6"/>
      <c r="F2878" s="1" t="s">
        <v>435</v>
      </c>
      <c r="H2878" s="9" t="s">
        <v>518</v>
      </c>
      <c r="I2878" s="66">
        <f>+I2877</f>
        <v>66</v>
      </c>
      <c r="J2878" s="66"/>
      <c r="K2878" s="66"/>
      <c r="L2878" s="9" t="s">
        <v>6</v>
      </c>
      <c r="M2878" s="9" t="s">
        <v>694</v>
      </c>
      <c r="N2878" s="9" t="s">
        <v>5</v>
      </c>
      <c r="O2878" s="66">
        <f>+O2877</f>
        <v>0.45454545454545459</v>
      </c>
      <c r="P2878" s="66"/>
      <c r="Q2878" s="1" t="s">
        <v>216</v>
      </c>
      <c r="R2878" s="66">
        <f>+R2877</f>
        <v>1.8</v>
      </c>
      <c r="S2878" s="66"/>
      <c r="T2878" s="9" t="s">
        <v>9</v>
      </c>
      <c r="U2878" s="9" t="s">
        <v>428</v>
      </c>
      <c r="V2878" s="1" t="s">
        <v>311</v>
      </c>
      <c r="W2878" s="1" t="s">
        <v>173</v>
      </c>
      <c r="X2878" s="1">
        <v>6</v>
      </c>
      <c r="Y2878" s="9" t="s">
        <v>6</v>
      </c>
      <c r="Z2878" s="66">
        <f>+Z2877</f>
        <v>72</v>
      </c>
      <c r="AA2878" s="66"/>
      <c r="AB2878" s="1" t="s">
        <v>14</v>
      </c>
      <c r="AC2878" s="66">
        <f>+AC2877</f>
        <v>0.9</v>
      </c>
      <c r="AD2878" s="66"/>
      <c r="AE2878" s="9" t="s">
        <v>9</v>
      </c>
      <c r="AF2878" s="9" t="s">
        <v>428</v>
      </c>
      <c r="AG2878" s="1" t="s">
        <v>311</v>
      </c>
      <c r="AH2878" s="1" t="s">
        <v>173</v>
      </c>
      <c r="AI2878" s="1">
        <v>6</v>
      </c>
      <c r="AJ2878" s="9" t="s">
        <v>9</v>
      </c>
      <c r="AK2878" s="9" t="s">
        <v>694</v>
      </c>
      <c r="AL2878" s="9" t="s">
        <v>5</v>
      </c>
      <c r="AM2878" s="9" t="s">
        <v>444</v>
      </c>
      <c r="AN2878" s="1" t="s">
        <v>173</v>
      </c>
      <c r="AO2878" s="1">
        <v>6</v>
      </c>
      <c r="AP2878" s="9" t="s">
        <v>6</v>
      </c>
      <c r="AQ2878" s="66">
        <f>+AQ2877</f>
        <v>40</v>
      </c>
      <c r="AR2878" s="66"/>
      <c r="AS2878" s="9" t="s">
        <v>5</v>
      </c>
      <c r="AT2878" s="9" t="s">
        <v>445</v>
      </c>
      <c r="AU2878" s="1" t="s">
        <v>173</v>
      </c>
      <c r="AV2878" s="66">
        <v>24</v>
      </c>
      <c r="AW2878" s="66"/>
      <c r="AX2878" s="9" t="s">
        <v>9</v>
      </c>
      <c r="AY2878" s="1" t="s">
        <v>313</v>
      </c>
      <c r="AZ2878" s="9" t="s">
        <v>5</v>
      </c>
      <c r="BA2878" s="9" t="s">
        <v>428</v>
      </c>
      <c r="BB2878" s="9" t="s">
        <v>9</v>
      </c>
      <c r="BC2878" s="1" t="s">
        <v>315</v>
      </c>
      <c r="CC2878" s="7"/>
    </row>
    <row r="2879" spans="2:81">
      <c r="B2879" s="6"/>
      <c r="F2879" s="24" t="s">
        <v>318</v>
      </c>
      <c r="CC2879" s="7"/>
    </row>
    <row r="2880" spans="2:81">
      <c r="B2880" s="6"/>
      <c r="F2880" s="1" t="s">
        <v>319</v>
      </c>
      <c r="L2880" s="1" t="s">
        <v>411</v>
      </c>
      <c r="CC2880" s="7"/>
    </row>
    <row r="2881" spans="2:81">
      <c r="B2881" s="6"/>
      <c r="F2881" s="1" t="s">
        <v>453</v>
      </c>
      <c r="L2881" s="9" t="s">
        <v>518</v>
      </c>
      <c r="M2881" s="66">
        <f>+I2878</f>
        <v>66</v>
      </c>
      <c r="N2881" s="66"/>
      <c r="O2881" s="66"/>
      <c r="P2881" s="9" t="s">
        <v>6</v>
      </c>
      <c r="Q2881" s="1" t="s">
        <v>694</v>
      </c>
      <c r="R2881" s="9" t="s">
        <v>5</v>
      </c>
      <c r="S2881" s="66">
        <f>+O2878</f>
        <v>0.45454545454545459</v>
      </c>
      <c r="T2881" s="66"/>
      <c r="U2881" s="1" t="s">
        <v>216</v>
      </c>
      <c r="V2881" s="66">
        <f>+R2878</f>
        <v>1.8</v>
      </c>
      <c r="W2881" s="66"/>
      <c r="X2881" s="9" t="s">
        <v>9</v>
      </c>
      <c r="Y2881" s="66">
        <f>+Y2864</f>
        <v>1.5</v>
      </c>
      <c r="Z2881" s="66"/>
      <c r="AA2881" s="1" t="s">
        <v>311</v>
      </c>
      <c r="AB2881" s="1" t="s">
        <v>173</v>
      </c>
      <c r="AC2881" s="1">
        <v>6</v>
      </c>
      <c r="AD2881" s="9" t="s">
        <v>6</v>
      </c>
      <c r="AE2881" s="66">
        <f>+Z2878</f>
        <v>72</v>
      </c>
      <c r="AF2881" s="66"/>
      <c r="AG2881" s="1" t="s">
        <v>14</v>
      </c>
      <c r="AH2881" s="66">
        <f>+AC2878</f>
        <v>0.9</v>
      </c>
      <c r="AI2881" s="66"/>
      <c r="AJ2881" s="9" t="s">
        <v>9</v>
      </c>
      <c r="AK2881" s="66">
        <f>+Y2881</f>
        <v>1.5</v>
      </c>
      <c r="AL2881" s="66"/>
      <c r="AM2881" s="1" t="s">
        <v>311</v>
      </c>
      <c r="AN2881" s="1" t="s">
        <v>173</v>
      </c>
      <c r="AO2881" s="1">
        <v>6</v>
      </c>
      <c r="AP2881" s="9" t="s">
        <v>9</v>
      </c>
      <c r="AQ2881" s="9" t="s">
        <v>694</v>
      </c>
      <c r="AR2881" s="9" t="s">
        <v>5</v>
      </c>
      <c r="AS2881" s="66">
        <f>+AK2881</f>
        <v>1.5</v>
      </c>
      <c r="AT2881" s="66"/>
      <c r="AU2881" s="1" t="s">
        <v>30</v>
      </c>
      <c r="AV2881" s="1">
        <v>6</v>
      </c>
      <c r="AW2881" s="9" t="s">
        <v>6</v>
      </c>
      <c r="AX2881" s="66">
        <f>+AQ2878</f>
        <v>40</v>
      </c>
      <c r="AY2881" s="66"/>
      <c r="AZ2881" s="9" t="s">
        <v>5</v>
      </c>
      <c r="BA2881" s="66">
        <f>+AS2881</f>
        <v>1.5</v>
      </c>
      <c r="BB2881" s="66"/>
      <c r="BC2881" s="1" t="s">
        <v>186</v>
      </c>
      <c r="BD2881" s="66">
        <v>24</v>
      </c>
      <c r="BE2881" s="66"/>
      <c r="BF2881" s="9" t="s">
        <v>9</v>
      </c>
      <c r="BG2881" s="1" t="s">
        <v>313</v>
      </c>
      <c r="BH2881" s="9" t="s">
        <v>5</v>
      </c>
      <c r="BI2881" s="66">
        <f>+BA2881</f>
        <v>1.5</v>
      </c>
      <c r="BJ2881" s="66"/>
      <c r="BK2881" s="9" t="s">
        <v>9</v>
      </c>
      <c r="BL2881" s="1" t="s">
        <v>315</v>
      </c>
      <c r="BM2881" s="9" t="s">
        <v>7</v>
      </c>
      <c r="BN2881" s="9">
        <v>0</v>
      </c>
      <c r="CC2881" s="7"/>
    </row>
    <row r="2882" spans="2:81">
      <c r="B2882" s="6"/>
      <c r="L2882" s="9" t="s">
        <v>518</v>
      </c>
      <c r="M2882" s="66">
        <f>+M2881</f>
        <v>66</v>
      </c>
      <c r="N2882" s="66"/>
      <c r="O2882" s="66"/>
      <c r="P2882" s="9" t="s">
        <v>6</v>
      </c>
      <c r="Q2882" s="1" t="s">
        <v>694</v>
      </c>
      <c r="R2882" s="9" t="s">
        <v>5</v>
      </c>
      <c r="S2882" s="66">
        <f>+S2881</f>
        <v>0.45454545454545459</v>
      </c>
      <c r="T2882" s="66"/>
      <c r="U2882" s="1" t="s">
        <v>519</v>
      </c>
      <c r="V2882" s="66">
        <f>(V2881+Y2881)^3/AC2881</f>
        <v>5.9894999999999996</v>
      </c>
      <c r="W2882" s="66"/>
      <c r="X2882" s="66"/>
      <c r="Y2882" s="9" t="s">
        <v>9</v>
      </c>
      <c r="Z2882" s="66">
        <f>-AE2881*(AH2881+AK2881)^3/AO2881-AX2881*BA2881^4/BD2881</f>
        <v>-174.32550000000001</v>
      </c>
      <c r="AA2882" s="66"/>
      <c r="AB2882" s="66"/>
      <c r="AC2882" s="9" t="s">
        <v>9</v>
      </c>
      <c r="AD2882" s="9" t="s">
        <v>694</v>
      </c>
      <c r="AE2882" s="9" t="s">
        <v>5</v>
      </c>
      <c r="AF2882" s="66">
        <f>+AS2881^3/AV2881</f>
        <v>0.5625</v>
      </c>
      <c r="AG2882" s="66"/>
      <c r="AH2882" s="66"/>
      <c r="AI2882" s="9" t="s">
        <v>9</v>
      </c>
      <c r="AJ2882" s="1" t="s">
        <v>313</v>
      </c>
      <c r="AK2882" s="9" t="s">
        <v>5</v>
      </c>
      <c r="AL2882" s="66">
        <f>+BI2881</f>
        <v>1.5</v>
      </c>
      <c r="AM2882" s="66"/>
      <c r="AN2882" s="9" t="s">
        <v>9</v>
      </c>
      <c r="AO2882" s="1" t="s">
        <v>315</v>
      </c>
      <c r="AP2882" s="9" t="s">
        <v>7</v>
      </c>
      <c r="AQ2882" s="9">
        <v>0</v>
      </c>
      <c r="CC2882" s="7"/>
    </row>
    <row r="2883" spans="2:81">
      <c r="B2883" s="6"/>
      <c r="L2883" s="58" t="s">
        <v>694</v>
      </c>
      <c r="M2883" s="48" t="s">
        <v>5</v>
      </c>
      <c r="N2883" s="68">
        <f>AF2882-V2882*S2882</f>
        <v>-2.16</v>
      </c>
      <c r="O2883" s="68"/>
      <c r="P2883" s="68"/>
      <c r="Q2883" s="48" t="s">
        <v>9</v>
      </c>
      <c r="R2883" s="49" t="s">
        <v>313</v>
      </c>
      <c r="S2883" s="48" t="s">
        <v>5</v>
      </c>
      <c r="T2883" s="68">
        <f>+AL2882</f>
        <v>1.5</v>
      </c>
      <c r="U2883" s="68"/>
      <c r="V2883" s="48" t="s">
        <v>9</v>
      </c>
      <c r="W2883" s="49" t="s">
        <v>315</v>
      </c>
      <c r="X2883" s="48" t="s">
        <v>9</v>
      </c>
      <c r="Y2883" s="68">
        <f>V2882*M2882+Z2882</f>
        <v>220.98149999999995</v>
      </c>
      <c r="Z2883" s="68"/>
      <c r="AA2883" s="68"/>
      <c r="AB2883" s="48" t="s">
        <v>7</v>
      </c>
      <c r="AC2883" s="59">
        <v>0</v>
      </c>
      <c r="AE2883" s="1" t="s">
        <v>438</v>
      </c>
      <c r="CC2883" s="7"/>
    </row>
    <row r="2884" spans="2:81">
      <c r="B2884" s="6"/>
      <c r="F2884" s="1" t="s">
        <v>358</v>
      </c>
      <c r="J2884" s="9" t="s">
        <v>518</v>
      </c>
      <c r="K2884" s="66">
        <f>+I2874</f>
        <v>66</v>
      </c>
      <c r="L2884" s="66"/>
      <c r="M2884" s="66"/>
      <c r="N2884" s="9" t="s">
        <v>6</v>
      </c>
      <c r="O2884" s="9" t="s">
        <v>694</v>
      </c>
      <c r="P2884" s="9" t="s">
        <v>5</v>
      </c>
      <c r="Q2884" s="66">
        <f>+O2874</f>
        <v>0.45454545454545459</v>
      </c>
      <c r="R2884" s="66"/>
      <c r="S2884" s="1" t="s">
        <v>519</v>
      </c>
      <c r="T2884" s="69">
        <f>+P2864</f>
        <v>1.8</v>
      </c>
      <c r="U2884" s="69"/>
      <c r="V2884" s="1" t="s">
        <v>455</v>
      </c>
      <c r="W2884" s="1">
        <v>6</v>
      </c>
      <c r="X2884" s="9" t="s">
        <v>6</v>
      </c>
      <c r="Y2884" s="69">
        <f>+V2874</f>
        <v>40</v>
      </c>
      <c r="Z2884" s="69"/>
      <c r="AA2884" s="9" t="s">
        <v>5</v>
      </c>
      <c r="AB2884" s="69">
        <f>+P2864</f>
        <v>1.8</v>
      </c>
      <c r="AC2884" s="69"/>
      <c r="AD2884" s="1" t="s">
        <v>509</v>
      </c>
      <c r="AE2884" s="66">
        <v>24</v>
      </c>
      <c r="AF2884" s="66"/>
      <c r="AG2884" s="9" t="s">
        <v>9</v>
      </c>
      <c r="AH2884" s="1" t="s">
        <v>24</v>
      </c>
      <c r="AI2884" s="9" t="s">
        <v>5</v>
      </c>
      <c r="AJ2884" s="66">
        <f>+AB2884</f>
        <v>1.8</v>
      </c>
      <c r="AK2884" s="66"/>
      <c r="AL2884" s="9" t="s">
        <v>7</v>
      </c>
      <c r="AM2884" s="1" t="s">
        <v>24</v>
      </c>
      <c r="AN2884" s="9" t="s">
        <v>5</v>
      </c>
      <c r="AO2884" s="66">
        <f>+AJ2884</f>
        <v>1.8</v>
      </c>
      <c r="AP2884" s="66"/>
      <c r="AQ2884" s="9" t="s">
        <v>6</v>
      </c>
      <c r="AR2884" s="9" t="s">
        <v>694</v>
      </c>
      <c r="AS2884" s="9" t="s">
        <v>5</v>
      </c>
      <c r="AT2884" s="66">
        <f>+Q2884*T2884^3/W2884</f>
        <v>0.44181818181818189</v>
      </c>
      <c r="AU2884" s="66"/>
      <c r="AV2884" s="9" t="s">
        <v>9</v>
      </c>
      <c r="AW2884" s="66">
        <f>K2884*T2884^3/W2884-Y2884*AB2884^4/AE2884</f>
        <v>46.655999999999992</v>
      </c>
      <c r="AX2884" s="66"/>
      <c r="AY2884" s="66"/>
      <c r="CC2884" s="7"/>
    </row>
    <row r="2885" spans="2:81">
      <c r="B2885" s="6"/>
      <c r="F2885" s="1" t="s">
        <v>458</v>
      </c>
      <c r="J2885" s="9" t="s">
        <v>518</v>
      </c>
      <c r="K2885" s="66">
        <f>+I2878</f>
        <v>66</v>
      </c>
      <c r="L2885" s="66"/>
      <c r="M2885" s="66"/>
      <c r="N2885" s="9" t="s">
        <v>6</v>
      </c>
      <c r="O2885" s="9" t="s">
        <v>694</v>
      </c>
      <c r="P2885" s="9" t="s">
        <v>5</v>
      </c>
      <c r="Q2885" s="66">
        <f>+O2878</f>
        <v>0.45454545454545459</v>
      </c>
      <c r="R2885" s="66"/>
      <c r="S2885" s="1" t="s">
        <v>519</v>
      </c>
      <c r="T2885" s="66">
        <f>+R2878</f>
        <v>1.8</v>
      </c>
      <c r="U2885" s="66"/>
      <c r="V2885" s="1" t="s">
        <v>455</v>
      </c>
      <c r="W2885" s="1">
        <v>6</v>
      </c>
      <c r="X2885" s="9" t="s">
        <v>6</v>
      </c>
      <c r="Y2885" s="66">
        <f>+Z2878</f>
        <v>72</v>
      </c>
      <c r="Z2885" s="66"/>
      <c r="AA2885" s="9" t="s">
        <v>5</v>
      </c>
      <c r="AB2885" s="66">
        <f>+AC2878</f>
        <v>0.9</v>
      </c>
      <c r="AC2885" s="66"/>
      <c r="AD2885" s="1" t="s">
        <v>30</v>
      </c>
      <c r="AE2885" s="1">
        <v>6</v>
      </c>
      <c r="AF2885" s="9" t="s">
        <v>9</v>
      </c>
      <c r="AG2885" s="9" t="s">
        <v>315</v>
      </c>
      <c r="AH2885" s="9" t="s">
        <v>7</v>
      </c>
      <c r="AI2885" s="1" t="s">
        <v>315</v>
      </c>
      <c r="AJ2885" s="9" t="s">
        <v>6</v>
      </c>
      <c r="AK2885" s="9" t="s">
        <v>694</v>
      </c>
      <c r="AL2885" s="9" t="s">
        <v>5</v>
      </c>
      <c r="AM2885" s="66">
        <f>+Q2885*T2885^3/W2885</f>
        <v>0.44181818181818189</v>
      </c>
      <c r="AN2885" s="66"/>
      <c r="AO2885" s="9" t="s">
        <v>9</v>
      </c>
      <c r="AP2885" s="66">
        <f>K2885*T2885^3/W2885-Y2885*AB2885^3/AE2885</f>
        <v>55.403999999999996</v>
      </c>
      <c r="AQ2885" s="66"/>
      <c r="AR2885" s="66"/>
      <c r="CC2885" s="7"/>
    </row>
    <row r="2886" spans="2:81">
      <c r="B2886" s="6"/>
      <c r="F2886" s="1" t="s">
        <v>461</v>
      </c>
      <c r="P2886" s="1" t="s">
        <v>24</v>
      </c>
      <c r="Q2886" s="9" t="s">
        <v>5</v>
      </c>
      <c r="R2886" s="66">
        <f>+AO2884</f>
        <v>1.8</v>
      </c>
      <c r="S2886" s="66"/>
      <c r="T2886" s="9" t="s">
        <v>6</v>
      </c>
      <c r="U2886" s="9" t="s">
        <v>694</v>
      </c>
      <c r="V2886" s="9" t="s">
        <v>5</v>
      </c>
      <c r="W2886" s="66">
        <f>+AT2884</f>
        <v>0.44181818181818189</v>
      </c>
      <c r="X2886" s="66"/>
      <c r="Y2886" s="9" t="s">
        <v>9</v>
      </c>
      <c r="Z2886" s="66">
        <f>+AW2884</f>
        <v>46.655999999999992</v>
      </c>
      <c r="AA2886" s="66"/>
      <c r="AB2886" s="66"/>
      <c r="AC2886" s="9" t="s">
        <v>7</v>
      </c>
      <c r="AD2886" s="1" t="s">
        <v>315</v>
      </c>
      <c r="AE2886" s="9" t="s">
        <v>6</v>
      </c>
      <c r="AF2886" s="9" t="s">
        <v>694</v>
      </c>
      <c r="AG2886" s="9" t="s">
        <v>5</v>
      </c>
      <c r="AH2886" s="66">
        <f>+AM2885</f>
        <v>0.44181818181818189</v>
      </c>
      <c r="AI2886" s="66"/>
      <c r="AJ2886" s="9" t="s">
        <v>9</v>
      </c>
      <c r="AK2886" s="66">
        <f>+AP2885</f>
        <v>55.403999999999996</v>
      </c>
      <c r="AL2886" s="66"/>
      <c r="AM2886" s="66"/>
      <c r="AO2886" s="62"/>
      <c r="AP2886" s="58" t="s">
        <v>24</v>
      </c>
      <c r="AQ2886" s="48" t="s">
        <v>5</v>
      </c>
      <c r="AR2886" s="68">
        <f>+R2886</f>
        <v>1.8</v>
      </c>
      <c r="AS2886" s="68"/>
      <c r="AT2886" s="48" t="s">
        <v>6</v>
      </c>
      <c r="AU2886" s="48" t="s">
        <v>315</v>
      </c>
      <c r="AV2886" s="48" t="s">
        <v>9</v>
      </c>
      <c r="AW2886" s="68">
        <f>+Z2886-AK2886</f>
        <v>-8.7480000000000047</v>
      </c>
      <c r="AX2886" s="68"/>
      <c r="AY2886" s="68"/>
      <c r="AZ2886" s="48" t="s">
        <v>7</v>
      </c>
      <c r="BA2886" s="59">
        <v>0</v>
      </c>
      <c r="BC2886" s="1" t="s">
        <v>439</v>
      </c>
      <c r="CC2886" s="7"/>
    </row>
    <row r="2887" spans="2:81">
      <c r="B2887" s="6"/>
      <c r="F2887" s="1" t="s">
        <v>320</v>
      </c>
      <c r="J2887" s="9" t="s">
        <v>518</v>
      </c>
      <c r="K2887" s="66">
        <f>+I2873</f>
        <v>66</v>
      </c>
      <c r="L2887" s="66"/>
      <c r="M2887" s="66"/>
      <c r="N2887" s="9" t="s">
        <v>6</v>
      </c>
      <c r="O2887" s="9" t="s">
        <v>694</v>
      </c>
      <c r="P2887" s="9" t="s">
        <v>5</v>
      </c>
      <c r="Q2887" s="66">
        <f>+O2873</f>
        <v>0.45454545454545459</v>
      </c>
      <c r="R2887" s="66"/>
      <c r="S2887" s="1" t="s">
        <v>519</v>
      </c>
      <c r="T2887" s="66">
        <f>+P2864</f>
        <v>1.8</v>
      </c>
      <c r="U2887" s="66"/>
      <c r="V2887" s="1" t="s">
        <v>254</v>
      </c>
      <c r="W2887" s="1">
        <v>2</v>
      </c>
      <c r="X2887" s="9" t="s">
        <v>6</v>
      </c>
      <c r="Y2887" s="66">
        <f>+V2873</f>
        <v>40</v>
      </c>
      <c r="Z2887" s="66"/>
      <c r="AA2887" s="9" t="s">
        <v>5</v>
      </c>
      <c r="AB2887" s="66">
        <f>+T2887</f>
        <v>1.8</v>
      </c>
      <c r="AC2887" s="66"/>
      <c r="AD2887" s="1" t="s">
        <v>30</v>
      </c>
      <c r="AE2887" s="1">
        <v>6</v>
      </c>
      <c r="AF2887" s="9" t="s">
        <v>9</v>
      </c>
      <c r="AG2887" s="9" t="s">
        <v>24</v>
      </c>
      <c r="AH2887" s="9" t="s">
        <v>7</v>
      </c>
      <c r="AI2887" s="1" t="s">
        <v>24</v>
      </c>
      <c r="AJ2887" s="9" t="s">
        <v>6</v>
      </c>
      <c r="AK2887" s="1" t="s">
        <v>694</v>
      </c>
      <c r="AL2887" s="9" t="s">
        <v>5</v>
      </c>
      <c r="AM2887" s="66">
        <f>+Q2887*T2887^2/W2887</f>
        <v>0.73636363636363644</v>
      </c>
      <c r="AN2887" s="66"/>
      <c r="AO2887" s="9" t="s">
        <v>9</v>
      </c>
      <c r="AP2887" s="66">
        <f>+K2887*T2887^2/W2887-Y2887*AB2887^3/AE2887</f>
        <v>68.039999999999992</v>
      </c>
      <c r="AQ2887" s="66"/>
      <c r="AR2887" s="66"/>
      <c r="CC2887" s="7"/>
    </row>
    <row r="2888" spans="2:81">
      <c r="B2888" s="6"/>
      <c r="F2888" s="1" t="s">
        <v>470</v>
      </c>
      <c r="J2888" s="9" t="s">
        <v>518</v>
      </c>
      <c r="K2888" s="66">
        <f>+I2877</f>
        <v>66</v>
      </c>
      <c r="L2888" s="66"/>
      <c r="M2888" s="66"/>
      <c r="N2888" s="9" t="s">
        <v>6</v>
      </c>
      <c r="O2888" s="9" t="s">
        <v>694</v>
      </c>
      <c r="P2888" s="9" t="s">
        <v>5</v>
      </c>
      <c r="Q2888" s="66">
        <f>+O2877</f>
        <v>0.45454545454545459</v>
      </c>
      <c r="R2888" s="66"/>
      <c r="S2888" s="1" t="s">
        <v>519</v>
      </c>
      <c r="T2888" s="66">
        <f>+R2877</f>
        <v>1.8</v>
      </c>
      <c r="U2888" s="66"/>
      <c r="V2888" s="1" t="s">
        <v>254</v>
      </c>
      <c r="W2888" s="1">
        <v>2</v>
      </c>
      <c r="X2888" s="9" t="s">
        <v>6</v>
      </c>
      <c r="Y2888" s="66">
        <f>+Z2877</f>
        <v>72</v>
      </c>
      <c r="Z2888" s="66"/>
      <c r="AA2888" s="9" t="s">
        <v>5</v>
      </c>
      <c r="AB2888" s="66">
        <f>+AC2877</f>
        <v>0.9</v>
      </c>
      <c r="AC2888" s="66"/>
      <c r="AD2888" s="1" t="s">
        <v>254</v>
      </c>
      <c r="AE2888" s="1">
        <v>2</v>
      </c>
      <c r="AF2888" s="9" t="s">
        <v>9</v>
      </c>
      <c r="AG2888" s="1" t="s">
        <v>313</v>
      </c>
      <c r="AH2888" s="9" t="s">
        <v>7</v>
      </c>
      <c r="AI2888" s="1" t="s">
        <v>313</v>
      </c>
      <c r="AJ2888" s="9" t="s">
        <v>6</v>
      </c>
      <c r="AK2888" s="1" t="s">
        <v>694</v>
      </c>
      <c r="AL2888" s="9" t="s">
        <v>5</v>
      </c>
      <c r="AM2888" s="66">
        <f>+Q2888*T2888^2/W2888</f>
        <v>0.73636363636363644</v>
      </c>
      <c r="AN2888" s="66"/>
      <c r="AO2888" s="9" t="s">
        <v>9</v>
      </c>
      <c r="AP2888" s="66">
        <f>+K2888*T2888^2/W2888-Y2888*AB2888^2/AE2888</f>
        <v>77.759999999999991</v>
      </c>
      <c r="AQ2888" s="66"/>
      <c r="AR2888" s="66"/>
      <c r="CC2888" s="7"/>
    </row>
    <row r="2889" spans="2:81">
      <c r="B2889" s="6"/>
      <c r="F2889" s="1" t="s">
        <v>639</v>
      </c>
      <c r="P2889" s="1" t="s">
        <v>24</v>
      </c>
      <c r="Q2889" s="9" t="s">
        <v>6</v>
      </c>
      <c r="R2889" s="9" t="s">
        <v>694</v>
      </c>
      <c r="S2889" s="9" t="s">
        <v>5</v>
      </c>
      <c r="T2889" s="66">
        <f>+AM2887</f>
        <v>0.73636363636363644</v>
      </c>
      <c r="U2889" s="66"/>
      <c r="V2889" s="9" t="s">
        <v>9</v>
      </c>
      <c r="W2889" s="66">
        <f>+AP2887</f>
        <v>68.039999999999992</v>
      </c>
      <c r="X2889" s="66"/>
      <c r="Y2889" s="66"/>
      <c r="Z2889" s="9" t="s">
        <v>7</v>
      </c>
      <c r="AA2889" s="1" t="s">
        <v>313</v>
      </c>
      <c r="AB2889" s="9" t="s">
        <v>6</v>
      </c>
      <c r="AC2889" s="1" t="s">
        <v>694</v>
      </c>
      <c r="AD2889" s="9" t="s">
        <v>5</v>
      </c>
      <c r="AE2889" s="66">
        <f>+AM2888</f>
        <v>0.73636363636363644</v>
      </c>
      <c r="AF2889" s="66"/>
      <c r="AG2889" s="9" t="s">
        <v>9</v>
      </c>
      <c r="AH2889" s="66">
        <f>+AP2888</f>
        <v>77.759999999999991</v>
      </c>
      <c r="AI2889" s="66"/>
      <c r="AJ2889" s="66"/>
      <c r="AM2889" s="58" t="s">
        <v>24</v>
      </c>
      <c r="AN2889" s="48" t="s">
        <v>6</v>
      </c>
      <c r="AO2889" s="49" t="s">
        <v>313</v>
      </c>
      <c r="AP2889" s="48" t="s">
        <v>9</v>
      </c>
      <c r="AQ2889" s="68">
        <f>+W2889-AH2889</f>
        <v>-9.7199999999999989</v>
      </c>
      <c r="AR2889" s="68"/>
      <c r="AS2889" s="68"/>
      <c r="AT2889" s="48" t="s">
        <v>7</v>
      </c>
      <c r="AU2889" s="59">
        <v>0</v>
      </c>
      <c r="AW2889" s="1" t="s">
        <v>456</v>
      </c>
      <c r="CC2889" s="7"/>
    </row>
    <row r="2890" spans="2:81">
      <c r="B2890" s="6"/>
      <c r="F2890" s="1" t="s">
        <v>741</v>
      </c>
      <c r="CC2890" s="7"/>
    </row>
    <row r="2891" spans="2:81">
      <c r="B2891" s="6"/>
      <c r="F2891" s="1" t="s">
        <v>742</v>
      </c>
      <c r="J2891" s="9" t="s">
        <v>518</v>
      </c>
      <c r="K2891" s="66">
        <f>+I2874</f>
        <v>66</v>
      </c>
      <c r="L2891" s="66"/>
      <c r="M2891" s="66"/>
      <c r="N2891" s="9" t="s">
        <v>6</v>
      </c>
      <c r="O2891" s="9" t="s">
        <v>694</v>
      </c>
      <c r="P2891" s="9" t="s">
        <v>5</v>
      </c>
      <c r="Q2891" s="66">
        <f>+O2874</f>
        <v>0.45454545454545459</v>
      </c>
      <c r="R2891" s="66"/>
      <c r="S2891" s="1" t="s">
        <v>519</v>
      </c>
      <c r="T2891" s="66">
        <f>+P2864</f>
        <v>1.8</v>
      </c>
      <c r="U2891" s="66"/>
      <c r="V2891" s="1" t="s">
        <v>321</v>
      </c>
      <c r="W2891" s="1">
        <v>6</v>
      </c>
      <c r="X2891" s="9" t="s">
        <v>6</v>
      </c>
      <c r="Y2891" s="66">
        <f>+V2874</f>
        <v>40</v>
      </c>
      <c r="Z2891" s="66"/>
      <c r="AA2891" s="9" t="s">
        <v>5</v>
      </c>
      <c r="AB2891" s="66">
        <f>+T2891</f>
        <v>1.8</v>
      </c>
      <c r="AC2891" s="66"/>
      <c r="AD2891" s="1" t="s">
        <v>403</v>
      </c>
      <c r="AE2891" s="66">
        <v>24</v>
      </c>
      <c r="AF2891" s="66"/>
      <c r="AG2891" s="9" t="s">
        <v>9</v>
      </c>
      <c r="AH2891" s="1" t="s">
        <v>24</v>
      </c>
      <c r="AI2891" s="9" t="s">
        <v>5</v>
      </c>
      <c r="AJ2891" s="66">
        <f>+AB2891</f>
        <v>1.8</v>
      </c>
      <c r="AK2891" s="66"/>
      <c r="AL2891" s="9" t="s">
        <v>7</v>
      </c>
      <c r="AM2891" s="1" t="s">
        <v>24</v>
      </c>
      <c r="AN2891" s="9" t="s">
        <v>5</v>
      </c>
      <c r="AO2891" s="66">
        <f>+AJ2891</f>
        <v>1.8</v>
      </c>
      <c r="AP2891" s="66"/>
      <c r="AQ2891" s="9" t="s">
        <v>6</v>
      </c>
      <c r="AR2891" s="9" t="s">
        <v>694</v>
      </c>
      <c r="AS2891" s="9" t="s">
        <v>5</v>
      </c>
      <c r="AT2891" s="66">
        <f>Q2891*T2891^3/W2891</f>
        <v>0.44181818181818189</v>
      </c>
      <c r="AU2891" s="66"/>
      <c r="AV2891" s="9" t="s">
        <v>9</v>
      </c>
      <c r="AW2891" s="66">
        <f>+K2891*T2891^3/W2891-Y2891*AB2891^4/AE2891</f>
        <v>46.655999999999992</v>
      </c>
      <c r="AX2891" s="66"/>
      <c r="AY2891" s="66"/>
      <c r="CC2891" s="7"/>
    </row>
    <row r="2892" spans="2:81">
      <c r="B2892" s="6"/>
      <c r="F2892" s="1" t="s">
        <v>35</v>
      </c>
      <c r="H2892" s="1" t="s">
        <v>24</v>
      </c>
      <c r="I2892" s="9" t="s">
        <v>5</v>
      </c>
      <c r="J2892" s="66">
        <f>+AO2891</f>
        <v>1.8</v>
      </c>
      <c r="K2892" s="66"/>
      <c r="L2892" s="9" t="s">
        <v>6</v>
      </c>
      <c r="M2892" s="9" t="s">
        <v>694</v>
      </c>
      <c r="N2892" s="9" t="s">
        <v>5</v>
      </c>
      <c r="O2892" s="66">
        <f>+AT2891</f>
        <v>0.44181818181818189</v>
      </c>
      <c r="P2892" s="66"/>
      <c r="Q2892" s="9" t="s">
        <v>9</v>
      </c>
      <c r="R2892" s="66">
        <f>+AW2891</f>
        <v>46.655999999999992</v>
      </c>
      <c r="S2892" s="66"/>
      <c r="T2892" s="66"/>
      <c r="U2892" s="9" t="s">
        <v>255</v>
      </c>
      <c r="V2892" s="1" t="s">
        <v>710</v>
      </c>
      <c r="W2892" s="9" t="s">
        <v>5</v>
      </c>
      <c r="X2892" s="10" t="s">
        <v>687</v>
      </c>
      <c r="Y2892" s="1" t="s">
        <v>40</v>
      </c>
      <c r="CC2892" s="7"/>
    </row>
    <row r="2893" spans="2:81">
      <c r="B2893" s="6"/>
      <c r="F2893" s="1" t="s">
        <v>743</v>
      </c>
      <c r="CC2893" s="7"/>
    </row>
    <row r="2894" spans="2:81">
      <c r="B2894" s="6"/>
      <c r="F2894" s="10" t="s">
        <v>744</v>
      </c>
      <c r="N2894" s="1" t="s">
        <v>24</v>
      </c>
      <c r="O2894" s="9" t="s">
        <v>5</v>
      </c>
      <c r="P2894" s="66">
        <f>+J2892</f>
        <v>1.8</v>
      </c>
      <c r="Q2894" s="66"/>
      <c r="R2894" s="9" t="s">
        <v>6</v>
      </c>
      <c r="S2894" s="9" t="s">
        <v>694</v>
      </c>
      <c r="T2894" s="9" t="s">
        <v>5</v>
      </c>
      <c r="U2894" s="66">
        <f>+O2892</f>
        <v>0.44181818181818189</v>
      </c>
      <c r="V2894" s="66"/>
      <c r="W2894" s="9" t="s">
        <v>9</v>
      </c>
      <c r="X2894" s="66">
        <f>+R2892</f>
        <v>46.655999999999992</v>
      </c>
      <c r="Y2894" s="66"/>
      <c r="Z2894" s="66"/>
      <c r="AA2894" s="9" t="s">
        <v>255</v>
      </c>
      <c r="AB2894" s="1" t="s">
        <v>710</v>
      </c>
      <c r="AC2894" s="9" t="s">
        <v>5</v>
      </c>
      <c r="AD2894" s="10" t="s">
        <v>687</v>
      </c>
      <c r="AE2894" s="1" t="s">
        <v>40</v>
      </c>
      <c r="CC2894" s="7"/>
    </row>
    <row r="2895" spans="2:81">
      <c r="B2895" s="6"/>
      <c r="F2895" s="9" t="s">
        <v>694</v>
      </c>
      <c r="G2895" s="9" t="s">
        <v>5</v>
      </c>
      <c r="H2895" s="66">
        <f>+AF2844</f>
        <v>2.25</v>
      </c>
      <c r="I2895" s="66"/>
      <c r="J2895" s="1" t="s">
        <v>173</v>
      </c>
      <c r="K2895" s="66">
        <f>+AK2844/10000</f>
        <v>1.5599999999999999E-2</v>
      </c>
      <c r="L2895" s="66"/>
      <c r="M2895" s="66"/>
      <c r="N2895" s="9" t="s">
        <v>7</v>
      </c>
      <c r="O2895" s="9" t="s">
        <v>518</v>
      </c>
      <c r="P2895" s="1" t="s">
        <v>24</v>
      </c>
      <c r="Q2895" s="9" t="s">
        <v>5</v>
      </c>
      <c r="R2895" s="66">
        <f>+P2894</f>
        <v>1.8</v>
      </c>
      <c r="S2895" s="66"/>
      <c r="T2895" s="9" t="s">
        <v>6</v>
      </c>
      <c r="U2895" s="9" t="s">
        <v>694</v>
      </c>
      <c r="V2895" s="9" t="s">
        <v>5</v>
      </c>
      <c r="W2895" s="66">
        <f>+U2894</f>
        <v>0.44181818181818189</v>
      </c>
      <c r="X2895" s="66"/>
      <c r="Y2895" s="9" t="s">
        <v>9</v>
      </c>
      <c r="Z2895" s="66">
        <f>+X2894</f>
        <v>46.655999999999992</v>
      </c>
      <c r="AA2895" s="66"/>
      <c r="AB2895" s="66"/>
      <c r="AC2895" s="1" t="s">
        <v>255</v>
      </c>
      <c r="AD2895" s="66">
        <f>+AK2846</f>
        <v>92080</v>
      </c>
      <c r="AE2895" s="66"/>
      <c r="AF2895" s="66"/>
      <c r="AG2895" s="1" t="s">
        <v>173</v>
      </c>
      <c r="AH2895" s="66">
        <v>100000000</v>
      </c>
      <c r="AI2895" s="66"/>
      <c r="AJ2895" s="66"/>
      <c r="AK2895" s="66"/>
      <c r="AL2895" s="1" t="s">
        <v>40</v>
      </c>
      <c r="CC2895" s="7"/>
    </row>
    <row r="2896" spans="2:81">
      <c r="B2896" s="6"/>
      <c r="F2896" s="9" t="s">
        <v>694</v>
      </c>
      <c r="G2896" s="9" t="s">
        <v>5</v>
      </c>
      <c r="H2896" s="66">
        <f>+H2895/K2895</f>
        <v>144.23076923076923</v>
      </c>
      <c r="I2896" s="66"/>
      <c r="J2896" s="66"/>
      <c r="K2896" s="9" t="s">
        <v>7</v>
      </c>
      <c r="L2896" s="1" t="s">
        <v>24</v>
      </c>
      <c r="M2896" s="9" t="s">
        <v>5</v>
      </c>
      <c r="N2896" s="66">
        <f>+R2895/(AD2895/AH2895)</f>
        <v>1954.8218940052127</v>
      </c>
      <c r="O2896" s="66"/>
      <c r="P2896" s="66"/>
      <c r="Q2896" s="9" t="s">
        <v>6</v>
      </c>
      <c r="R2896" s="9" t="s">
        <v>694</v>
      </c>
      <c r="S2896" s="9" t="s">
        <v>5</v>
      </c>
      <c r="T2896" s="66">
        <f>+W2895/(AD2895/AH2895)</f>
        <v>479.81991943764319</v>
      </c>
      <c r="U2896" s="66"/>
      <c r="V2896" s="66"/>
      <c r="W2896" s="9" t="s">
        <v>9</v>
      </c>
      <c r="X2896" s="66">
        <f>+Z2895/(AD2895/AH2895)</f>
        <v>50668.983492615109</v>
      </c>
      <c r="Y2896" s="66"/>
      <c r="Z2896" s="66"/>
      <c r="CC2896" s="7"/>
    </row>
    <row r="2897" spans="2:81">
      <c r="B2897" s="6"/>
      <c r="F2897" s="58" t="s">
        <v>24</v>
      </c>
      <c r="G2897" s="48" t="s">
        <v>5</v>
      </c>
      <c r="H2897" s="68">
        <f>+N2896</f>
        <v>1954.8218940052127</v>
      </c>
      <c r="I2897" s="68"/>
      <c r="J2897" s="68"/>
      <c r="K2897" s="48" t="s">
        <v>6</v>
      </c>
      <c r="L2897" s="48" t="s">
        <v>694</v>
      </c>
      <c r="M2897" s="48" t="s">
        <v>5</v>
      </c>
      <c r="N2897" s="68">
        <f>+T2896+H2896</f>
        <v>624.05068866841248</v>
      </c>
      <c r="O2897" s="68"/>
      <c r="P2897" s="68"/>
      <c r="Q2897" s="48" t="s">
        <v>9</v>
      </c>
      <c r="R2897" s="68">
        <f>+X2896</f>
        <v>50668.983492615109</v>
      </c>
      <c r="S2897" s="68"/>
      <c r="T2897" s="68"/>
      <c r="U2897" s="48" t="s">
        <v>7</v>
      </c>
      <c r="V2897" s="59">
        <v>0</v>
      </c>
      <c r="X2897" s="1" t="s">
        <v>459</v>
      </c>
      <c r="CC2897" s="7"/>
    </row>
    <row r="2898" spans="2:81">
      <c r="B2898" s="6"/>
      <c r="F2898" s="24" t="s">
        <v>515</v>
      </c>
      <c r="G2898" s="9"/>
      <c r="H2898" s="9"/>
      <c r="I2898" s="9"/>
      <c r="J2898" s="9"/>
      <c r="CC2898" s="7"/>
    </row>
    <row r="2899" spans="2:81">
      <c r="B2899" s="6"/>
      <c r="F2899" s="1" t="s">
        <v>32</v>
      </c>
      <c r="H2899" s="66">
        <f>+V2899</f>
        <v>6.4264862962512339</v>
      </c>
      <c r="I2899" s="66"/>
      <c r="J2899" s="66"/>
      <c r="K2899" s="2"/>
      <c r="L2899" s="40">
        <v>0</v>
      </c>
      <c r="M2899" s="40">
        <f>+T2883</f>
        <v>1.5</v>
      </c>
      <c r="N2899" s="40">
        <v>1</v>
      </c>
      <c r="O2899" s="40">
        <f>+N2883</f>
        <v>-2.16</v>
      </c>
      <c r="P2899" s="40">
        <f>-Y2883</f>
        <v>-220.98149999999995</v>
      </c>
      <c r="Q2899" s="40"/>
      <c r="R2899" s="40" cm="1">
        <f t="array" ref="R2899:U2902">MINVERSE(L2899:O2902)</f>
        <v>-0.28850524045087739</v>
      </c>
      <c r="S2899" s="40">
        <v>-0.28850524045087739</v>
      </c>
      <c r="T2899" s="40">
        <v>-0.43275786067631605</v>
      </c>
      <c r="U2899" s="40">
        <v>9.9859086880203004E-4</v>
      </c>
      <c r="V2899" s="40" cm="1">
        <f t="array" ref="V2899:V2902">MMULT(R2899:U2902,P2899:P2902)</f>
        <v>6.4264862962512339</v>
      </c>
      <c r="W2899" s="2"/>
      <c r="X2899" s="2"/>
      <c r="Y2899" s="2"/>
      <c r="Z2899" s="2"/>
      <c r="AA2899" s="2"/>
      <c r="AB2899" s="2"/>
      <c r="CC2899" s="7"/>
    </row>
    <row r="2900" spans="2:81">
      <c r="B2900" s="6"/>
      <c r="F2900" s="1" t="s">
        <v>354</v>
      </c>
      <c r="H2900" s="66">
        <f t="shared" ref="H2900:H2902" si="16">+V2900</f>
        <v>-3.293513703748765</v>
      </c>
      <c r="I2900" s="66"/>
      <c r="J2900" s="66"/>
      <c r="K2900" s="2"/>
      <c r="L2900" s="40">
        <f>+AR2886</f>
        <v>1.8</v>
      </c>
      <c r="M2900" s="40">
        <v>0</v>
      </c>
      <c r="N2900" s="40">
        <v>-1</v>
      </c>
      <c r="O2900" s="40">
        <v>0</v>
      </c>
      <c r="P2900" s="40">
        <f>-AW2886</f>
        <v>8.7480000000000047</v>
      </c>
      <c r="Q2900" s="40"/>
      <c r="R2900" s="40">
        <v>-0.28850524045087739</v>
      </c>
      <c r="S2900" s="40">
        <v>-0.28850524045087739</v>
      </c>
      <c r="T2900" s="40">
        <v>-1.4327578606763158</v>
      </c>
      <c r="U2900" s="40">
        <v>9.9859086880203004E-4</v>
      </c>
      <c r="V2900" s="40">
        <v>-3.293513703748765</v>
      </c>
      <c r="W2900" s="2"/>
      <c r="X2900" s="2"/>
      <c r="Y2900" s="2"/>
      <c r="Z2900" s="2"/>
      <c r="AA2900" s="2"/>
      <c r="AB2900" s="2"/>
      <c r="CC2900" s="7"/>
    </row>
    <row r="2901" spans="2:81">
      <c r="B2901" s="6"/>
      <c r="F2901" s="1" t="s">
        <v>355</v>
      </c>
      <c r="H2901" s="66">
        <f t="shared" si="16"/>
        <v>2.8196753332522349</v>
      </c>
      <c r="I2901" s="66"/>
      <c r="J2901" s="66"/>
      <c r="K2901" s="2"/>
      <c r="L2901" s="40">
        <v>1</v>
      </c>
      <c r="M2901" s="40">
        <v>-1</v>
      </c>
      <c r="N2901" s="40">
        <v>0</v>
      </c>
      <c r="O2901" s="40">
        <v>0</v>
      </c>
      <c r="P2901" s="40">
        <f>-AQ2889</f>
        <v>9.7199999999999989</v>
      </c>
      <c r="Q2901" s="40"/>
      <c r="R2901" s="40">
        <v>-0.51930943281157937</v>
      </c>
      <c r="S2901" s="40">
        <v>-1.5193094328115793</v>
      </c>
      <c r="T2901" s="40">
        <v>-0.77896414921736901</v>
      </c>
      <c r="U2901" s="40">
        <v>1.7974635638436541E-3</v>
      </c>
      <c r="V2901" s="40">
        <v>2.8196753332522349</v>
      </c>
      <c r="W2901" s="2"/>
      <c r="X2901" s="2"/>
      <c r="Y2901" s="2"/>
      <c r="Z2901" s="2"/>
      <c r="AA2901" s="2"/>
      <c r="AB2901" s="2"/>
      <c r="CC2901" s="7"/>
    </row>
    <row r="2902" spans="2:81">
      <c r="B2902" s="6"/>
      <c r="F2902" s="1" t="s">
        <v>711</v>
      </c>
      <c r="H2902" s="66">
        <f t="shared" si="16"/>
        <v>101.32449295260604</v>
      </c>
      <c r="I2902" s="66"/>
      <c r="J2902" s="66"/>
      <c r="K2902" s="2"/>
      <c r="L2902" s="40">
        <f>+H2897</f>
        <v>1954.8218940052127</v>
      </c>
      <c r="M2902" s="40">
        <v>0</v>
      </c>
      <c r="N2902" s="40">
        <v>0</v>
      </c>
      <c r="O2902" s="40">
        <f>-N2897</f>
        <v>-624.05068866841248</v>
      </c>
      <c r="P2902" s="40">
        <f>-R2897</f>
        <v>-50668.983492615109</v>
      </c>
      <c r="Q2902" s="40"/>
      <c r="R2902" s="40">
        <v>-0.90373485809624776</v>
      </c>
      <c r="S2902" s="40">
        <v>-0.90373485809624776</v>
      </c>
      <c r="T2902" s="40">
        <v>-1.3556022871443716</v>
      </c>
      <c r="U2902" s="40">
        <v>1.5256249384475457E-3</v>
      </c>
      <c r="V2902" s="40">
        <v>101.32449295260604</v>
      </c>
      <c r="W2902" s="2"/>
      <c r="X2902" s="2"/>
      <c r="Y2902" s="2"/>
      <c r="Z2902" s="2"/>
      <c r="AA2902" s="2"/>
      <c r="AB2902" s="2"/>
      <c r="CC2902" s="7"/>
    </row>
    <row r="2903" spans="2:81">
      <c r="B2903" s="6"/>
      <c r="F2903" s="24" t="s">
        <v>757</v>
      </c>
      <c r="CC2903" s="7"/>
    </row>
    <row r="2904" spans="2:81">
      <c r="B2904" s="6"/>
      <c r="F2904" s="1" t="s">
        <v>742</v>
      </c>
      <c r="J2904" s="9" t="s">
        <v>518</v>
      </c>
      <c r="K2904" s="66">
        <f>+I2874</f>
        <v>66</v>
      </c>
      <c r="L2904" s="66"/>
      <c r="M2904" s="66"/>
      <c r="N2904" s="9" t="s">
        <v>6</v>
      </c>
      <c r="O2904" s="9" t="s">
        <v>694</v>
      </c>
      <c r="P2904" s="9" t="s">
        <v>5</v>
      </c>
      <c r="Q2904" s="66">
        <f>+O2874</f>
        <v>0.45454545454545459</v>
      </c>
      <c r="R2904" s="66"/>
      <c r="S2904" s="1" t="s">
        <v>519</v>
      </c>
      <c r="T2904" s="9" t="s">
        <v>184</v>
      </c>
      <c r="U2904" s="1" t="s">
        <v>173</v>
      </c>
      <c r="V2904" s="1">
        <v>6</v>
      </c>
      <c r="W2904" s="9" t="s">
        <v>6</v>
      </c>
      <c r="X2904" s="66">
        <f>+V2874</f>
        <v>40</v>
      </c>
      <c r="Y2904" s="66"/>
      <c r="Z2904" s="9" t="s">
        <v>5</v>
      </c>
      <c r="AA2904" s="1" t="s">
        <v>185</v>
      </c>
      <c r="AB2904" s="1" t="s">
        <v>173</v>
      </c>
      <c r="AC2904" s="66">
        <v>24</v>
      </c>
      <c r="AD2904" s="66"/>
      <c r="AE2904" s="9" t="s">
        <v>9</v>
      </c>
      <c r="AF2904" s="1" t="s">
        <v>24</v>
      </c>
      <c r="AG2904" s="9" t="s">
        <v>5</v>
      </c>
      <c r="AH2904" s="9" t="s">
        <v>13</v>
      </c>
      <c r="AI2904" s="9" t="s">
        <v>9</v>
      </c>
      <c r="AJ2904" s="1" t="s">
        <v>307</v>
      </c>
      <c r="CC2904" s="7"/>
    </row>
    <row r="2905" spans="2:81">
      <c r="B2905" s="6"/>
      <c r="F2905" s="24" t="s">
        <v>758</v>
      </c>
      <c r="J2905" s="9"/>
      <c r="K2905" s="9"/>
      <c r="L2905" s="9"/>
      <c r="M2905" s="9"/>
      <c r="N2905" s="9"/>
      <c r="P2905" s="9"/>
      <c r="Q2905" s="9"/>
      <c r="R2905" s="9"/>
      <c r="T2905" s="9"/>
      <c r="W2905" s="9"/>
      <c r="X2905" s="9"/>
      <c r="Y2905" s="9"/>
      <c r="Z2905" s="9"/>
      <c r="AC2905" s="9"/>
      <c r="AD2905" s="9"/>
      <c r="AE2905" s="9"/>
      <c r="AG2905" s="9"/>
      <c r="AH2905" s="9"/>
      <c r="AI2905" s="9"/>
      <c r="CC2905" s="7"/>
    </row>
    <row r="2906" spans="2:81">
      <c r="B2906" s="6"/>
      <c r="F2906" s="1" t="s">
        <v>27</v>
      </c>
      <c r="G2906" s="67">
        <v>1.75</v>
      </c>
      <c r="H2906" s="67"/>
      <c r="I2906" s="67"/>
      <c r="J2906" s="1" t="s">
        <v>42</v>
      </c>
      <c r="S2906" s="8"/>
      <c r="T2906" s="8" t="str">
        <f>IF(G2906&lt;=P2864,"","azalt.")</f>
        <v/>
      </c>
      <c r="X2906" s="24"/>
      <c r="AC2906" s="9"/>
      <c r="AD2906" s="9"/>
      <c r="AE2906" s="9"/>
      <c r="AG2906" s="9"/>
      <c r="AH2906" s="9"/>
      <c r="AI2906" s="9"/>
      <c r="CC2906" s="7"/>
    </row>
    <row r="2907" spans="2:81">
      <c r="B2907" s="6"/>
      <c r="F2907" s="1" t="s">
        <v>35</v>
      </c>
      <c r="H2907" s="66">
        <f>+K2904</f>
        <v>66</v>
      </c>
      <c r="I2907" s="66"/>
      <c r="J2907" s="66"/>
      <c r="K2907" s="9" t="s">
        <v>6</v>
      </c>
      <c r="L2907" s="66">
        <f>+H2902</f>
        <v>101.32449295260604</v>
      </c>
      <c r="M2907" s="66"/>
      <c r="N2907" s="66"/>
      <c r="O2907" s="9" t="s">
        <v>5</v>
      </c>
      <c r="P2907" s="66">
        <f>+Q2904</f>
        <v>0.45454545454545459</v>
      </c>
      <c r="Q2907" s="66"/>
      <c r="R2907" s="1" t="s">
        <v>519</v>
      </c>
      <c r="S2907" s="66">
        <f>+G2906</f>
        <v>1.75</v>
      </c>
      <c r="T2907" s="66"/>
      <c r="U2907" s="1" t="s">
        <v>321</v>
      </c>
      <c r="V2907" s="1">
        <v>6</v>
      </c>
      <c r="W2907" s="9" t="s">
        <v>6</v>
      </c>
      <c r="X2907" s="66">
        <f>+X2904</f>
        <v>40</v>
      </c>
      <c r="Y2907" s="66"/>
      <c r="Z2907" s="9" t="s">
        <v>5</v>
      </c>
      <c r="AA2907" s="66">
        <f>+S2907</f>
        <v>1.75</v>
      </c>
      <c r="AB2907" s="66"/>
      <c r="AC2907" s="1" t="s">
        <v>403</v>
      </c>
      <c r="AD2907" s="66">
        <v>24</v>
      </c>
      <c r="AE2907" s="66"/>
      <c r="AF2907" s="9" t="s">
        <v>9</v>
      </c>
      <c r="AG2907" s="66">
        <f>+H2899</f>
        <v>6.4264862962512339</v>
      </c>
      <c r="AH2907" s="66"/>
      <c r="AI2907" s="66"/>
      <c r="AJ2907" s="9" t="s">
        <v>5</v>
      </c>
      <c r="AK2907" s="66">
        <f>+AA2907</f>
        <v>1.75</v>
      </c>
      <c r="AL2907" s="66"/>
      <c r="AM2907" s="1" t="s">
        <v>746</v>
      </c>
      <c r="AP2907" s="66">
        <f>+AK2848</f>
        <v>200000</v>
      </c>
      <c r="AQ2907" s="66"/>
      <c r="AR2907" s="66"/>
      <c r="AS2907" s="9" t="s">
        <v>5</v>
      </c>
      <c r="AT2907" s="66">
        <f>+AK2846</f>
        <v>92080</v>
      </c>
      <c r="AU2907" s="66"/>
      <c r="AV2907" s="66"/>
      <c r="AW2907" s="1" t="s">
        <v>40</v>
      </c>
      <c r="CC2907" s="7"/>
    </row>
    <row r="2908" spans="2:81">
      <c r="B2908" s="6"/>
      <c r="F2908" s="1" t="s">
        <v>33</v>
      </c>
      <c r="H2908" s="66">
        <f>((H2907-L2907*P2907)*S2907^3/V2907-X2907*AA2907^4/AD2907+AG2907*AK2907)*100000000/(AP2907*AT2907)</f>
        <v>7.2919625031893601E-2</v>
      </c>
      <c r="I2908" s="66"/>
      <c r="J2908" s="66"/>
      <c r="K2908" s="1" t="s">
        <v>41</v>
      </c>
      <c r="CC2908" s="7"/>
    </row>
    <row r="2909" spans="2:81">
      <c r="B2909" s="6"/>
      <c r="F2909" s="1" t="s">
        <v>172</v>
      </c>
      <c r="K2909" s="66">
        <f>R2855*1000</f>
        <v>3300</v>
      </c>
      <c r="L2909" s="66"/>
      <c r="M2909" s="66"/>
      <c r="N2909" s="1" t="s">
        <v>173</v>
      </c>
      <c r="O2909" s="66">
        <v>300</v>
      </c>
      <c r="P2909" s="66"/>
      <c r="Q2909" s="9" t="s">
        <v>7</v>
      </c>
      <c r="R2909" s="66">
        <f>+K2909/O2909</f>
        <v>11</v>
      </c>
      <c r="S2909" s="66"/>
      <c r="T2909" s="66"/>
      <c r="U2909" s="1" t="s">
        <v>41</v>
      </c>
      <c r="X2909" s="1" t="s">
        <v>192</v>
      </c>
      <c r="CC2909" s="7"/>
    </row>
    <row r="2910" spans="2:81">
      <c r="B2910" s="6"/>
      <c r="F2910" s="1" t="s">
        <v>33</v>
      </c>
      <c r="H2910" s="66">
        <f>+H2908</f>
        <v>7.2919625031893601E-2</v>
      </c>
      <c r="I2910" s="66"/>
      <c r="J2910" s="66"/>
      <c r="K2910" s="1" t="s">
        <v>41</v>
      </c>
      <c r="M2910" s="1" t="str">
        <f>IF(ABS(H2910)&lt;ABS(Q2910),"&lt;","&gt;")</f>
        <v>&lt;</v>
      </c>
      <c r="N2910" s="1" t="s">
        <v>174</v>
      </c>
      <c r="Q2910" s="66">
        <f>+R2909</f>
        <v>11</v>
      </c>
      <c r="R2910" s="66"/>
      <c r="S2910" s="66"/>
      <c r="T2910" s="1" t="s">
        <v>41</v>
      </c>
      <c r="V2910" s="8" t="str">
        <f>IF(ABS(H2910)&lt;ABS(Q2910),"uygun.","uygun değil.")</f>
        <v>uygun.</v>
      </c>
      <c r="CC2910" s="7"/>
    </row>
    <row r="2911" spans="2:81">
      <c r="B2911" s="6"/>
      <c r="F2911" s="24" t="s">
        <v>759</v>
      </c>
      <c r="J2911" s="9"/>
      <c r="K2911" s="9"/>
      <c r="L2911" s="9"/>
      <c r="M2911" s="9"/>
      <c r="N2911" s="9"/>
      <c r="P2911" s="9"/>
      <c r="Q2911" s="9"/>
      <c r="R2911" s="9"/>
      <c r="T2911" s="9"/>
      <c r="W2911" s="9"/>
      <c r="X2911" s="9"/>
      <c r="Y2911" s="9"/>
      <c r="Z2911" s="9"/>
      <c r="AC2911" s="9"/>
      <c r="AD2911" s="9"/>
      <c r="AE2911" s="9"/>
      <c r="AG2911" s="9"/>
      <c r="AH2911" s="9"/>
      <c r="AI2911" s="9"/>
      <c r="CC2911" s="7"/>
    </row>
    <row r="2912" spans="2:81">
      <c r="B2912" s="6"/>
      <c r="F2912" s="1" t="s">
        <v>742</v>
      </c>
      <c r="J2912" s="9" t="s">
        <v>518</v>
      </c>
      <c r="K2912" s="66">
        <f>+I2878</f>
        <v>66</v>
      </c>
      <c r="L2912" s="66"/>
      <c r="M2912" s="66"/>
      <c r="N2912" s="9" t="s">
        <v>6</v>
      </c>
      <c r="O2912" s="9" t="s">
        <v>694</v>
      </c>
      <c r="P2912" s="9" t="s">
        <v>5</v>
      </c>
      <c r="Q2912" s="66">
        <f>+O2878</f>
        <v>0.45454545454545459</v>
      </c>
      <c r="R2912" s="66"/>
      <c r="S2912" s="1" t="s">
        <v>216</v>
      </c>
      <c r="T2912" s="66">
        <f>+R2878</f>
        <v>1.8</v>
      </c>
      <c r="U2912" s="66"/>
      <c r="V2912" s="9" t="s">
        <v>9</v>
      </c>
      <c r="W2912" s="9" t="s">
        <v>428</v>
      </c>
      <c r="X2912" s="1" t="s">
        <v>311</v>
      </c>
      <c r="Y2912" s="1" t="s">
        <v>173</v>
      </c>
      <c r="Z2912" s="1">
        <v>6</v>
      </c>
      <c r="AA2912" s="9" t="s">
        <v>6</v>
      </c>
      <c r="AB2912" s="66">
        <f>+Z2878</f>
        <v>72</v>
      </c>
      <c r="AC2912" s="66"/>
      <c r="AD2912" s="1" t="s">
        <v>14</v>
      </c>
      <c r="AE2912" s="66">
        <f>+AC2878</f>
        <v>0.9</v>
      </c>
      <c r="AF2912" s="66"/>
      <c r="AG2912" s="9" t="s">
        <v>9</v>
      </c>
      <c r="AH2912" s="9" t="s">
        <v>428</v>
      </c>
      <c r="AI2912" s="1" t="s">
        <v>311</v>
      </c>
      <c r="AJ2912" s="1" t="s">
        <v>173</v>
      </c>
      <c r="AK2912" s="1">
        <v>6</v>
      </c>
      <c r="AL2912" s="9" t="s">
        <v>9</v>
      </c>
      <c r="AM2912" s="9" t="s">
        <v>694</v>
      </c>
      <c r="AN2912" s="9" t="s">
        <v>5</v>
      </c>
      <c r="AO2912" s="9" t="s">
        <v>444</v>
      </c>
      <c r="AP2912" s="1" t="s">
        <v>173</v>
      </c>
      <c r="AQ2912" s="1">
        <v>6</v>
      </c>
      <c r="AR2912" s="9" t="s">
        <v>6</v>
      </c>
      <c r="AS2912" s="66">
        <f>+AQ2878</f>
        <v>40</v>
      </c>
      <c r="AT2912" s="66"/>
      <c r="AU2912" s="9" t="s">
        <v>5</v>
      </c>
      <c r="AV2912" s="9" t="s">
        <v>445</v>
      </c>
      <c r="AW2912" s="1" t="s">
        <v>173</v>
      </c>
      <c r="AX2912" s="66">
        <v>24</v>
      </c>
      <c r="AY2912" s="66"/>
      <c r="AZ2912" s="9" t="s">
        <v>9</v>
      </c>
      <c r="BA2912" s="1" t="s">
        <v>313</v>
      </c>
      <c r="BB2912" s="9" t="s">
        <v>5</v>
      </c>
      <c r="BC2912" s="9" t="s">
        <v>428</v>
      </c>
      <c r="BD2912" s="9" t="s">
        <v>9</v>
      </c>
      <c r="BE2912" s="1" t="s">
        <v>315</v>
      </c>
      <c r="CC2912" s="7"/>
    </row>
    <row r="2913" spans="2:81">
      <c r="B2913" s="6"/>
      <c r="F2913" s="1" t="s">
        <v>482</v>
      </c>
      <c r="G2913" s="67">
        <v>0.8</v>
      </c>
      <c r="H2913" s="67"/>
      <c r="I2913" s="67"/>
      <c r="J2913" s="1" t="s">
        <v>42</v>
      </c>
      <c r="S2913" s="8"/>
      <c r="T2913" s="8" t="str">
        <f>IF(G2913&lt;=Y2853,"","azalt.")</f>
        <v/>
      </c>
      <c r="X2913" s="24"/>
      <c r="AC2913" s="9"/>
      <c r="AD2913" s="9"/>
      <c r="AE2913" s="9"/>
      <c r="AG2913" s="9"/>
      <c r="AH2913" s="9"/>
      <c r="AI2913" s="9"/>
      <c r="CC2913" s="7"/>
    </row>
    <row r="2914" spans="2:81">
      <c r="B2914" s="6"/>
      <c r="F2914" s="1" t="s">
        <v>760</v>
      </c>
      <c r="H2914" s="66">
        <f>+K2912</f>
        <v>66</v>
      </c>
      <c r="I2914" s="66"/>
      <c r="J2914" s="66"/>
      <c r="K2914" s="9" t="s">
        <v>6</v>
      </c>
      <c r="L2914" s="66">
        <f>+H2902</f>
        <v>101.32449295260604</v>
      </c>
      <c r="M2914" s="66"/>
      <c r="N2914" s="66"/>
      <c r="O2914" s="1" t="s">
        <v>5</v>
      </c>
      <c r="P2914" s="66">
        <f>+O2878</f>
        <v>0.45454545454545459</v>
      </c>
      <c r="Q2914" s="66"/>
      <c r="R2914" s="1" t="s">
        <v>216</v>
      </c>
      <c r="S2914" s="66">
        <f>+T2912</f>
        <v>1.8</v>
      </c>
      <c r="T2914" s="66"/>
      <c r="U2914" s="9" t="s">
        <v>9</v>
      </c>
      <c r="V2914" s="66">
        <f>+G2913</f>
        <v>0.8</v>
      </c>
      <c r="W2914" s="66"/>
      <c r="X2914" s="1" t="s">
        <v>311</v>
      </c>
      <c r="Y2914" s="1" t="s">
        <v>173</v>
      </c>
      <c r="Z2914" s="1">
        <v>6</v>
      </c>
      <c r="AA2914" s="9" t="s">
        <v>6</v>
      </c>
      <c r="AB2914" s="66">
        <f>+AB2912</f>
        <v>72</v>
      </c>
      <c r="AC2914" s="66"/>
      <c r="AD2914" s="1" t="s">
        <v>14</v>
      </c>
      <c r="AE2914" s="66">
        <f>+AE2912</f>
        <v>0.9</v>
      </c>
      <c r="AF2914" s="66"/>
      <c r="AG2914" s="9" t="s">
        <v>9</v>
      </c>
      <c r="AH2914" s="66">
        <f>+V2914</f>
        <v>0.8</v>
      </c>
      <c r="AI2914" s="66"/>
      <c r="AJ2914" s="1" t="s">
        <v>311</v>
      </c>
      <c r="AK2914" s="1" t="s">
        <v>173</v>
      </c>
      <c r="AL2914" s="1">
        <v>6</v>
      </c>
      <c r="AM2914" s="9" t="s">
        <v>9</v>
      </c>
      <c r="AN2914" s="66">
        <f>+L2914</f>
        <v>101.32449295260604</v>
      </c>
      <c r="AO2914" s="66"/>
      <c r="AP2914" s="66"/>
      <c r="AQ2914" s="9" t="s">
        <v>5</v>
      </c>
      <c r="AR2914" s="66">
        <f>+AH2914</f>
        <v>0.8</v>
      </c>
      <c r="AS2914" s="66"/>
      <c r="AT2914" s="1" t="s">
        <v>455</v>
      </c>
      <c r="AU2914" s="1">
        <v>6</v>
      </c>
      <c r="AV2914" s="9" t="s">
        <v>6</v>
      </c>
      <c r="AW2914" s="66">
        <f>+AS2912</f>
        <v>40</v>
      </c>
      <c r="AX2914" s="66"/>
      <c r="AY2914" s="9" t="s">
        <v>5</v>
      </c>
      <c r="AZ2914" s="66">
        <f>+AR2914</f>
        <v>0.8</v>
      </c>
      <c r="BA2914" s="66"/>
      <c r="BB2914" s="1" t="s">
        <v>403</v>
      </c>
      <c r="BC2914" s="66">
        <v>24</v>
      </c>
      <c r="BD2914" s="66"/>
      <c r="BE2914" s="9" t="s">
        <v>9</v>
      </c>
      <c r="BF2914" s="66">
        <f>+H2900</f>
        <v>-3.293513703748765</v>
      </c>
      <c r="BG2914" s="66"/>
      <c r="BH2914" s="66"/>
      <c r="BI2914" s="9" t="s">
        <v>5</v>
      </c>
      <c r="BJ2914" s="66">
        <f>+AZ2914</f>
        <v>0.8</v>
      </c>
      <c r="BK2914" s="66"/>
      <c r="BL2914" s="9" t="s">
        <v>9</v>
      </c>
      <c r="BM2914" s="66">
        <f>+H2901</f>
        <v>2.8196753332522349</v>
      </c>
      <c r="BN2914" s="66"/>
      <c r="BO2914" s="66"/>
      <c r="BP2914" s="1" t="s">
        <v>746</v>
      </c>
      <c r="BS2914" s="66">
        <f>+AP2907</f>
        <v>200000</v>
      </c>
      <c r="BT2914" s="66"/>
      <c r="BU2914" s="66"/>
      <c r="BV2914" s="9" t="s">
        <v>5</v>
      </c>
      <c r="BW2914" s="66">
        <f>+AT2907</f>
        <v>92080</v>
      </c>
      <c r="BX2914" s="66"/>
      <c r="BY2914" s="66"/>
      <c r="BZ2914" s="1" t="s">
        <v>40</v>
      </c>
      <c r="CC2914" s="7"/>
    </row>
    <row r="2915" spans="2:81">
      <c r="B2915" s="6"/>
      <c r="F2915" s="1" t="s">
        <v>33</v>
      </c>
      <c r="H2915" s="66">
        <f>((H2914-L2914*P2914)*(S2914+V2914)^3/Z2914-AB2914*(AE2914+AH2914)^3/AL2914+AN2914*AR2914^3/AU2914-AW2914*AZ2914^4/BC2914+BF2914*BJ2914+BM2914)*100000000/(BS2914*BW2914)</f>
        <v>4.1341533718272913E-2</v>
      </c>
      <c r="I2915" s="66"/>
      <c r="J2915" s="66"/>
      <c r="K2915" s="1" t="s">
        <v>41</v>
      </c>
      <c r="CC2915" s="7"/>
    </row>
    <row r="2916" spans="2:81">
      <c r="B2916" s="6"/>
      <c r="F2916" s="1" t="s">
        <v>172</v>
      </c>
      <c r="K2916" s="66">
        <f>R2855*1000</f>
        <v>3300</v>
      </c>
      <c r="L2916" s="66"/>
      <c r="M2916" s="66"/>
      <c r="N2916" s="1" t="s">
        <v>173</v>
      </c>
      <c r="O2916" s="66">
        <v>300</v>
      </c>
      <c r="P2916" s="66"/>
      <c r="Q2916" s="9" t="s">
        <v>7</v>
      </c>
      <c r="R2916" s="66">
        <f>+K2916/O2916</f>
        <v>11</v>
      </c>
      <c r="S2916" s="66"/>
      <c r="T2916" s="66"/>
      <c r="U2916" s="1" t="s">
        <v>41</v>
      </c>
      <c r="X2916" s="1" t="s">
        <v>192</v>
      </c>
      <c r="CC2916" s="7"/>
    </row>
    <row r="2917" spans="2:81">
      <c r="B2917" s="6"/>
      <c r="F2917" s="1" t="s">
        <v>33</v>
      </c>
      <c r="H2917" s="66">
        <f>+H2915</f>
        <v>4.1341533718272913E-2</v>
      </c>
      <c r="I2917" s="66"/>
      <c r="J2917" s="66"/>
      <c r="K2917" s="1" t="s">
        <v>41</v>
      </c>
      <c r="M2917" s="1" t="str">
        <f>IF(ABS(H2917)&lt;ABS(Q2917),"&lt;","&gt;")</f>
        <v>&lt;</v>
      </c>
      <c r="N2917" s="1" t="s">
        <v>174</v>
      </c>
      <c r="Q2917" s="66">
        <f>+R2916</f>
        <v>11</v>
      </c>
      <c r="R2917" s="66"/>
      <c r="S2917" s="66"/>
      <c r="T2917" s="1" t="s">
        <v>41</v>
      </c>
      <c r="V2917" s="8" t="str">
        <f>IF(ABS(H2917)&lt;ABS(Q2917),"uygun.","uygun değil.")</f>
        <v>uygun.</v>
      </c>
      <c r="CC2917" s="7"/>
    </row>
    <row r="2918" spans="2:81">
      <c r="B2918" s="6"/>
      <c r="F2918" s="1" t="s">
        <v>761</v>
      </c>
      <c r="CC2918" s="7"/>
    </row>
    <row r="2919" spans="2:81">
      <c r="B2919" s="6"/>
      <c r="F2919" s="1" t="s">
        <v>734</v>
      </c>
      <c r="H2919" s="66">
        <f>+T2870</f>
        <v>66</v>
      </c>
      <c r="I2919" s="66"/>
      <c r="J2919" s="66"/>
      <c r="K2919" s="9" t="s">
        <v>6</v>
      </c>
      <c r="L2919" s="9" t="s">
        <v>694</v>
      </c>
      <c r="M2919" s="9" t="s">
        <v>5</v>
      </c>
      <c r="N2919" s="66">
        <f>+Z2870</f>
        <v>0.45454545454545459</v>
      </c>
      <c r="O2919" s="66"/>
      <c r="P2919" s="9" t="s">
        <v>7</v>
      </c>
      <c r="Q2919" s="66">
        <f>+H2919</f>
        <v>66</v>
      </c>
      <c r="R2919" s="66"/>
      <c r="S2919" s="66"/>
      <c r="T2919" s="9" t="s">
        <v>6</v>
      </c>
      <c r="U2919" s="66">
        <f>+H2902</f>
        <v>101.32449295260604</v>
      </c>
      <c r="V2919" s="66"/>
      <c r="W2919" s="66"/>
      <c r="X2919" s="9" t="s">
        <v>5</v>
      </c>
      <c r="Y2919" s="66">
        <f>+N2919</f>
        <v>0.45454545454545459</v>
      </c>
      <c r="Z2919" s="66"/>
      <c r="AA2919" s="9" t="s">
        <v>7</v>
      </c>
      <c r="AB2919" s="66">
        <f>+Q2919-U2919*Y2919</f>
        <v>19.943412294269983</v>
      </c>
      <c r="AC2919" s="66"/>
      <c r="AD2919" s="66"/>
      <c r="AE2919" s="1" t="s">
        <v>0</v>
      </c>
      <c r="CC2919" s="7"/>
    </row>
    <row r="2920" spans="2:81">
      <c r="B2920" s="6"/>
      <c r="F2920" s="1" t="s">
        <v>762</v>
      </c>
      <c r="H2920" s="66">
        <f>+R2855</f>
        <v>3.3</v>
      </c>
      <c r="I2920" s="66"/>
      <c r="J2920" s="9" t="s">
        <v>9</v>
      </c>
      <c r="K2920" s="66">
        <f>+H2902</f>
        <v>101.32449295260604</v>
      </c>
      <c r="L2920" s="66"/>
      <c r="M2920" s="66"/>
      <c r="N2920" s="9" t="s">
        <v>5</v>
      </c>
      <c r="O2920" s="66">
        <f>+P2864</f>
        <v>1.8</v>
      </c>
      <c r="P2920" s="66"/>
      <c r="Q2920" s="9" t="s">
        <v>6</v>
      </c>
      <c r="R2920" s="66">
        <f>+P2858</f>
        <v>40</v>
      </c>
      <c r="S2920" s="66"/>
      <c r="T2920" s="9" t="s">
        <v>5</v>
      </c>
      <c r="U2920" s="66">
        <f>+R2855</f>
        <v>3.3</v>
      </c>
      <c r="V2920" s="66"/>
      <c r="W2920" s="9" t="s">
        <v>5</v>
      </c>
      <c r="X2920" s="66">
        <f>+U2920/2</f>
        <v>1.65</v>
      </c>
      <c r="Y2920" s="66"/>
      <c r="Z2920" s="9" t="s">
        <v>7</v>
      </c>
      <c r="AA2920" s="9">
        <v>0</v>
      </c>
      <c r="CC2920" s="7"/>
    </row>
    <row r="2921" spans="2:81">
      <c r="B2921" s="6"/>
      <c r="F2921" s="1" t="s">
        <v>753</v>
      </c>
      <c r="H2921" s="66">
        <f>(R2920*U2920*X2920-K2920*O2920)/H2920</f>
        <v>10.732094753123974</v>
      </c>
      <c r="I2921" s="66"/>
      <c r="J2921" s="66"/>
      <c r="K2921" s="1" t="s">
        <v>0</v>
      </c>
      <c r="CC2921" s="7"/>
    </row>
    <row r="2922" spans="2:81">
      <c r="B2922" s="6"/>
      <c r="F2922" s="23" t="s">
        <v>222</v>
      </c>
      <c r="G2922" s="9"/>
      <c r="H2922" s="9"/>
      <c r="I2922" s="9"/>
      <c r="CC2922" s="7"/>
    </row>
    <row r="2923" spans="2:81">
      <c r="B2923" s="6"/>
      <c r="F2923" s="24" t="s">
        <v>303</v>
      </c>
      <c r="G2923" s="9"/>
      <c r="H2923" s="9"/>
      <c r="I2923" s="9"/>
      <c r="CC2923" s="7"/>
    </row>
    <row r="2924" spans="2:81">
      <c r="B2924" s="6"/>
      <c r="F2924" s="1" t="s">
        <v>27</v>
      </c>
      <c r="G2924" s="67">
        <v>1</v>
      </c>
      <c r="H2924" s="67"/>
      <c r="I2924" s="67"/>
      <c r="J2924" s="1" t="s">
        <v>213</v>
      </c>
      <c r="K2924" s="9"/>
      <c r="L2924" s="9"/>
      <c r="M2924" s="9"/>
      <c r="P2924" s="9"/>
      <c r="Q2924" s="21"/>
      <c r="S2924" s="9"/>
      <c r="T2924" s="9"/>
      <c r="Y2924" s="8" t="str">
        <f>IF(G2924&lt;=P2864,"","azalt.")</f>
        <v/>
      </c>
      <c r="CC2924" s="7"/>
    </row>
    <row r="2925" spans="2:81">
      <c r="B2925" s="6"/>
      <c r="F2925" s="1" t="s">
        <v>12</v>
      </c>
      <c r="H2925" s="9" t="s">
        <v>518</v>
      </c>
      <c r="I2925" s="66">
        <f>+I2872</f>
        <v>66</v>
      </c>
      <c r="J2925" s="66"/>
      <c r="K2925" s="66"/>
      <c r="L2925" s="9" t="s">
        <v>6</v>
      </c>
      <c r="M2925" s="66">
        <f>+H2902</f>
        <v>101.32449295260604</v>
      </c>
      <c r="N2925" s="66"/>
      <c r="O2925" s="66"/>
      <c r="P2925" s="9" t="s">
        <v>5</v>
      </c>
      <c r="Q2925" s="66">
        <f>+O2872</f>
        <v>0.45454545454545459</v>
      </c>
      <c r="R2925" s="66"/>
      <c r="S2925" s="1" t="s">
        <v>519</v>
      </c>
      <c r="T2925" s="66">
        <f>+G2924</f>
        <v>1</v>
      </c>
      <c r="U2925" s="66"/>
      <c r="V2925" s="66"/>
      <c r="W2925" s="9" t="s">
        <v>6</v>
      </c>
      <c r="X2925" s="66">
        <f>+T2872</f>
        <v>40</v>
      </c>
      <c r="Y2925" s="66"/>
      <c r="Z2925" s="9" t="s">
        <v>5</v>
      </c>
      <c r="AA2925" s="66">
        <f>+G2924</f>
        <v>1</v>
      </c>
      <c r="AB2925" s="66"/>
      <c r="AC2925" s="1" t="s">
        <v>254</v>
      </c>
      <c r="AD2925" s="1">
        <v>2</v>
      </c>
      <c r="AE2925" s="9" t="s">
        <v>7</v>
      </c>
      <c r="AF2925" s="66">
        <f>(I2925-M2925*Q2925)*T2925-X2925*AA2925^2/AD2925</f>
        <v>-5.6587705730017035E-2</v>
      </c>
      <c r="AG2925" s="66"/>
      <c r="AH2925" s="66"/>
      <c r="AI2925" s="1" t="s">
        <v>191</v>
      </c>
      <c r="CC2925" s="7"/>
    </row>
    <row r="2926" spans="2:81">
      <c r="B2926" s="6"/>
      <c r="F2926" s="1" t="s">
        <v>220</v>
      </c>
      <c r="H2926" s="66">
        <f>+I2925</f>
        <v>66</v>
      </c>
      <c r="I2926" s="66"/>
      <c r="J2926" s="66"/>
      <c r="K2926" s="9" t="s">
        <v>6</v>
      </c>
      <c r="L2926" s="66">
        <f>+M2925</f>
        <v>101.32449295260604</v>
      </c>
      <c r="M2926" s="66"/>
      <c r="N2926" s="66"/>
      <c r="O2926" s="9" t="s">
        <v>5</v>
      </c>
      <c r="P2926" s="66">
        <f>+O2873</f>
        <v>0.45454545454545459</v>
      </c>
      <c r="Q2926" s="66"/>
      <c r="R2926" s="9" t="s">
        <v>6</v>
      </c>
      <c r="S2926" s="66">
        <f>+X2925</f>
        <v>40</v>
      </c>
      <c r="T2926" s="66"/>
      <c r="U2926" s="9" t="s">
        <v>5</v>
      </c>
      <c r="V2926" s="66">
        <f>+AA2925</f>
        <v>1</v>
      </c>
      <c r="W2926" s="66"/>
      <c r="X2926" s="9" t="s">
        <v>7</v>
      </c>
      <c r="Y2926" s="66">
        <f>+H2926-L2926*P2926-S2926*V2926</f>
        <v>-20.056587705730017</v>
      </c>
      <c r="Z2926" s="66"/>
      <c r="AA2926" s="66"/>
      <c r="AB2926" s="1" t="s">
        <v>0</v>
      </c>
      <c r="CC2926" s="7"/>
    </row>
    <row r="2927" spans="2:81">
      <c r="B2927" s="6"/>
      <c r="F2927" s="24" t="s">
        <v>308</v>
      </c>
      <c r="H2927" s="9"/>
      <c r="I2927" s="9"/>
      <c r="J2927" s="9"/>
      <c r="K2927" s="9"/>
      <c r="L2927" s="9"/>
      <c r="M2927" s="9"/>
      <c r="N2927" s="9"/>
      <c r="V2927" s="9"/>
      <c r="AG2927" s="9"/>
      <c r="AI2927" s="9"/>
      <c r="AJ2927" s="9"/>
      <c r="AK2927" s="9"/>
      <c r="AP2927" s="9"/>
      <c r="CC2927" s="7"/>
    </row>
    <row r="2928" spans="2:81">
      <c r="B2928" s="6"/>
      <c r="F2928" s="1" t="s">
        <v>482</v>
      </c>
      <c r="G2928" s="67">
        <v>1</v>
      </c>
      <c r="H2928" s="67"/>
      <c r="I2928" s="67"/>
      <c r="J2928" s="1" t="s">
        <v>213</v>
      </c>
      <c r="K2928" s="9"/>
      <c r="L2928" s="9"/>
      <c r="M2928" s="9"/>
      <c r="P2928" s="9"/>
      <c r="Q2928" s="21"/>
      <c r="S2928" s="9"/>
      <c r="T2928" s="9"/>
      <c r="Y2928" s="8" t="str">
        <f>IF(G2928&lt;=Y2864,"","azalt.")</f>
        <v/>
      </c>
      <c r="AO2928" s="9"/>
      <c r="CC2928" s="7"/>
    </row>
    <row r="2929" spans="2:81">
      <c r="B2929" s="6"/>
      <c r="F2929" s="1" t="s">
        <v>12</v>
      </c>
      <c r="H2929" s="9" t="s">
        <v>518</v>
      </c>
      <c r="I2929" s="66">
        <f>+I2876</f>
        <v>66</v>
      </c>
      <c r="J2929" s="66"/>
      <c r="K2929" s="66"/>
      <c r="L2929" s="9" t="s">
        <v>6</v>
      </c>
      <c r="M2929" s="66">
        <f>+H2902</f>
        <v>101.32449295260604</v>
      </c>
      <c r="N2929" s="66"/>
      <c r="O2929" s="66"/>
      <c r="P2929" s="9" t="s">
        <v>5</v>
      </c>
      <c r="Q2929" s="66">
        <f>+O2876</f>
        <v>0.45454545454545459</v>
      </c>
      <c r="R2929" s="66"/>
      <c r="S2929" s="1" t="s">
        <v>216</v>
      </c>
      <c r="T2929" s="66">
        <f>+R2876</f>
        <v>1.8</v>
      </c>
      <c r="U2929" s="66"/>
      <c r="V2929" s="9" t="s">
        <v>9</v>
      </c>
      <c r="W2929" s="66">
        <f>+G2928</f>
        <v>1</v>
      </c>
      <c r="X2929" s="66"/>
      <c r="Y2929" s="1" t="s">
        <v>16</v>
      </c>
      <c r="Z2929" s="66">
        <f>+W2876</f>
        <v>40</v>
      </c>
      <c r="AA2929" s="66"/>
      <c r="AB2929" s="9" t="s">
        <v>5</v>
      </c>
      <c r="AC2929" s="66">
        <f>+Z2876</f>
        <v>1.8</v>
      </c>
      <c r="AD2929" s="66"/>
      <c r="AE2929" s="1" t="s">
        <v>14</v>
      </c>
      <c r="AF2929" s="66">
        <f>+AC2876</f>
        <v>0.9</v>
      </c>
      <c r="AG2929" s="66"/>
      <c r="AH2929" s="9" t="s">
        <v>9</v>
      </c>
      <c r="AI2929" s="66">
        <f>+G2928</f>
        <v>1</v>
      </c>
      <c r="AJ2929" s="66"/>
      <c r="AK2929" s="1" t="s">
        <v>306</v>
      </c>
      <c r="AL2929" s="66">
        <f>+M2929</f>
        <v>101.32449295260604</v>
      </c>
      <c r="AM2929" s="66"/>
      <c r="AN2929" s="66"/>
      <c r="AO2929" s="9" t="s">
        <v>5</v>
      </c>
      <c r="AP2929" s="66">
        <f>+G2928</f>
        <v>1</v>
      </c>
      <c r="AQ2929" s="66"/>
      <c r="AR2929" s="9" t="s">
        <v>6</v>
      </c>
      <c r="AS2929" s="66">
        <f>+AL2876</f>
        <v>40</v>
      </c>
      <c r="AT2929" s="66"/>
      <c r="AU2929" s="9" t="s">
        <v>5</v>
      </c>
      <c r="AV2929" s="66">
        <f>+G2928</f>
        <v>1</v>
      </c>
      <c r="AW2929" s="66"/>
      <c r="AX2929" s="1" t="s">
        <v>254</v>
      </c>
      <c r="AY2929" s="1">
        <v>2</v>
      </c>
      <c r="AZ2929" s="9" t="s">
        <v>7</v>
      </c>
      <c r="BA2929" s="66">
        <f>(I2929-M2929*Q2929)*(T2929+W2929)-Z2929*AC2929*(AF2929+AI2929)+AL2929*AP2929-AS2929*AV2929^2/AY2929</f>
        <v>0.36604737656200825</v>
      </c>
      <c r="BB2929" s="66"/>
      <c r="BC2929" s="66"/>
      <c r="BD2929" s="1" t="s">
        <v>191</v>
      </c>
      <c r="CC2929" s="7"/>
    </row>
    <row r="2930" spans="2:81">
      <c r="B2930" s="6"/>
      <c r="F2930" s="1" t="s">
        <v>220</v>
      </c>
      <c r="H2930" s="66">
        <f>+I2929</f>
        <v>66</v>
      </c>
      <c r="I2930" s="66"/>
      <c r="J2930" s="66"/>
      <c r="K2930" s="9" t="s">
        <v>6</v>
      </c>
      <c r="L2930" s="66">
        <f>+M2929</f>
        <v>101.32449295260604</v>
      </c>
      <c r="M2930" s="66"/>
      <c r="N2930" s="66"/>
      <c r="O2930" s="9" t="s">
        <v>5</v>
      </c>
      <c r="P2930" s="66">
        <f>+Q2929</f>
        <v>0.45454545454545459</v>
      </c>
      <c r="Q2930" s="66"/>
      <c r="R2930" s="9" t="s">
        <v>6</v>
      </c>
      <c r="S2930" s="66">
        <f>+Z2929</f>
        <v>40</v>
      </c>
      <c r="T2930" s="66"/>
      <c r="U2930" s="9" t="s">
        <v>5</v>
      </c>
      <c r="V2930" s="66">
        <f>+AC2929</f>
        <v>1.8</v>
      </c>
      <c r="W2930" s="66"/>
      <c r="X2930" s="9" t="s">
        <v>9</v>
      </c>
      <c r="Y2930" s="66">
        <f>+AL2929</f>
        <v>101.32449295260604</v>
      </c>
      <c r="Z2930" s="66"/>
      <c r="AA2930" s="66"/>
      <c r="AB2930" s="9" t="s">
        <v>6</v>
      </c>
      <c r="AC2930" s="66">
        <f>+AS2929</f>
        <v>40</v>
      </c>
      <c r="AD2930" s="66"/>
      <c r="AE2930" s="9" t="s">
        <v>5</v>
      </c>
      <c r="AF2930" s="66">
        <f>+AV2929</f>
        <v>1</v>
      </c>
      <c r="AG2930" s="66"/>
      <c r="AH2930" s="9" t="s">
        <v>7</v>
      </c>
      <c r="AI2930" s="66">
        <f>+H2930-L2930*P2930-S2930*V2930+Y2930-AC2930*AF2930</f>
        <v>9.267905246876019</v>
      </c>
      <c r="AJ2930" s="66"/>
      <c r="AK2930" s="66"/>
      <c r="AL2930" s="1" t="s">
        <v>0</v>
      </c>
      <c r="CC2930" s="7"/>
    </row>
    <row r="2931" spans="2:81" ht="12" thickBot="1">
      <c r="B2931" s="12"/>
      <c r="C2931" s="13"/>
      <c r="D2931" s="13"/>
      <c r="E2931" s="13"/>
      <c r="F2931" s="13"/>
      <c r="G2931" s="13"/>
      <c r="H2931" s="13"/>
      <c r="I2931" s="13"/>
      <c r="J2931" s="13"/>
      <c r="K2931" s="13"/>
      <c r="L2931" s="13"/>
      <c r="M2931" s="13"/>
      <c r="N2931" s="13"/>
      <c r="O2931" s="13"/>
      <c r="P2931" s="13"/>
      <c r="Q2931" s="13"/>
      <c r="R2931" s="13"/>
      <c r="S2931" s="13"/>
      <c r="T2931" s="13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  <c r="AK2931" s="13"/>
      <c r="AL2931" s="13"/>
      <c r="AM2931" s="13"/>
      <c r="AN2931" s="13"/>
      <c r="AO2931" s="13"/>
      <c r="AP2931" s="13"/>
      <c r="AQ2931" s="13"/>
      <c r="AR2931" s="13"/>
      <c r="AS2931" s="13"/>
      <c r="AT2931" s="13"/>
      <c r="AU2931" s="13"/>
      <c r="AV2931" s="13"/>
      <c r="AW2931" s="13"/>
      <c r="AX2931" s="13"/>
      <c r="AY2931" s="13"/>
      <c r="AZ2931" s="13"/>
      <c r="BA2931" s="13"/>
      <c r="BB2931" s="13"/>
      <c r="BC2931" s="13"/>
      <c r="BD2931" s="13"/>
      <c r="BE2931" s="13"/>
      <c r="BF2931" s="13"/>
      <c r="BG2931" s="13"/>
      <c r="BH2931" s="13"/>
      <c r="BI2931" s="13"/>
      <c r="BJ2931" s="13"/>
      <c r="BK2931" s="13"/>
      <c r="BL2931" s="13"/>
      <c r="BM2931" s="13"/>
      <c r="BN2931" s="13"/>
      <c r="BO2931" s="13"/>
      <c r="BP2931" s="13"/>
      <c r="BQ2931" s="13"/>
      <c r="BR2931" s="13"/>
      <c r="BS2931" s="13"/>
      <c r="BT2931" s="13"/>
      <c r="BU2931" s="13"/>
      <c r="BV2931" s="13"/>
      <c r="BW2931" s="13"/>
      <c r="BX2931" s="13"/>
      <c r="BY2931" s="13"/>
      <c r="BZ2931" s="13"/>
      <c r="CA2931" s="13"/>
      <c r="CB2931" s="13"/>
      <c r="CC2931" s="14"/>
    </row>
    <row r="2932" spans="2:81" ht="12" thickBot="1"/>
    <row r="2933" spans="2:81" ht="48" customHeight="1">
      <c r="B2933" s="73" t="s">
        <v>671</v>
      </c>
      <c r="C2933" s="74"/>
      <c r="D2933" s="74"/>
      <c r="E2933" s="74"/>
      <c r="F2933" s="74"/>
      <c r="G2933" s="74"/>
      <c r="H2933" s="74"/>
      <c r="I2933" s="74"/>
      <c r="J2933" s="74"/>
      <c r="K2933" s="74"/>
      <c r="L2933" s="74"/>
      <c r="M2933" s="74"/>
      <c r="N2933" s="74"/>
      <c r="O2933" s="74"/>
      <c r="P2933" s="74"/>
      <c r="Q2933" s="74"/>
      <c r="R2933" s="74"/>
      <c r="S2933" s="74"/>
      <c r="T2933" s="74"/>
      <c r="U2933" s="74"/>
      <c r="V2933" s="74"/>
      <c r="W2933" s="74"/>
      <c r="X2933" s="74"/>
      <c r="Y2933" s="74"/>
      <c r="Z2933" s="74"/>
      <c r="AA2933" s="74"/>
      <c r="AB2933" s="74"/>
      <c r="AC2933" s="74"/>
      <c r="AD2933" s="74"/>
      <c r="AE2933" s="74"/>
      <c r="AF2933" s="74"/>
      <c r="AG2933" s="74"/>
      <c r="AH2933" s="74"/>
      <c r="AI2933" s="74"/>
      <c r="AJ2933" s="74"/>
      <c r="AK2933" s="74"/>
      <c r="AL2933" s="74"/>
      <c r="AM2933" s="74"/>
      <c r="AN2933" s="74"/>
      <c r="AO2933" s="74"/>
      <c r="AP2933" s="74"/>
      <c r="AQ2933" s="74"/>
      <c r="AR2933" s="74"/>
      <c r="AS2933" s="74"/>
      <c r="AT2933" s="74"/>
      <c r="AU2933" s="74"/>
      <c r="AV2933" s="74"/>
      <c r="AW2933" s="74"/>
      <c r="AX2933" s="74"/>
      <c r="AY2933" s="74"/>
      <c r="AZ2933" s="74"/>
      <c r="BA2933" s="74"/>
      <c r="BB2933" s="74"/>
      <c r="BC2933" s="74"/>
      <c r="BD2933" s="74"/>
      <c r="BE2933" s="74"/>
      <c r="BF2933" s="74"/>
      <c r="BG2933" s="74"/>
      <c r="BH2933" s="74"/>
      <c r="BI2933" s="74"/>
      <c r="BJ2933" s="74"/>
      <c r="BK2933" s="74"/>
      <c r="BL2933" s="74"/>
      <c r="BM2933" s="74"/>
      <c r="BN2933" s="74"/>
      <c r="BO2933" s="74"/>
      <c r="BP2933" s="74"/>
      <c r="BQ2933" s="74"/>
      <c r="BR2933" s="74"/>
      <c r="BS2933" s="74"/>
      <c r="BT2933" s="74"/>
      <c r="BU2933" s="74"/>
      <c r="BV2933" s="74"/>
      <c r="BW2933" s="74"/>
      <c r="BX2933" s="74"/>
      <c r="BY2933" s="74"/>
      <c r="BZ2933" s="74"/>
      <c r="CA2933" s="74"/>
      <c r="CB2933" s="74"/>
      <c r="CC2933" s="75"/>
    </row>
    <row r="2934" spans="2:81">
      <c r="B2934" s="6"/>
      <c r="M2934" s="1" t="s">
        <v>290</v>
      </c>
      <c r="AV2934" s="8" t="s">
        <v>176</v>
      </c>
      <c r="CC2934" s="7"/>
    </row>
    <row r="2935" spans="2:81">
      <c r="B2935" s="6"/>
      <c r="G2935" s="56" t="s">
        <v>672</v>
      </c>
      <c r="AS2935" s="56" t="s">
        <v>662</v>
      </c>
      <c r="CC2935" s="7"/>
    </row>
    <row r="2936" spans="2:81">
      <c r="B2936" s="6"/>
      <c r="CC2936" s="7"/>
    </row>
    <row r="2937" spans="2:81">
      <c r="B2937" s="6"/>
      <c r="T2937" s="67">
        <v>15</v>
      </c>
      <c r="U2937" s="67"/>
      <c r="V2937" s="1" t="s">
        <v>0</v>
      </c>
      <c r="BF2937" s="67">
        <v>15</v>
      </c>
      <c r="BG2937" s="67"/>
      <c r="BH2937" s="1" t="s">
        <v>0</v>
      </c>
      <c r="CC2937" s="7"/>
    </row>
    <row r="2938" spans="2:81">
      <c r="B2938" s="6"/>
      <c r="L2938" s="1" t="s">
        <v>209</v>
      </c>
      <c r="N2938" s="67">
        <v>5</v>
      </c>
      <c r="O2938" s="67"/>
      <c r="P2938" s="1" t="s">
        <v>187</v>
      </c>
      <c r="AX2938" s="1" t="s">
        <v>209</v>
      </c>
      <c r="AZ2938" s="67">
        <v>5</v>
      </c>
      <c r="BA2938" s="67"/>
      <c r="BB2938" s="1" t="s">
        <v>187</v>
      </c>
      <c r="CC2938" s="7"/>
    </row>
    <row r="2939" spans="2:81">
      <c r="B2939" s="6"/>
      <c r="CC2939" s="7"/>
    </row>
    <row r="2940" spans="2:81">
      <c r="B2940" s="6"/>
      <c r="CC2940" s="7"/>
    </row>
    <row r="2941" spans="2:81">
      <c r="B2941" s="6"/>
      <c r="V2941" s="10" t="s">
        <v>628</v>
      </c>
      <c r="W2941" s="10"/>
      <c r="X2941" s="67">
        <v>92080</v>
      </c>
      <c r="Y2941" s="67"/>
      <c r="Z2941" s="67"/>
      <c r="AA2941" s="1" t="s">
        <v>37</v>
      </c>
      <c r="BH2941" s="10" t="s">
        <v>628</v>
      </c>
      <c r="BI2941" s="10"/>
      <c r="BJ2941" s="67">
        <v>92080</v>
      </c>
      <c r="BK2941" s="67"/>
      <c r="BL2941" s="67"/>
      <c r="BM2941" s="1" t="s">
        <v>37</v>
      </c>
      <c r="CC2941" s="7"/>
    </row>
    <row r="2942" spans="2:81">
      <c r="B2942" s="6"/>
      <c r="V2942" s="10"/>
      <c r="W2942" s="10"/>
      <c r="BH2942" s="10" t="s">
        <v>627</v>
      </c>
      <c r="BI2942" s="10"/>
      <c r="BJ2942" s="66">
        <f>+BJ2941</f>
        <v>92080</v>
      </c>
      <c r="BK2942" s="66"/>
      <c r="BL2942" s="66"/>
      <c r="BM2942" s="1" t="s">
        <v>37</v>
      </c>
      <c r="CC2942" s="7"/>
    </row>
    <row r="2943" spans="2:81">
      <c r="B2943" s="6"/>
      <c r="CC2943" s="7"/>
    </row>
    <row r="2944" spans="2:81">
      <c r="B2944" s="6"/>
      <c r="V2944" s="1" t="s">
        <v>38</v>
      </c>
      <c r="X2944" s="67">
        <v>200000</v>
      </c>
      <c r="Y2944" s="67"/>
      <c r="Z2944" s="67"/>
      <c r="AA2944" s="67"/>
      <c r="AB2944" s="1" t="s">
        <v>39</v>
      </c>
      <c r="AE2944" s="1" t="s">
        <v>302</v>
      </c>
      <c r="BH2944" s="1" t="s">
        <v>38</v>
      </c>
      <c r="BJ2944" s="67">
        <v>200000</v>
      </c>
      <c r="BK2944" s="67"/>
      <c r="BL2944" s="67"/>
      <c r="BM2944" s="67"/>
      <c r="BN2944" s="1" t="s">
        <v>39</v>
      </c>
      <c r="BQ2944" s="1" t="s">
        <v>302</v>
      </c>
      <c r="CC2944" s="7"/>
    </row>
    <row r="2945" spans="2:81">
      <c r="B2945" s="6"/>
      <c r="CC2945" s="7"/>
    </row>
    <row r="2946" spans="2:81">
      <c r="B2946" s="6"/>
      <c r="M2946" s="1" t="s">
        <v>197</v>
      </c>
      <c r="N2946" s="67">
        <v>1.5</v>
      </c>
      <c r="O2946" s="67"/>
      <c r="P2946" s="1" t="s">
        <v>1</v>
      </c>
      <c r="AY2946" s="1" t="s">
        <v>197</v>
      </c>
      <c r="AZ2946" s="67">
        <v>1.5</v>
      </c>
      <c r="BA2946" s="67"/>
      <c r="BB2946" s="1" t="s">
        <v>1</v>
      </c>
      <c r="CC2946" s="7"/>
    </row>
    <row r="2947" spans="2:81">
      <c r="B2947" s="6"/>
      <c r="CC2947" s="7"/>
    </row>
    <row r="2948" spans="2:81">
      <c r="B2948" s="6"/>
      <c r="AS2948" s="1" t="s">
        <v>663</v>
      </c>
      <c r="CC2948" s="7"/>
    </row>
    <row r="2949" spans="2:81">
      <c r="B2949" s="6"/>
      <c r="G2949" s="1" t="s">
        <v>663</v>
      </c>
      <c r="AS2949" s="1" t="s">
        <v>670</v>
      </c>
      <c r="CC2949" s="7"/>
    </row>
    <row r="2950" spans="2:81">
      <c r="B2950" s="6"/>
      <c r="G2950" s="1" t="s">
        <v>33</v>
      </c>
      <c r="I2950" s="66">
        <f>+T2937*1000</f>
        <v>15000</v>
      </c>
      <c r="J2950" s="66"/>
      <c r="K2950" s="66"/>
      <c r="L2950" s="9" t="s">
        <v>5</v>
      </c>
      <c r="M2950" s="66">
        <f>+N2946*1000</f>
        <v>1500</v>
      </c>
      <c r="N2950" s="66"/>
      <c r="O2950" s="66"/>
      <c r="P2950" s="1" t="s">
        <v>660</v>
      </c>
      <c r="Q2950" s="1">
        <v>3</v>
      </c>
      <c r="R2950" s="9" t="s">
        <v>5</v>
      </c>
      <c r="S2950" s="66">
        <f>+X2944</f>
        <v>200000</v>
      </c>
      <c r="T2950" s="66"/>
      <c r="U2950" s="66"/>
      <c r="V2950" s="9" t="s">
        <v>5</v>
      </c>
      <c r="W2950" s="66">
        <f>+X2941</f>
        <v>92080</v>
      </c>
      <c r="X2950" s="66"/>
      <c r="Y2950" s="66"/>
      <c r="Z2950" s="9" t="s">
        <v>5</v>
      </c>
      <c r="AA2950" s="66">
        <v>10000</v>
      </c>
      <c r="AB2950" s="66"/>
      <c r="AC2950" s="66"/>
      <c r="AD2950" s="1" t="s">
        <v>40</v>
      </c>
      <c r="AS2950" s="1" t="s">
        <v>35</v>
      </c>
      <c r="AU2950" s="66">
        <f>+BF2937*1000</f>
        <v>15000</v>
      </c>
      <c r="AV2950" s="66"/>
      <c r="AW2950" s="66"/>
      <c r="AX2950" s="9" t="s">
        <v>173</v>
      </c>
      <c r="AY2950" s="1">
        <v>2</v>
      </c>
      <c r="AZ2950" s="1" t="s">
        <v>519</v>
      </c>
      <c r="BA2950" s="66">
        <f>+AZ2946*1000</f>
        <v>1500</v>
      </c>
      <c r="BB2950" s="66"/>
      <c r="BC2950" s="66"/>
      <c r="BD2950" s="1" t="s">
        <v>660</v>
      </c>
      <c r="BE2950" s="1">
        <v>3</v>
      </c>
      <c r="BF2950" s="9" t="s">
        <v>5</v>
      </c>
      <c r="BG2950" s="66">
        <f>+BJ2944</f>
        <v>200000</v>
      </c>
      <c r="BH2950" s="66"/>
      <c r="BI2950" s="66"/>
      <c r="BJ2950" s="9" t="s">
        <v>5</v>
      </c>
      <c r="BK2950" s="66">
        <f>+BJ2941</f>
        <v>92080</v>
      </c>
      <c r="BL2950" s="66"/>
      <c r="BM2950" s="66"/>
      <c r="BN2950" s="9" t="s">
        <v>5</v>
      </c>
      <c r="BO2950" s="66">
        <v>10000</v>
      </c>
      <c r="BP2950" s="66"/>
      <c r="BQ2950" s="66"/>
      <c r="BR2950" s="1" t="s">
        <v>40</v>
      </c>
      <c r="CC2950" s="7"/>
    </row>
    <row r="2951" spans="2:81">
      <c r="B2951" s="6"/>
      <c r="G2951" s="1" t="s">
        <v>33</v>
      </c>
      <c r="I2951" s="66">
        <f>I2950*M2950^3/(Q2950*S2950*W2950*AA2950)</f>
        <v>9.1632276281494354E-2</v>
      </c>
      <c r="J2951" s="66"/>
      <c r="K2951" s="66"/>
      <c r="L2951" s="1" t="s">
        <v>41</v>
      </c>
      <c r="AS2951" s="1" t="s">
        <v>33</v>
      </c>
      <c r="AU2951" s="66">
        <f>(AU2950/AY2950)*BA2950^3/(BE2950*BG2950*BK2950*BO2950)</f>
        <v>4.5816138140747177E-2</v>
      </c>
      <c r="AV2951" s="66"/>
      <c r="AW2951" s="66"/>
      <c r="AX2951" s="1" t="s">
        <v>41</v>
      </c>
      <c r="BA2951" s="9"/>
      <c r="BB2951" s="9"/>
      <c r="BC2951" s="9"/>
      <c r="BF2951" s="9"/>
      <c r="BG2951" s="9"/>
      <c r="BH2951" s="9"/>
      <c r="BI2951" s="9"/>
      <c r="BJ2951" s="9"/>
      <c r="BK2951" s="9"/>
      <c r="BL2951" s="9"/>
      <c r="BM2951" s="9"/>
      <c r="BN2951" s="9"/>
      <c r="BO2951" s="9"/>
      <c r="BP2951" s="9"/>
      <c r="BQ2951" s="9"/>
      <c r="CC2951" s="7"/>
    </row>
    <row r="2952" spans="2:81">
      <c r="B2952" s="6"/>
      <c r="G2952" s="1" t="s">
        <v>665</v>
      </c>
      <c r="I2952" s="9"/>
      <c r="J2952" s="9"/>
      <c r="K2952" s="9"/>
      <c r="L2952" s="9"/>
      <c r="M2952" s="9"/>
      <c r="N2952" s="9"/>
      <c r="O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  <c r="AC2952" s="9"/>
      <c r="AS2952" s="1" t="s">
        <v>665</v>
      </c>
      <c r="AU2952" s="9"/>
      <c r="AV2952" s="9"/>
      <c r="AW2952" s="9"/>
      <c r="AX2952" s="9"/>
      <c r="AY2952" s="9"/>
      <c r="AZ2952" s="9"/>
      <c r="BA2952" s="9"/>
      <c r="BD2952" s="9"/>
      <c r="BE2952" s="9"/>
      <c r="BF2952" s="9"/>
      <c r="BG2952" s="9"/>
      <c r="BH2952" s="9"/>
      <c r="BI2952" s="9"/>
      <c r="BJ2952" s="9"/>
      <c r="BK2952" s="9"/>
      <c r="BL2952" s="9"/>
      <c r="BM2952" s="9"/>
      <c r="BN2952" s="9"/>
      <c r="BO2952" s="9"/>
      <c r="BQ2952" s="9"/>
      <c r="CC2952" s="7"/>
    </row>
    <row r="2953" spans="2:81">
      <c r="B2953" s="6"/>
      <c r="G2953" s="1" t="s">
        <v>33</v>
      </c>
      <c r="I2953" s="66">
        <f>+N2938</f>
        <v>5</v>
      </c>
      <c r="J2953" s="66"/>
      <c r="K2953" s="9" t="s">
        <v>666</v>
      </c>
      <c r="L2953" s="66">
        <f>+N2946*1000</f>
        <v>1500</v>
      </c>
      <c r="M2953" s="66"/>
      <c r="N2953" s="66"/>
      <c r="O2953" s="9" t="s">
        <v>215</v>
      </c>
      <c r="P2953" s="1">
        <v>8</v>
      </c>
      <c r="Q2953" s="9" t="s">
        <v>5</v>
      </c>
      <c r="R2953" s="66">
        <f>+X2944</f>
        <v>200000</v>
      </c>
      <c r="S2953" s="66"/>
      <c r="T2953" s="66"/>
      <c r="U2953" s="9" t="s">
        <v>5</v>
      </c>
      <c r="V2953" s="66">
        <f>+W2950</f>
        <v>92080</v>
      </c>
      <c r="W2953" s="66"/>
      <c r="X2953" s="66"/>
      <c r="Y2953" s="9" t="s">
        <v>5</v>
      </c>
      <c r="Z2953" s="66">
        <v>10000</v>
      </c>
      <c r="AA2953" s="66"/>
      <c r="AB2953" s="66"/>
      <c r="AC2953" s="1" t="s">
        <v>40</v>
      </c>
      <c r="AS2953" s="1" t="s">
        <v>35</v>
      </c>
      <c r="AU2953" s="66">
        <f>+AZ2938</f>
        <v>5</v>
      </c>
      <c r="AV2953" s="66"/>
      <c r="AW2953" s="1" t="s">
        <v>173</v>
      </c>
      <c r="AX2953" s="1">
        <v>2</v>
      </c>
      <c r="AY2953" s="1" t="s">
        <v>342</v>
      </c>
      <c r="AZ2953" s="9" t="s">
        <v>5</v>
      </c>
      <c r="BA2953" s="66">
        <f>+AZ2946*1000</f>
        <v>1500</v>
      </c>
      <c r="BB2953" s="66"/>
      <c r="BC2953" s="66"/>
      <c r="BD2953" s="9" t="s">
        <v>215</v>
      </c>
      <c r="BE2953" s="1">
        <v>8</v>
      </c>
      <c r="BF2953" s="9" t="s">
        <v>5</v>
      </c>
      <c r="BG2953" s="66">
        <f>+BJ2944</f>
        <v>200000</v>
      </c>
      <c r="BH2953" s="66"/>
      <c r="BI2953" s="66"/>
      <c r="BJ2953" s="9" t="s">
        <v>5</v>
      </c>
      <c r="BK2953" s="66">
        <f>+BK2950</f>
        <v>92080</v>
      </c>
      <c r="BL2953" s="66"/>
      <c r="BM2953" s="66"/>
      <c r="BN2953" s="9" t="s">
        <v>5</v>
      </c>
      <c r="BO2953" s="66">
        <v>10000</v>
      </c>
      <c r="BP2953" s="66"/>
      <c r="BQ2953" s="66"/>
      <c r="BR2953" s="1" t="s">
        <v>40</v>
      </c>
      <c r="CC2953" s="7"/>
    </row>
    <row r="2954" spans="2:81">
      <c r="B2954" s="6"/>
      <c r="G2954" s="1" t="s">
        <v>33</v>
      </c>
      <c r="I2954" s="66">
        <f>+I2953^4*L2953^4/(P2953*R2953*V2953*Z2953)</f>
        <v>2.1476314753475241</v>
      </c>
      <c r="J2954" s="66"/>
      <c r="K2954" s="66"/>
      <c r="L2954" s="1" t="s">
        <v>41</v>
      </c>
      <c r="M2954" s="9"/>
      <c r="N2954" s="9"/>
      <c r="O2954" s="9"/>
      <c r="U2954" s="9"/>
      <c r="V2954" s="9"/>
      <c r="W2954" s="9"/>
      <c r="X2954" s="9"/>
      <c r="Y2954" s="9"/>
      <c r="Z2954" s="9"/>
      <c r="AA2954" s="9"/>
      <c r="AB2954" s="9"/>
      <c r="AC2954" s="9"/>
      <c r="AS2954" s="1" t="s">
        <v>33</v>
      </c>
      <c r="AU2954" s="66">
        <f>(AU2953/AX2953)^4*BA2953^4/(BE2953*BG2953*BK2953*BO2953)</f>
        <v>0.13422696720922025</v>
      </c>
      <c r="AV2954" s="66"/>
      <c r="AW2954" s="66"/>
      <c r="AX2954" s="1" t="s">
        <v>41</v>
      </c>
      <c r="AY2954" s="9"/>
      <c r="AZ2954" s="9"/>
      <c r="BE2954" s="9"/>
      <c r="BF2954" s="9"/>
      <c r="BG2954" s="9"/>
      <c r="BH2954" s="9"/>
      <c r="BI2954" s="9"/>
      <c r="BJ2954" s="9"/>
      <c r="BK2954" s="9"/>
      <c r="BL2954" s="9"/>
      <c r="BM2954" s="9"/>
      <c r="BN2954" s="9"/>
      <c r="BO2954" s="9"/>
      <c r="BQ2954" s="9"/>
      <c r="CC2954" s="7"/>
    </row>
    <row r="2955" spans="2:81">
      <c r="B2955" s="6"/>
      <c r="G2955" s="1" t="s">
        <v>202</v>
      </c>
      <c r="L2955" s="66">
        <f>N2946*1000</f>
        <v>1500</v>
      </c>
      <c r="M2955" s="66"/>
      <c r="N2955" s="66"/>
      <c r="O2955" s="1" t="s">
        <v>173</v>
      </c>
      <c r="P2955" s="66">
        <v>200</v>
      </c>
      <c r="Q2955" s="66"/>
      <c r="R2955" s="9" t="s">
        <v>7</v>
      </c>
      <c r="S2955" s="66">
        <f>+L2955/P2955</f>
        <v>7.5</v>
      </c>
      <c r="T2955" s="66"/>
      <c r="U2955" s="66"/>
      <c r="V2955" s="1" t="s">
        <v>41</v>
      </c>
      <c r="Y2955" s="1" t="s">
        <v>192</v>
      </c>
      <c r="AS2955" s="1" t="s">
        <v>202</v>
      </c>
      <c r="AX2955" s="66">
        <f>AZ2946*1000</f>
        <v>1500</v>
      </c>
      <c r="AY2955" s="66"/>
      <c r="AZ2955" s="66"/>
      <c r="BA2955" s="1" t="s">
        <v>173</v>
      </c>
      <c r="BB2955" s="66">
        <v>200</v>
      </c>
      <c r="BC2955" s="66"/>
      <c r="BD2955" s="9" t="s">
        <v>7</v>
      </c>
      <c r="BE2955" s="66">
        <f>+AX2955/BB2955</f>
        <v>7.5</v>
      </c>
      <c r="BF2955" s="66"/>
      <c r="BG2955" s="66"/>
      <c r="BH2955" s="1" t="s">
        <v>41</v>
      </c>
      <c r="BK2955" s="1" t="s">
        <v>192</v>
      </c>
      <c r="CC2955" s="7"/>
    </row>
    <row r="2956" spans="2:81">
      <c r="B2956" s="6"/>
      <c r="G2956" s="1" t="s">
        <v>34</v>
      </c>
      <c r="H2956" s="66">
        <f>+I2951</f>
        <v>9.1632276281494354E-2</v>
      </c>
      <c r="I2956" s="66"/>
      <c r="J2956" s="66"/>
      <c r="K2956" s="9" t="s">
        <v>9</v>
      </c>
      <c r="L2956" s="66">
        <f>+I2954</f>
        <v>2.1476314753475241</v>
      </c>
      <c r="M2956" s="66"/>
      <c r="N2956" s="66"/>
      <c r="O2956" s="9" t="s">
        <v>7</v>
      </c>
      <c r="P2956" s="66">
        <f>+H2956+L2956</f>
        <v>2.2392637516290184</v>
      </c>
      <c r="Q2956" s="66"/>
      <c r="R2956" s="66"/>
      <c r="S2956" s="1" t="s">
        <v>41</v>
      </c>
      <c r="U2956" s="1" t="str">
        <f>IF(ABS(P2956)&lt;ABS(Y2956),"&lt;","&gt;")</f>
        <v>&lt;</v>
      </c>
      <c r="V2956" s="1" t="s">
        <v>174</v>
      </c>
      <c r="Y2956" s="66">
        <f>+S2955</f>
        <v>7.5</v>
      </c>
      <c r="Z2956" s="66"/>
      <c r="AA2956" s="66"/>
      <c r="AB2956" s="1" t="s">
        <v>41</v>
      </c>
      <c r="AD2956" s="8" t="str">
        <f>IF(ABS(P2956)&lt;ABS(Y2956),"uygun.","uygun değil.")</f>
        <v>uygun.</v>
      </c>
      <c r="AS2956" s="1" t="s">
        <v>34</v>
      </c>
      <c r="AT2956" s="66">
        <f>+AU2951</f>
        <v>4.5816138140747177E-2</v>
      </c>
      <c r="AU2956" s="66"/>
      <c r="AV2956" s="66"/>
      <c r="AW2956" s="9" t="s">
        <v>9</v>
      </c>
      <c r="AX2956" s="66">
        <f>+AU2954</f>
        <v>0.13422696720922025</v>
      </c>
      <c r="AY2956" s="66"/>
      <c r="AZ2956" s="66"/>
      <c r="BA2956" s="9" t="s">
        <v>7</v>
      </c>
      <c r="BB2956" s="66">
        <f>+AT2956+AX2956</f>
        <v>0.18004310534996742</v>
      </c>
      <c r="BC2956" s="66"/>
      <c r="BD2956" s="66"/>
      <c r="BE2956" s="1" t="s">
        <v>41</v>
      </c>
      <c r="BG2956" s="1" t="str">
        <f>IF(ABS(BB2956)&lt;ABS(BK2956),"&lt;","&gt;")</f>
        <v>&lt;</v>
      </c>
      <c r="BH2956" s="1" t="s">
        <v>174</v>
      </c>
      <c r="BK2956" s="66">
        <f>+BE2955</f>
        <v>7.5</v>
      </c>
      <c r="BL2956" s="66"/>
      <c r="BM2956" s="66"/>
      <c r="BN2956" s="1" t="s">
        <v>41</v>
      </c>
      <c r="BP2956" s="8" t="str">
        <f>IF(ABS(BB2956)&lt;ABS(BK2956),"uygun.","uygun değil.")</f>
        <v>uygun.</v>
      </c>
      <c r="CC2956" s="7"/>
    </row>
    <row r="2957" spans="2:81">
      <c r="B2957" s="6"/>
      <c r="H2957" s="9"/>
      <c r="I2957" s="9"/>
      <c r="J2957" s="9"/>
      <c r="Q2957" s="9"/>
      <c r="R2957" s="9"/>
      <c r="S2957" s="9"/>
      <c r="V2957" s="8"/>
      <c r="CC2957" s="7"/>
    </row>
    <row r="2958" spans="2:81">
      <c r="B2958" s="6"/>
      <c r="G2958" s="56" t="s">
        <v>661</v>
      </c>
      <c r="AS2958" s="56" t="s">
        <v>667</v>
      </c>
      <c r="CC2958" s="7"/>
    </row>
    <row r="2959" spans="2:81">
      <c r="B2959" s="6"/>
      <c r="BF2959" s="67">
        <v>15</v>
      </c>
      <c r="BG2959" s="67"/>
      <c r="BH2959" s="1" t="s">
        <v>0</v>
      </c>
      <c r="CC2959" s="7"/>
    </row>
    <row r="2960" spans="2:81">
      <c r="B2960" s="6"/>
      <c r="T2960" s="67">
        <v>15</v>
      </c>
      <c r="U2960" s="67"/>
      <c r="V2960" s="1" t="s">
        <v>0</v>
      </c>
      <c r="AX2960" s="1" t="s">
        <v>209</v>
      </c>
      <c r="AZ2960" s="67">
        <v>5</v>
      </c>
      <c r="BA2960" s="67"/>
      <c r="BB2960" s="1" t="s">
        <v>187</v>
      </c>
      <c r="CC2960" s="7"/>
    </row>
    <row r="2961" spans="2:81">
      <c r="B2961" s="6"/>
      <c r="L2961" s="1" t="s">
        <v>209</v>
      </c>
      <c r="N2961" s="67">
        <v>5</v>
      </c>
      <c r="O2961" s="67"/>
      <c r="P2961" s="1" t="s">
        <v>187</v>
      </c>
      <c r="CC2961" s="7"/>
    </row>
    <row r="2962" spans="2:81">
      <c r="B2962" s="6"/>
      <c r="CC2962" s="7"/>
    </row>
    <row r="2963" spans="2:81">
      <c r="B2963" s="6"/>
      <c r="BH2963" s="10" t="s">
        <v>628</v>
      </c>
      <c r="BI2963" s="10"/>
      <c r="BJ2963" s="67">
        <v>92080</v>
      </c>
      <c r="BK2963" s="67"/>
      <c r="BL2963" s="67"/>
      <c r="BM2963" s="1" t="s">
        <v>37</v>
      </c>
      <c r="CC2963" s="7"/>
    </row>
    <row r="2964" spans="2:81">
      <c r="B2964" s="6"/>
      <c r="V2964" s="10" t="s">
        <v>628</v>
      </c>
      <c r="W2964" s="10"/>
      <c r="X2964" s="67">
        <v>92080</v>
      </c>
      <c r="Y2964" s="67"/>
      <c r="Z2964" s="67"/>
      <c r="AA2964" s="1" t="s">
        <v>37</v>
      </c>
      <c r="BH2964" s="10" t="s">
        <v>627</v>
      </c>
      <c r="BI2964" s="10"/>
      <c r="BJ2964" s="66">
        <f>+BJ2963</f>
        <v>92080</v>
      </c>
      <c r="BK2964" s="66"/>
      <c r="BL2964" s="66"/>
      <c r="BM2964" s="1" t="s">
        <v>37</v>
      </c>
      <c r="CC2964" s="7"/>
    </row>
    <row r="2965" spans="2:81">
      <c r="B2965" s="6"/>
      <c r="V2965" s="10" t="s">
        <v>627</v>
      </c>
      <c r="W2965" s="10"/>
      <c r="X2965" s="66">
        <f>+X2964</f>
        <v>92080</v>
      </c>
      <c r="Y2965" s="66"/>
      <c r="Z2965" s="66"/>
      <c r="AA2965" s="1" t="s">
        <v>37</v>
      </c>
      <c r="BH2965" s="10" t="s">
        <v>626</v>
      </c>
      <c r="BI2965" s="10"/>
      <c r="BJ2965" s="66">
        <f>+BJ2964</f>
        <v>92080</v>
      </c>
      <c r="BK2965" s="66"/>
      <c r="BL2965" s="66"/>
      <c r="BM2965" s="1" t="s">
        <v>37</v>
      </c>
      <c r="CC2965" s="7"/>
    </row>
    <row r="2966" spans="2:81">
      <c r="B2966" s="6"/>
      <c r="V2966" s="10" t="s">
        <v>626</v>
      </c>
      <c r="W2966" s="10"/>
      <c r="X2966" s="66">
        <f>+X2965</f>
        <v>92080</v>
      </c>
      <c r="Y2966" s="66"/>
      <c r="Z2966" s="66"/>
      <c r="AA2966" s="1" t="s">
        <v>37</v>
      </c>
      <c r="BH2966" s="10" t="s">
        <v>664</v>
      </c>
      <c r="BI2966" s="10"/>
      <c r="BJ2966" s="66">
        <f>+BJ2965</f>
        <v>92080</v>
      </c>
      <c r="BK2966" s="66"/>
      <c r="BL2966" s="66"/>
      <c r="BM2966" s="1" t="s">
        <v>37</v>
      </c>
      <c r="CC2966" s="7"/>
    </row>
    <row r="2967" spans="2:81">
      <c r="B2967" s="6"/>
      <c r="CC2967" s="7"/>
    </row>
    <row r="2968" spans="2:81">
      <c r="B2968" s="6"/>
      <c r="V2968" s="1" t="s">
        <v>38</v>
      </c>
      <c r="X2968" s="67">
        <v>200000</v>
      </c>
      <c r="Y2968" s="67"/>
      <c r="Z2968" s="67"/>
      <c r="AA2968" s="67"/>
      <c r="AB2968" s="1" t="s">
        <v>39</v>
      </c>
      <c r="AE2968" s="1" t="s">
        <v>302</v>
      </c>
      <c r="BH2968" s="1" t="s">
        <v>38</v>
      </c>
      <c r="BJ2968" s="67">
        <v>200000</v>
      </c>
      <c r="BK2968" s="67"/>
      <c r="BL2968" s="67"/>
      <c r="BM2968" s="67"/>
      <c r="BN2968" s="1" t="s">
        <v>39</v>
      </c>
      <c r="BQ2968" s="1" t="s">
        <v>302</v>
      </c>
      <c r="CC2968" s="7"/>
    </row>
    <row r="2969" spans="2:81">
      <c r="B2969" s="6"/>
      <c r="M2969" s="1" t="s">
        <v>197</v>
      </c>
      <c r="N2969" s="67">
        <v>1.5</v>
      </c>
      <c r="O2969" s="67"/>
      <c r="P2969" s="1" t="s">
        <v>1</v>
      </c>
      <c r="AY2969" s="1" t="s">
        <v>197</v>
      </c>
      <c r="AZ2969" s="67">
        <v>1.5</v>
      </c>
      <c r="BA2969" s="67"/>
      <c r="BB2969" s="1" t="s">
        <v>1</v>
      </c>
      <c r="CC2969" s="7"/>
    </row>
    <row r="2970" spans="2:81">
      <c r="B2970" s="6"/>
      <c r="CC2970" s="7"/>
    </row>
    <row r="2971" spans="2:81">
      <c r="B2971" s="6"/>
      <c r="G2971" s="1" t="s">
        <v>663</v>
      </c>
      <c r="AS2971" s="1" t="s">
        <v>663</v>
      </c>
      <c r="CC2971" s="7"/>
    </row>
    <row r="2972" spans="2:81">
      <c r="B2972" s="6"/>
      <c r="G2972" s="1" t="s">
        <v>669</v>
      </c>
      <c r="AS2972" s="1" t="s">
        <v>668</v>
      </c>
      <c r="CC2972" s="7"/>
    </row>
    <row r="2973" spans="2:81">
      <c r="B2973" s="6"/>
      <c r="G2973" s="1" t="s">
        <v>35</v>
      </c>
      <c r="I2973" s="66">
        <f>+T2960*1000</f>
        <v>15000</v>
      </c>
      <c r="J2973" s="66"/>
      <c r="K2973" s="66"/>
      <c r="L2973" s="9" t="s">
        <v>173</v>
      </c>
      <c r="M2973" s="1">
        <v>3</v>
      </c>
      <c r="N2973" s="1" t="s">
        <v>519</v>
      </c>
      <c r="O2973" s="66">
        <f>+N2969*1000</f>
        <v>1500</v>
      </c>
      <c r="P2973" s="66"/>
      <c r="Q2973" s="66"/>
      <c r="R2973" s="1" t="s">
        <v>660</v>
      </c>
      <c r="S2973" s="1">
        <v>3</v>
      </c>
      <c r="T2973" s="9" t="s">
        <v>5</v>
      </c>
      <c r="U2973" s="66">
        <f>+X2968</f>
        <v>200000</v>
      </c>
      <c r="V2973" s="66"/>
      <c r="W2973" s="66"/>
      <c r="X2973" s="9" t="s">
        <v>5</v>
      </c>
      <c r="Y2973" s="66">
        <f>+X2964</f>
        <v>92080</v>
      </c>
      <c r="Z2973" s="66"/>
      <c r="AA2973" s="66"/>
      <c r="AB2973" s="9" t="s">
        <v>5</v>
      </c>
      <c r="AC2973" s="66">
        <v>10000</v>
      </c>
      <c r="AD2973" s="66"/>
      <c r="AE2973" s="66"/>
      <c r="AF2973" s="1" t="s">
        <v>40</v>
      </c>
      <c r="AS2973" s="1" t="s">
        <v>35</v>
      </c>
      <c r="AU2973" s="66">
        <f>+BF2959*1000</f>
        <v>15000</v>
      </c>
      <c r="AV2973" s="66"/>
      <c r="AW2973" s="66"/>
      <c r="AX2973" s="9" t="s">
        <v>173</v>
      </c>
      <c r="AY2973" s="1">
        <v>4</v>
      </c>
      <c r="AZ2973" s="1" t="s">
        <v>519</v>
      </c>
      <c r="BA2973" s="66">
        <f>+AZ2969*1000</f>
        <v>1500</v>
      </c>
      <c r="BB2973" s="66"/>
      <c r="BC2973" s="66"/>
      <c r="BD2973" s="1" t="s">
        <v>660</v>
      </c>
      <c r="BE2973" s="1">
        <v>3</v>
      </c>
      <c r="BF2973" s="9" t="s">
        <v>5</v>
      </c>
      <c r="BG2973" s="66">
        <f>+BJ2968</f>
        <v>200000</v>
      </c>
      <c r="BH2973" s="66"/>
      <c r="BI2973" s="66"/>
      <c r="BJ2973" s="9" t="s">
        <v>5</v>
      </c>
      <c r="BK2973" s="66">
        <f>+BJ2963</f>
        <v>92080</v>
      </c>
      <c r="BL2973" s="66"/>
      <c r="BM2973" s="66"/>
      <c r="BN2973" s="9" t="s">
        <v>5</v>
      </c>
      <c r="BO2973" s="66">
        <v>10000</v>
      </c>
      <c r="BP2973" s="66"/>
      <c r="BQ2973" s="66"/>
      <c r="BR2973" s="1" t="s">
        <v>40</v>
      </c>
      <c r="CC2973" s="7"/>
    </row>
    <row r="2974" spans="2:81">
      <c r="B2974" s="6"/>
      <c r="G2974" s="1" t="s">
        <v>33</v>
      </c>
      <c r="I2974" s="66">
        <f>(I2973/M2973)*O2973^3/(S2973*U2973*Y2973*AC2973)</f>
        <v>3.0544092093831451E-2</v>
      </c>
      <c r="J2974" s="66"/>
      <c r="K2974" s="66"/>
      <c r="L2974" s="1" t="s">
        <v>41</v>
      </c>
      <c r="AS2974" s="1" t="s">
        <v>33</v>
      </c>
      <c r="AU2974" s="66">
        <f>(AU2973/AY2973)*BA2973^3/(BE2973*BG2973*BK2973*BO2973)</f>
        <v>2.2908069070373589E-2</v>
      </c>
      <c r="AV2974" s="66"/>
      <c r="AW2974" s="66"/>
      <c r="AX2974" s="1" t="s">
        <v>41</v>
      </c>
      <c r="CC2974" s="7"/>
    </row>
    <row r="2975" spans="2:81">
      <c r="B2975" s="6"/>
      <c r="G2975" s="1" t="s">
        <v>665</v>
      </c>
      <c r="I2975" s="9"/>
      <c r="J2975" s="9"/>
      <c r="K2975" s="9"/>
      <c r="L2975" s="9"/>
      <c r="M2975" s="9"/>
      <c r="N2975" s="9"/>
      <c r="O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  <c r="AC2975" s="9"/>
      <c r="AE2975" s="9"/>
      <c r="AS2975" s="1" t="s">
        <v>665</v>
      </c>
      <c r="AU2975" s="9"/>
      <c r="AV2975" s="9"/>
      <c r="AW2975" s="9"/>
      <c r="AX2975" s="9"/>
      <c r="AY2975" s="9"/>
      <c r="AZ2975" s="9"/>
      <c r="BA2975" s="9"/>
      <c r="BD2975" s="9"/>
      <c r="BE2975" s="9"/>
      <c r="BF2975" s="9"/>
      <c r="BG2975" s="9"/>
      <c r="BH2975" s="9"/>
      <c r="BI2975" s="9"/>
      <c r="BJ2975" s="9"/>
      <c r="BK2975" s="9"/>
      <c r="BL2975" s="9"/>
      <c r="BM2975" s="9"/>
      <c r="BN2975" s="9"/>
      <c r="BO2975" s="9"/>
      <c r="BQ2975" s="9"/>
      <c r="CC2975" s="7"/>
    </row>
    <row r="2976" spans="2:81">
      <c r="B2976" s="6"/>
      <c r="G2976" s="1" t="s">
        <v>35</v>
      </c>
      <c r="I2976" s="66">
        <f>+N2961</f>
        <v>5</v>
      </c>
      <c r="J2976" s="66"/>
      <c r="K2976" s="1" t="s">
        <v>173</v>
      </c>
      <c r="L2976" s="1">
        <v>3</v>
      </c>
      <c r="M2976" s="1" t="s">
        <v>342</v>
      </c>
      <c r="N2976" s="9" t="s">
        <v>5</v>
      </c>
      <c r="O2976" s="66">
        <f>+N2969*1000</f>
        <v>1500</v>
      </c>
      <c r="P2976" s="66"/>
      <c r="Q2976" s="66"/>
      <c r="R2976" s="9" t="s">
        <v>215</v>
      </c>
      <c r="S2976" s="1">
        <v>8</v>
      </c>
      <c r="T2976" s="9" t="s">
        <v>5</v>
      </c>
      <c r="U2976" s="66">
        <f>+U2973</f>
        <v>200000</v>
      </c>
      <c r="V2976" s="66"/>
      <c r="W2976" s="66"/>
      <c r="X2976" s="9" t="s">
        <v>5</v>
      </c>
      <c r="Y2976" s="66">
        <f>+Y2973</f>
        <v>92080</v>
      </c>
      <c r="Z2976" s="66"/>
      <c r="AA2976" s="66"/>
      <c r="AB2976" s="9" t="s">
        <v>5</v>
      </c>
      <c r="AC2976" s="66">
        <v>10000</v>
      </c>
      <c r="AD2976" s="66"/>
      <c r="AE2976" s="66"/>
      <c r="AF2976" s="1" t="s">
        <v>40</v>
      </c>
      <c r="AS2976" s="1" t="s">
        <v>35</v>
      </c>
      <c r="AU2976" s="66">
        <f>+AZ2960</f>
        <v>5</v>
      </c>
      <c r="AV2976" s="66"/>
      <c r="AW2976" s="1" t="s">
        <v>173</v>
      </c>
      <c r="AX2976" s="1">
        <v>4</v>
      </c>
      <c r="AY2976" s="1" t="s">
        <v>342</v>
      </c>
      <c r="AZ2976" s="9" t="s">
        <v>5</v>
      </c>
      <c r="BA2976" s="66">
        <f>+AZ2969*1000</f>
        <v>1500</v>
      </c>
      <c r="BB2976" s="66"/>
      <c r="BC2976" s="66"/>
      <c r="BD2976" s="9" t="s">
        <v>215</v>
      </c>
      <c r="BE2976" s="1">
        <v>8</v>
      </c>
      <c r="BF2976" s="9" t="s">
        <v>5</v>
      </c>
      <c r="BG2976" s="66">
        <f>+BG2973</f>
        <v>200000</v>
      </c>
      <c r="BH2976" s="66"/>
      <c r="BI2976" s="66"/>
      <c r="BJ2976" s="9" t="s">
        <v>5</v>
      </c>
      <c r="BK2976" s="66">
        <f>+BK2973</f>
        <v>92080</v>
      </c>
      <c r="BL2976" s="66"/>
      <c r="BM2976" s="66"/>
      <c r="BN2976" s="9" t="s">
        <v>5</v>
      </c>
      <c r="BO2976" s="66">
        <v>10000</v>
      </c>
      <c r="BP2976" s="66"/>
      <c r="BQ2976" s="66"/>
      <c r="BR2976" s="1" t="s">
        <v>40</v>
      </c>
      <c r="CC2976" s="7"/>
    </row>
    <row r="2977" spans="2:81">
      <c r="B2977" s="6"/>
      <c r="G2977" s="1" t="s">
        <v>33</v>
      </c>
      <c r="I2977" s="66">
        <f>(I2976/L2976)^4*O2976^4/(S2976*U2976*Y2976*AC2976)</f>
        <v>2.6513968831450917E-2</v>
      </c>
      <c r="J2977" s="66"/>
      <c r="K2977" s="66"/>
      <c r="L2977" s="1" t="s">
        <v>41</v>
      </c>
      <c r="M2977" s="9"/>
      <c r="N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  <c r="AC2977" s="9"/>
      <c r="AE2977" s="9"/>
      <c r="AS2977" s="1" t="s">
        <v>33</v>
      </c>
      <c r="AU2977" s="66">
        <f>(AU2976/AX2976)^4*BA2976^4/(BE2976*BG2976*BK2976*BO2976)</f>
        <v>8.3891854505762659E-3</v>
      </c>
      <c r="AV2977" s="66"/>
      <c r="AW2977" s="66"/>
      <c r="AX2977" s="1" t="s">
        <v>41</v>
      </c>
      <c r="AY2977" s="9"/>
      <c r="AZ2977" s="9"/>
      <c r="BE2977" s="9"/>
      <c r="BF2977" s="9"/>
      <c r="BG2977" s="9"/>
      <c r="BH2977" s="9"/>
      <c r="BI2977" s="9"/>
      <c r="BJ2977" s="9"/>
      <c r="BK2977" s="9"/>
      <c r="BL2977" s="9"/>
      <c r="BM2977" s="9"/>
      <c r="BN2977" s="9"/>
      <c r="BO2977" s="9"/>
      <c r="BQ2977" s="9"/>
      <c r="CC2977" s="7"/>
    </row>
    <row r="2978" spans="2:81">
      <c r="B2978" s="6"/>
      <c r="G2978" s="1" t="s">
        <v>202</v>
      </c>
      <c r="L2978" s="66">
        <f>N2969*1000</f>
        <v>1500</v>
      </c>
      <c r="M2978" s="66"/>
      <c r="N2978" s="66"/>
      <c r="O2978" s="1" t="s">
        <v>173</v>
      </c>
      <c r="P2978" s="66">
        <v>200</v>
      </c>
      <c r="Q2978" s="66"/>
      <c r="R2978" s="9" t="s">
        <v>7</v>
      </c>
      <c r="S2978" s="66">
        <f>+L2978/P2978</f>
        <v>7.5</v>
      </c>
      <c r="T2978" s="66"/>
      <c r="U2978" s="66"/>
      <c r="V2978" s="1" t="s">
        <v>41</v>
      </c>
      <c r="Y2978" s="1" t="s">
        <v>192</v>
      </c>
      <c r="AS2978" s="1" t="s">
        <v>202</v>
      </c>
      <c r="AX2978" s="66">
        <f>AZ2969*1000</f>
        <v>1500</v>
      </c>
      <c r="AY2978" s="66"/>
      <c r="AZ2978" s="66"/>
      <c r="BA2978" s="1" t="s">
        <v>173</v>
      </c>
      <c r="BB2978" s="66">
        <v>200</v>
      </c>
      <c r="BC2978" s="66"/>
      <c r="BD2978" s="9" t="s">
        <v>7</v>
      </c>
      <c r="BE2978" s="66">
        <f>+AX2978/BB2978</f>
        <v>7.5</v>
      </c>
      <c r="BF2978" s="66"/>
      <c r="BG2978" s="66"/>
      <c r="BH2978" s="1" t="s">
        <v>41</v>
      </c>
      <c r="BK2978" s="1" t="s">
        <v>192</v>
      </c>
      <c r="CC2978" s="7"/>
    </row>
    <row r="2979" spans="2:81">
      <c r="B2979" s="6"/>
      <c r="G2979" s="1" t="s">
        <v>34</v>
      </c>
      <c r="H2979" s="66">
        <f>+I2974</f>
        <v>3.0544092093831451E-2</v>
      </c>
      <c r="I2979" s="66"/>
      <c r="J2979" s="66"/>
      <c r="K2979" s="9" t="s">
        <v>9</v>
      </c>
      <c r="L2979" s="66">
        <f>+I2977</f>
        <v>2.6513968831450917E-2</v>
      </c>
      <c r="M2979" s="66"/>
      <c r="N2979" s="66"/>
      <c r="O2979" s="9" t="s">
        <v>7</v>
      </c>
      <c r="P2979" s="66">
        <f>+H2979+L2979</f>
        <v>5.7058060925282372E-2</v>
      </c>
      <c r="Q2979" s="66"/>
      <c r="R2979" s="66"/>
      <c r="S2979" s="1" t="s">
        <v>41</v>
      </c>
      <c r="U2979" s="1" t="str">
        <f>IF(ABS(P2979)&lt;ABS(Y2979),"&lt;","&gt;")</f>
        <v>&lt;</v>
      </c>
      <c r="V2979" s="1" t="s">
        <v>174</v>
      </c>
      <c r="Y2979" s="66">
        <f>+S2978</f>
        <v>7.5</v>
      </c>
      <c r="Z2979" s="66"/>
      <c r="AA2979" s="66"/>
      <c r="AB2979" s="1" t="s">
        <v>41</v>
      </c>
      <c r="AD2979" s="8" t="str">
        <f>IF(ABS(P2979)&lt;ABS(Y2979),"uygun.","uygun değil.")</f>
        <v>uygun.</v>
      </c>
      <c r="AS2979" s="1" t="s">
        <v>34</v>
      </c>
      <c r="AT2979" s="66">
        <f>+AU2974</f>
        <v>2.2908069070373589E-2</v>
      </c>
      <c r="AU2979" s="66"/>
      <c r="AV2979" s="66"/>
      <c r="AW2979" s="9" t="s">
        <v>9</v>
      </c>
      <c r="AX2979" s="66">
        <f>+AU2977</f>
        <v>8.3891854505762659E-3</v>
      </c>
      <c r="AY2979" s="66"/>
      <c r="AZ2979" s="66"/>
      <c r="BA2979" s="9" t="s">
        <v>7</v>
      </c>
      <c r="BB2979" s="66">
        <f>+AT2979+AX2979</f>
        <v>3.1297254520949856E-2</v>
      </c>
      <c r="BC2979" s="66"/>
      <c r="BD2979" s="66"/>
      <c r="BE2979" s="1" t="s">
        <v>41</v>
      </c>
      <c r="BG2979" s="1" t="str">
        <f>IF(ABS(BB2979)&lt;ABS(BK2979),"&lt;","&gt;")</f>
        <v>&lt;</v>
      </c>
      <c r="BH2979" s="1" t="s">
        <v>174</v>
      </c>
      <c r="BK2979" s="66">
        <f>+BE2978</f>
        <v>7.5</v>
      </c>
      <c r="BL2979" s="66"/>
      <c r="BM2979" s="66"/>
      <c r="BN2979" s="1" t="s">
        <v>41</v>
      </c>
      <c r="BP2979" s="8" t="str">
        <f>IF(ABS(BB2979)&lt;ABS(BK2979),"uygun.","uygun değil.")</f>
        <v>uygun.</v>
      </c>
      <c r="CC2979" s="7"/>
    </row>
    <row r="2980" spans="2:81" ht="12" thickBot="1">
      <c r="B2980" s="12"/>
      <c r="C2980" s="13"/>
      <c r="D2980" s="13"/>
      <c r="E2980" s="13"/>
      <c r="F2980" s="13"/>
      <c r="G2980" s="13"/>
      <c r="H2980" s="13"/>
      <c r="I2980" s="13"/>
      <c r="J2980" s="13"/>
      <c r="K2980" s="13"/>
      <c r="L2980" s="13"/>
      <c r="M2980" s="13"/>
      <c r="N2980" s="13"/>
      <c r="O2980" s="13"/>
      <c r="P2980" s="13"/>
      <c r="Q2980" s="13"/>
      <c r="R2980" s="13"/>
      <c r="S2980" s="13"/>
      <c r="T2980" s="13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  <c r="AK2980" s="13"/>
      <c r="AL2980" s="13"/>
      <c r="AM2980" s="13"/>
      <c r="AN2980" s="13"/>
      <c r="AO2980" s="13"/>
      <c r="AP2980" s="13"/>
      <c r="AQ2980" s="13"/>
      <c r="AR2980" s="13"/>
      <c r="AS2980" s="13"/>
      <c r="AT2980" s="13"/>
      <c r="AU2980" s="13"/>
      <c r="AV2980" s="13"/>
      <c r="AW2980" s="13"/>
      <c r="AX2980" s="13"/>
      <c r="AY2980" s="13"/>
      <c r="AZ2980" s="13"/>
      <c r="BA2980" s="13"/>
      <c r="BB2980" s="13"/>
      <c r="BC2980" s="13"/>
      <c r="BD2980" s="13"/>
      <c r="BE2980" s="13"/>
      <c r="BF2980" s="13"/>
      <c r="BG2980" s="13"/>
      <c r="BH2980" s="13"/>
      <c r="BI2980" s="13"/>
      <c r="BJ2980" s="13"/>
      <c r="BK2980" s="13"/>
      <c r="BL2980" s="13"/>
      <c r="BM2980" s="13"/>
      <c r="BN2980" s="13"/>
      <c r="BO2980" s="13"/>
      <c r="BP2980" s="13"/>
      <c r="BQ2980" s="13"/>
      <c r="BR2980" s="13"/>
      <c r="BS2980" s="13"/>
      <c r="BT2980" s="13"/>
      <c r="BU2980" s="13"/>
      <c r="BV2980" s="13"/>
      <c r="BW2980" s="13"/>
      <c r="BX2980" s="13"/>
      <c r="BY2980" s="13"/>
      <c r="BZ2980" s="13"/>
      <c r="CA2980" s="13"/>
      <c r="CB2980" s="13"/>
      <c r="CC2980" s="14"/>
    </row>
  </sheetData>
  <sheetProtection algorithmName="SHA-512" hashValue="ER2t28qHO1AgeIMfEfBgufCgHeJONNVZfY8jTZTP2N9dcw1h2Hdt5TmEFqFbp1onykgBpwj9OwMABztlbC89xQ==" saltValue="OQHygm23M3qD+c0CHBmZmg==" spinCount="100000" sheet="1" objects="1" scenarios="1"/>
  <mergeCells count="8585">
    <mergeCell ref="L2747:N2747"/>
    <mergeCell ref="P2747:Q2747"/>
    <mergeCell ref="S2747:U2747"/>
    <mergeCell ref="I2740:K2740"/>
    <mergeCell ref="L2741:N2741"/>
    <mergeCell ref="P2741:Q2741"/>
    <mergeCell ref="S2741:U2741"/>
    <mergeCell ref="I2748:K2748"/>
    <mergeCell ref="R2748:T2748"/>
    <mergeCell ref="I2742:K2742"/>
    <mergeCell ref="R2742:T2742"/>
    <mergeCell ref="R2738:T2738"/>
    <mergeCell ref="V2738:X2738"/>
    <mergeCell ref="Z2738:AB2738"/>
    <mergeCell ref="AK2738:AM2738"/>
    <mergeCell ref="AO2738:AQ2738"/>
    <mergeCell ref="AS2738:AU2738"/>
    <mergeCell ref="I2703:K2703"/>
    <mergeCell ref="AO2703:AQ2703"/>
    <mergeCell ref="R2717:T2717"/>
    <mergeCell ref="AF2717:AH2717"/>
    <mergeCell ref="AD2738:AE2738"/>
    <mergeCell ref="AG2738:AI2738"/>
    <mergeCell ref="P2739:R2739"/>
    <mergeCell ref="T2739:V2739"/>
    <mergeCell ref="X2739:Z2739"/>
    <mergeCell ref="O2745:Q2745"/>
    <mergeCell ref="S2745:U2745"/>
    <mergeCell ref="W2745:X2745"/>
    <mergeCell ref="Z2745:AB2745"/>
    <mergeCell ref="AD2745:AF2745"/>
    <mergeCell ref="AH2745:AJ2745"/>
    <mergeCell ref="AL2745:AN2745"/>
    <mergeCell ref="U2727:W2727"/>
    <mergeCell ref="Y2727:Z2727"/>
    <mergeCell ref="AB2727:AD2727"/>
    <mergeCell ref="AF2727:AH2727"/>
    <mergeCell ref="AJ2727:AL2727"/>
    <mergeCell ref="AN2727:AP2727"/>
    <mergeCell ref="I2746:K2746"/>
    <mergeCell ref="I2736:K2736"/>
    <mergeCell ref="AB2537:AC2537"/>
    <mergeCell ref="AE2537:AF2537"/>
    <mergeCell ref="AN2539:AO2539"/>
    <mergeCell ref="BB2691:BC2691"/>
    <mergeCell ref="AZ2694:BA2694"/>
    <mergeCell ref="U2688:V2688"/>
    <mergeCell ref="AB2688:AC2688"/>
    <mergeCell ref="G2730:I2730"/>
    <mergeCell ref="K2730:M2730"/>
    <mergeCell ref="U2730:W2730"/>
    <mergeCell ref="G2731:I2731"/>
    <mergeCell ref="K2731:M2731"/>
    <mergeCell ref="Q2731:S2731"/>
    <mergeCell ref="G2732:I2732"/>
    <mergeCell ref="K2732:M2732"/>
    <mergeCell ref="I2733:K2733"/>
    <mergeCell ref="BL2696:BO2696"/>
    <mergeCell ref="AG2680:AL2680"/>
    <mergeCell ref="AI2686:AN2686"/>
    <mergeCell ref="N2695:O2695"/>
    <mergeCell ref="Y2702:AA2702"/>
    <mergeCell ref="Y2694:Z2694"/>
    <mergeCell ref="Y2707:Z2707"/>
    <mergeCell ref="Y2718:Z2718"/>
    <mergeCell ref="Y2709:AA2709"/>
    <mergeCell ref="S2721:T2721"/>
    <mergeCell ref="V2721:X2721"/>
    <mergeCell ref="Z2721:AA2721"/>
    <mergeCell ref="AC2721:AE2721"/>
    <mergeCell ref="AG2721:AI2721"/>
    <mergeCell ref="AK2721:AM2721"/>
    <mergeCell ref="AO2721:AQ2721"/>
    <mergeCell ref="R2723:T2723"/>
    <mergeCell ref="AB2723:AD2723"/>
    <mergeCell ref="AF2723:AG2723"/>
    <mergeCell ref="AI2723:AK2723"/>
    <mergeCell ref="AM2723:AO2723"/>
    <mergeCell ref="AQ2723:AS2723"/>
    <mergeCell ref="AQ2533:AR2533"/>
    <mergeCell ref="AV2533:AX2533"/>
    <mergeCell ref="I2535:J2535"/>
    <mergeCell ref="L2535:M2535"/>
    <mergeCell ref="O2535:P2535"/>
    <mergeCell ref="Y2535:AA2535"/>
    <mergeCell ref="H2556:I2556"/>
    <mergeCell ref="M2556:N2556"/>
    <mergeCell ref="R2556:S2556"/>
    <mergeCell ref="W2556:Y2556"/>
    <mergeCell ref="AE2556:AF2556"/>
    <mergeCell ref="G2557:I2557"/>
    <mergeCell ref="M2557:O2557"/>
    <mergeCell ref="S2557:U2557"/>
    <mergeCell ref="Y2557:AA2557"/>
    <mergeCell ref="AC2557:AE2557"/>
    <mergeCell ref="L2539:M2539"/>
    <mergeCell ref="S2539:T2539"/>
    <mergeCell ref="V2539:W2539"/>
    <mergeCell ref="AB2539:AC2539"/>
    <mergeCell ref="AE2539:AF2539"/>
    <mergeCell ref="AH2539:AI2539"/>
    <mergeCell ref="I2540:J2540"/>
    <mergeCell ref="N2540:O2540"/>
    <mergeCell ref="X2540:Z2540"/>
    <mergeCell ref="B2677:CC2677"/>
    <mergeCell ref="BH2687:BH2689"/>
    <mergeCell ref="BL2688:BM2688"/>
    <mergeCell ref="BO2691:BP2691"/>
    <mergeCell ref="BM2694:BN2694"/>
    <mergeCell ref="Q2705:R2705"/>
    <mergeCell ref="G2569:I2569"/>
    <mergeCell ref="P2569:R2569"/>
    <mergeCell ref="G2560:I2560"/>
    <mergeCell ref="G2561:I2561"/>
    <mergeCell ref="G2562:I2562"/>
    <mergeCell ref="G2563:I2563"/>
    <mergeCell ref="G2564:I2564"/>
    <mergeCell ref="M2566:O2566"/>
    <mergeCell ref="Q2566:S2566"/>
    <mergeCell ref="U2566:V2566"/>
    <mergeCell ref="X2566:Z2566"/>
    <mergeCell ref="AB2566:AD2566"/>
    <mergeCell ref="AF2566:AH2566"/>
    <mergeCell ref="G2567:I2567"/>
    <mergeCell ref="J2568:L2568"/>
    <mergeCell ref="N2568:O2568"/>
    <mergeCell ref="Q2568:S2568"/>
    <mergeCell ref="AI2557:AK2557"/>
    <mergeCell ref="G2558:I2558"/>
    <mergeCell ref="M2558:O2558"/>
    <mergeCell ref="S2558:U2558"/>
    <mergeCell ref="Y2558:AA2558"/>
    <mergeCell ref="AE2558:AG2558"/>
    <mergeCell ref="AI2558:AK2558"/>
    <mergeCell ref="P2537:Q2537"/>
    <mergeCell ref="AH2537:AI2537"/>
    <mergeCell ref="S2540:T2540"/>
    <mergeCell ref="AK2537:AL2537"/>
    <mergeCell ref="AU2537:AV2537"/>
    <mergeCell ref="AX2537:AZ2537"/>
    <mergeCell ref="M2550:N2550"/>
    <mergeCell ref="W2550:X2550"/>
    <mergeCell ref="R2552:S2552"/>
    <mergeCell ref="BR2512:BS2512"/>
    <mergeCell ref="BP2515:BQ2515"/>
    <mergeCell ref="Q2488:V2488"/>
    <mergeCell ref="BA2517:BD2517"/>
    <mergeCell ref="BO2517:BR2517"/>
    <mergeCell ref="BA2501:BD2501"/>
    <mergeCell ref="AX2508:AX2510"/>
    <mergeCell ref="BB2509:BC2509"/>
    <mergeCell ref="BC2515:BD2515"/>
    <mergeCell ref="N2508:S2508"/>
    <mergeCell ref="K2531:L2531"/>
    <mergeCell ref="P2531:Q2531"/>
    <mergeCell ref="U2531:V2531"/>
    <mergeCell ref="X2531:Y2531"/>
    <mergeCell ref="AE2531:AF2531"/>
    <mergeCell ref="AJ2531:AK2531"/>
    <mergeCell ref="AM2531:AO2531"/>
    <mergeCell ref="Q2519:R2519"/>
    <mergeCell ref="S2520:T2520"/>
    <mergeCell ref="X2520:Y2520"/>
    <mergeCell ref="K2522:L2522"/>
    <mergeCell ref="P2522:Q2522"/>
    <mergeCell ref="S2522:T2522"/>
    <mergeCell ref="V2522:W2522"/>
    <mergeCell ref="AA2522:AB2522"/>
    <mergeCell ref="M2523:N2523"/>
    <mergeCell ref="U2523:V2523"/>
    <mergeCell ref="X2523:Y2523"/>
    <mergeCell ref="AF2523:AG2523"/>
    <mergeCell ref="O2524:P2524"/>
    <mergeCell ref="W2524:X2524"/>
    <mergeCell ref="Z2524:AA2524"/>
    <mergeCell ref="AH2524:AI2524"/>
    <mergeCell ref="K2528:L2528"/>
    <mergeCell ref="R2528:S2528"/>
    <mergeCell ref="W2528:X2528"/>
    <mergeCell ref="Z2528:AA2528"/>
    <mergeCell ref="AC2528:AD2528"/>
    <mergeCell ref="AH2528:AI2528"/>
    <mergeCell ref="AM2528:AN2528"/>
    <mergeCell ref="AP2528:AR2528"/>
    <mergeCell ref="K2529:L2529"/>
    <mergeCell ref="P2529:Q2529"/>
    <mergeCell ref="S2529:T2529"/>
    <mergeCell ref="AB2529:AC2529"/>
    <mergeCell ref="AG2529:AI2529"/>
    <mergeCell ref="Q2530:R2530"/>
    <mergeCell ref="V2530:W2530"/>
    <mergeCell ref="Y2530:AA2530"/>
    <mergeCell ref="AE2530:AF2530"/>
    <mergeCell ref="AJ2530:AL2530"/>
    <mergeCell ref="AQ2530:AR2530"/>
    <mergeCell ref="AV2530:AX2530"/>
    <mergeCell ref="E1869:G1869"/>
    <mergeCell ref="F1870:H1870"/>
    <mergeCell ref="K1870:L1870"/>
    <mergeCell ref="N1870:O1870"/>
    <mergeCell ref="S1870:U1870"/>
    <mergeCell ref="W1870:X1870"/>
    <mergeCell ref="Z1870:AA1870"/>
    <mergeCell ref="AE1870:AG1870"/>
    <mergeCell ref="AI1870:AJ1870"/>
    <mergeCell ref="AL1870:AN1870"/>
    <mergeCell ref="AR1870:AT1870"/>
    <mergeCell ref="AV1870:AX1870"/>
    <mergeCell ref="F1871:H1871"/>
    <mergeCell ref="I1872:K1872"/>
    <mergeCell ref="M1872:N1872"/>
    <mergeCell ref="P1872:R1872"/>
    <mergeCell ref="F1873:H1873"/>
    <mergeCell ref="O1873:Q1873"/>
    <mergeCell ref="H2921:J2921"/>
    <mergeCell ref="B2838:CC2838"/>
    <mergeCell ref="AX2847:AX2849"/>
    <mergeCell ref="BK2847:BK2849"/>
    <mergeCell ref="BB2848:BC2848"/>
    <mergeCell ref="BO2848:BP2848"/>
    <mergeCell ref="BE2851:BF2851"/>
    <mergeCell ref="BR2851:BS2851"/>
    <mergeCell ref="BC2854:BD2854"/>
    <mergeCell ref="BP2854:BQ2854"/>
    <mergeCell ref="L2851:Q2851"/>
    <mergeCell ref="P2841:U2841"/>
    <mergeCell ref="F2821:H2821"/>
    <mergeCell ref="F2814:H2814"/>
    <mergeCell ref="N2497:O2497"/>
    <mergeCell ref="U2503:V2503"/>
    <mergeCell ref="S2490:T2490"/>
    <mergeCell ref="X2491:Y2491"/>
    <mergeCell ref="AH2506:AI2506"/>
    <mergeCell ref="AI2500:AJ2500"/>
    <mergeCell ref="AB2510:AC2510"/>
    <mergeCell ref="O2502:P2502"/>
    <mergeCell ref="AT2490:AU2490"/>
    <mergeCell ref="AX2495:AY2495"/>
    <mergeCell ref="BC2487:BD2487"/>
    <mergeCell ref="BJ2486:BK2486"/>
    <mergeCell ref="BD2496:BE2496"/>
    <mergeCell ref="BN2496:BO2496"/>
    <mergeCell ref="BH2498:BI2498"/>
    <mergeCell ref="BR2494:BS2494"/>
    <mergeCell ref="M2518:N2518"/>
    <mergeCell ref="BK2508:BK2510"/>
    <mergeCell ref="BO2509:BP2509"/>
    <mergeCell ref="BE2512:BF2512"/>
    <mergeCell ref="H1862:J1862"/>
    <mergeCell ref="L1862:M1862"/>
    <mergeCell ref="S1862:U1862"/>
    <mergeCell ref="W1862:X1862"/>
    <mergeCell ref="H1863:J1863"/>
    <mergeCell ref="M1863:N1863"/>
    <mergeCell ref="T1863:V1863"/>
    <mergeCell ref="X1863:Y1863"/>
    <mergeCell ref="J1865:L1865"/>
    <mergeCell ref="N1865:O1865"/>
    <mergeCell ref="Q1865:R1865"/>
    <mergeCell ref="V1865:X1865"/>
    <mergeCell ref="Z1865:AA1865"/>
    <mergeCell ref="AC1865:AD1865"/>
    <mergeCell ref="AP1865:AR1865"/>
    <mergeCell ref="J1866:L1866"/>
    <mergeCell ref="O1866:P1866"/>
    <mergeCell ref="R1866:S1866"/>
    <mergeCell ref="W1866:Y1866"/>
    <mergeCell ref="AA1866:AB1866"/>
    <mergeCell ref="AD1866:AE1866"/>
    <mergeCell ref="AI1866:AK1866"/>
    <mergeCell ref="AM1866:AN1866"/>
    <mergeCell ref="AW1866:AY1866"/>
    <mergeCell ref="I1867:K1867"/>
    <mergeCell ref="N1867:O1867"/>
    <mergeCell ref="U1867:W1867"/>
    <mergeCell ref="Y1867:Z1867"/>
    <mergeCell ref="F1868:H1868"/>
    <mergeCell ref="K1868:L1868"/>
    <mergeCell ref="R1868:T1868"/>
    <mergeCell ref="V1868:W1868"/>
    <mergeCell ref="AC1868:AE1868"/>
    <mergeCell ref="AI1868:AK1868"/>
    <mergeCell ref="D1851:E1851"/>
    <mergeCell ref="L1851:M1851"/>
    <mergeCell ref="D1852:E1852"/>
    <mergeCell ref="G1852:H1852"/>
    <mergeCell ref="D1853:E1853"/>
    <mergeCell ref="G1853:H1853"/>
    <mergeCell ref="D1854:E1854"/>
    <mergeCell ref="G1854:H1854"/>
    <mergeCell ref="L1854:M1854"/>
    <mergeCell ref="W1854:X1854"/>
    <mergeCell ref="D1855:F1855"/>
    <mergeCell ref="J1855:K1855"/>
    <mergeCell ref="Q1855:R1855"/>
    <mergeCell ref="T1855:U1855"/>
    <mergeCell ref="D1856:F1856"/>
    <mergeCell ref="H1856:I1856"/>
    <mergeCell ref="O1856:Q1856"/>
    <mergeCell ref="S1856:T1856"/>
    <mergeCell ref="F1858:H1858"/>
    <mergeCell ref="J1858:K1858"/>
    <mergeCell ref="Q1858:S1858"/>
    <mergeCell ref="U1858:V1858"/>
    <mergeCell ref="D1859:F1859"/>
    <mergeCell ref="J1859:K1859"/>
    <mergeCell ref="S1859:U1859"/>
    <mergeCell ref="Y1859:Z1859"/>
    <mergeCell ref="D1860:F1860"/>
    <mergeCell ref="I1860:J1860"/>
    <mergeCell ref="P1860:Q1860"/>
    <mergeCell ref="S1860:U1860"/>
    <mergeCell ref="Y1860:Z1860"/>
    <mergeCell ref="AB1860:AC1860"/>
    <mergeCell ref="D1861:F1861"/>
    <mergeCell ref="I1861:J1861"/>
    <mergeCell ref="P1861:R1861"/>
    <mergeCell ref="T1861:U1861"/>
    <mergeCell ref="AE1833:AI1833"/>
    <mergeCell ref="AX1833:AY1833"/>
    <mergeCell ref="BN1833:BO1833"/>
    <mergeCell ref="AM1835:AQ1835"/>
    <mergeCell ref="T1836:U1836"/>
    <mergeCell ref="L1837:M1837"/>
    <mergeCell ref="AD1837:AG1837"/>
    <mergeCell ref="H1841:I1841"/>
    <mergeCell ref="K1841:L1841"/>
    <mergeCell ref="O1841:Q1841"/>
    <mergeCell ref="S1841:T1841"/>
    <mergeCell ref="G1842:I1842"/>
    <mergeCell ref="K1842:L1842"/>
    <mergeCell ref="N1842:P1842"/>
    <mergeCell ref="T1842:U1842"/>
    <mergeCell ref="G1843:I1843"/>
    <mergeCell ref="M1843:N1843"/>
    <mergeCell ref="R1843:S1843"/>
    <mergeCell ref="U1843:W1843"/>
    <mergeCell ref="AA1843:AB1843"/>
    <mergeCell ref="L1844:N1844"/>
    <mergeCell ref="P1844:R1844"/>
    <mergeCell ref="V1844:W1844"/>
    <mergeCell ref="AH1844:AI1844"/>
    <mergeCell ref="I1846:J1846"/>
    <mergeCell ref="O1847:P1847"/>
    <mergeCell ref="U1847:V1847"/>
    <mergeCell ref="AB1847:AC1847"/>
    <mergeCell ref="E1849:F1849"/>
    <mergeCell ref="L1849:M1849"/>
    <mergeCell ref="F1850:G1850"/>
    <mergeCell ref="U1850:V1850"/>
    <mergeCell ref="AD1850:AE1850"/>
    <mergeCell ref="F1816:H1816"/>
    <mergeCell ref="J1816:K1816"/>
    <mergeCell ref="Q1816:S1816"/>
    <mergeCell ref="U1816:V1816"/>
    <mergeCell ref="AC1816:AE1816"/>
    <mergeCell ref="AI1816:AK1816"/>
    <mergeCell ref="E1817:G1817"/>
    <mergeCell ref="F1818:H1818"/>
    <mergeCell ref="J1818:K1818"/>
    <mergeCell ref="M1818:N1818"/>
    <mergeCell ref="R1818:T1818"/>
    <mergeCell ref="V1818:W1818"/>
    <mergeCell ref="Y1818:Z1818"/>
    <mergeCell ref="AE1818:AG1818"/>
    <mergeCell ref="AI1818:AJ1818"/>
    <mergeCell ref="AL1818:AN1818"/>
    <mergeCell ref="AR1818:AT1818"/>
    <mergeCell ref="AV1818:AX1818"/>
    <mergeCell ref="F1819:H1819"/>
    <mergeCell ref="I1820:K1820"/>
    <mergeCell ref="M1820:N1820"/>
    <mergeCell ref="P1820:R1820"/>
    <mergeCell ref="F1821:H1821"/>
    <mergeCell ref="O1821:Q1821"/>
    <mergeCell ref="B1824:CC1824"/>
    <mergeCell ref="D1826:E1826"/>
    <mergeCell ref="BN1826:BO1826"/>
    <mergeCell ref="AH1827:AH1828"/>
    <mergeCell ref="AR1828:AR1829"/>
    <mergeCell ref="AB1829:AC1829"/>
    <mergeCell ref="AH1829:AH1831"/>
    <mergeCell ref="W1830:X1830"/>
    <mergeCell ref="AB1830:AC1830"/>
    <mergeCell ref="AK1830:AL1830"/>
    <mergeCell ref="AR1830:AR1832"/>
    <mergeCell ref="AS1830:AS1832"/>
    <mergeCell ref="AB1831:AC1831"/>
    <mergeCell ref="AK1831:AL1831"/>
    <mergeCell ref="AK1832:AL1832"/>
    <mergeCell ref="R1804:T1804"/>
    <mergeCell ref="V1804:W1804"/>
    <mergeCell ref="D1805:F1805"/>
    <mergeCell ref="J1805:K1805"/>
    <mergeCell ref="T1805:V1805"/>
    <mergeCell ref="Z1805:AA1805"/>
    <mergeCell ref="F1806:G1806"/>
    <mergeCell ref="U1806:V1806"/>
    <mergeCell ref="AD1806:AE1806"/>
    <mergeCell ref="D1807:F1807"/>
    <mergeCell ref="J1807:K1807"/>
    <mergeCell ref="O1807:Q1807"/>
    <mergeCell ref="U1807:V1807"/>
    <mergeCell ref="D1808:F1808"/>
    <mergeCell ref="J1808:K1808"/>
    <mergeCell ref="M1808:N1808"/>
    <mergeCell ref="U1808:W1808"/>
    <mergeCell ref="AA1808:AB1808"/>
    <mergeCell ref="AD1808:AE1808"/>
    <mergeCell ref="D1809:F1809"/>
    <mergeCell ref="H1809:I1809"/>
    <mergeCell ref="O1809:Q1809"/>
    <mergeCell ref="S1809:T1809"/>
    <mergeCell ref="H1810:J1810"/>
    <mergeCell ref="L1810:M1810"/>
    <mergeCell ref="T1810:V1810"/>
    <mergeCell ref="X1810:Y1810"/>
    <mergeCell ref="H1811:J1811"/>
    <mergeCell ref="L1811:M1811"/>
    <mergeCell ref="S1811:U1811"/>
    <mergeCell ref="W1811:X1811"/>
    <mergeCell ref="AW1814:AY1814"/>
    <mergeCell ref="I1815:K1815"/>
    <mergeCell ref="M1815:N1815"/>
    <mergeCell ref="T1815:V1815"/>
    <mergeCell ref="X1815:Y1815"/>
    <mergeCell ref="H2920:I2920"/>
    <mergeCell ref="K2920:M2920"/>
    <mergeCell ref="O2920:P2920"/>
    <mergeCell ref="R2920:S2920"/>
    <mergeCell ref="U2920:V2920"/>
    <mergeCell ref="X2920:Y2920"/>
    <mergeCell ref="H2914:J2914"/>
    <mergeCell ref="L2914:N2914"/>
    <mergeCell ref="P2914:Q2914"/>
    <mergeCell ref="S2914:T2914"/>
    <mergeCell ref="V2914:W2914"/>
    <mergeCell ref="AB2914:AC2914"/>
    <mergeCell ref="AE2914:AF2914"/>
    <mergeCell ref="AH2914:AI2914"/>
    <mergeCell ref="AN2914:AP2914"/>
    <mergeCell ref="AR2914:AS2914"/>
    <mergeCell ref="AW2914:AX2914"/>
    <mergeCell ref="AZ2914:BA2914"/>
    <mergeCell ref="BC2914:BD2914"/>
    <mergeCell ref="W2815:X2815"/>
    <mergeCell ref="Z2815:AA2815"/>
    <mergeCell ref="AC2815:AE2815"/>
    <mergeCell ref="AG2815:AH2815"/>
    <mergeCell ref="G2816:I2816"/>
    <mergeCell ref="K2816:L2816"/>
    <mergeCell ref="P2816:Q2816"/>
    <mergeCell ref="S2816:T2816"/>
    <mergeCell ref="V2816:W2816"/>
    <mergeCell ref="Y2816:AA2816"/>
    <mergeCell ref="AC2816:AD2816"/>
    <mergeCell ref="AH2816:AJ2816"/>
    <mergeCell ref="AL2816:AN2816"/>
    <mergeCell ref="G2817:I2817"/>
    <mergeCell ref="BF2914:BH2914"/>
    <mergeCell ref="BJ2914:BK2914"/>
    <mergeCell ref="BM2914:BO2914"/>
    <mergeCell ref="BS2914:BU2914"/>
    <mergeCell ref="AK2907:AL2907"/>
    <mergeCell ref="AP2907:AR2907"/>
    <mergeCell ref="AT2907:AV2907"/>
    <mergeCell ref="H2908:J2908"/>
    <mergeCell ref="K2909:M2909"/>
    <mergeCell ref="O2909:P2909"/>
    <mergeCell ref="R2909:T2909"/>
    <mergeCell ref="H2910:J2910"/>
    <mergeCell ref="Q2910:S2910"/>
    <mergeCell ref="K2912:M2912"/>
    <mergeCell ref="Q2912:R2912"/>
    <mergeCell ref="T2912:U2912"/>
    <mergeCell ref="AB2912:AC2912"/>
    <mergeCell ref="AE2912:AF2912"/>
    <mergeCell ref="AS2912:AT2912"/>
    <mergeCell ref="AX2912:AY2912"/>
    <mergeCell ref="G2913:I2913"/>
    <mergeCell ref="BW2914:BY2914"/>
    <mergeCell ref="H2915:J2915"/>
    <mergeCell ref="K2916:M2916"/>
    <mergeCell ref="O2916:P2916"/>
    <mergeCell ref="R2916:T2916"/>
    <mergeCell ref="H2917:J2917"/>
    <mergeCell ref="Q2917:S2917"/>
    <mergeCell ref="H2919:J2919"/>
    <mergeCell ref="N2919:O2919"/>
    <mergeCell ref="Q2919:S2919"/>
    <mergeCell ref="U2919:W2919"/>
    <mergeCell ref="Y2919:Z2919"/>
    <mergeCell ref="AB2919:AD2919"/>
    <mergeCell ref="J2892:K2892"/>
    <mergeCell ref="O2892:P2892"/>
    <mergeCell ref="R2892:T2892"/>
    <mergeCell ref="P2894:Q2894"/>
    <mergeCell ref="U2894:V2894"/>
    <mergeCell ref="X2894:Z2894"/>
    <mergeCell ref="H2895:I2895"/>
    <mergeCell ref="K2895:M2895"/>
    <mergeCell ref="R2895:S2895"/>
    <mergeCell ref="W2895:X2895"/>
    <mergeCell ref="Z2895:AB2895"/>
    <mergeCell ref="AD2895:AF2895"/>
    <mergeCell ref="AH2895:AK2895"/>
    <mergeCell ref="H2896:J2896"/>
    <mergeCell ref="N2896:P2896"/>
    <mergeCell ref="T2896:V2896"/>
    <mergeCell ref="X2896:Z2896"/>
    <mergeCell ref="H2897:J2897"/>
    <mergeCell ref="N2897:P2897"/>
    <mergeCell ref="R2897:T2897"/>
    <mergeCell ref="H2899:J2899"/>
    <mergeCell ref="H2900:J2900"/>
    <mergeCell ref="H2901:J2901"/>
    <mergeCell ref="H2902:J2902"/>
    <mergeCell ref="K2904:M2904"/>
    <mergeCell ref="Q2904:R2904"/>
    <mergeCell ref="X2904:Y2904"/>
    <mergeCell ref="AC2904:AD2904"/>
    <mergeCell ref="G2906:I2906"/>
    <mergeCell ref="H2907:J2907"/>
    <mergeCell ref="L2907:N2907"/>
    <mergeCell ref="P2907:Q2907"/>
    <mergeCell ref="S2907:T2907"/>
    <mergeCell ref="X2907:Y2907"/>
    <mergeCell ref="AA2907:AB2907"/>
    <mergeCell ref="AD2907:AE2907"/>
    <mergeCell ref="AG2907:AI2907"/>
    <mergeCell ref="R2886:S2886"/>
    <mergeCell ref="W2886:X2886"/>
    <mergeCell ref="Z2886:AB2886"/>
    <mergeCell ref="AH2886:AI2886"/>
    <mergeCell ref="AK2886:AM2886"/>
    <mergeCell ref="AR2886:AS2886"/>
    <mergeCell ref="AW2886:AY2886"/>
    <mergeCell ref="K2887:M2887"/>
    <mergeCell ref="Q2887:R2887"/>
    <mergeCell ref="T2887:U2887"/>
    <mergeCell ref="Y2887:Z2887"/>
    <mergeCell ref="AB2887:AC2887"/>
    <mergeCell ref="AM2887:AN2887"/>
    <mergeCell ref="AP2887:AR2887"/>
    <mergeCell ref="K2888:M2888"/>
    <mergeCell ref="Q2888:R2888"/>
    <mergeCell ref="T2888:U2888"/>
    <mergeCell ref="Y2888:Z2888"/>
    <mergeCell ref="AB2888:AC2888"/>
    <mergeCell ref="AM2888:AN2888"/>
    <mergeCell ref="AP2888:AR2888"/>
    <mergeCell ref="T2889:U2889"/>
    <mergeCell ref="W2889:Y2889"/>
    <mergeCell ref="AE2889:AF2889"/>
    <mergeCell ref="AH2889:AJ2889"/>
    <mergeCell ref="AQ2889:AS2889"/>
    <mergeCell ref="K2891:M2891"/>
    <mergeCell ref="Q2891:R2891"/>
    <mergeCell ref="T2891:U2891"/>
    <mergeCell ref="Y2891:Z2891"/>
    <mergeCell ref="AB2891:AC2891"/>
    <mergeCell ref="AE2891:AF2891"/>
    <mergeCell ref="AJ2891:AK2891"/>
    <mergeCell ref="AO2891:AP2891"/>
    <mergeCell ref="AT2891:AU2891"/>
    <mergeCell ref="AW2891:AY2891"/>
    <mergeCell ref="AV2878:AW2878"/>
    <mergeCell ref="M2881:O2881"/>
    <mergeCell ref="S2881:T2881"/>
    <mergeCell ref="V2881:W2881"/>
    <mergeCell ref="Y2881:Z2881"/>
    <mergeCell ref="AE2881:AF2881"/>
    <mergeCell ref="AH2881:AI2881"/>
    <mergeCell ref="AK2881:AL2881"/>
    <mergeCell ref="AS2881:AT2881"/>
    <mergeCell ref="AX2881:AY2881"/>
    <mergeCell ref="BA2881:BB2881"/>
    <mergeCell ref="BD2881:BE2881"/>
    <mergeCell ref="BI2881:BJ2881"/>
    <mergeCell ref="M2882:O2882"/>
    <mergeCell ref="S2882:T2882"/>
    <mergeCell ref="V2882:X2882"/>
    <mergeCell ref="Z2882:AB2882"/>
    <mergeCell ref="AF2882:AH2882"/>
    <mergeCell ref="AL2882:AM2882"/>
    <mergeCell ref="N2883:P2883"/>
    <mergeCell ref="T2883:U2883"/>
    <mergeCell ref="Y2883:AA2883"/>
    <mergeCell ref="K2884:M2884"/>
    <mergeCell ref="Q2884:R2884"/>
    <mergeCell ref="T2884:U2884"/>
    <mergeCell ref="Y2884:Z2884"/>
    <mergeCell ref="AB2884:AC2884"/>
    <mergeCell ref="AE2884:AF2884"/>
    <mergeCell ref="AJ2884:AK2884"/>
    <mergeCell ref="AO2884:AP2884"/>
    <mergeCell ref="AT2884:AU2884"/>
    <mergeCell ref="AW2884:AY2884"/>
    <mergeCell ref="K2885:M2885"/>
    <mergeCell ref="Q2885:R2885"/>
    <mergeCell ref="T2885:U2885"/>
    <mergeCell ref="Y2885:Z2885"/>
    <mergeCell ref="AB2885:AC2885"/>
    <mergeCell ref="AM2885:AN2885"/>
    <mergeCell ref="AP2885:AR2885"/>
    <mergeCell ref="Q2869:R2869"/>
    <mergeCell ref="V2869:W2869"/>
    <mergeCell ref="H2870:J2870"/>
    <mergeCell ref="N2870:O2870"/>
    <mergeCell ref="Q2870:R2870"/>
    <mergeCell ref="T2870:V2870"/>
    <mergeCell ref="Z2870:AA2870"/>
    <mergeCell ref="I2872:K2872"/>
    <mergeCell ref="O2872:P2872"/>
    <mergeCell ref="T2872:U2872"/>
    <mergeCell ref="I2873:K2873"/>
    <mergeCell ref="O2873:P2873"/>
    <mergeCell ref="V2873:W2873"/>
    <mergeCell ref="I2874:K2874"/>
    <mergeCell ref="O2874:P2874"/>
    <mergeCell ref="V2874:W2874"/>
    <mergeCell ref="AA2874:AB2874"/>
    <mergeCell ref="I2876:K2876"/>
    <mergeCell ref="O2876:P2876"/>
    <mergeCell ref="R2876:S2876"/>
    <mergeCell ref="W2876:X2876"/>
    <mergeCell ref="Z2876:AA2876"/>
    <mergeCell ref="AC2876:AD2876"/>
    <mergeCell ref="AL2876:AM2876"/>
    <mergeCell ref="I2877:K2877"/>
    <mergeCell ref="O2877:P2877"/>
    <mergeCell ref="R2877:S2877"/>
    <mergeCell ref="Z2877:AA2877"/>
    <mergeCell ref="AC2877:AD2877"/>
    <mergeCell ref="AQ2877:AR2877"/>
    <mergeCell ref="I2878:K2878"/>
    <mergeCell ref="O2878:P2878"/>
    <mergeCell ref="R2878:S2878"/>
    <mergeCell ref="Z2878:AA2878"/>
    <mergeCell ref="AC2878:AD2878"/>
    <mergeCell ref="AQ2878:AR2878"/>
    <mergeCell ref="AU2261:AV2261"/>
    <mergeCell ref="AX2261:AZ2261"/>
    <mergeCell ref="BB2261:BC2261"/>
    <mergeCell ref="O2244:P2244"/>
    <mergeCell ref="R2244:T2244"/>
    <mergeCell ref="X2244:Z2244"/>
    <mergeCell ref="AE2244:AF2244"/>
    <mergeCell ref="AJ2244:AL2244"/>
    <mergeCell ref="E2246:G2246"/>
    <mergeCell ref="E2247:G2247"/>
    <mergeCell ref="U2253:V2253"/>
    <mergeCell ref="X2253:Z2253"/>
    <mergeCell ref="AB2253:AC2253"/>
    <mergeCell ref="AG2253:AI2253"/>
    <mergeCell ref="G2250:I2250"/>
    <mergeCell ref="O2250:Q2250"/>
    <mergeCell ref="E2251:G2251"/>
    <mergeCell ref="M2251:O2251"/>
    <mergeCell ref="E2253:G2253"/>
    <mergeCell ref="N2253:P2253"/>
    <mergeCell ref="AF2212:AG2212"/>
    <mergeCell ref="N2213:O2213"/>
    <mergeCell ref="Q2213:R2213"/>
    <mergeCell ref="T2213:U2213"/>
    <mergeCell ref="E2262:G2262"/>
    <mergeCell ref="H2263:J2263"/>
    <mergeCell ref="L2263:M2263"/>
    <mergeCell ref="O2263:Q2263"/>
    <mergeCell ref="D2264:F2264"/>
    <mergeCell ref="M2264:O2264"/>
    <mergeCell ref="J2227:L2227"/>
    <mergeCell ref="U2227:W2227"/>
    <mergeCell ref="E2228:G2228"/>
    <mergeCell ref="K2228:M2228"/>
    <mergeCell ref="E2229:G2229"/>
    <mergeCell ref="M2229:O2229"/>
    <mergeCell ref="E2230:G2230"/>
    <mergeCell ref="M2230:O2230"/>
    <mergeCell ref="M2232:O2232"/>
    <mergeCell ref="AB2232:AD2232"/>
    <mergeCell ref="E2248:G2248"/>
    <mergeCell ref="U2250:V2250"/>
    <mergeCell ref="S2251:T2251"/>
    <mergeCell ref="D2252:F2252"/>
    <mergeCell ref="I2253:J2253"/>
    <mergeCell ref="R2253:S2253"/>
    <mergeCell ref="R2233:S2233"/>
    <mergeCell ref="Y2261:Z2261"/>
    <mergeCell ref="U2241:W2241"/>
    <mergeCell ref="AD2241:AF2241"/>
    <mergeCell ref="K2242:L2242"/>
    <mergeCell ref="T2242:U2242"/>
    <mergeCell ref="AY2238:AZ2238"/>
    <mergeCell ref="BD2238:BE2238"/>
    <mergeCell ref="BL2238:BM2238"/>
    <mergeCell ref="BQ2238:BS2238"/>
    <mergeCell ref="K2239:L2239"/>
    <mergeCell ref="T2239:U2239"/>
    <mergeCell ref="AD2239:AF2239"/>
    <mergeCell ref="I2238:K2238"/>
    <mergeCell ref="V2238:X2238"/>
    <mergeCell ref="AI2238:AK2238"/>
    <mergeCell ref="AR2238:AT2238"/>
    <mergeCell ref="G2239:I2239"/>
    <mergeCell ref="P2239:R2239"/>
    <mergeCell ref="W2242:X2242"/>
    <mergeCell ref="AB2242:AC2242"/>
    <mergeCell ref="AH2242:AI2242"/>
    <mergeCell ref="AK2242:AM2242"/>
    <mergeCell ref="K2243:L2243"/>
    <mergeCell ref="T2243:U2243"/>
    <mergeCell ref="AD2243:AF2243"/>
    <mergeCell ref="G2240:I2240"/>
    <mergeCell ref="P2240:R2240"/>
    <mergeCell ref="G2242:I2242"/>
    <mergeCell ref="P2242:R2242"/>
    <mergeCell ref="G2243:I2243"/>
    <mergeCell ref="P2243:R2243"/>
    <mergeCell ref="K2240:L2240"/>
    <mergeCell ref="T2240:U2240"/>
    <mergeCell ref="AD2240:AF2240"/>
    <mergeCell ref="O2241:Q2241"/>
    <mergeCell ref="BE2261:BG2261"/>
    <mergeCell ref="BK2261:BM2261"/>
    <mergeCell ref="E2259:G2259"/>
    <mergeCell ref="Q2259:S2259"/>
    <mergeCell ref="AC2259:AE2259"/>
    <mergeCell ref="AK2259:AM2259"/>
    <mergeCell ref="E2261:G2261"/>
    <mergeCell ref="R2261:T2261"/>
    <mergeCell ref="AE2261:AG2261"/>
    <mergeCell ref="AN2261:AP2261"/>
    <mergeCell ref="E2254:G2254"/>
    <mergeCell ref="H2255:J2255"/>
    <mergeCell ref="L2255:M2255"/>
    <mergeCell ref="O2255:Q2255"/>
    <mergeCell ref="D2256:F2256"/>
    <mergeCell ref="M2256:O2256"/>
    <mergeCell ref="K2258:L2258"/>
    <mergeCell ref="W2258:X2258"/>
    <mergeCell ref="AS2258:AT2258"/>
    <mergeCell ref="I2259:J2259"/>
    <mergeCell ref="U2259:V2259"/>
    <mergeCell ref="AQ2259:AR2259"/>
    <mergeCell ref="AT2259:AV2259"/>
    <mergeCell ref="G2258:I2258"/>
    <mergeCell ref="S2258:U2258"/>
    <mergeCell ref="AE2258:AG2258"/>
    <mergeCell ref="AM2258:AO2258"/>
    <mergeCell ref="AZ2259:BB2259"/>
    <mergeCell ref="D2260:F2260"/>
    <mergeCell ref="I2261:J2261"/>
    <mergeCell ref="L2261:M2261"/>
    <mergeCell ref="V2261:W2261"/>
    <mergeCell ref="AI2261:AJ2261"/>
    <mergeCell ref="AR2261:AS2261"/>
    <mergeCell ref="S2230:T2230"/>
    <mergeCell ref="E2232:F2232"/>
    <mergeCell ref="H2232:I2232"/>
    <mergeCell ref="Q2232:R2232"/>
    <mergeCell ref="T2232:U2232"/>
    <mergeCell ref="W2232:X2232"/>
    <mergeCell ref="AF2232:AG2232"/>
    <mergeCell ref="AO2232:AP2232"/>
    <mergeCell ref="I2234:J2234"/>
    <mergeCell ref="U2234:V2234"/>
    <mergeCell ref="I2235:J2235"/>
    <mergeCell ref="U2235:V2235"/>
    <mergeCell ref="AC2235:AE2235"/>
    <mergeCell ref="AK2235:AM2235"/>
    <mergeCell ref="AK2232:AM2232"/>
    <mergeCell ref="AV2232:AX2232"/>
    <mergeCell ref="E2233:G2233"/>
    <mergeCell ref="I2233:J2233"/>
    <mergeCell ref="N2233:P2233"/>
    <mergeCell ref="AQ2235:AR2235"/>
    <mergeCell ref="AC2234:AE2234"/>
    <mergeCell ref="AK2234:AM2234"/>
    <mergeCell ref="E2235:G2235"/>
    <mergeCell ref="Q2235:S2235"/>
    <mergeCell ref="W2233:Y2233"/>
    <mergeCell ref="AC2233:AE2233"/>
    <mergeCell ref="E2234:G2234"/>
    <mergeCell ref="Q2234:S2234"/>
    <mergeCell ref="M2238:N2238"/>
    <mergeCell ref="P2238:Q2238"/>
    <mergeCell ref="Z2238:AA2238"/>
    <mergeCell ref="AC2238:AD2238"/>
    <mergeCell ref="AM2238:AN2238"/>
    <mergeCell ref="AV2238:AW2238"/>
    <mergeCell ref="E2224:F2224"/>
    <mergeCell ref="H2224:J2224"/>
    <mergeCell ref="L2224:M2224"/>
    <mergeCell ref="O2224:Q2224"/>
    <mergeCell ref="U2224:W2224"/>
    <mergeCell ref="AA2224:AC2224"/>
    <mergeCell ref="AG2224:AI2224"/>
    <mergeCell ref="AK2224:AM2224"/>
    <mergeCell ref="AH2225:AJ2225"/>
    <mergeCell ref="AJ2226:AK2226"/>
    <mergeCell ref="AM2226:AN2226"/>
    <mergeCell ref="AP2226:AQ2226"/>
    <mergeCell ref="AS2226:AT2226"/>
    <mergeCell ref="AV2226:AW2226"/>
    <mergeCell ref="AY2226:AZ2226"/>
    <mergeCell ref="BB2226:BC2226"/>
    <mergeCell ref="BE2226:BF2226"/>
    <mergeCell ref="BH2226:BI2226"/>
    <mergeCell ref="BK2226:BL2226"/>
    <mergeCell ref="BN2226:BO2226"/>
    <mergeCell ref="BQ2226:BR2226"/>
    <mergeCell ref="BW2226:BY2226"/>
    <mergeCell ref="E2227:F2227"/>
    <mergeCell ref="N2227:O2227"/>
    <mergeCell ref="AH2227:AJ2227"/>
    <mergeCell ref="AJ2228:AK2228"/>
    <mergeCell ref="AM2228:AN2228"/>
    <mergeCell ref="AP2228:AQ2228"/>
    <mergeCell ref="AS2228:AT2228"/>
    <mergeCell ref="AV2228:AW2228"/>
    <mergeCell ref="AY2228:AZ2228"/>
    <mergeCell ref="BB2228:BC2228"/>
    <mergeCell ref="BE2228:BF2228"/>
    <mergeCell ref="BH2228:BI2228"/>
    <mergeCell ref="BK2228:BL2228"/>
    <mergeCell ref="BN2228:BO2228"/>
    <mergeCell ref="BQ2228:BR2228"/>
    <mergeCell ref="BW2228:BY2228"/>
    <mergeCell ref="F2218:G2218"/>
    <mergeCell ref="I2218:J2218"/>
    <mergeCell ref="L2218:M2218"/>
    <mergeCell ref="O2218:P2218"/>
    <mergeCell ref="R2218:S2218"/>
    <mergeCell ref="U2218:V2218"/>
    <mergeCell ref="X2218:Y2218"/>
    <mergeCell ref="AA2218:AB2218"/>
    <mergeCell ref="AD2218:AE2218"/>
    <mergeCell ref="AG2218:AH2218"/>
    <mergeCell ref="AJ2218:AK2218"/>
    <mergeCell ref="AM2218:AN2218"/>
    <mergeCell ref="AS2218:AU2218"/>
    <mergeCell ref="E2219:G2219"/>
    <mergeCell ref="F2220:G2220"/>
    <mergeCell ref="I2220:J2220"/>
    <mergeCell ref="L2220:M2220"/>
    <mergeCell ref="O2220:P2220"/>
    <mergeCell ref="R2220:S2220"/>
    <mergeCell ref="U2220:V2220"/>
    <mergeCell ref="X2220:Y2220"/>
    <mergeCell ref="AA2220:AB2220"/>
    <mergeCell ref="AD2220:AE2220"/>
    <mergeCell ref="AG2220:AH2220"/>
    <mergeCell ref="AJ2220:AK2220"/>
    <mergeCell ref="AM2220:AN2220"/>
    <mergeCell ref="AS2220:AU2220"/>
    <mergeCell ref="F2221:H2221"/>
    <mergeCell ref="F2222:G2222"/>
    <mergeCell ref="I2222:J2222"/>
    <mergeCell ref="L2222:M2222"/>
    <mergeCell ref="O2222:P2222"/>
    <mergeCell ref="R2222:S2222"/>
    <mergeCell ref="U2222:V2222"/>
    <mergeCell ref="X2222:Y2222"/>
    <mergeCell ref="AA2222:AB2222"/>
    <mergeCell ref="AD2222:AE2222"/>
    <mergeCell ref="AG2222:AH2222"/>
    <mergeCell ref="AJ2222:AK2222"/>
    <mergeCell ref="AM2222:AN2222"/>
    <mergeCell ref="AS2222:AU2222"/>
    <mergeCell ref="D2215:F2215"/>
    <mergeCell ref="F2216:G2216"/>
    <mergeCell ref="I2216:J2216"/>
    <mergeCell ref="L2216:M2216"/>
    <mergeCell ref="O2216:P2216"/>
    <mergeCell ref="R2216:S2216"/>
    <mergeCell ref="U2216:V2216"/>
    <mergeCell ref="X2216:Y2216"/>
    <mergeCell ref="AA2216:AB2216"/>
    <mergeCell ref="AD2216:AE2216"/>
    <mergeCell ref="E2209:F2209"/>
    <mergeCell ref="H2209:I2209"/>
    <mergeCell ref="K2209:L2209"/>
    <mergeCell ref="N2209:P2209"/>
    <mergeCell ref="D2211:F2211"/>
    <mergeCell ref="E2212:F2212"/>
    <mergeCell ref="H2212:I2212"/>
    <mergeCell ref="K2212:L2212"/>
    <mergeCell ref="Q2212:R2212"/>
    <mergeCell ref="T2212:U2212"/>
    <mergeCell ref="W2212:X2212"/>
    <mergeCell ref="Z2212:AA2212"/>
    <mergeCell ref="AC2212:AD2212"/>
    <mergeCell ref="AG2216:AH2216"/>
    <mergeCell ref="AJ2216:AK2216"/>
    <mergeCell ref="AM2216:AN2216"/>
    <mergeCell ref="AS2216:AU2216"/>
    <mergeCell ref="AY2216:AZ2216"/>
    <mergeCell ref="BA2216:BB2216"/>
    <mergeCell ref="BC2216:BD2216"/>
    <mergeCell ref="BE2216:BF2216"/>
    <mergeCell ref="E2217:G2217"/>
    <mergeCell ref="AY2217:AZ2217"/>
    <mergeCell ref="BA2217:BB2217"/>
    <mergeCell ref="AB2189:AC2189"/>
    <mergeCell ref="AG2190:AH2190"/>
    <mergeCell ref="AR2190:AS2190"/>
    <mergeCell ref="I2191:J2191"/>
    <mergeCell ref="BO2191:BP2191"/>
    <mergeCell ref="AM2192:AN2192"/>
    <mergeCell ref="F2193:I2193"/>
    <mergeCell ref="BL2193:BO2193"/>
    <mergeCell ref="F2194:I2194"/>
    <mergeCell ref="BL2194:BO2194"/>
    <mergeCell ref="BG2198:BI2198"/>
    <mergeCell ref="BG2199:BI2199"/>
    <mergeCell ref="E2200:F2200"/>
    <mergeCell ref="H2200:I2200"/>
    <mergeCell ref="K2200:L2200"/>
    <mergeCell ref="N2200:O2200"/>
    <mergeCell ref="Q2200:R2200"/>
    <mergeCell ref="T2200:U2200"/>
    <mergeCell ref="W2200:X2200"/>
    <mergeCell ref="Z2200:AA2200"/>
    <mergeCell ref="AC2200:AD2200"/>
    <mergeCell ref="BG2200:BI2200"/>
    <mergeCell ref="AI2212:AJ2212"/>
    <mergeCell ref="AN2212:AP2212"/>
    <mergeCell ref="E2213:F2213"/>
    <mergeCell ref="H2213:I2213"/>
    <mergeCell ref="K2213:L2213"/>
    <mergeCell ref="W2213:Y2213"/>
    <mergeCell ref="N2212:O2212"/>
    <mergeCell ref="E2201:F2201"/>
    <mergeCell ref="BH2201:BJ2201"/>
    <mergeCell ref="BH2202:BJ2202"/>
    <mergeCell ref="G2203:H2203"/>
    <mergeCell ref="J2203:K2203"/>
    <mergeCell ref="M2203:N2203"/>
    <mergeCell ref="P2203:Q2203"/>
    <mergeCell ref="S2203:T2203"/>
    <mergeCell ref="E2204:F2204"/>
    <mergeCell ref="D2207:F2207"/>
    <mergeCell ref="S2208:U2208"/>
    <mergeCell ref="E2208:F2208"/>
    <mergeCell ref="H2208:I2208"/>
    <mergeCell ref="K2208:L2208"/>
    <mergeCell ref="N2208:O2208"/>
    <mergeCell ref="B2175:CC2175"/>
    <mergeCell ref="AM2178:AN2178"/>
    <mergeCell ref="O2179:T2179"/>
    <mergeCell ref="AH2179:AI2179"/>
    <mergeCell ref="AT2179:AU2179"/>
    <mergeCell ref="BB2179:BG2179"/>
    <mergeCell ref="E2170:G2170"/>
    <mergeCell ref="H2171:J2171"/>
    <mergeCell ref="L2171:M2171"/>
    <mergeCell ref="O2171:Q2171"/>
    <mergeCell ref="D2172:F2172"/>
    <mergeCell ref="M2172:O2172"/>
    <mergeCell ref="BO2169:BQ2169"/>
    <mergeCell ref="E2169:G2169"/>
    <mergeCell ref="R2169:T2169"/>
    <mergeCell ref="AE2169:AG2169"/>
    <mergeCell ref="AR2169:AT2169"/>
    <mergeCell ref="K2160:L2160"/>
    <mergeCell ref="W2160:X2160"/>
    <mergeCell ref="O2142:P2142"/>
    <mergeCell ref="T2142:V2142"/>
    <mergeCell ref="Z2142:AB2142"/>
    <mergeCell ref="AG2142:AH2142"/>
    <mergeCell ref="K2140:L2140"/>
    <mergeCell ref="N2140:O2140"/>
    <mergeCell ref="X2140:Y2140"/>
    <mergeCell ref="C2183:C2185"/>
    <mergeCell ref="BI2183:BI2185"/>
    <mergeCell ref="J2185:K2185"/>
    <mergeCell ref="BP2185:BQ2185"/>
    <mergeCell ref="AM2186:AN2186"/>
    <mergeCell ref="K2188:L2188"/>
    <mergeCell ref="AX2188:AY2188"/>
    <mergeCell ref="BQ2188:BR2188"/>
    <mergeCell ref="E2163:G2163"/>
    <mergeCell ref="H2164:J2164"/>
    <mergeCell ref="L2164:M2164"/>
    <mergeCell ref="O2164:Q2164"/>
    <mergeCell ref="D2165:F2165"/>
    <mergeCell ref="M2165:O2165"/>
    <mergeCell ref="K2167:L2167"/>
    <mergeCell ref="W2167:X2167"/>
    <mergeCell ref="AI2167:AJ2167"/>
    <mergeCell ref="AW2167:AX2167"/>
    <mergeCell ref="E2162:G2162"/>
    <mergeCell ref="R2162:T2162"/>
    <mergeCell ref="AE2162:AG2162"/>
    <mergeCell ref="G2167:I2167"/>
    <mergeCell ref="S2167:U2167"/>
    <mergeCell ref="AE2167:AG2167"/>
    <mergeCell ref="AQ2167:AS2167"/>
    <mergeCell ref="AZ2122:BB2122"/>
    <mergeCell ref="BD2122:BE2122"/>
    <mergeCell ref="BI2122:BK2122"/>
    <mergeCell ref="AC2123:AE2123"/>
    <mergeCell ref="Q2123:S2123"/>
    <mergeCell ref="E2123:G2123"/>
    <mergeCell ref="E2124:G2124"/>
    <mergeCell ref="Q2124:S2124"/>
    <mergeCell ref="AC2124:AE2124"/>
    <mergeCell ref="M2126:O2126"/>
    <mergeCell ref="AB2126:AD2126"/>
    <mergeCell ref="D2168:F2168"/>
    <mergeCell ref="I2169:J2169"/>
    <mergeCell ref="L2169:M2169"/>
    <mergeCell ref="V2169:W2169"/>
    <mergeCell ref="Y2169:Z2169"/>
    <mergeCell ref="AI2169:AJ2169"/>
    <mergeCell ref="AL2169:AM2169"/>
    <mergeCell ref="AV2169:AW2169"/>
    <mergeCell ref="AY2169:AZ2169"/>
    <mergeCell ref="BB2169:BD2169"/>
    <mergeCell ref="BF2169:BG2169"/>
    <mergeCell ref="BI2169:BK2169"/>
    <mergeCell ref="E2156:G2156"/>
    <mergeCell ref="H2157:J2157"/>
    <mergeCell ref="L2157:M2157"/>
    <mergeCell ref="O2157:Q2157"/>
    <mergeCell ref="D2158:F2158"/>
    <mergeCell ref="AO2162:AQ2162"/>
    <mergeCell ref="AS2162:AT2162"/>
    <mergeCell ref="AV2162:AX2162"/>
    <mergeCell ref="BB2162:BD2162"/>
    <mergeCell ref="I2124:J2124"/>
    <mergeCell ref="U2124:V2124"/>
    <mergeCell ref="G2134:I2134"/>
    <mergeCell ref="P2134:R2134"/>
    <mergeCell ref="G2135:I2135"/>
    <mergeCell ref="P2135:R2135"/>
    <mergeCell ref="G2137:I2137"/>
    <mergeCell ref="P2137:R2137"/>
    <mergeCell ref="H2126:I2126"/>
    <mergeCell ref="Q2126:R2126"/>
    <mergeCell ref="T2126:U2126"/>
    <mergeCell ref="W2126:X2126"/>
    <mergeCell ref="AF2126:AG2126"/>
    <mergeCell ref="I2128:J2128"/>
    <mergeCell ref="U2128:V2128"/>
    <mergeCell ref="AN2142:AP2142"/>
    <mergeCell ref="K2143:L2143"/>
    <mergeCell ref="N2143:O2143"/>
    <mergeCell ref="X2143:Y2143"/>
    <mergeCell ref="AA2143:AB2143"/>
    <mergeCell ref="AK2143:AL2143"/>
    <mergeCell ref="AT2143:AV2143"/>
    <mergeCell ref="K2144:L2144"/>
    <mergeCell ref="T2144:U2144"/>
    <mergeCell ref="AC2144:AD2144"/>
    <mergeCell ref="AL2144:AN2144"/>
    <mergeCell ref="G2143:I2143"/>
    <mergeCell ref="T2143:V2143"/>
    <mergeCell ref="AG2143:AI2143"/>
    <mergeCell ref="G2144:I2144"/>
    <mergeCell ref="P2144:R2144"/>
    <mergeCell ref="Y2144:AA2144"/>
    <mergeCell ref="AK2160:AL2160"/>
    <mergeCell ref="D2161:F2161"/>
    <mergeCell ref="I2162:J2162"/>
    <mergeCell ref="L2162:M2162"/>
    <mergeCell ref="V2162:W2162"/>
    <mergeCell ref="Y2162:Z2162"/>
    <mergeCell ref="AI2162:AJ2162"/>
    <mergeCell ref="AL2162:AM2162"/>
    <mergeCell ref="E2155:G2155"/>
    <mergeCell ref="N2155:P2155"/>
    <mergeCell ref="G2160:I2160"/>
    <mergeCell ref="S2160:U2160"/>
    <mergeCell ref="AE2160:AG2160"/>
    <mergeCell ref="O2145:Q2145"/>
    <mergeCell ref="U2145:W2145"/>
    <mergeCell ref="AD2145:AF2145"/>
    <mergeCell ref="E2147:G2147"/>
    <mergeCell ref="E2148:G2148"/>
    <mergeCell ref="E2149:G2149"/>
    <mergeCell ref="E2150:G2150"/>
    <mergeCell ref="E2151:G2151"/>
    <mergeCell ref="U2153:V2153"/>
    <mergeCell ref="D2154:F2154"/>
    <mergeCell ref="I2155:J2155"/>
    <mergeCell ref="R2155:S2155"/>
    <mergeCell ref="U2155:V2155"/>
    <mergeCell ref="X2155:Z2155"/>
    <mergeCell ref="AB2155:AC2155"/>
    <mergeCell ref="AG2155:AI2155"/>
    <mergeCell ref="G2153:I2153"/>
    <mergeCell ref="O2153:Q2153"/>
    <mergeCell ref="M2158:O2158"/>
    <mergeCell ref="BH2132:BI2132"/>
    <mergeCell ref="M2133:N2133"/>
    <mergeCell ref="R2133:T2133"/>
    <mergeCell ref="K2134:L2134"/>
    <mergeCell ref="T2134:U2134"/>
    <mergeCell ref="W2134:X2134"/>
    <mergeCell ref="AB2134:AC2134"/>
    <mergeCell ref="AG2134:AH2134"/>
    <mergeCell ref="AJ2134:AL2134"/>
    <mergeCell ref="K2135:L2135"/>
    <mergeCell ref="T2135:U2135"/>
    <mergeCell ref="AC2135:AE2135"/>
    <mergeCell ref="I2129:J2129"/>
    <mergeCell ref="U2129:V2129"/>
    <mergeCell ref="AG2129:AH2129"/>
    <mergeCell ref="AU2129:AV2129"/>
    <mergeCell ref="M2132:N2132"/>
    <mergeCell ref="P2132:Q2132"/>
    <mergeCell ref="Z2132:AA2132"/>
    <mergeCell ref="AC2132:AD2132"/>
    <mergeCell ref="AM2132:AN2132"/>
    <mergeCell ref="AP2132:AQ2132"/>
    <mergeCell ref="AO2129:AQ2129"/>
    <mergeCell ref="AI2132:AK2132"/>
    <mergeCell ref="AV2132:AX2132"/>
    <mergeCell ref="AK2140:AL2140"/>
    <mergeCell ref="AN2140:AO2140"/>
    <mergeCell ref="AS2140:AT2140"/>
    <mergeCell ref="AZ2140:BA2140"/>
    <mergeCell ref="BE2140:BG2140"/>
    <mergeCell ref="K2141:L2141"/>
    <mergeCell ref="T2141:U2141"/>
    <mergeCell ref="AC2141:AD2141"/>
    <mergeCell ref="AL2141:AN2141"/>
    <mergeCell ref="G2140:I2140"/>
    <mergeCell ref="T2140:V2140"/>
    <mergeCell ref="AG2140:AI2140"/>
    <mergeCell ref="G2141:I2141"/>
    <mergeCell ref="P2141:R2141"/>
    <mergeCell ref="Y2141:AA2141"/>
    <mergeCell ref="O2136:P2136"/>
    <mergeCell ref="R2136:T2136"/>
    <mergeCell ref="X2136:Z2136"/>
    <mergeCell ref="AE2136:AF2136"/>
    <mergeCell ref="AJ2136:AL2136"/>
    <mergeCell ref="K2137:L2137"/>
    <mergeCell ref="T2137:U2137"/>
    <mergeCell ref="AC2137:AE2137"/>
    <mergeCell ref="K2138:L2138"/>
    <mergeCell ref="T2138:U2138"/>
    <mergeCell ref="AC2138:AE2138"/>
    <mergeCell ref="O2139:Q2139"/>
    <mergeCell ref="U2139:W2139"/>
    <mergeCell ref="AD2139:AF2139"/>
    <mergeCell ref="G2138:I2138"/>
    <mergeCell ref="P2138:R2138"/>
    <mergeCell ref="AA2140:AB2140"/>
    <mergeCell ref="E2129:G2129"/>
    <mergeCell ref="Q2129:S2129"/>
    <mergeCell ref="AC2129:AE2129"/>
    <mergeCell ref="I2132:K2132"/>
    <mergeCell ref="V2132:X2132"/>
    <mergeCell ref="BB2126:BD2126"/>
    <mergeCell ref="E2127:G2127"/>
    <mergeCell ref="I2127:J2127"/>
    <mergeCell ref="N2127:P2127"/>
    <mergeCell ref="R2127:S2127"/>
    <mergeCell ref="W2127:Y2127"/>
    <mergeCell ref="AA2127:AB2127"/>
    <mergeCell ref="AF2127:AH2127"/>
    <mergeCell ref="E2128:G2128"/>
    <mergeCell ref="Q2128:S2128"/>
    <mergeCell ref="AC2128:AE2128"/>
    <mergeCell ref="AO2128:AQ2128"/>
    <mergeCell ref="I2123:J2123"/>
    <mergeCell ref="U2123:V2123"/>
    <mergeCell ref="G2112:I2112"/>
    <mergeCell ref="E2113:F2113"/>
    <mergeCell ref="H2113:I2113"/>
    <mergeCell ref="K2113:L2113"/>
    <mergeCell ref="N2113:O2113"/>
    <mergeCell ref="Q2113:R2113"/>
    <mergeCell ref="T2113:U2113"/>
    <mergeCell ref="W2113:X2113"/>
    <mergeCell ref="Z2113:AA2113"/>
    <mergeCell ref="AC2113:AD2113"/>
    <mergeCell ref="AF2113:AG2113"/>
    <mergeCell ref="AI2113:AJ2113"/>
    <mergeCell ref="AL2113:AM2113"/>
    <mergeCell ref="AO2113:AP2113"/>
    <mergeCell ref="AT2113:AV2113"/>
    <mergeCell ref="E2115:F2115"/>
    <mergeCell ref="H2115:J2115"/>
    <mergeCell ref="L2115:M2115"/>
    <mergeCell ref="AZ2132:BA2132"/>
    <mergeCell ref="BC2132:BD2132"/>
    <mergeCell ref="AG2128:AH2128"/>
    <mergeCell ref="AI2124:AJ2124"/>
    <mergeCell ref="E2126:F2126"/>
    <mergeCell ref="AI2126:AJ2126"/>
    <mergeCell ref="AL2126:AM2126"/>
    <mergeCell ref="AU2126:AV2126"/>
    <mergeCell ref="AQ2126:AS2126"/>
    <mergeCell ref="D2106:F2106"/>
    <mergeCell ref="F2107:G2107"/>
    <mergeCell ref="I2107:J2107"/>
    <mergeCell ref="L2107:M2107"/>
    <mergeCell ref="O2107:P2107"/>
    <mergeCell ref="R2107:S2107"/>
    <mergeCell ref="U2107:V2107"/>
    <mergeCell ref="X2107:Y2107"/>
    <mergeCell ref="AA2107:AB2107"/>
    <mergeCell ref="AD2107:AE2107"/>
    <mergeCell ref="AI2107:AK2107"/>
    <mergeCell ref="O2115:Q2115"/>
    <mergeCell ref="U2115:W2115"/>
    <mergeCell ref="AA2115:AC2115"/>
    <mergeCell ref="AG2115:AI2115"/>
    <mergeCell ref="AK2115:AM2115"/>
    <mergeCell ref="AM2122:AO2122"/>
    <mergeCell ref="E2119:G2119"/>
    <mergeCell ref="E2120:G2120"/>
    <mergeCell ref="M2119:O2119"/>
    <mergeCell ref="M2120:O2120"/>
    <mergeCell ref="M2122:O2122"/>
    <mergeCell ref="AB2122:AD2122"/>
    <mergeCell ref="AQ2122:AS2122"/>
    <mergeCell ref="AU2122:AV2122"/>
    <mergeCell ref="J2118:L2118"/>
    <mergeCell ref="U2118:W2118"/>
    <mergeCell ref="Y2118:AA2118"/>
    <mergeCell ref="AE2118:AG2118"/>
    <mergeCell ref="F2108:H2108"/>
    <mergeCell ref="E2109:F2109"/>
    <mergeCell ref="H2109:I2109"/>
    <mergeCell ref="K2109:L2109"/>
    <mergeCell ref="N2109:O2109"/>
    <mergeCell ref="Q2109:R2109"/>
    <mergeCell ref="T2109:U2109"/>
    <mergeCell ref="W2109:X2109"/>
    <mergeCell ref="Z2109:AA2109"/>
    <mergeCell ref="AC2109:AD2109"/>
    <mergeCell ref="AH2109:AJ2109"/>
    <mergeCell ref="F2110:H2110"/>
    <mergeCell ref="E2111:F2111"/>
    <mergeCell ref="H2111:I2111"/>
    <mergeCell ref="K2111:L2111"/>
    <mergeCell ref="N2111:O2111"/>
    <mergeCell ref="S2111:U2111"/>
    <mergeCell ref="E2118:F2118"/>
    <mergeCell ref="N2118:O2118"/>
    <mergeCell ref="S2120:T2120"/>
    <mergeCell ref="E2122:F2122"/>
    <mergeCell ref="H2122:I2122"/>
    <mergeCell ref="Q2122:R2122"/>
    <mergeCell ref="T2122:U2122"/>
    <mergeCell ref="W2122:X2122"/>
    <mergeCell ref="AF2122:AG2122"/>
    <mergeCell ref="E2099:F2099"/>
    <mergeCell ref="H2099:I2099"/>
    <mergeCell ref="K2099:L2099"/>
    <mergeCell ref="N2099:O2099"/>
    <mergeCell ref="Q2099:R2099"/>
    <mergeCell ref="T2099:U2099"/>
    <mergeCell ref="W2099:X2099"/>
    <mergeCell ref="Z2099:AA2099"/>
    <mergeCell ref="AC2099:AD2099"/>
    <mergeCell ref="AH2099:AJ2099"/>
    <mergeCell ref="E2100:F2100"/>
    <mergeCell ref="H2100:I2100"/>
    <mergeCell ref="K2100:L2100"/>
    <mergeCell ref="N2100:O2100"/>
    <mergeCell ref="Q2100:R2100"/>
    <mergeCell ref="T2100:V2100"/>
    <mergeCell ref="D2102:F2102"/>
    <mergeCell ref="E2103:F2103"/>
    <mergeCell ref="H2103:I2103"/>
    <mergeCell ref="K2103:L2103"/>
    <mergeCell ref="N2103:O2103"/>
    <mergeCell ref="Q2103:R2103"/>
    <mergeCell ref="T2103:U2103"/>
    <mergeCell ref="W2103:X2103"/>
    <mergeCell ref="Z2103:AA2103"/>
    <mergeCell ref="AC2103:AD2103"/>
    <mergeCell ref="AF2103:AG2103"/>
    <mergeCell ref="AI2103:AJ2103"/>
    <mergeCell ref="AL2103:AM2103"/>
    <mergeCell ref="AO2103:AP2103"/>
    <mergeCell ref="AT2103:AV2103"/>
    <mergeCell ref="E2104:F2104"/>
    <mergeCell ref="H2104:I2104"/>
    <mergeCell ref="K2104:L2104"/>
    <mergeCell ref="N2104:O2104"/>
    <mergeCell ref="Q2104:R2104"/>
    <mergeCell ref="T2104:U2104"/>
    <mergeCell ref="W2104:X2104"/>
    <mergeCell ref="Z2104:AB2104"/>
    <mergeCell ref="K2077:L2077"/>
    <mergeCell ref="S2077:T2077"/>
    <mergeCell ref="AA2077:AB2077"/>
    <mergeCell ref="S2079:T2079"/>
    <mergeCell ref="E2087:F2087"/>
    <mergeCell ref="H2087:I2087"/>
    <mergeCell ref="K2087:L2087"/>
    <mergeCell ref="N2087:O2087"/>
    <mergeCell ref="Q2087:R2087"/>
    <mergeCell ref="T2087:U2087"/>
    <mergeCell ref="W2087:X2087"/>
    <mergeCell ref="Z2087:AA2087"/>
    <mergeCell ref="AC2087:AD2087"/>
    <mergeCell ref="AF2087:AG2087"/>
    <mergeCell ref="E2088:F2088"/>
    <mergeCell ref="G2090:H2090"/>
    <mergeCell ref="J2090:K2090"/>
    <mergeCell ref="M2090:N2090"/>
    <mergeCell ref="P2090:Q2090"/>
    <mergeCell ref="S2090:T2090"/>
    <mergeCell ref="V2090:W2090"/>
    <mergeCell ref="E2091:F2091"/>
    <mergeCell ref="D2094:F2094"/>
    <mergeCell ref="E2095:F2095"/>
    <mergeCell ref="H2095:I2095"/>
    <mergeCell ref="K2095:L2095"/>
    <mergeCell ref="N2095:O2095"/>
    <mergeCell ref="S2095:U2095"/>
    <mergeCell ref="E2096:F2096"/>
    <mergeCell ref="H2096:I2096"/>
    <mergeCell ref="K2096:L2096"/>
    <mergeCell ref="N2096:P2096"/>
    <mergeCell ref="D2098:F2098"/>
    <mergeCell ref="AE1601:AF1601"/>
    <mergeCell ref="E1602:F1602"/>
    <mergeCell ref="H1602:J1602"/>
    <mergeCell ref="N1602:O1602"/>
    <mergeCell ref="U1602:V1602"/>
    <mergeCell ref="D1603:F1603"/>
    <mergeCell ref="U1579:V1579"/>
    <mergeCell ref="M1599:N1599"/>
    <mergeCell ref="P1599:Q1599"/>
    <mergeCell ref="U1599:W1599"/>
    <mergeCell ref="Y1599:AA1599"/>
    <mergeCell ref="AC1599:AD1599"/>
    <mergeCell ref="AF1599:AG1599"/>
    <mergeCell ref="AI1599:AJ1599"/>
    <mergeCell ref="AV1599:AX1599"/>
    <mergeCell ref="I1600:J1600"/>
    <mergeCell ref="L1600:N1600"/>
    <mergeCell ref="R1600:S1600"/>
    <mergeCell ref="U1600:V1600"/>
    <mergeCell ref="B2064:CC2064"/>
    <mergeCell ref="S2067:T2067"/>
    <mergeCell ref="K2068:L2068"/>
    <mergeCell ref="AA2068:AB2068"/>
    <mergeCell ref="AN2070:AP2070"/>
    <mergeCell ref="AV1887:AV1889"/>
    <mergeCell ref="BC1889:BD1889"/>
    <mergeCell ref="BD1892:BE1892"/>
    <mergeCell ref="BB1895:BC1895"/>
    <mergeCell ref="AG1600:AH1600"/>
    <mergeCell ref="N1675:O1675"/>
    <mergeCell ref="Q1675:R1675"/>
    <mergeCell ref="T1675:U1675"/>
    <mergeCell ref="J1678:K1678"/>
    <mergeCell ref="M1678:N1678"/>
    <mergeCell ref="Q1685:R1685"/>
    <mergeCell ref="G1685:H1685"/>
    <mergeCell ref="L1686:M1686"/>
    <mergeCell ref="P1968:R1968"/>
    <mergeCell ref="T1968:U1968"/>
    <mergeCell ref="Q1813:R1813"/>
    <mergeCell ref="W1813:Y1813"/>
    <mergeCell ref="AA1813:AB1813"/>
    <mergeCell ref="AD1813:AE1813"/>
    <mergeCell ref="AQ1813:AS1813"/>
    <mergeCell ref="J1814:L1814"/>
    <mergeCell ref="N1814:O1814"/>
    <mergeCell ref="Q1814:R1814"/>
    <mergeCell ref="V1814:X1814"/>
    <mergeCell ref="Z1814:AA1814"/>
    <mergeCell ref="AC1814:AD1814"/>
    <mergeCell ref="AI1814:AK1814"/>
    <mergeCell ref="AM1814:AN1814"/>
    <mergeCell ref="J1787:K1787"/>
    <mergeCell ref="M1787:N1787"/>
    <mergeCell ref="R1787:S1787"/>
    <mergeCell ref="G1788:H1788"/>
    <mergeCell ref="L1788:M1788"/>
    <mergeCell ref="Q1788:R1788"/>
    <mergeCell ref="T1788:U1788"/>
    <mergeCell ref="Y1788:Z1788"/>
    <mergeCell ref="K1790:L1790"/>
    <mergeCell ref="Q1790:R1790"/>
    <mergeCell ref="W1790:X1790"/>
    <mergeCell ref="AD1790:AE1790"/>
    <mergeCell ref="BF1588:BH1588"/>
    <mergeCell ref="C1589:D1589"/>
    <mergeCell ref="F1589:H1589"/>
    <mergeCell ref="L1589:M1589"/>
    <mergeCell ref="C1591:D1591"/>
    <mergeCell ref="F1591:H1591"/>
    <mergeCell ref="K1591:L1591"/>
    <mergeCell ref="R1591:S1591"/>
    <mergeCell ref="AE1591:AF1591"/>
    <mergeCell ref="C1594:D1594"/>
    <mergeCell ref="F1594:H1594"/>
    <mergeCell ref="S1594:T1594"/>
    <mergeCell ref="V1594:X1594"/>
    <mergeCell ref="AC1594:AD1594"/>
    <mergeCell ref="AF1594:AH1594"/>
    <mergeCell ref="C1592:D1592"/>
    <mergeCell ref="F1592:H1592"/>
    <mergeCell ref="X1592:Y1592"/>
    <mergeCell ref="AC1592:AD1592"/>
    <mergeCell ref="AF1592:AH1592"/>
    <mergeCell ref="C1593:D1593"/>
    <mergeCell ref="F1593:H1593"/>
    <mergeCell ref="AB1593:AC1593"/>
    <mergeCell ref="AE1593:AG1593"/>
    <mergeCell ref="AK1594:AL1594"/>
    <mergeCell ref="AN1594:AP1594"/>
    <mergeCell ref="BA1594:BC1594"/>
    <mergeCell ref="W1587:X1587"/>
    <mergeCell ref="K1584:L1584"/>
    <mergeCell ref="Q1584:R1584"/>
    <mergeCell ref="C1595:D1595"/>
    <mergeCell ref="F1595:H1595"/>
    <mergeCell ref="L1595:M1595"/>
    <mergeCell ref="S1595:T1595"/>
    <mergeCell ref="X1584:Y1584"/>
    <mergeCell ref="AE1587:AF1587"/>
    <mergeCell ref="AL1587:AM1587"/>
    <mergeCell ref="AQ1587:AS1587"/>
    <mergeCell ref="AY1587:BA1587"/>
    <mergeCell ref="AO1591:AP1591"/>
    <mergeCell ref="AW1591:AX1591"/>
    <mergeCell ref="V1595:X1595"/>
    <mergeCell ref="Z1595:AA1595"/>
    <mergeCell ref="U1589:V1589"/>
    <mergeCell ref="AC1589:AD1589"/>
    <mergeCell ref="AF1589:AG1589"/>
    <mergeCell ref="AM1589:AO1589"/>
    <mergeCell ref="AQ1589:AS1589"/>
    <mergeCell ref="AW1589:AX1589"/>
    <mergeCell ref="AX1594:AY1594"/>
    <mergeCell ref="AY1604:BA1604"/>
    <mergeCell ref="U1596:W1596"/>
    <mergeCell ref="AA1596:AB1596"/>
    <mergeCell ref="V1604:W1604"/>
    <mergeCell ref="Y1604:AA1604"/>
    <mergeCell ref="AC1604:AD1604"/>
    <mergeCell ref="AF1604:AG1604"/>
    <mergeCell ref="BC1588:BD1588"/>
    <mergeCell ref="AH1576:AK1576"/>
    <mergeCell ref="E1586:F1586"/>
    <mergeCell ref="T1586:U1586"/>
    <mergeCell ref="AB1586:AC1586"/>
    <mergeCell ref="K1587:L1587"/>
    <mergeCell ref="R1587:S1587"/>
    <mergeCell ref="H1583:I1583"/>
    <mergeCell ref="AT1593:AU1593"/>
    <mergeCell ref="AW1593:AY1593"/>
    <mergeCell ref="C1588:D1588"/>
    <mergeCell ref="F1588:H1588"/>
    <mergeCell ref="U1588:V1588"/>
    <mergeCell ref="X1588:Z1588"/>
    <mergeCell ref="AL1588:AM1588"/>
    <mergeCell ref="AO1588:AQ1588"/>
    <mergeCell ref="F1577:G1577"/>
    <mergeCell ref="K1577:L1577"/>
    <mergeCell ref="P1577:Q1577"/>
    <mergeCell ref="E1578:F1578"/>
    <mergeCell ref="H1578:I1578"/>
    <mergeCell ref="M1578:N1578"/>
    <mergeCell ref="R1578:S1578"/>
    <mergeCell ref="V1578:W1578"/>
    <mergeCell ref="E1579:F1579"/>
    <mergeCell ref="H1579:I1579"/>
    <mergeCell ref="K1579:L1579"/>
    <mergeCell ref="P1579:Q1579"/>
    <mergeCell ref="H1580:I1580"/>
    <mergeCell ref="M1580:N1580"/>
    <mergeCell ref="J1581:K1581"/>
    <mergeCell ref="O1581:P1581"/>
    <mergeCell ref="C1587:D1587"/>
    <mergeCell ref="G1597:H1597"/>
    <mergeCell ref="J1597:L1597"/>
    <mergeCell ref="P1597:Q1597"/>
    <mergeCell ref="W1597:X1597"/>
    <mergeCell ref="Z1597:AB1597"/>
    <mergeCell ref="AD1597:AE1597"/>
    <mergeCell ref="G1596:H1596"/>
    <mergeCell ref="J1596:K1596"/>
    <mergeCell ref="Q1596:S1596"/>
    <mergeCell ref="J1599:K1599"/>
    <mergeCell ref="E1605:G1605"/>
    <mergeCell ref="H1606:J1606"/>
    <mergeCell ref="L1606:M1606"/>
    <mergeCell ref="AX1673:AY1673"/>
    <mergeCell ref="AR1679:AS1679"/>
    <mergeCell ref="AV1700:AY1700"/>
    <mergeCell ref="AM1682:AN1682"/>
    <mergeCell ref="AR1674:AS1674"/>
    <mergeCell ref="BM1690:BM1692"/>
    <mergeCell ref="AW1694:BA1694"/>
    <mergeCell ref="BW1689:BW1690"/>
    <mergeCell ref="BW1691:BW1693"/>
    <mergeCell ref="BR1695:BS1695"/>
    <mergeCell ref="BQ1697:BU1697"/>
    <mergeCell ref="O1606:Q1606"/>
    <mergeCell ref="D1607:F1607"/>
    <mergeCell ref="M1607:O1607"/>
    <mergeCell ref="E1604:F1604"/>
    <mergeCell ref="E1675:F1675"/>
    <mergeCell ref="H1675:I1675"/>
    <mergeCell ref="K1675:L1675"/>
    <mergeCell ref="E1676:G1676"/>
    <mergeCell ref="G1678:H1678"/>
    <mergeCell ref="E1679:G1679"/>
    <mergeCell ref="H1604:J1604"/>
    <mergeCell ref="N1604:O1604"/>
    <mergeCell ref="Q1604:R1604"/>
    <mergeCell ref="Z1600:AA1600"/>
    <mergeCell ref="AC1600:AE1600"/>
    <mergeCell ref="L2978:N2978"/>
    <mergeCell ref="P2978:Q2978"/>
    <mergeCell ref="S2978:U2978"/>
    <mergeCell ref="BJ2963:BL2963"/>
    <mergeCell ref="BJ2964:BL2964"/>
    <mergeCell ref="BJ2968:BM2968"/>
    <mergeCell ref="AZ2969:BA2969"/>
    <mergeCell ref="AU2973:AW2973"/>
    <mergeCell ref="BA2973:BC2973"/>
    <mergeCell ref="BG2973:BI2973"/>
    <mergeCell ref="BK2973:BM2973"/>
    <mergeCell ref="X2964:Z2964"/>
    <mergeCell ref="X2965:Z2965"/>
    <mergeCell ref="X2966:Z2966"/>
    <mergeCell ref="BA2953:BC2953"/>
    <mergeCell ref="BO2976:BQ2976"/>
    <mergeCell ref="AU2977:AW2977"/>
    <mergeCell ref="N2961:O2961"/>
    <mergeCell ref="AJ1600:AK1600"/>
    <mergeCell ref="AL1604:AN1604"/>
    <mergeCell ref="AP1604:AQ1604"/>
    <mergeCell ref="AS1604:AU1604"/>
    <mergeCell ref="X1602:Z1602"/>
    <mergeCell ref="AB1602:AC1602"/>
    <mergeCell ref="AJ1602:AL1602"/>
    <mergeCell ref="AP1602:AR1602"/>
    <mergeCell ref="BC1604:BE1604"/>
    <mergeCell ref="AZ2938:BA2938"/>
    <mergeCell ref="BD1600:BF1600"/>
    <mergeCell ref="H1601:I1601"/>
    <mergeCell ref="K1601:M1601"/>
    <mergeCell ref="Q1601:R1601"/>
    <mergeCell ref="X1601:Y1601"/>
    <mergeCell ref="AA1601:AC1601"/>
    <mergeCell ref="BO2950:BQ2950"/>
    <mergeCell ref="AX2955:AZ2955"/>
    <mergeCell ref="AU2951:AW2951"/>
    <mergeCell ref="AU2953:AV2953"/>
    <mergeCell ref="BO2973:BQ2973"/>
    <mergeCell ref="BJ2966:BL2966"/>
    <mergeCell ref="BF2959:BG2959"/>
    <mergeCell ref="BG2953:BI2953"/>
    <mergeCell ref="BK2953:BM2953"/>
    <mergeCell ref="BB2955:BC2955"/>
    <mergeCell ref="BE2955:BG2955"/>
    <mergeCell ref="AT2956:AV2956"/>
    <mergeCell ref="AU2974:AW2974"/>
    <mergeCell ref="AX2978:AZ2978"/>
    <mergeCell ref="BB2978:BC2978"/>
    <mergeCell ref="BE2978:BG2978"/>
    <mergeCell ref="BO2953:BQ2953"/>
    <mergeCell ref="AT2979:AV2979"/>
    <mergeCell ref="BJ2965:BL2965"/>
    <mergeCell ref="M2950:O2950"/>
    <mergeCell ref="S2950:U2950"/>
    <mergeCell ref="W2950:Y2950"/>
    <mergeCell ref="AA2950:AC2950"/>
    <mergeCell ref="I2951:K2951"/>
    <mergeCell ref="L2955:N2955"/>
    <mergeCell ref="P2955:Q2955"/>
    <mergeCell ref="S2955:U2955"/>
    <mergeCell ref="P2956:R2956"/>
    <mergeCell ref="Y2956:AA2956"/>
    <mergeCell ref="T2960:U2960"/>
    <mergeCell ref="N2938:O2938"/>
    <mergeCell ref="I2953:J2953"/>
    <mergeCell ref="L2953:N2953"/>
    <mergeCell ref="R2953:T2953"/>
    <mergeCell ref="V2953:X2953"/>
    <mergeCell ref="Z2953:AB2953"/>
    <mergeCell ref="L2956:N2956"/>
    <mergeCell ref="I2973:K2973"/>
    <mergeCell ref="O2973:Q2973"/>
    <mergeCell ref="U2973:W2973"/>
    <mergeCell ref="AX2956:AZ2956"/>
    <mergeCell ref="BB2956:BD2956"/>
    <mergeCell ref="BK2956:BM2956"/>
    <mergeCell ref="AU2954:AW2954"/>
    <mergeCell ref="I2954:K2954"/>
    <mergeCell ref="H2956:J2956"/>
    <mergeCell ref="Y2973:AA2973"/>
    <mergeCell ref="AC2973:AE2973"/>
    <mergeCell ref="I2974:K2974"/>
    <mergeCell ref="AC1958:AE1958"/>
    <mergeCell ref="M1959:O1959"/>
    <mergeCell ref="M1960:O1960"/>
    <mergeCell ref="I1956:J1956"/>
    <mergeCell ref="J1962:M1962"/>
    <mergeCell ref="O1962:P1962"/>
    <mergeCell ref="R1962:U1962"/>
    <mergeCell ref="W1962:Y1962"/>
    <mergeCell ref="AC1962:AE1962"/>
    <mergeCell ref="G1983:I1983"/>
    <mergeCell ref="E1984:G1984"/>
    <mergeCell ref="M1984:O1984"/>
    <mergeCell ref="O1973:Q1973"/>
    <mergeCell ref="K1968:L1968"/>
    <mergeCell ref="W1968:Y1968"/>
    <mergeCell ref="O1970:Q1970"/>
    <mergeCell ref="AA1972:AC1972"/>
    <mergeCell ref="L2979:N2979"/>
    <mergeCell ref="P2979:R2979"/>
    <mergeCell ref="Y2979:AA2979"/>
    <mergeCell ref="AU2976:AV2976"/>
    <mergeCell ref="BA2976:BC2976"/>
    <mergeCell ref="BG2976:BI2976"/>
    <mergeCell ref="BK2976:BM2976"/>
    <mergeCell ref="X2968:AA2968"/>
    <mergeCell ref="N2969:O2969"/>
    <mergeCell ref="H2979:J2979"/>
    <mergeCell ref="I2976:J2976"/>
    <mergeCell ref="O2976:Q2976"/>
    <mergeCell ref="U2976:W2976"/>
    <mergeCell ref="Y2976:AA2976"/>
    <mergeCell ref="AC2976:AE2976"/>
    <mergeCell ref="I2977:K2977"/>
    <mergeCell ref="T2937:U2937"/>
    <mergeCell ref="X2941:Z2941"/>
    <mergeCell ref="X2944:AA2944"/>
    <mergeCell ref="N2946:O2946"/>
    <mergeCell ref="I2950:K2950"/>
    <mergeCell ref="AX2979:AZ2979"/>
    <mergeCell ref="BB2979:BD2979"/>
    <mergeCell ref="BK2979:BM2979"/>
    <mergeCell ref="AZ2960:BA2960"/>
    <mergeCell ref="BF2937:BG2937"/>
    <mergeCell ref="BJ2941:BL2941"/>
    <mergeCell ref="BJ2942:BL2942"/>
    <mergeCell ref="AU2950:AW2950"/>
    <mergeCell ref="BA2950:BC2950"/>
    <mergeCell ref="AZ2946:BA2946"/>
    <mergeCell ref="BG2950:BI2950"/>
    <mergeCell ref="BJ2944:BM2944"/>
    <mergeCell ref="BK2950:BM2950"/>
    <mergeCell ref="B2933:CC2933"/>
    <mergeCell ref="M2001:R2001"/>
    <mergeCell ref="AN2071:AP2071"/>
    <mergeCell ref="AO2072:AQ2072"/>
    <mergeCell ref="K2073:M2073"/>
    <mergeCell ref="AA2073:AC2073"/>
    <mergeCell ref="I2074:N2074"/>
    <mergeCell ref="S2074:U2074"/>
    <mergeCell ref="Y2074:AD2074"/>
    <mergeCell ref="G2075:H2075"/>
    <mergeCell ref="Q2075:V2075"/>
    <mergeCell ref="AE2075:AF2075"/>
    <mergeCell ref="AN2075:AQ2075"/>
    <mergeCell ref="D1985:F1985"/>
    <mergeCell ref="E1986:G1986"/>
    <mergeCell ref="I1986:J1986"/>
    <mergeCell ref="N1986:P1986"/>
    <mergeCell ref="R1986:S1986"/>
    <mergeCell ref="AD1986:AF1986"/>
    <mergeCell ref="AJ1986:AM1986"/>
    <mergeCell ref="E1987:G1987"/>
    <mergeCell ref="H1988:J1988"/>
    <mergeCell ref="L1988:M1988"/>
    <mergeCell ref="O1988:Q1988"/>
    <mergeCell ref="D1989:F1989"/>
    <mergeCell ref="M1989:O1989"/>
    <mergeCell ref="W1986:Y1986"/>
    <mergeCell ref="AA1986:AB1986"/>
    <mergeCell ref="G1975:I1975"/>
    <mergeCell ref="E1976:G1976"/>
    <mergeCell ref="M1976:O1976"/>
    <mergeCell ref="D1977:F1977"/>
    <mergeCell ref="E1978:G1978"/>
    <mergeCell ref="I1978:J1978"/>
    <mergeCell ref="N1978:P1978"/>
    <mergeCell ref="R1978:S1978"/>
    <mergeCell ref="Y1978:AB1978"/>
    <mergeCell ref="E1979:G1979"/>
    <mergeCell ref="H1980:J1980"/>
    <mergeCell ref="L1980:M1980"/>
    <mergeCell ref="O1980:Q1980"/>
    <mergeCell ref="D1981:F1981"/>
    <mergeCell ref="M1981:O1981"/>
    <mergeCell ref="P1971:R1971"/>
    <mergeCell ref="T1971:U1971"/>
    <mergeCell ref="Y1971:AA1971"/>
    <mergeCell ref="O1975:Q1975"/>
    <mergeCell ref="O1983:Q1983"/>
    <mergeCell ref="U1984:W1984"/>
    <mergeCell ref="AA1984:AC1984"/>
    <mergeCell ref="AA1939:AB1939"/>
    <mergeCell ref="BD1940:BD1941"/>
    <mergeCell ref="BL1941:BL1942"/>
    <mergeCell ref="BD1942:BD1944"/>
    <mergeCell ref="AT1943:AU1943"/>
    <mergeCell ref="BL1943:BL1945"/>
    <mergeCell ref="BA1946:BB1946"/>
    <mergeCell ref="AU1763:AV1763"/>
    <mergeCell ref="E1900:F1900"/>
    <mergeCell ref="H1900:I1900"/>
    <mergeCell ref="E1901:F1901"/>
    <mergeCell ref="H1901:I1901"/>
    <mergeCell ref="K1901:L1901"/>
    <mergeCell ref="AA1901:AB1901"/>
    <mergeCell ref="E1903:F1903"/>
    <mergeCell ref="Z1915:AB1915"/>
    <mergeCell ref="G1916:I1916"/>
    <mergeCell ref="K1916:L1916"/>
    <mergeCell ref="P1916:R1916"/>
    <mergeCell ref="T1916:U1916"/>
    <mergeCell ref="G1914:I1914"/>
    <mergeCell ref="K1914:L1914"/>
    <mergeCell ref="BA1931:BD1931"/>
    <mergeCell ref="B1771:CC1771"/>
    <mergeCell ref="E1773:F1773"/>
    <mergeCell ref="BN1773:BO1773"/>
    <mergeCell ref="AH1774:AH1775"/>
    <mergeCell ref="AR1775:AR1776"/>
    <mergeCell ref="AH1776:AH1778"/>
    <mergeCell ref="X1777:Y1777"/>
    <mergeCell ref="AR1777:AR1779"/>
    <mergeCell ref="P1972:R1972"/>
    <mergeCell ref="G1968:I1968"/>
    <mergeCell ref="G1971:I1971"/>
    <mergeCell ref="AQ1949:AR1949"/>
    <mergeCell ref="BI1765:BK1765"/>
    <mergeCell ref="K1971:L1971"/>
    <mergeCell ref="K1972:L1972"/>
    <mergeCell ref="T1972:U1972"/>
    <mergeCell ref="J1958:M1958"/>
    <mergeCell ref="W1958:Y1958"/>
    <mergeCell ref="E1959:G1959"/>
    <mergeCell ref="E1960:G1960"/>
    <mergeCell ref="E1963:G1963"/>
    <mergeCell ref="E1964:G1964"/>
    <mergeCell ref="E1763:F1763"/>
    <mergeCell ref="L1763:M1763"/>
    <mergeCell ref="O1763:P1763"/>
    <mergeCell ref="X1763:Y1763"/>
    <mergeCell ref="AE1763:AF1763"/>
    <mergeCell ref="AI1763:AJ1763"/>
    <mergeCell ref="AP1763:AQ1763"/>
    <mergeCell ref="AX1763:AZ1763"/>
    <mergeCell ref="BD1763:BF1763"/>
    <mergeCell ref="BA1948:BE1948"/>
    <mergeCell ref="BI1948:BJ1948"/>
    <mergeCell ref="I1955:J1955"/>
    <mergeCell ref="T1956:U1956"/>
    <mergeCell ref="N1956:O1956"/>
    <mergeCell ref="Q1956:R1956"/>
    <mergeCell ref="Y1956:Z1956"/>
    <mergeCell ref="AD1956:AE1956"/>
    <mergeCell ref="O1958:P1958"/>
    <mergeCell ref="R1958:U1958"/>
    <mergeCell ref="BA1897:BD1897"/>
    <mergeCell ref="AL1898:AO1898"/>
    <mergeCell ref="D1764:F1764"/>
    <mergeCell ref="E1765:F1765"/>
    <mergeCell ref="H1765:I1765"/>
    <mergeCell ref="M1765:N1765"/>
    <mergeCell ref="P1765:Q1765"/>
    <mergeCell ref="S1765:T1765"/>
    <mergeCell ref="Z1765:AA1765"/>
    <mergeCell ref="AC1765:AD1765"/>
    <mergeCell ref="AH1765:AI1765"/>
    <mergeCell ref="AL1765:AM1765"/>
    <mergeCell ref="AO1765:AP1765"/>
    <mergeCell ref="AT1765:AU1765"/>
    <mergeCell ref="BB1765:BD1765"/>
    <mergeCell ref="BO1765:BQ1765"/>
    <mergeCell ref="BS1765:BU1765"/>
    <mergeCell ref="E1766:G1766"/>
    <mergeCell ref="H1767:J1767"/>
    <mergeCell ref="L1767:M1767"/>
    <mergeCell ref="O1767:Q1767"/>
    <mergeCell ref="D1768:F1768"/>
    <mergeCell ref="M1768:O1768"/>
    <mergeCell ref="AS1777:AS1779"/>
    <mergeCell ref="AE1780:AI1780"/>
    <mergeCell ref="AX1780:AY1780"/>
    <mergeCell ref="BN1780:BO1780"/>
    <mergeCell ref="AN1782:AR1782"/>
    <mergeCell ref="U1783:V1783"/>
    <mergeCell ref="M1784:N1784"/>
    <mergeCell ref="AD1784:AG1784"/>
    <mergeCell ref="G1787:H1787"/>
    <mergeCell ref="B1937:CC1937"/>
    <mergeCell ref="I1792:J1792"/>
    <mergeCell ref="O1793:P1793"/>
    <mergeCell ref="U1793:V1793"/>
    <mergeCell ref="AB1793:AC1793"/>
    <mergeCell ref="J1813:L1813"/>
    <mergeCell ref="N1813:O1813"/>
    <mergeCell ref="E1795:F1795"/>
    <mergeCell ref="L1795:M1795"/>
    <mergeCell ref="F1796:G1796"/>
    <mergeCell ref="U1796:V1796"/>
    <mergeCell ref="AD1796:AE1796"/>
    <mergeCell ref="D1797:E1797"/>
    <mergeCell ref="L1797:M1797"/>
    <mergeCell ref="D1798:E1798"/>
    <mergeCell ref="G1798:H1798"/>
    <mergeCell ref="D1799:E1799"/>
    <mergeCell ref="G1799:H1799"/>
    <mergeCell ref="D1800:E1800"/>
    <mergeCell ref="G1800:H1800"/>
    <mergeCell ref="N1800:O1800"/>
    <mergeCell ref="Z1800:AA1800"/>
    <mergeCell ref="D1801:F1801"/>
    <mergeCell ref="H1801:I1801"/>
    <mergeCell ref="K1801:L1801"/>
    <mergeCell ref="S1801:T1801"/>
    <mergeCell ref="V1801:W1801"/>
    <mergeCell ref="D1802:F1802"/>
    <mergeCell ref="H1802:I1802"/>
    <mergeCell ref="P1802:R1802"/>
    <mergeCell ref="T1802:U1802"/>
    <mergeCell ref="F1804:H1804"/>
    <mergeCell ref="AX1762:AY1762"/>
    <mergeCell ref="BF1761:BH1761"/>
    <mergeCell ref="BJ1761:BK1761"/>
    <mergeCell ref="AJ1755:AK1755"/>
    <mergeCell ref="AQ1755:AR1755"/>
    <mergeCell ref="AU1755:AV1755"/>
    <mergeCell ref="C1756:D1756"/>
    <mergeCell ref="J1756:K1756"/>
    <mergeCell ref="M1756:N1756"/>
    <mergeCell ref="V1756:W1756"/>
    <mergeCell ref="AC1756:AD1756"/>
    <mergeCell ref="AG1756:AH1756"/>
    <mergeCell ref="AN1756:AO1756"/>
    <mergeCell ref="AS1756:AT1756"/>
    <mergeCell ref="G1757:H1757"/>
    <mergeCell ref="L1757:M1757"/>
    <mergeCell ref="Q1757:R1757"/>
    <mergeCell ref="G1758:H1758"/>
    <mergeCell ref="N1758:O1758"/>
    <mergeCell ref="Q1758:R1758"/>
    <mergeCell ref="Z1758:AA1758"/>
    <mergeCell ref="AG1758:AH1758"/>
    <mergeCell ref="AK1758:AL1758"/>
    <mergeCell ref="AR1758:AS1758"/>
    <mergeCell ref="BF1765:BG1765"/>
    <mergeCell ref="AY1765:AZ1765"/>
    <mergeCell ref="L1896:O1896"/>
    <mergeCell ref="I1760:J1760"/>
    <mergeCell ref="L1760:M1760"/>
    <mergeCell ref="BT1761:BV1761"/>
    <mergeCell ref="H1762:I1762"/>
    <mergeCell ref="O1762:P1762"/>
    <mergeCell ref="R1762:S1762"/>
    <mergeCell ref="AA1762:AB1762"/>
    <mergeCell ref="AH1762:AI1762"/>
    <mergeCell ref="AL1762:AM1762"/>
    <mergeCell ref="AS1762:AT1762"/>
    <mergeCell ref="BA1762:BC1762"/>
    <mergeCell ref="O1760:P1760"/>
    <mergeCell ref="T1760:U1760"/>
    <mergeCell ref="W1760:X1760"/>
    <mergeCell ref="AI1760:AK1760"/>
    <mergeCell ref="I1761:J1761"/>
    <mergeCell ref="B1876:CC1876"/>
    <mergeCell ref="M1880:N1880"/>
    <mergeCell ref="W1880:X1880"/>
    <mergeCell ref="J1891:K1891"/>
    <mergeCell ref="Q1894:R1894"/>
    <mergeCell ref="N1892:O1892"/>
    <mergeCell ref="T1892:U1892"/>
    <mergeCell ref="E1885:F1885"/>
    <mergeCell ref="AG1882:AH1882"/>
    <mergeCell ref="AN1879:AO1879"/>
    <mergeCell ref="AN1896:AO1896"/>
    <mergeCell ref="AG1894:AH1894"/>
    <mergeCell ref="Y1888:AD1888"/>
    <mergeCell ref="Q1761:R1761"/>
    <mergeCell ref="T1761:U1761"/>
    <mergeCell ref="AD1761:AE1761"/>
    <mergeCell ref="AL1761:AM1761"/>
    <mergeCell ref="AP1761:AQ1761"/>
    <mergeCell ref="AX1761:AY1761"/>
    <mergeCell ref="BC1761:BD1761"/>
    <mergeCell ref="J1804:K1804"/>
    <mergeCell ref="R1632:S1632"/>
    <mergeCell ref="BN1677:BP1677"/>
    <mergeCell ref="BN1678:BP1678"/>
    <mergeCell ref="BO1679:BQ1679"/>
    <mergeCell ref="L1685:M1685"/>
    <mergeCell ref="X1685:Y1685"/>
    <mergeCell ref="AC1685:AD1685"/>
    <mergeCell ref="AF1685:AG1685"/>
    <mergeCell ref="G1686:H1686"/>
    <mergeCell ref="BI1682:BJ1682"/>
    <mergeCell ref="AQ1683:AR1683"/>
    <mergeCell ref="BC1683:BD1683"/>
    <mergeCell ref="X1749:Y1749"/>
    <mergeCell ref="C1750:D1750"/>
    <mergeCell ref="H1750:I1750"/>
    <mergeCell ref="M1750:N1750"/>
    <mergeCell ref="C1752:D1752"/>
    <mergeCell ref="H1752:I1752"/>
    <mergeCell ref="M1752:N1752"/>
    <mergeCell ref="U1752:V1752"/>
    <mergeCell ref="C1753:D1753"/>
    <mergeCell ref="J1753:K1753"/>
    <mergeCell ref="O1753:P1753"/>
    <mergeCell ref="E1754:F1754"/>
    <mergeCell ref="T1754:U1754"/>
    <mergeCell ref="AB1754:AC1754"/>
    <mergeCell ref="G1755:H1755"/>
    <mergeCell ref="R1755:S1755"/>
    <mergeCell ref="W1755:X1755"/>
    <mergeCell ref="AA1755:AB1755"/>
    <mergeCell ref="BB1755:BC1755"/>
    <mergeCell ref="BG1755:BH1755"/>
    <mergeCell ref="AW1758:AX1758"/>
    <mergeCell ref="BG1587:BH1587"/>
    <mergeCell ref="BJ1587:BL1587"/>
    <mergeCell ref="AP1600:AR1600"/>
    <mergeCell ref="AT1600:AU1600"/>
    <mergeCell ref="BH1532:BJ1532"/>
    <mergeCell ref="W1552:X1552"/>
    <mergeCell ref="Z1552:AB1552"/>
    <mergeCell ref="D1543:E1543"/>
    <mergeCell ref="D1535:E1535"/>
    <mergeCell ref="AA1571:AB1571"/>
    <mergeCell ref="BD1536:BE1536"/>
    <mergeCell ref="AX1537:AY1537"/>
    <mergeCell ref="D1539:E1539"/>
    <mergeCell ref="G1539:I1539"/>
    <mergeCell ref="L1539:M1539"/>
    <mergeCell ref="S1539:T1539"/>
    <mergeCell ref="AF1539:AG1539"/>
    <mergeCell ref="AP1539:AQ1539"/>
    <mergeCell ref="AX1539:AY1539"/>
    <mergeCell ref="AH1548:AI1548"/>
    <mergeCell ref="V1548:W1548"/>
    <mergeCell ref="B1715:CC1715"/>
    <mergeCell ref="AA1717:AB1717"/>
    <mergeCell ref="BD1718:BD1719"/>
    <mergeCell ref="BP1718:BP1719"/>
    <mergeCell ref="BD1720:BD1722"/>
    <mergeCell ref="AT1721:AU1721"/>
    <mergeCell ref="BP1720:BP1722"/>
    <mergeCell ref="BA1724:BB1724"/>
    <mergeCell ref="AZ1726:BD1726"/>
    <mergeCell ref="BK1724:BL1724"/>
    <mergeCell ref="AQ1727:AR1727"/>
    <mergeCell ref="AI1728:AJ1728"/>
    <mergeCell ref="BJ1726:BN1726"/>
    <mergeCell ref="C1637:D1637"/>
    <mergeCell ref="H1637:I1637"/>
    <mergeCell ref="M1637:N1637"/>
    <mergeCell ref="U1637:V1637"/>
    <mergeCell ref="C1638:D1638"/>
    <mergeCell ref="J1638:K1638"/>
    <mergeCell ref="O1638:P1638"/>
    <mergeCell ref="E1639:F1639"/>
    <mergeCell ref="G1642:H1642"/>
    <mergeCell ref="L1642:M1642"/>
    <mergeCell ref="Q1642:R1642"/>
    <mergeCell ref="G1643:H1643"/>
    <mergeCell ref="N1643:O1643"/>
    <mergeCell ref="Q1643:R1643"/>
    <mergeCell ref="D1655:F1655"/>
    <mergeCell ref="E1656:G1656"/>
    <mergeCell ref="AX1685:AY1685"/>
    <mergeCell ref="E1618:G1618"/>
    <mergeCell ref="AS1627:AT1628"/>
    <mergeCell ref="AU1627:AV1628"/>
    <mergeCell ref="BS1627:BT1628"/>
    <mergeCell ref="D1659:F1659"/>
    <mergeCell ref="I1656:J1656"/>
    <mergeCell ref="U1656:W1656"/>
    <mergeCell ref="H1647:I1647"/>
    <mergeCell ref="E1651:G1651"/>
    <mergeCell ref="H1652:J1652"/>
    <mergeCell ref="L1652:M1652"/>
    <mergeCell ref="O1652:Q1652"/>
    <mergeCell ref="D1653:F1653"/>
    <mergeCell ref="BI1516:BM1516"/>
    <mergeCell ref="BD1552:BF1552"/>
    <mergeCell ref="AS1563:AS1564"/>
    <mergeCell ref="BA1564:BA1565"/>
    <mergeCell ref="AS1565:AS1567"/>
    <mergeCell ref="BA1566:BA1568"/>
    <mergeCell ref="AP1569:AQ1569"/>
    <mergeCell ref="AP1571:AT1571"/>
    <mergeCell ref="AX1571:AY1571"/>
    <mergeCell ref="AX1573:BB1573"/>
    <mergeCell ref="F1570:G1570"/>
    <mergeCell ref="AH1570:AI1570"/>
    <mergeCell ref="F1576:G1576"/>
    <mergeCell ref="I1576:J1576"/>
    <mergeCell ref="L1576:M1576"/>
    <mergeCell ref="Q1576:R1576"/>
    <mergeCell ref="I1549:J1549"/>
    <mergeCell ref="L1549:N1549"/>
    <mergeCell ref="R1549:S1549"/>
    <mergeCell ref="M1532:N1532"/>
    <mergeCell ref="M1554:N1554"/>
    <mergeCell ref="G1543:I1543"/>
    <mergeCell ref="L1535:M1535"/>
    <mergeCell ref="I1552:K1552"/>
    <mergeCell ref="O1552:P1552"/>
    <mergeCell ref="R1552:S1552"/>
    <mergeCell ref="T1573:U1573"/>
    <mergeCell ref="M1571:N1571"/>
    <mergeCell ref="F1526:G1526"/>
    <mergeCell ref="F1534:G1534"/>
    <mergeCell ref="U1534:V1534"/>
    <mergeCell ref="P1529:Q1529"/>
    <mergeCell ref="F1527:G1527"/>
    <mergeCell ref="F1553:H1553"/>
    <mergeCell ref="I1554:K1554"/>
    <mergeCell ref="E1555:G1555"/>
    <mergeCell ref="N1555:P1555"/>
    <mergeCell ref="F1550:G1550"/>
    <mergeCell ref="AZ1552:BB1552"/>
    <mergeCell ref="B1558:CC1558"/>
    <mergeCell ref="E1565:F1566"/>
    <mergeCell ref="C1565:D1566"/>
    <mergeCell ref="AJ1565:AJ1567"/>
    <mergeCell ref="AJ1563:AJ1564"/>
    <mergeCell ref="AL1467:AM1468"/>
    <mergeCell ref="AN1467:AO1468"/>
    <mergeCell ref="AQ1448:AR1448"/>
    <mergeCell ref="AG1448:AI1448"/>
    <mergeCell ref="I1499:K1499"/>
    <mergeCell ref="M1499:N1499"/>
    <mergeCell ref="P1499:R1499"/>
    <mergeCell ref="K1495:L1495"/>
    <mergeCell ref="E1500:G1500"/>
    <mergeCell ref="N1500:P1500"/>
    <mergeCell ref="T1480:V1480"/>
    <mergeCell ref="AS1446:AT1446"/>
    <mergeCell ref="AU1446:AV1446"/>
    <mergeCell ref="AG1450:AI1450"/>
    <mergeCell ref="O1454:Q1454"/>
    <mergeCell ref="AH1518:AK1518"/>
    <mergeCell ref="U1454:W1454"/>
    <mergeCell ref="AA1454:AC1454"/>
    <mergeCell ref="AK1454:AM1454"/>
    <mergeCell ref="N1528:O1528"/>
    <mergeCell ref="N1526:O1526"/>
    <mergeCell ref="S1526:T1526"/>
    <mergeCell ref="AB1442:AC1442"/>
    <mergeCell ref="F1474:G1474"/>
    <mergeCell ref="I1474:J1474"/>
    <mergeCell ref="L1474:M1474"/>
    <mergeCell ref="F1475:H1475"/>
    <mergeCell ref="F1476:G1476"/>
    <mergeCell ref="I1476:J1476"/>
    <mergeCell ref="E1479:F1479"/>
    <mergeCell ref="F1480:G1480"/>
    <mergeCell ref="F1481:G1481"/>
    <mergeCell ref="I1481:J1481"/>
    <mergeCell ref="L1481:M1481"/>
    <mergeCell ref="O1481:Q1481"/>
    <mergeCell ref="I1480:J1480"/>
    <mergeCell ref="F1498:H1498"/>
    <mergeCell ref="F1495:G1495"/>
    <mergeCell ref="E1496:G1496"/>
    <mergeCell ref="F1497:G1497"/>
    <mergeCell ref="AV1490:AW1490"/>
    <mergeCell ref="N1429:P1429"/>
    <mergeCell ref="R1429:S1429"/>
    <mergeCell ref="S1441:T1441"/>
    <mergeCell ref="I1438:J1438"/>
    <mergeCell ref="R1438:T1438"/>
    <mergeCell ref="D1428:F1428"/>
    <mergeCell ref="E1429:G1429"/>
    <mergeCell ref="I1429:J1429"/>
    <mergeCell ref="AE1442:AG1442"/>
    <mergeCell ref="AS943:AT943"/>
    <mergeCell ref="J914:L914"/>
    <mergeCell ref="E940:G940"/>
    <mergeCell ref="T941:U941"/>
    <mergeCell ref="D942:F942"/>
    <mergeCell ref="N914:O914"/>
    <mergeCell ref="U930:V930"/>
    <mergeCell ref="AJ952:AK952"/>
    <mergeCell ref="B949:CC949"/>
    <mergeCell ref="P1495:R1495"/>
    <mergeCell ref="V1495:X1495"/>
    <mergeCell ref="T1559:U1559"/>
    <mergeCell ref="AH1441:AJ1441"/>
    <mergeCell ref="AL1441:AM1441"/>
    <mergeCell ref="AO1441:AP1441"/>
    <mergeCell ref="BR1429:BS1429"/>
    <mergeCell ref="BD1441:BF1441"/>
    <mergeCell ref="AU1429:AW1429"/>
    <mergeCell ref="AY1429:AZ1429"/>
    <mergeCell ref="BA1490:BB1490"/>
    <mergeCell ref="AI1490:AJ1490"/>
    <mergeCell ref="AI1516:AJ1516"/>
    <mergeCell ref="BA1514:BE1514"/>
    <mergeCell ref="BI1514:BJ1514"/>
    <mergeCell ref="BE1548:BG1548"/>
    <mergeCell ref="AD1548:AF1548"/>
    <mergeCell ref="BK1535:BM1535"/>
    <mergeCell ref="BH1535:BI1535"/>
    <mergeCell ref="BG1536:BI1536"/>
    <mergeCell ref="AO1446:AP1446"/>
    <mergeCell ref="AO1447:AP1447"/>
    <mergeCell ref="AQ1447:AR1447"/>
    <mergeCell ref="AY1542:AZ1542"/>
    <mergeCell ref="BB1542:BD1542"/>
    <mergeCell ref="AR1441:AS1441"/>
    <mergeCell ref="AU1441:AV1441"/>
    <mergeCell ref="AX1441:AY1441"/>
    <mergeCell ref="AC1429:AD1429"/>
    <mergeCell ref="AL1429:AM1429"/>
    <mergeCell ref="BD1460:BE1460"/>
    <mergeCell ref="BN1429:BO1429"/>
    <mergeCell ref="J1493:K1493"/>
    <mergeCell ref="M1493:N1493"/>
    <mergeCell ref="AV1529:AW1530"/>
    <mergeCell ref="N1446:O1446"/>
    <mergeCell ref="Q1446:R1446"/>
    <mergeCell ref="T1446:U1446"/>
    <mergeCell ref="X1490:Y1490"/>
    <mergeCell ref="AC1490:AD1490"/>
    <mergeCell ref="AF1490:AG1490"/>
    <mergeCell ref="AA1448:AB1448"/>
    <mergeCell ref="AD1448:AE1448"/>
    <mergeCell ref="AE1446:AF1446"/>
    <mergeCell ref="J1446:L1446"/>
    <mergeCell ref="AX1529:AY1530"/>
    <mergeCell ref="E976:G976"/>
    <mergeCell ref="I976:J976"/>
    <mergeCell ref="L976:M976"/>
    <mergeCell ref="O976:P976"/>
    <mergeCell ref="R976:S976"/>
    <mergeCell ref="U976:V976"/>
    <mergeCell ref="F914:H914"/>
    <mergeCell ref="J918:L918"/>
    <mergeCell ref="Q918:R918"/>
    <mergeCell ref="T918:U918"/>
    <mergeCell ref="W918:X918"/>
    <mergeCell ref="B886:CC886"/>
    <mergeCell ref="AU911:AV911"/>
    <mergeCell ref="AW913:AX913"/>
    <mergeCell ref="N943:P943"/>
    <mergeCell ref="AS603:AU603"/>
    <mergeCell ref="C893:C895"/>
    <mergeCell ref="J895:K895"/>
    <mergeCell ref="AZ1469:BB1469"/>
    <mergeCell ref="F1461:G1461"/>
    <mergeCell ref="AH1461:AH1462"/>
    <mergeCell ref="AH1463:AH1465"/>
    <mergeCell ref="AO1448:AP1448"/>
    <mergeCell ref="AO1449:AP1449"/>
    <mergeCell ref="AH1446:AJ1446"/>
    <mergeCell ref="X1452:Y1452"/>
    <mergeCell ref="AA1452:AB1452"/>
    <mergeCell ref="E1442:G1442"/>
    <mergeCell ref="AY1342:AZ1342"/>
    <mergeCell ref="BA1342:BB1342"/>
    <mergeCell ref="F1348:H1348"/>
    <mergeCell ref="U1349:V1349"/>
    <mergeCell ref="AA1345:AB1345"/>
    <mergeCell ref="AG1345:AI1345"/>
    <mergeCell ref="V1441:W1441"/>
    <mergeCell ref="W1429:X1429"/>
    <mergeCell ref="I1442:J1442"/>
    <mergeCell ref="L1442:M1442"/>
    <mergeCell ref="O1442:P1442"/>
    <mergeCell ref="AK1351:AM1351"/>
    <mergeCell ref="AC1355:AD1355"/>
    <mergeCell ref="AG1355:AH1355"/>
    <mergeCell ref="AU1342:AV1342"/>
    <mergeCell ref="AD1452:AE1452"/>
    <mergeCell ref="AF1362:AG1362"/>
    <mergeCell ref="AJ1362:AK1362"/>
    <mergeCell ref="AW1344:AX1344"/>
    <mergeCell ref="AU1344:AV1344"/>
    <mergeCell ref="BB1429:BC1429"/>
    <mergeCell ref="E1347:G1347"/>
    <mergeCell ref="K898:L898"/>
    <mergeCell ref="I901:J901"/>
    <mergeCell ref="F903:I903"/>
    <mergeCell ref="F904:I904"/>
    <mergeCell ref="AJ941:AK941"/>
    <mergeCell ref="AN941:AO941"/>
    <mergeCell ref="AE941:AF941"/>
    <mergeCell ref="H909:I909"/>
    <mergeCell ref="AW912:AX912"/>
    <mergeCell ref="AU913:AV913"/>
    <mergeCell ref="AQ1449:AR1449"/>
    <mergeCell ref="D1445:F1445"/>
    <mergeCell ref="X1450:Y1450"/>
    <mergeCell ref="AA1450:AB1450"/>
    <mergeCell ref="D946:F946"/>
    <mergeCell ref="AF962:AG962"/>
    <mergeCell ref="F966:I966"/>
    <mergeCell ref="F967:I967"/>
    <mergeCell ref="D975:F975"/>
    <mergeCell ref="E971:G971"/>
    <mergeCell ref="E933:G933"/>
    <mergeCell ref="E934:G934"/>
    <mergeCell ref="G936:H936"/>
    <mergeCell ref="J936:K936"/>
    <mergeCell ref="M936:N936"/>
    <mergeCell ref="AU914:AV914"/>
    <mergeCell ref="K930:L930"/>
    <mergeCell ref="AO928:AP928"/>
    <mergeCell ref="AK614:AL614"/>
    <mergeCell ref="S908:T908"/>
    <mergeCell ref="V908:W908"/>
    <mergeCell ref="W939:X939"/>
    <mergeCell ref="P922:Q922"/>
    <mergeCell ref="AC591:AD591"/>
    <mergeCell ref="E915:G915"/>
    <mergeCell ref="D465:F465"/>
    <mergeCell ref="M465:O465"/>
    <mergeCell ref="G467:I467"/>
    <mergeCell ref="G469:I469"/>
    <mergeCell ref="G468:H468"/>
    <mergeCell ref="J468:K468"/>
    <mergeCell ref="M468:O468"/>
    <mergeCell ref="Q468:S468"/>
    <mergeCell ref="E472:F472"/>
    <mergeCell ref="H472:I472"/>
    <mergeCell ref="M472:O472"/>
    <mergeCell ref="T472:V472"/>
    <mergeCell ref="D1027:F1027"/>
    <mergeCell ref="E1028:G1028"/>
    <mergeCell ref="N1036:O1036"/>
    <mergeCell ref="I1029:J1029"/>
    <mergeCell ref="BQ1014:BS1014"/>
    <mergeCell ref="R943:S943"/>
    <mergeCell ref="O982:P982"/>
    <mergeCell ref="R982:S982"/>
    <mergeCell ref="U982:V982"/>
    <mergeCell ref="AA976:AB976"/>
    <mergeCell ref="AG976:AI976"/>
    <mergeCell ref="I977:J977"/>
    <mergeCell ref="AB980:AC980"/>
    <mergeCell ref="AA982:AB982"/>
    <mergeCell ref="AG982:AI982"/>
    <mergeCell ref="AB961:AC961"/>
    <mergeCell ref="AX943:AZ943"/>
    <mergeCell ref="AC943:AD943"/>
    <mergeCell ref="AI943:AJ943"/>
    <mergeCell ref="AL943:AM943"/>
    <mergeCell ref="L945:M945"/>
    <mergeCell ref="U995:V995"/>
    <mergeCell ref="X995:Y995"/>
    <mergeCell ref="BE1462:BF1463"/>
    <mergeCell ref="BG1462:BH1463"/>
    <mergeCell ref="E1349:G1349"/>
    <mergeCell ref="I1349:J1349"/>
    <mergeCell ref="L1349:M1349"/>
    <mergeCell ref="O1349:P1349"/>
    <mergeCell ref="R1349:S1349"/>
    <mergeCell ref="AW1342:AX1342"/>
    <mergeCell ref="AT1426:AU1426"/>
    <mergeCell ref="AA1395:AB1395"/>
    <mergeCell ref="Z1429:AA1429"/>
    <mergeCell ref="M1462:N1462"/>
    <mergeCell ref="R1442:T1442"/>
    <mergeCell ref="E1346:G1346"/>
    <mergeCell ref="B1457:CC1457"/>
    <mergeCell ref="C956:C958"/>
    <mergeCell ref="BK956:BM956"/>
    <mergeCell ref="BL957:BN957"/>
    <mergeCell ref="J958:K958"/>
    <mergeCell ref="BF1427:BG1427"/>
    <mergeCell ref="F985:H985"/>
    <mergeCell ref="E986:G986"/>
    <mergeCell ref="I986:J986"/>
    <mergeCell ref="X976:Y976"/>
    <mergeCell ref="AE1043:AF1043"/>
    <mergeCell ref="BU1429:BW1429"/>
    <mergeCell ref="BY1429:BZ1429"/>
    <mergeCell ref="K1430:M1430"/>
    <mergeCell ref="O1430:Q1430"/>
    <mergeCell ref="E1431:G1431"/>
    <mergeCell ref="E1422:G1422"/>
    <mergeCell ref="H1423:J1423"/>
    <mergeCell ref="BK955:BM955"/>
    <mergeCell ref="BB943:BD943"/>
    <mergeCell ref="L977:M977"/>
    <mergeCell ref="O977:P977"/>
    <mergeCell ref="R977:S977"/>
    <mergeCell ref="U977:W977"/>
    <mergeCell ref="E970:F970"/>
    <mergeCell ref="H970:I970"/>
    <mergeCell ref="K970:L970"/>
    <mergeCell ref="BI1426:BJ1426"/>
    <mergeCell ref="Q1427:R1427"/>
    <mergeCell ref="V1427:W1427"/>
    <mergeCell ref="AB1427:AC1427"/>
    <mergeCell ref="AG1427:AH1427"/>
    <mergeCell ref="AQ1427:AR1427"/>
    <mergeCell ref="AW1427:AX1427"/>
    <mergeCell ref="BB1427:BC1427"/>
    <mergeCell ref="AJ1426:AK1426"/>
    <mergeCell ref="BI1427:BK1427"/>
    <mergeCell ref="AI1429:AJ1429"/>
    <mergeCell ref="AO1429:AP1429"/>
    <mergeCell ref="BK1429:BL1429"/>
    <mergeCell ref="AE1426:AF1426"/>
    <mergeCell ref="BH1429:BI1429"/>
    <mergeCell ref="W943:X943"/>
    <mergeCell ref="M995:N995"/>
    <mergeCell ref="R995:S995"/>
    <mergeCell ref="AG992:AH992"/>
    <mergeCell ref="AG986:AI986"/>
    <mergeCell ref="M946:O946"/>
    <mergeCell ref="K1017:L1017"/>
    <mergeCell ref="F980:H980"/>
    <mergeCell ref="J980:K980"/>
    <mergeCell ref="M980:N980"/>
    <mergeCell ref="P980:Q980"/>
    <mergeCell ref="S980:T980"/>
    <mergeCell ref="V980:W980"/>
    <mergeCell ref="Y980:Z980"/>
    <mergeCell ref="X982:Y982"/>
    <mergeCell ref="K961:L961"/>
    <mergeCell ref="P990:Q990"/>
    <mergeCell ref="S990:T990"/>
    <mergeCell ref="X990:Y990"/>
    <mergeCell ref="M991:N991"/>
    <mergeCell ref="R991:S991"/>
    <mergeCell ref="X991:Y991"/>
    <mergeCell ref="E1000:G1000"/>
    <mergeCell ref="D1002:F1002"/>
    <mergeCell ref="AB1017:AC1017"/>
    <mergeCell ref="E981:G981"/>
    <mergeCell ref="H988:J988"/>
    <mergeCell ref="E943:G943"/>
    <mergeCell ref="O945:Q945"/>
    <mergeCell ref="AC991:AD991"/>
    <mergeCell ref="M992:N992"/>
    <mergeCell ref="R992:S992"/>
    <mergeCell ref="AD995:AE995"/>
    <mergeCell ref="AG995:AH995"/>
    <mergeCell ref="E983:G983"/>
    <mergeCell ref="E984:G984"/>
    <mergeCell ref="I984:J984"/>
    <mergeCell ref="E990:G990"/>
    <mergeCell ref="E991:G991"/>
    <mergeCell ref="E992:G992"/>
    <mergeCell ref="AJ995:AK995"/>
    <mergeCell ref="N970:O970"/>
    <mergeCell ref="Q970:R970"/>
    <mergeCell ref="T970:U970"/>
    <mergeCell ref="G972:H972"/>
    <mergeCell ref="J972:K972"/>
    <mergeCell ref="M972:N972"/>
    <mergeCell ref="E973:G973"/>
    <mergeCell ref="E977:G977"/>
    <mergeCell ref="O1029:P1029"/>
    <mergeCell ref="AV979:AW979"/>
    <mergeCell ref="AX979:AY979"/>
    <mergeCell ref="AV980:AW980"/>
    <mergeCell ref="AX980:AY980"/>
    <mergeCell ref="AZ979:BA979"/>
    <mergeCell ref="BB979:BC979"/>
    <mergeCell ref="Z916:AA916"/>
    <mergeCell ref="AC916:AD916"/>
    <mergeCell ref="AA930:AB930"/>
    <mergeCell ref="AG930:AH930"/>
    <mergeCell ref="Q909:R909"/>
    <mergeCell ref="W928:X928"/>
    <mergeCell ref="O923:P923"/>
    <mergeCell ref="N912:O912"/>
    <mergeCell ref="Q912:R912"/>
    <mergeCell ref="T912:U912"/>
    <mergeCell ref="AB898:AC898"/>
    <mergeCell ref="AF899:AG899"/>
    <mergeCell ref="AN901:AO901"/>
    <mergeCell ref="AS777:AT777"/>
    <mergeCell ref="AL793:AM793"/>
    <mergeCell ref="AU1033:AV1033"/>
    <mergeCell ref="AA996:AB996"/>
    <mergeCell ref="AW1033:AX1033"/>
    <mergeCell ref="AY1031:AZ1031"/>
    <mergeCell ref="BA1031:BB1031"/>
    <mergeCell ref="AU1343:AV1343"/>
    <mergeCell ref="AW1343:AX1343"/>
    <mergeCell ref="B1005:CC1005"/>
    <mergeCell ref="O1008:T1008"/>
    <mergeCell ref="AJ1008:AK1008"/>
    <mergeCell ref="D979:F979"/>
    <mergeCell ref="D1031:F1031"/>
    <mergeCell ref="E1029:G1029"/>
    <mergeCell ref="N1032:O1032"/>
    <mergeCell ref="W1038:X1038"/>
    <mergeCell ref="K1077:L1077"/>
    <mergeCell ref="J1038:L1038"/>
    <mergeCell ref="N1038:O1038"/>
    <mergeCell ref="Q1038:R1038"/>
    <mergeCell ref="X992:Y992"/>
    <mergeCell ref="AC992:AD992"/>
    <mergeCell ref="BK1011:BM1011"/>
    <mergeCell ref="C1012:C1014"/>
    <mergeCell ref="W1012:X1012"/>
    <mergeCell ref="BK1012:BM1012"/>
    <mergeCell ref="BL1013:BN1013"/>
    <mergeCell ref="J1014:K1014"/>
    <mergeCell ref="E982:G982"/>
    <mergeCell ref="I982:J982"/>
    <mergeCell ref="L982:M982"/>
    <mergeCell ref="AJ996:AK996"/>
    <mergeCell ref="E988:F988"/>
    <mergeCell ref="AH980:AJ980"/>
    <mergeCell ref="O952:T952"/>
    <mergeCell ref="I943:J943"/>
    <mergeCell ref="E944:G944"/>
    <mergeCell ref="H945:J945"/>
    <mergeCell ref="E937:G937"/>
    <mergeCell ref="E939:F939"/>
    <mergeCell ref="H939:I939"/>
    <mergeCell ref="K939:L939"/>
    <mergeCell ref="N939:O939"/>
    <mergeCell ref="O988:Q988"/>
    <mergeCell ref="U988:W988"/>
    <mergeCell ref="AA988:AC988"/>
    <mergeCell ref="AG988:AI988"/>
    <mergeCell ref="L984:M984"/>
    <mergeCell ref="O984:P984"/>
    <mergeCell ref="R984:S984"/>
    <mergeCell ref="U984:V984"/>
    <mergeCell ref="AG984:AI984"/>
    <mergeCell ref="AS928:AT928"/>
    <mergeCell ref="N918:O918"/>
    <mergeCell ref="AT611:AU611"/>
    <mergeCell ref="AK615:AN615"/>
    <mergeCell ref="BA607:BC607"/>
    <mergeCell ref="AN610:AO610"/>
    <mergeCell ref="AZ610:BA610"/>
    <mergeCell ref="BB616:BF616"/>
    <mergeCell ref="AN611:AO611"/>
    <mergeCell ref="BC610:BE610"/>
    <mergeCell ref="Z914:AA914"/>
    <mergeCell ref="AC914:AD914"/>
    <mergeCell ref="AF914:AG914"/>
    <mergeCell ref="AL914:AN914"/>
    <mergeCell ref="AJ930:AK930"/>
    <mergeCell ref="P931:Q931"/>
    <mergeCell ref="S931:U931"/>
    <mergeCell ref="Q916:R916"/>
    <mergeCell ref="T916:U916"/>
    <mergeCell ref="W916:X916"/>
    <mergeCell ref="AS995:AT995"/>
    <mergeCell ref="AP603:AQ603"/>
    <mergeCell ref="AJ605:AK605"/>
    <mergeCell ref="AI607:AK607"/>
    <mergeCell ref="AH611:AI611"/>
    <mergeCell ref="AK611:AL611"/>
    <mergeCell ref="AZ612:BA612"/>
    <mergeCell ref="BC613:BD613"/>
    <mergeCell ref="AW611:AX611"/>
    <mergeCell ref="AS605:AU605"/>
    <mergeCell ref="X984:Y984"/>
    <mergeCell ref="AA984:AB984"/>
    <mergeCell ref="AO943:AP943"/>
    <mergeCell ref="AB562:AC562"/>
    <mergeCell ref="AB564:AC564"/>
    <mergeCell ref="AB563:AC563"/>
    <mergeCell ref="AB565:AC565"/>
    <mergeCell ref="AH565:AI565"/>
    <mergeCell ref="AE561:AF561"/>
    <mergeCell ref="AH561:AI561"/>
    <mergeCell ref="AQ611:AR611"/>
    <mergeCell ref="AN613:AO613"/>
    <mergeCell ref="AQ613:AR613"/>
    <mergeCell ref="AT613:AU613"/>
    <mergeCell ref="BI612:BL612"/>
    <mergeCell ref="AQ610:AR610"/>
    <mergeCell ref="AT610:AU610"/>
    <mergeCell ref="AW610:AX610"/>
    <mergeCell ref="AP615:AS615"/>
    <mergeCell ref="BI47:BJ47"/>
    <mergeCell ref="BM51:BN51"/>
    <mergeCell ref="BL87:BN87"/>
    <mergeCell ref="BL95:BN95"/>
    <mergeCell ref="AM599:AN599"/>
    <mergeCell ref="AZ561:BA561"/>
    <mergeCell ref="BC561:BD561"/>
    <mergeCell ref="BF561:BG561"/>
    <mergeCell ref="BG559:BI559"/>
    <mergeCell ref="BF562:BG562"/>
    <mergeCell ref="BH556:BJ556"/>
    <mergeCell ref="AW544:AX544"/>
    <mergeCell ref="AO517:AQ517"/>
    <mergeCell ref="AO167:AP167"/>
    <mergeCell ref="B117:CC117"/>
    <mergeCell ref="BH108:BJ108"/>
    <mergeCell ref="BK107:BM107"/>
    <mergeCell ref="O113:Q113"/>
    <mergeCell ref="G586:G587"/>
    <mergeCell ref="AA575:AC575"/>
    <mergeCell ref="AA576:AC576"/>
    <mergeCell ref="AC592:AD592"/>
    <mergeCell ref="AF591:AG591"/>
    <mergeCell ref="AZ613:BA613"/>
    <mergeCell ref="AZ611:BA611"/>
    <mergeCell ref="AZ615:BD615"/>
    <mergeCell ref="BC612:BD612"/>
    <mergeCell ref="AJ576:AL576"/>
    <mergeCell ref="AU571:AX571"/>
    <mergeCell ref="AS570:AV570"/>
    <mergeCell ref="AU572:AV572"/>
    <mergeCell ref="AX572:AZ572"/>
    <mergeCell ref="AW568:AX568"/>
    <mergeCell ref="AZ568:BA568"/>
    <mergeCell ref="BI568:BJ568"/>
    <mergeCell ref="AN568:AO568"/>
    <mergeCell ref="AT568:AU568"/>
    <mergeCell ref="AM603:AN603"/>
    <mergeCell ref="AK612:AL612"/>
    <mergeCell ref="AN614:AO614"/>
    <mergeCell ref="AU615:AX615"/>
    <mergeCell ref="AT614:AU614"/>
    <mergeCell ref="BF613:BG613"/>
    <mergeCell ref="BE607:BG607"/>
    <mergeCell ref="AH574:AJ574"/>
    <mergeCell ref="AL574:AM574"/>
    <mergeCell ref="AJ599:AK599"/>
    <mergeCell ref="B579:CC579"/>
    <mergeCell ref="X598:Z598"/>
    <mergeCell ref="G588:G590"/>
    <mergeCell ref="AE611:AF611"/>
    <mergeCell ref="AW613:AX613"/>
    <mergeCell ref="AE603:AF603"/>
    <mergeCell ref="AX573:AZ573"/>
    <mergeCell ref="AN572:AO572"/>
    <mergeCell ref="AN569:AR569"/>
    <mergeCell ref="AB569:AC569"/>
    <mergeCell ref="BK7:BM7"/>
    <mergeCell ref="BK8:BM8"/>
    <mergeCell ref="BL9:BN9"/>
    <mergeCell ref="BG66:BI66"/>
    <mergeCell ref="BG67:BI67"/>
    <mergeCell ref="BH68:BJ68"/>
    <mergeCell ref="BG123:BI123"/>
    <mergeCell ref="BG124:BI124"/>
    <mergeCell ref="BH125:BJ125"/>
    <mergeCell ref="AY180:BA180"/>
    <mergeCell ref="AY181:BA181"/>
    <mergeCell ref="AZ182:BB182"/>
    <mergeCell ref="AV236:AX236"/>
    <mergeCell ref="AV237:AX237"/>
    <mergeCell ref="AW238:AY238"/>
    <mergeCell ref="BJ29:BK29"/>
    <mergeCell ref="BD29:BE29"/>
    <mergeCell ref="AY27:AZ27"/>
    <mergeCell ref="BF162:BG162"/>
    <mergeCell ref="BG97:BH97"/>
    <mergeCell ref="BD87:BE87"/>
    <mergeCell ref="BH53:BI53"/>
    <mergeCell ref="BK44:BL44"/>
    <mergeCell ref="AX21:AY21"/>
    <mergeCell ref="AX87:AY87"/>
    <mergeCell ref="BL43:BM43"/>
    <mergeCell ref="AX93:AY93"/>
    <mergeCell ref="BC154:BE154"/>
    <mergeCell ref="AU164:AV164"/>
    <mergeCell ref="AZ167:BA167"/>
    <mergeCell ref="AT167:AU167"/>
    <mergeCell ref="BD148:BF148"/>
    <mergeCell ref="AL595:AM595"/>
    <mergeCell ref="AK591:AM591"/>
    <mergeCell ref="AQ567:AR567"/>
    <mergeCell ref="BJ37:BK37"/>
    <mergeCell ref="BK53:BL53"/>
    <mergeCell ref="BD37:BE37"/>
    <mergeCell ref="BN105:BO105"/>
    <mergeCell ref="BM91:BO91"/>
    <mergeCell ref="BE108:BF108"/>
    <mergeCell ref="BA219:BB219"/>
    <mergeCell ref="BC102:BD102"/>
    <mergeCell ref="BC563:BD563"/>
    <mergeCell ref="AW563:AX563"/>
    <mergeCell ref="BI563:BJ563"/>
    <mergeCell ref="AT563:AU563"/>
    <mergeCell ref="AN563:AO563"/>
    <mergeCell ref="BI562:BJ562"/>
    <mergeCell ref="BI560:BJ560"/>
    <mergeCell ref="BD559:BE559"/>
    <mergeCell ref="AN561:AO561"/>
    <mergeCell ref="AM554:AN554"/>
    <mergeCell ref="BD556:BF556"/>
    <mergeCell ref="AW565:AX565"/>
    <mergeCell ref="AX791:AY791"/>
    <mergeCell ref="AX784:AY784"/>
    <mergeCell ref="AD699:AE699"/>
    <mergeCell ref="AS782:AT782"/>
    <mergeCell ref="AS789:AT789"/>
    <mergeCell ref="F916:H916"/>
    <mergeCell ref="J916:L916"/>
    <mergeCell ref="N916:O916"/>
    <mergeCell ref="Q924:R924"/>
    <mergeCell ref="V924:W924"/>
    <mergeCell ref="AB924:AC924"/>
    <mergeCell ref="AG924:AH924"/>
    <mergeCell ref="AK924:AL924"/>
    <mergeCell ref="K928:L928"/>
    <mergeCell ref="S922:T922"/>
    <mergeCell ref="X922:Y922"/>
    <mergeCell ref="BD782:BE782"/>
    <mergeCell ref="AZ632:BB632"/>
    <mergeCell ref="AW664:AX664"/>
    <mergeCell ref="AI646:AJ646"/>
    <mergeCell ref="AM662:AN662"/>
    <mergeCell ref="AQ664:AR664"/>
    <mergeCell ref="AT664:AU664"/>
    <mergeCell ref="AM691:AN691"/>
    <mergeCell ref="AJ690:AK690"/>
    <mergeCell ref="AR899:AS899"/>
    <mergeCell ref="AY911:AZ911"/>
    <mergeCell ref="BA911:BB911"/>
    <mergeCell ref="AC646:AD646"/>
    <mergeCell ref="AR690:AS690"/>
    <mergeCell ref="AH691:AI691"/>
    <mergeCell ref="AS691:AT691"/>
    <mergeCell ref="AE730:AF730"/>
    <mergeCell ref="AX817:AY817"/>
    <mergeCell ref="AS812:AT812"/>
    <mergeCell ref="AJ889:AK889"/>
    <mergeCell ref="AR891:AS891"/>
    <mergeCell ref="AO779:AP779"/>
    <mergeCell ref="AS818:AT818"/>
    <mergeCell ref="AB692:AC692"/>
    <mergeCell ref="AH692:AI692"/>
    <mergeCell ref="AF696:AG696"/>
    <mergeCell ref="AF695:AG695"/>
    <mergeCell ref="AC750:AD750"/>
    <mergeCell ref="AQ750:AR750"/>
    <mergeCell ref="AR779:AS779"/>
    <mergeCell ref="H797:J797"/>
    <mergeCell ref="Z812:AA812"/>
    <mergeCell ref="AI822:AJ822"/>
    <mergeCell ref="O797:Q797"/>
    <mergeCell ref="Y763:Z763"/>
    <mergeCell ref="Z772:AA772"/>
    <mergeCell ref="R789:S789"/>
    <mergeCell ref="H735:J735"/>
    <mergeCell ref="M772:N772"/>
    <mergeCell ref="L735:M735"/>
    <mergeCell ref="M777:N777"/>
    <mergeCell ref="R777:S777"/>
    <mergeCell ref="U777:V777"/>
    <mergeCell ref="H784:I784"/>
    <mergeCell ref="AH772:AI772"/>
    <mergeCell ref="BC733:BD733"/>
    <mergeCell ref="AC772:AD772"/>
    <mergeCell ref="BB731:BC731"/>
    <mergeCell ref="AN777:AO777"/>
    <mergeCell ref="BB789:BD789"/>
    <mergeCell ref="AR784:AS784"/>
    <mergeCell ref="AU617:AW617"/>
    <mergeCell ref="AC673:AE673"/>
    <mergeCell ref="AM817:AN817"/>
    <mergeCell ref="R812:S812"/>
    <mergeCell ref="U812:V812"/>
    <mergeCell ref="L809:M809"/>
    <mergeCell ref="AM813:AN813"/>
    <mergeCell ref="AN812:AO812"/>
    <mergeCell ref="AG797:AI797"/>
    <mergeCell ref="AS817:AT817"/>
    <mergeCell ref="AL821:AM821"/>
    <mergeCell ref="AX818:AY818"/>
    <mergeCell ref="AF667:AG667"/>
    <mergeCell ref="AM751:AN751"/>
    <mergeCell ref="AQ810:AR810"/>
    <mergeCell ref="AH809:AI809"/>
    <mergeCell ref="AM809:AN809"/>
    <mergeCell ref="AL761:AM761"/>
    <mergeCell ref="AV695:AX695"/>
    <mergeCell ref="BA782:BB782"/>
    <mergeCell ref="AY814:AZ814"/>
    <mergeCell ref="AR795:AS795"/>
    <mergeCell ref="AX702:AY702"/>
    <mergeCell ref="AU784:AV784"/>
    <mergeCell ref="BA784:BB784"/>
    <mergeCell ref="Y787:Z787"/>
    <mergeCell ref="AD787:AE787"/>
    <mergeCell ref="AX813:AY813"/>
    <mergeCell ref="AM814:AN814"/>
    <mergeCell ref="AC774:AD774"/>
    <mergeCell ref="AX761:AY761"/>
    <mergeCell ref="AU791:AV791"/>
    <mergeCell ref="AU793:AV793"/>
    <mergeCell ref="AX793:AY793"/>
    <mergeCell ref="H730:I730"/>
    <mergeCell ref="AB763:AC763"/>
    <mergeCell ref="D768:F768"/>
    <mergeCell ref="AI785:AK785"/>
    <mergeCell ref="AF795:AG795"/>
    <mergeCell ref="O789:P789"/>
    <mergeCell ref="H761:I761"/>
    <mergeCell ref="K761:L761"/>
    <mergeCell ref="BK696:BL696"/>
    <mergeCell ref="BD696:BE696"/>
    <mergeCell ref="AX692:AY692"/>
    <mergeCell ref="AQ733:AR733"/>
    <mergeCell ref="BA730:BB730"/>
    <mergeCell ref="AV730:AW730"/>
    <mergeCell ref="BA696:BB696"/>
    <mergeCell ref="AU725:AW725"/>
    <mergeCell ref="AM698:AO698"/>
    <mergeCell ref="AM699:AN699"/>
    <mergeCell ref="AG789:AH789"/>
    <mergeCell ref="AO761:AP761"/>
    <mergeCell ref="N761:O761"/>
    <mergeCell ref="Q761:R761"/>
    <mergeCell ref="AM818:AN818"/>
    <mergeCell ref="W692:X692"/>
    <mergeCell ref="G704:H704"/>
    <mergeCell ref="L706:N706"/>
    <mergeCell ref="E805:F805"/>
    <mergeCell ref="J804:K804"/>
    <mergeCell ref="E785:F785"/>
    <mergeCell ref="AE599:AF599"/>
    <mergeCell ref="BC611:BE611"/>
    <mergeCell ref="AE612:AF612"/>
    <mergeCell ref="Y607:Z607"/>
    <mergeCell ref="AO607:AQ607"/>
    <mergeCell ref="AU607:AW607"/>
    <mergeCell ref="AQ614:AR614"/>
    <mergeCell ref="AB611:AC611"/>
    <mergeCell ref="AN617:AP617"/>
    <mergeCell ref="AR617:AS617"/>
    <mergeCell ref="AO696:AP696"/>
    <mergeCell ref="AS692:AT692"/>
    <mergeCell ref="AA677:AC677"/>
    <mergeCell ref="AS599:AU599"/>
    <mergeCell ref="BB692:BC692"/>
    <mergeCell ref="AU696:AV696"/>
    <mergeCell ref="AM690:AN690"/>
    <mergeCell ref="AM616:AP616"/>
    <mergeCell ref="AR616:AU616"/>
    <mergeCell ref="AU618:AW618"/>
    <mergeCell ref="AJ662:AK662"/>
    <mergeCell ref="AE619:AG619"/>
    <mergeCell ref="AF636:AG636"/>
    <mergeCell ref="AR662:AS662"/>
    <mergeCell ref="AK618:AL618"/>
    <mergeCell ref="AN618:AP618"/>
    <mergeCell ref="AR618:AS618"/>
    <mergeCell ref="AI696:AJ696"/>
    <mergeCell ref="AL619:AN619"/>
    <mergeCell ref="BB695:BC695"/>
    <mergeCell ref="AJ603:AK603"/>
    <mergeCell ref="AB612:AC612"/>
    <mergeCell ref="AH818:AI818"/>
    <mergeCell ref="AA797:AC797"/>
    <mergeCell ref="Z795:AA795"/>
    <mergeCell ref="AB731:AC731"/>
    <mergeCell ref="AX731:AY731"/>
    <mergeCell ref="AT612:AU612"/>
    <mergeCell ref="AG616:AK616"/>
    <mergeCell ref="AW614:AZ614"/>
    <mergeCell ref="AH613:AI613"/>
    <mergeCell ref="AK613:AL613"/>
    <mergeCell ref="AM692:AN692"/>
    <mergeCell ref="AW616:AZ616"/>
    <mergeCell ref="AP627:AQ627"/>
    <mergeCell ref="AW742:AX742"/>
    <mergeCell ref="AW733:AX733"/>
    <mergeCell ref="AL702:AM702"/>
    <mergeCell ref="AK730:AL730"/>
    <mergeCell ref="AI619:AJ619"/>
    <mergeCell ref="AN664:AO664"/>
    <mergeCell ref="AH664:AI664"/>
    <mergeCell ref="AK664:AL664"/>
    <mergeCell ref="AE690:AF690"/>
    <mergeCell ref="AB691:AC691"/>
    <mergeCell ref="AP703:AQ703"/>
    <mergeCell ref="AG620:AI620"/>
    <mergeCell ref="AG621:AI621"/>
    <mergeCell ref="AG699:AH699"/>
    <mergeCell ref="AE662:AF662"/>
    <mergeCell ref="AB614:AC614"/>
    <mergeCell ref="AJ635:AK635"/>
    <mergeCell ref="AY630:BA630"/>
    <mergeCell ref="AC698:AD698"/>
    <mergeCell ref="AC695:AD695"/>
    <mergeCell ref="AB725:AC725"/>
    <mergeCell ref="AE613:AF613"/>
    <mergeCell ref="L817:M817"/>
    <mergeCell ref="L813:M813"/>
    <mergeCell ref="Q813:R813"/>
    <mergeCell ref="W813:X813"/>
    <mergeCell ref="AH814:AI814"/>
    <mergeCell ref="Z782:AA782"/>
    <mergeCell ref="AC785:AD785"/>
    <mergeCell ref="L789:M789"/>
    <mergeCell ref="R706:T706"/>
    <mergeCell ref="K655:L655"/>
    <mergeCell ref="J686:K686"/>
    <mergeCell ref="J652:K652"/>
    <mergeCell ref="O719:Q719"/>
    <mergeCell ref="O704:P704"/>
    <mergeCell ref="S717:T717"/>
    <mergeCell ref="Z698:AA698"/>
    <mergeCell ref="T722:U722"/>
    <mergeCell ref="I754:J754"/>
    <mergeCell ref="F756:I756"/>
    <mergeCell ref="T673:U673"/>
    <mergeCell ref="E672:G672"/>
    <mergeCell ref="F673:G673"/>
    <mergeCell ref="H664:I664"/>
    <mergeCell ref="E791:F791"/>
    <mergeCell ref="Q715:R715"/>
    <mergeCell ref="F757:I757"/>
    <mergeCell ref="AE733:AF733"/>
    <mergeCell ref="H733:I733"/>
    <mergeCell ref="M725:N725"/>
    <mergeCell ref="P725:Q725"/>
    <mergeCell ref="N780:O780"/>
    <mergeCell ref="AH817:AI817"/>
    <mergeCell ref="E761:F761"/>
    <mergeCell ref="AS837:AT837"/>
    <mergeCell ref="AW837:AX837"/>
    <mergeCell ref="AA838:AB838"/>
    <mergeCell ref="E859:F859"/>
    <mergeCell ref="P853:Q853"/>
    <mergeCell ref="AC853:AE853"/>
    <mergeCell ref="O858:P858"/>
    <mergeCell ref="AK866:AL866"/>
    <mergeCell ref="H882:J882"/>
    <mergeCell ref="BM869:BN869"/>
    <mergeCell ref="BR874:BS874"/>
    <mergeCell ref="BW874:BX874"/>
    <mergeCell ref="E876:F876"/>
    <mergeCell ref="L876:M876"/>
    <mergeCell ref="Q876:R876"/>
    <mergeCell ref="L882:M882"/>
    <mergeCell ref="O882:Q882"/>
    <mergeCell ref="E879:F879"/>
    <mergeCell ref="H879:I879"/>
    <mergeCell ref="M879:N879"/>
    <mergeCell ref="P879:Q879"/>
    <mergeCell ref="S879:T879"/>
    <mergeCell ref="Y879:Z879"/>
    <mergeCell ref="AB879:AC879"/>
    <mergeCell ref="AE879:AF879"/>
    <mergeCell ref="AK879:AL879"/>
    <mergeCell ref="AQ879:AR879"/>
    <mergeCell ref="AW879:AX879"/>
    <mergeCell ref="E842:G842"/>
    <mergeCell ref="AF751:AG751"/>
    <mergeCell ref="AE763:AF763"/>
    <mergeCell ref="J772:K772"/>
    <mergeCell ref="AP834:AQ834"/>
    <mergeCell ref="AS834:AT834"/>
    <mergeCell ref="BB834:BD834"/>
    <mergeCell ref="U835:V835"/>
    <mergeCell ref="AA835:AB835"/>
    <mergeCell ref="AD835:AE835"/>
    <mergeCell ref="AG835:AH835"/>
    <mergeCell ref="AS835:AT835"/>
    <mergeCell ref="AY835:AZ835"/>
    <mergeCell ref="BB835:BC835"/>
    <mergeCell ref="AW838:AX838"/>
    <mergeCell ref="AZ838:BA838"/>
    <mergeCell ref="BC838:BD838"/>
    <mergeCell ref="AG837:AH837"/>
    <mergeCell ref="AM837:AN837"/>
    <mergeCell ref="AH867:AI867"/>
    <mergeCell ref="AM867:AN867"/>
    <mergeCell ref="D872:F872"/>
    <mergeCell ref="M872:O872"/>
    <mergeCell ref="Q867:R867"/>
    <mergeCell ref="F877:H877"/>
    <mergeCell ref="L877:N877"/>
    <mergeCell ref="E881:G881"/>
    <mergeCell ref="AN879:AO879"/>
    <mergeCell ref="W876:X876"/>
    <mergeCell ref="AB876:AC876"/>
    <mergeCell ref="AH876:AI876"/>
    <mergeCell ref="J812:K812"/>
    <mergeCell ref="AF825:AG825"/>
    <mergeCell ref="P763:Q763"/>
    <mergeCell ref="P880:Q880"/>
    <mergeCell ref="BT876:BU876"/>
    <mergeCell ref="BX876:BY876"/>
    <mergeCell ref="H874:I874"/>
    <mergeCell ref="O874:P874"/>
    <mergeCell ref="T874:U874"/>
    <mergeCell ref="AQ861:AR861"/>
    <mergeCell ref="AQ859:AR859"/>
    <mergeCell ref="Z853:AA853"/>
    <mergeCell ref="AW869:AX869"/>
    <mergeCell ref="BB861:BC861"/>
    <mergeCell ref="O863:Q863"/>
    <mergeCell ref="AE861:AF861"/>
    <mergeCell ref="AK861:AL861"/>
    <mergeCell ref="H853:I853"/>
    <mergeCell ref="V853:X853"/>
    <mergeCell ref="AI853:AK853"/>
    <mergeCell ref="AM853:AO853"/>
    <mergeCell ref="O855:Q855"/>
    <mergeCell ref="M869:N869"/>
    <mergeCell ref="P869:Q869"/>
    <mergeCell ref="S869:T869"/>
    <mergeCell ref="AB861:AC861"/>
    <mergeCell ref="T858:U858"/>
    <mergeCell ref="Z866:AA866"/>
    <mergeCell ref="AK869:AL869"/>
    <mergeCell ref="AZ869:BA869"/>
    <mergeCell ref="BC869:BD869"/>
    <mergeCell ref="AN869:AO869"/>
    <mergeCell ref="AK858:AL858"/>
    <mergeCell ref="AB869:AC869"/>
    <mergeCell ref="AT866:AU866"/>
    <mergeCell ref="BI869:BK869"/>
    <mergeCell ref="AP874:AQ874"/>
    <mergeCell ref="AV874:AW874"/>
    <mergeCell ref="Z874:AA874"/>
    <mergeCell ref="AE874:AF874"/>
    <mergeCell ref="AK874:AL874"/>
    <mergeCell ref="BA874:BB874"/>
    <mergeCell ref="BG874:BH874"/>
    <mergeCell ref="AS876:AT876"/>
    <mergeCell ref="AX876:AY876"/>
    <mergeCell ref="BD876:BE876"/>
    <mergeCell ref="BI876:BJ876"/>
    <mergeCell ref="BO876:BP876"/>
    <mergeCell ref="AM876:AN876"/>
    <mergeCell ref="AB867:AC867"/>
    <mergeCell ref="BZ869:CB869"/>
    <mergeCell ref="H863:J863"/>
    <mergeCell ref="BK867:BM867"/>
    <mergeCell ref="AQ869:AR869"/>
    <mergeCell ref="BL874:BM874"/>
    <mergeCell ref="BH823:BI823"/>
    <mergeCell ref="AU822:AV822"/>
    <mergeCell ref="AY822:AZ822"/>
    <mergeCell ref="BD822:BE822"/>
    <mergeCell ref="BQ831:BR831"/>
    <mergeCell ref="BE830:BF830"/>
    <mergeCell ref="BN830:BP830"/>
    <mergeCell ref="AQ867:AR867"/>
    <mergeCell ref="AT867:AU867"/>
    <mergeCell ref="AY867:AZ867"/>
    <mergeCell ref="BE867:BG867"/>
    <mergeCell ref="BB837:BC837"/>
    <mergeCell ref="AU825:AV825"/>
    <mergeCell ref="BG825:BH825"/>
    <mergeCell ref="BE861:BG861"/>
    <mergeCell ref="BO861:BQ861"/>
    <mergeCell ref="BE835:BF835"/>
    <mergeCell ref="AM835:AN835"/>
    <mergeCell ref="AP835:AQ835"/>
    <mergeCell ref="BM825:BN825"/>
    <mergeCell ref="BN831:BO831"/>
    <mergeCell ref="BO837:BQ837"/>
    <mergeCell ref="U834:V834"/>
    <mergeCell ref="BV869:BX869"/>
    <mergeCell ref="BP869:BR869"/>
    <mergeCell ref="Y869:Z869"/>
    <mergeCell ref="AE869:AF869"/>
    <mergeCell ref="H871:J871"/>
    <mergeCell ref="CA874:CB874"/>
    <mergeCell ref="H858:I858"/>
    <mergeCell ref="H861:I861"/>
    <mergeCell ref="M864:O864"/>
    <mergeCell ref="AX861:AZ861"/>
    <mergeCell ref="L867:M867"/>
    <mergeCell ref="H866:I866"/>
    <mergeCell ref="Q859:R859"/>
    <mergeCell ref="W859:X859"/>
    <mergeCell ref="AB859:AC859"/>
    <mergeCell ref="AH859:AI859"/>
    <mergeCell ref="AM859:AN859"/>
    <mergeCell ref="AT859:AV859"/>
    <mergeCell ref="AZ859:BB859"/>
    <mergeCell ref="M861:N861"/>
    <mergeCell ref="P861:Q861"/>
    <mergeCell ref="S861:T861"/>
    <mergeCell ref="Z858:AA858"/>
    <mergeCell ref="AE858:AF858"/>
    <mergeCell ref="AW866:AX866"/>
    <mergeCell ref="BB866:BC866"/>
    <mergeCell ref="Y861:Z861"/>
    <mergeCell ref="BK861:BM861"/>
    <mergeCell ref="O835:P835"/>
    <mergeCell ref="R835:S835"/>
    <mergeCell ref="AG830:AH830"/>
    <mergeCell ref="I825:J825"/>
    <mergeCell ref="L825:M825"/>
    <mergeCell ref="Q825:R825"/>
    <mergeCell ref="T825:U825"/>
    <mergeCell ref="BB828:BD828"/>
    <mergeCell ref="AH813:AI813"/>
    <mergeCell ref="AH808:AI808"/>
    <mergeCell ref="AS816:AT816"/>
    <mergeCell ref="BN838:BO838"/>
    <mergeCell ref="BP825:BQ825"/>
    <mergeCell ref="AS831:AT831"/>
    <mergeCell ref="AB833:AD833"/>
    <mergeCell ref="J830:K830"/>
    <mergeCell ref="K829:M829"/>
    <mergeCell ref="J828:K828"/>
    <mergeCell ref="AU861:AV861"/>
    <mergeCell ref="AT858:AU858"/>
    <mergeCell ref="J837:K837"/>
    <mergeCell ref="CA838:CC838"/>
    <mergeCell ref="BV838:BW838"/>
    <mergeCell ref="W839:X839"/>
    <mergeCell ref="AB839:AD839"/>
    <mergeCell ref="AI839:AJ839"/>
    <mergeCell ref="AP839:AQ839"/>
    <mergeCell ref="Q839:S839"/>
    <mergeCell ref="AA834:AB834"/>
    <mergeCell ref="AD834:AE834"/>
    <mergeCell ref="AG834:AH834"/>
    <mergeCell ref="AS830:AT830"/>
    <mergeCell ref="AY830:AZ830"/>
    <mergeCell ref="BB830:BC830"/>
    <mergeCell ref="AP838:AQ838"/>
    <mergeCell ref="AD838:AE838"/>
    <mergeCell ref="AY831:AZ831"/>
    <mergeCell ref="AG838:AH838"/>
    <mergeCell ref="AM838:AN838"/>
    <mergeCell ref="J838:K838"/>
    <mergeCell ref="AG831:AH831"/>
    <mergeCell ref="AP858:AQ858"/>
    <mergeCell ref="N832:O832"/>
    <mergeCell ref="L859:M859"/>
    <mergeCell ref="BE831:BF831"/>
    <mergeCell ref="BS822:BU822"/>
    <mergeCell ref="BS825:BT825"/>
    <mergeCell ref="AR825:AS825"/>
    <mergeCell ref="AR823:AS823"/>
    <mergeCell ref="BT818:BU818"/>
    <mergeCell ref="BX818:BY818"/>
    <mergeCell ref="AV782:AW782"/>
    <mergeCell ref="Z793:AA793"/>
    <mergeCell ref="BP823:BQ823"/>
    <mergeCell ref="T785:U785"/>
    <mergeCell ref="AK782:AL782"/>
    <mergeCell ref="N784:O784"/>
    <mergeCell ref="U789:V789"/>
    <mergeCell ref="AC782:AD782"/>
    <mergeCell ref="AC784:AD784"/>
    <mergeCell ref="AF784:AG784"/>
    <mergeCell ref="AI784:AJ784"/>
    <mergeCell ref="AL784:AM784"/>
    <mergeCell ref="AO784:AP784"/>
    <mergeCell ref="BA795:BC795"/>
    <mergeCell ref="BA791:BC791"/>
    <mergeCell ref="AU823:AV823"/>
    <mergeCell ref="AY823:AZ823"/>
    <mergeCell ref="BB823:BC823"/>
    <mergeCell ref="BD817:BE817"/>
    <mergeCell ref="BI818:BJ818"/>
    <mergeCell ref="AB817:AC817"/>
    <mergeCell ref="U808:V808"/>
    <mergeCell ref="R808:S808"/>
    <mergeCell ref="AV816:AW816"/>
    <mergeCell ref="BA816:BB816"/>
    <mergeCell ref="AI795:AJ795"/>
    <mergeCell ref="BO818:BP818"/>
    <mergeCell ref="BT817:BU817"/>
    <mergeCell ref="AF788:AG788"/>
    <mergeCell ref="AV789:AW789"/>
    <mergeCell ref="AU795:AV795"/>
    <mergeCell ref="AX795:AY795"/>
    <mergeCell ref="AR793:AS793"/>
    <mergeCell ref="AS813:AT813"/>
    <mergeCell ref="AQ814:AR814"/>
    <mergeCell ref="BA793:BC793"/>
    <mergeCell ref="N795:O795"/>
    <mergeCell ref="BO817:BP817"/>
    <mergeCell ref="Q821:R821"/>
    <mergeCell ref="AH810:AI810"/>
    <mergeCell ref="AJ789:AK789"/>
    <mergeCell ref="AA789:AB789"/>
    <mergeCell ref="BD816:BE816"/>
    <mergeCell ref="BI816:BJ816"/>
    <mergeCell ref="AC793:AD793"/>
    <mergeCell ref="AL791:AM791"/>
    <mergeCell ref="AI793:AJ793"/>
    <mergeCell ref="AL795:AM795"/>
    <mergeCell ref="M812:N812"/>
    <mergeCell ref="AM810:AN810"/>
    <mergeCell ref="AD789:AE789"/>
    <mergeCell ref="AR791:AS791"/>
    <mergeCell ref="AT814:AU814"/>
    <mergeCell ref="T821:U821"/>
    <mergeCell ref="AK816:AL816"/>
    <mergeCell ref="L806:M806"/>
    <mergeCell ref="X789:Y789"/>
    <mergeCell ref="K795:L795"/>
    <mergeCell ref="W795:X795"/>
    <mergeCell ref="AY789:AZ789"/>
    <mergeCell ref="BD818:BE818"/>
    <mergeCell ref="BE823:BF823"/>
    <mergeCell ref="L696:M696"/>
    <mergeCell ref="T696:U696"/>
    <mergeCell ref="U677:W677"/>
    <mergeCell ref="R690:S690"/>
    <mergeCell ref="Q691:R691"/>
    <mergeCell ref="L687:M687"/>
    <mergeCell ref="L684:M684"/>
    <mergeCell ref="T688:U688"/>
    <mergeCell ref="L691:M691"/>
    <mergeCell ref="W691:X691"/>
    <mergeCell ref="Q695:R695"/>
    <mergeCell ref="E690:F690"/>
    <mergeCell ref="W698:X698"/>
    <mergeCell ref="E682:F682"/>
    <mergeCell ref="E683:F683"/>
    <mergeCell ref="R772:S772"/>
    <mergeCell ref="E764:G764"/>
    <mergeCell ref="E774:F774"/>
    <mergeCell ref="Y723:Z723"/>
    <mergeCell ref="M720:O720"/>
    <mergeCell ref="O714:P714"/>
    <mergeCell ref="E710:G710"/>
    <mergeCell ref="Z704:AB704"/>
    <mergeCell ref="H727:J727"/>
    <mergeCell ref="D724:F724"/>
    <mergeCell ref="R705:S705"/>
    <mergeCell ref="E711:G711"/>
    <mergeCell ref="E731:F731"/>
    <mergeCell ref="L731:M731"/>
    <mergeCell ref="Q731:R731"/>
    <mergeCell ref="E762:G762"/>
    <mergeCell ref="G763:H763"/>
    <mergeCell ref="J763:K763"/>
    <mergeCell ref="W705:X705"/>
    <mergeCell ref="D732:F732"/>
    <mergeCell ref="E733:F733"/>
    <mergeCell ref="O705:P705"/>
    <mergeCell ref="M717:N717"/>
    <mergeCell ref="V717:X717"/>
    <mergeCell ref="S725:T725"/>
    <mergeCell ref="E769:F769"/>
    <mergeCell ref="D736:F736"/>
    <mergeCell ref="L719:M719"/>
    <mergeCell ref="N774:O774"/>
    <mergeCell ref="T774:U774"/>
    <mergeCell ref="O735:Q735"/>
    <mergeCell ref="E717:F717"/>
    <mergeCell ref="Z774:AA774"/>
    <mergeCell ref="E734:G734"/>
    <mergeCell ref="K770:L770"/>
    <mergeCell ref="M763:N763"/>
    <mergeCell ref="Z743:AA743"/>
    <mergeCell ref="Z751:AA751"/>
    <mergeCell ref="W742:X742"/>
    <mergeCell ref="W761:X761"/>
    <mergeCell ref="Z761:AA761"/>
    <mergeCell ref="S763:T763"/>
    <mergeCell ref="J767:K767"/>
    <mergeCell ref="D773:F773"/>
    <mergeCell ref="H770:I770"/>
    <mergeCell ref="E772:F772"/>
    <mergeCell ref="U772:V772"/>
    <mergeCell ref="N770:P770"/>
    <mergeCell ref="W774:X774"/>
    <mergeCell ref="AN612:AO612"/>
    <mergeCell ref="T646:U646"/>
    <mergeCell ref="C631:C633"/>
    <mergeCell ref="J633:K633"/>
    <mergeCell ref="K636:L636"/>
    <mergeCell ref="J648:K648"/>
    <mergeCell ref="BC664:BE664"/>
    <mergeCell ref="D653:F653"/>
    <mergeCell ref="E654:F654"/>
    <mergeCell ref="AY631:BA631"/>
    <mergeCell ref="F642:I642"/>
    <mergeCell ref="BI616:BK616"/>
    <mergeCell ref="BF612:BG612"/>
    <mergeCell ref="BG615:BI615"/>
    <mergeCell ref="AY595:BA595"/>
    <mergeCell ref="AE596:AF596"/>
    <mergeCell ref="AH596:AI596"/>
    <mergeCell ref="AM596:AN596"/>
    <mergeCell ref="AP596:AQ596"/>
    <mergeCell ref="AS596:AU596"/>
    <mergeCell ref="AQ595:AR595"/>
    <mergeCell ref="AT595:AU595"/>
    <mergeCell ref="H654:I654"/>
    <mergeCell ref="E664:F664"/>
    <mergeCell ref="F669:G669"/>
    <mergeCell ref="H665:I665"/>
    <mergeCell ref="E665:F665"/>
    <mergeCell ref="T665:U665"/>
    <mergeCell ref="D668:F668"/>
    <mergeCell ref="Y667:Z667"/>
    <mergeCell ref="H646:I646"/>
    <mergeCell ref="E647:G647"/>
    <mergeCell ref="K646:L646"/>
    <mergeCell ref="H659:I659"/>
    <mergeCell ref="S659:T659"/>
    <mergeCell ref="G648:H648"/>
    <mergeCell ref="V659:W659"/>
    <mergeCell ref="N665:O665"/>
    <mergeCell ref="Y614:Z614"/>
    <mergeCell ref="AC628:AD628"/>
    <mergeCell ref="Y636:Z636"/>
    <mergeCell ref="E655:F655"/>
    <mergeCell ref="I639:J639"/>
    <mergeCell ref="AE614:AF614"/>
    <mergeCell ref="AH614:AI614"/>
    <mergeCell ref="F641:I641"/>
    <mergeCell ref="Z646:AA646"/>
    <mergeCell ref="O627:T627"/>
    <mergeCell ref="V635:W635"/>
    <mergeCell ref="E646:F646"/>
    <mergeCell ref="Y610:Z610"/>
    <mergeCell ref="Z629:AA629"/>
    <mergeCell ref="AB613:AC613"/>
    <mergeCell ref="AB599:AC599"/>
    <mergeCell ref="Q660:S660"/>
    <mergeCell ref="E657:F657"/>
    <mergeCell ref="D658:F658"/>
    <mergeCell ref="Y664:Z664"/>
    <mergeCell ref="N664:O664"/>
    <mergeCell ref="Y602:AA602"/>
    <mergeCell ref="Y603:Z603"/>
    <mergeCell ref="AB603:AC603"/>
    <mergeCell ref="I669:J669"/>
    <mergeCell ref="S667:T667"/>
    <mergeCell ref="AQ612:AR612"/>
    <mergeCell ref="AF592:AG592"/>
    <mergeCell ref="Y668:Z668"/>
    <mergeCell ref="AC669:AE669"/>
    <mergeCell ref="L669:M669"/>
    <mergeCell ref="Z669:AA669"/>
    <mergeCell ref="S648:T648"/>
    <mergeCell ref="J657:K657"/>
    <mergeCell ref="Q657:R657"/>
    <mergeCell ref="Y600:AA600"/>
    <mergeCell ref="AA601:AC601"/>
    <mergeCell ref="S668:T668"/>
    <mergeCell ref="Q664:R664"/>
    <mergeCell ref="M662:N662"/>
    <mergeCell ref="W665:X665"/>
    <mergeCell ref="AF646:AG646"/>
    <mergeCell ref="Y599:Z599"/>
    <mergeCell ref="Y611:Z611"/>
    <mergeCell ref="AK617:AL617"/>
    <mergeCell ref="AB610:AC610"/>
    <mergeCell ref="K587:L587"/>
    <mergeCell ref="M592:N592"/>
    <mergeCell ref="M595:N595"/>
    <mergeCell ref="Z604:AB604"/>
    <mergeCell ref="Y605:Z605"/>
    <mergeCell ref="AJ575:AL575"/>
    <mergeCell ref="AI581:AJ581"/>
    <mergeCell ref="Z587:AA587"/>
    <mergeCell ref="AN587:AO587"/>
    <mergeCell ref="AG588:AH588"/>
    <mergeCell ref="AQ573:AS573"/>
    <mergeCell ref="N646:O646"/>
    <mergeCell ref="AH612:AI612"/>
    <mergeCell ref="AB605:AC605"/>
    <mergeCell ref="AK592:AM592"/>
    <mergeCell ref="X594:Y594"/>
    <mergeCell ref="AF595:AG595"/>
    <mergeCell ref="AI595:AJ595"/>
    <mergeCell ref="AE610:AF610"/>
    <mergeCell ref="AE605:AF605"/>
    <mergeCell ref="AM605:AN605"/>
    <mergeCell ref="AP605:AQ605"/>
    <mergeCell ref="AM636:AN636"/>
    <mergeCell ref="X620:Z620"/>
    <mergeCell ref="X621:Z621"/>
    <mergeCell ref="AL628:AM628"/>
    <mergeCell ref="AB607:AD607"/>
    <mergeCell ref="AF607:AG607"/>
    <mergeCell ref="AG617:AI617"/>
    <mergeCell ref="Y613:Z613"/>
    <mergeCell ref="Y612:Z612"/>
    <mergeCell ref="Q655:R655"/>
    <mergeCell ref="P648:Q648"/>
    <mergeCell ref="M648:N648"/>
    <mergeCell ref="T664:U664"/>
    <mergeCell ref="N655:O655"/>
    <mergeCell ref="N659:O659"/>
    <mergeCell ref="AF615:AI615"/>
    <mergeCell ref="AG618:AI618"/>
    <mergeCell ref="K654:L654"/>
    <mergeCell ref="N654:O654"/>
    <mergeCell ref="B624:CC624"/>
    <mergeCell ref="E652:F652"/>
    <mergeCell ref="S654:U654"/>
    <mergeCell ref="AK569:AL569"/>
    <mergeCell ref="BJ570:BL570"/>
    <mergeCell ref="BC570:BG570"/>
    <mergeCell ref="BE571:BI571"/>
    <mergeCell ref="AJ571:AN571"/>
    <mergeCell ref="AK567:AL567"/>
    <mergeCell ref="AH569:AI569"/>
    <mergeCell ref="AE568:AF568"/>
    <mergeCell ref="AE566:AF566"/>
    <mergeCell ref="AH568:AI568"/>
    <mergeCell ref="BF566:BG566"/>
    <mergeCell ref="BC568:BD568"/>
    <mergeCell ref="AI570:AL570"/>
    <mergeCell ref="BI566:BJ566"/>
    <mergeCell ref="AN567:AO567"/>
    <mergeCell ref="AX570:BA570"/>
    <mergeCell ref="AE569:AF569"/>
    <mergeCell ref="AZ571:BC571"/>
    <mergeCell ref="BL571:BN571"/>
    <mergeCell ref="AK566:AL566"/>
    <mergeCell ref="AH566:AI566"/>
    <mergeCell ref="AR702:AT702"/>
    <mergeCell ref="AX691:AY691"/>
    <mergeCell ref="AB662:AC662"/>
    <mergeCell ref="BL568:BM568"/>
    <mergeCell ref="BI565:BJ565"/>
    <mergeCell ref="AT566:AU566"/>
    <mergeCell ref="AQ565:AR565"/>
    <mergeCell ref="AJ572:AL572"/>
    <mergeCell ref="AQ572:AS572"/>
    <mergeCell ref="BC565:BD565"/>
    <mergeCell ref="AN566:AO566"/>
    <mergeCell ref="Q684:R684"/>
    <mergeCell ref="V686:W686"/>
    <mergeCell ref="AG677:AI677"/>
    <mergeCell ref="AK677:AM677"/>
    <mergeCell ref="AC671:AE671"/>
    <mergeCell ref="BI613:BL613"/>
    <mergeCell ref="AW612:AX612"/>
    <mergeCell ref="AZ565:BA565"/>
    <mergeCell ref="BF565:BG565"/>
    <mergeCell ref="AT565:AU565"/>
    <mergeCell ref="AB568:AC568"/>
    <mergeCell ref="AK565:AL565"/>
    <mergeCell ref="AN565:AO565"/>
    <mergeCell ref="AB567:AC567"/>
    <mergeCell ref="AE567:AF567"/>
    <mergeCell ref="AH567:AI567"/>
    <mergeCell ref="BC566:BD566"/>
    <mergeCell ref="BF568:BG568"/>
    <mergeCell ref="AW566:AX566"/>
    <mergeCell ref="AQ566:AR566"/>
    <mergeCell ref="Q646:R646"/>
    <mergeCell ref="AO574:AQ574"/>
    <mergeCell ref="AN573:AO573"/>
    <mergeCell ref="AU573:AV573"/>
    <mergeCell ref="AP571:AS571"/>
    <mergeCell ref="AJ573:AL573"/>
    <mergeCell ref="T655:V655"/>
    <mergeCell ref="AB659:AD659"/>
    <mergeCell ref="AP599:AQ599"/>
    <mergeCell ref="Y609:AB609"/>
    <mergeCell ref="AH610:AI610"/>
    <mergeCell ref="AK610:AL610"/>
    <mergeCell ref="BA517:BC517"/>
    <mergeCell ref="AA547:AC547"/>
    <mergeCell ref="AB548:AC548"/>
    <mergeCell ref="AH560:AI560"/>
    <mergeCell ref="AZ560:BA560"/>
    <mergeCell ref="BC560:BD560"/>
    <mergeCell ref="BF560:BG560"/>
    <mergeCell ref="BB544:BD544"/>
    <mergeCell ref="AX523:BA523"/>
    <mergeCell ref="AW522:AX522"/>
    <mergeCell ref="BE517:BG517"/>
    <mergeCell ref="AV521:AW521"/>
    <mergeCell ref="AE548:AF548"/>
    <mergeCell ref="AH520:AI520"/>
    <mergeCell ref="AJ521:AK521"/>
    <mergeCell ref="AN520:AO520"/>
    <mergeCell ref="AN540:AP540"/>
    <mergeCell ref="AE522:AF522"/>
    <mergeCell ref="AQ520:AR520"/>
    <mergeCell ref="BL561:BM561"/>
    <mergeCell ref="AT544:AU544"/>
    <mergeCell ref="AM548:AN548"/>
    <mergeCell ref="AL544:AM544"/>
    <mergeCell ref="AO544:AP544"/>
    <mergeCell ref="AV545:AX545"/>
    <mergeCell ref="AS545:AT545"/>
    <mergeCell ref="AX559:AY559"/>
    <mergeCell ref="BA559:BB559"/>
    <mergeCell ref="BC523:BE523"/>
    <mergeCell ref="AX556:AZ556"/>
    <mergeCell ref="AZ522:BC522"/>
    <mergeCell ref="AB566:AC566"/>
    <mergeCell ref="AW560:AX560"/>
    <mergeCell ref="AT564:AX564"/>
    <mergeCell ref="AK561:AL561"/>
    <mergeCell ref="AZ562:BA562"/>
    <mergeCell ref="BC562:BD562"/>
    <mergeCell ref="AZ563:BA563"/>
    <mergeCell ref="AS548:AT548"/>
    <mergeCell ref="AF559:AG559"/>
    <mergeCell ref="AI559:AJ559"/>
    <mergeCell ref="AK545:AL545"/>
    <mergeCell ref="AN562:AO562"/>
    <mergeCell ref="AT562:AU562"/>
    <mergeCell ref="AT560:AU560"/>
    <mergeCell ref="AK563:AL563"/>
    <mergeCell ref="AK564:AL564"/>
    <mergeCell ref="AN564:AO564"/>
    <mergeCell ref="AK562:AL562"/>
    <mergeCell ref="AN560:AO560"/>
    <mergeCell ref="AQ560:AR560"/>
    <mergeCell ref="AQ561:AR561"/>
    <mergeCell ref="AV548:AX548"/>
    <mergeCell ref="AQ563:AR563"/>
    <mergeCell ref="AL556:AN556"/>
    <mergeCell ref="AR556:AT556"/>
    <mergeCell ref="AE564:AF564"/>
    <mergeCell ref="AH563:AI563"/>
    <mergeCell ref="AP545:AQ545"/>
    <mergeCell ref="AS552:AT552"/>
    <mergeCell ref="AV552:AX552"/>
    <mergeCell ref="AR559:AS559"/>
    <mergeCell ref="AL559:AM559"/>
    <mergeCell ref="AZ566:BA566"/>
    <mergeCell ref="E463:G463"/>
    <mergeCell ref="E460:F460"/>
    <mergeCell ref="J460:K460"/>
    <mergeCell ref="M460:O460"/>
    <mergeCell ref="U460:W460"/>
    <mergeCell ref="D461:F461"/>
    <mergeCell ref="E462:F462"/>
    <mergeCell ref="H462:I462"/>
    <mergeCell ref="K462:L462"/>
    <mergeCell ref="N462:P462"/>
    <mergeCell ref="R462:S462"/>
    <mergeCell ref="W462:Y462"/>
    <mergeCell ref="M510:N510"/>
    <mergeCell ref="AS506:AU506"/>
    <mergeCell ref="R494:R496"/>
    <mergeCell ref="Z520:AA520"/>
    <mergeCell ref="AF524:AG524"/>
    <mergeCell ref="AP521:AQ521"/>
    <mergeCell ref="AS515:AU515"/>
    <mergeCell ref="AT520:AV520"/>
    <mergeCell ref="AJ509:AK509"/>
    <mergeCell ref="AG525:AI525"/>
    <mergeCell ref="AS523:AV523"/>
    <mergeCell ref="P417:Q417"/>
    <mergeCell ref="AJ491:AK491"/>
    <mergeCell ref="AN423:AO423"/>
    <mergeCell ref="AK501:AM501"/>
    <mergeCell ref="AF501:AG501"/>
    <mergeCell ref="F499:F500"/>
    <mergeCell ref="AP506:AQ506"/>
    <mergeCell ref="AT423:AU423"/>
    <mergeCell ref="AC502:AD502"/>
    <mergeCell ref="R509:R511"/>
    <mergeCell ref="Y510:AA510"/>
    <mergeCell ref="M493:N493"/>
    <mergeCell ref="Y521:Z521"/>
    <mergeCell ref="AB521:AC521"/>
    <mergeCell ref="AE521:AF521"/>
    <mergeCell ref="AH498:AI498"/>
    <mergeCell ref="AL523:AN523"/>
    <mergeCell ref="X525:Z525"/>
    <mergeCell ref="AF423:AG423"/>
    <mergeCell ref="AG419:AI419"/>
    <mergeCell ref="AK423:AL423"/>
    <mergeCell ref="AN522:AO522"/>
    <mergeCell ref="AQ522:AR522"/>
    <mergeCell ref="I513:K513"/>
    <mergeCell ref="AB524:AD524"/>
    <mergeCell ref="AU517:AW517"/>
    <mergeCell ref="AT522:AU522"/>
    <mergeCell ref="AE506:AF506"/>
    <mergeCell ref="Y515:Z515"/>
    <mergeCell ref="Z514:AB514"/>
    <mergeCell ref="AH506:AI506"/>
    <mergeCell ref="H313:I313"/>
    <mergeCell ref="T334:U334"/>
    <mergeCell ref="Q367:S367"/>
    <mergeCell ref="J351:K351"/>
    <mergeCell ref="K354:L354"/>
    <mergeCell ref="W374:X374"/>
    <mergeCell ref="Y366:AA366"/>
    <mergeCell ref="J392:K392"/>
    <mergeCell ref="O327:P327"/>
    <mergeCell ref="AB328:AC328"/>
    <mergeCell ref="AK325:AM325"/>
    <mergeCell ref="M336:N336"/>
    <mergeCell ref="P336:Q336"/>
    <mergeCell ref="T323:U323"/>
    <mergeCell ref="O345:T345"/>
    <mergeCell ref="AK419:AM419"/>
    <mergeCell ref="AB509:AC509"/>
    <mergeCell ref="AG374:AI374"/>
    <mergeCell ref="B489:CC489"/>
    <mergeCell ref="L491:M491"/>
    <mergeCell ref="E484:F484"/>
    <mergeCell ref="C349:C351"/>
    <mergeCell ref="E411:G411"/>
    <mergeCell ref="D409:F409"/>
    <mergeCell ref="H402:I402"/>
    <mergeCell ref="H425:J425"/>
    <mergeCell ref="H423:J423"/>
    <mergeCell ref="AL505:AM505"/>
    <mergeCell ref="Y519:AB519"/>
    <mergeCell ref="Y517:Z517"/>
    <mergeCell ref="AB517:AD517"/>
    <mergeCell ref="AF517:AG517"/>
    <mergeCell ref="AS513:AU513"/>
    <mergeCell ref="Y512:AA512"/>
    <mergeCell ref="Y513:Z513"/>
    <mergeCell ref="AB513:AC513"/>
    <mergeCell ref="AE513:AF513"/>
    <mergeCell ref="AJ513:AK513"/>
    <mergeCell ref="AM513:AN513"/>
    <mergeCell ref="AP513:AQ513"/>
    <mergeCell ref="X508:Z508"/>
    <mergeCell ref="P410:Q410"/>
    <mergeCell ref="U410:V410"/>
    <mergeCell ref="R407:S407"/>
    <mergeCell ref="P497:P499"/>
    <mergeCell ref="J497:K497"/>
    <mergeCell ref="Y509:Z509"/>
    <mergeCell ref="W406:X406"/>
    <mergeCell ref="AA419:AC419"/>
    <mergeCell ref="E482:F482"/>
    <mergeCell ref="E486:F486"/>
    <mergeCell ref="E479:G479"/>
    <mergeCell ref="E480:F480"/>
    <mergeCell ref="H480:I480"/>
    <mergeCell ref="X480:Z480"/>
    <mergeCell ref="E481:G481"/>
    <mergeCell ref="N402:O402"/>
    <mergeCell ref="M407:N407"/>
    <mergeCell ref="O423:R423"/>
    <mergeCell ref="AE406:AF406"/>
    <mergeCell ref="BA280:BC280"/>
    <mergeCell ref="AR280:AT280"/>
    <mergeCell ref="AO280:AP280"/>
    <mergeCell ref="Z277:AA277"/>
    <mergeCell ref="AP275:AQ275"/>
    <mergeCell ref="AP336:AR336"/>
    <mergeCell ref="AA325:AC325"/>
    <mergeCell ref="AT336:AV336"/>
    <mergeCell ref="E265:F265"/>
    <mergeCell ref="K275:L275"/>
    <mergeCell ref="O282:Q282"/>
    <mergeCell ref="Q363:R363"/>
    <mergeCell ref="K323:L323"/>
    <mergeCell ref="N363:O363"/>
    <mergeCell ref="BE280:BG280"/>
    <mergeCell ref="V272:W272"/>
    <mergeCell ref="H282:J282"/>
    <mergeCell ref="M283:O283"/>
    <mergeCell ref="M311:N311"/>
    <mergeCell ref="AB313:AD313"/>
    <mergeCell ref="Q319:R319"/>
    <mergeCell ref="W321:X321"/>
    <mergeCell ref="AG336:AI336"/>
    <mergeCell ref="AK336:AL336"/>
    <mergeCell ref="E320:G320"/>
    <mergeCell ref="D330:E330"/>
    <mergeCell ref="Y357:AB357"/>
    <mergeCell ref="R351:T351"/>
    <mergeCell ref="N361:O361"/>
    <mergeCell ref="E334:F334"/>
    <mergeCell ref="N321:O321"/>
    <mergeCell ref="AV280:AW280"/>
    <mergeCell ref="AJ275:AK275"/>
    <mergeCell ref="Z301:AC301"/>
    <mergeCell ref="Z302:AC302"/>
    <mergeCell ref="X280:Y280"/>
    <mergeCell ref="E321:F321"/>
    <mergeCell ref="C275:D275"/>
    <mergeCell ref="K314:L314"/>
    <mergeCell ref="N314:O314"/>
    <mergeCell ref="N305:O305"/>
    <mergeCell ref="E323:F323"/>
    <mergeCell ref="G308:H308"/>
    <mergeCell ref="U205:V205"/>
    <mergeCell ref="N211:O211"/>
    <mergeCell ref="F205:G205"/>
    <mergeCell ref="E207:F207"/>
    <mergeCell ref="I205:J205"/>
    <mergeCell ref="E213:F213"/>
    <mergeCell ref="Q257:R257"/>
    <mergeCell ref="E313:F313"/>
    <mergeCell ref="E309:F309"/>
    <mergeCell ref="K321:L321"/>
    <mergeCell ref="R328:S328"/>
    <mergeCell ref="N319:O319"/>
    <mergeCell ref="E306:F306"/>
    <mergeCell ref="E206:G206"/>
    <mergeCell ref="D218:E218"/>
    <mergeCell ref="F219:G219"/>
    <mergeCell ref="U213:W213"/>
    <mergeCell ref="D312:F312"/>
    <mergeCell ref="E264:G264"/>
    <mergeCell ref="I311:J311"/>
    <mergeCell ref="E269:F269"/>
    <mergeCell ref="E276:G276"/>
    <mergeCell ref="E278:F278"/>
    <mergeCell ref="Q275:R275"/>
    <mergeCell ref="E255:F255"/>
    <mergeCell ref="K278:L278"/>
    <mergeCell ref="V275:W275"/>
    <mergeCell ref="F275:G275"/>
    <mergeCell ref="H267:I267"/>
    <mergeCell ref="H272:I272"/>
    <mergeCell ref="AE331:AF331"/>
    <mergeCell ref="AE333:AG333"/>
    <mergeCell ref="AB333:AC333"/>
    <mergeCell ref="H333:I333"/>
    <mergeCell ref="H325:J325"/>
    <mergeCell ref="N333:O333"/>
    <mergeCell ref="W323:X323"/>
    <mergeCell ref="W328:X328"/>
    <mergeCell ref="I327:J327"/>
    <mergeCell ref="N328:O328"/>
    <mergeCell ref="H328:I328"/>
    <mergeCell ref="X327:Y327"/>
    <mergeCell ref="AB323:AD323"/>
    <mergeCell ref="E332:G332"/>
    <mergeCell ref="W333:X333"/>
    <mergeCell ref="C331:D331"/>
    <mergeCell ref="AG325:AI325"/>
    <mergeCell ref="E325:F325"/>
    <mergeCell ref="C293:C295"/>
    <mergeCell ref="E194:F194"/>
    <mergeCell ref="E197:F197"/>
    <mergeCell ref="E168:G168"/>
    <mergeCell ref="D171:F171"/>
    <mergeCell ref="H201:I201"/>
    <mergeCell ref="E169:G169"/>
    <mergeCell ref="H170:J170"/>
    <mergeCell ref="K193:L193"/>
    <mergeCell ref="E193:F193"/>
    <mergeCell ref="U184:V184"/>
    <mergeCell ref="I189:J189"/>
    <mergeCell ref="D200:F200"/>
    <mergeCell ref="E202:F202"/>
    <mergeCell ref="L148:M148"/>
    <mergeCell ref="Q201:R201"/>
    <mergeCell ref="AL154:AM154"/>
    <mergeCell ref="AL152:AM152"/>
    <mergeCell ref="AF150:AG150"/>
    <mergeCell ref="AC154:AD154"/>
    <mergeCell ref="N144:O144"/>
    <mergeCell ref="AF144:AG144"/>
    <mergeCell ref="T144:U144"/>
    <mergeCell ref="W145:X145"/>
    <mergeCell ref="Q144:R144"/>
    <mergeCell ref="AD216:AE216"/>
    <mergeCell ref="N216:O216"/>
    <mergeCell ref="V221:W221"/>
    <mergeCell ref="U269:W269"/>
    <mergeCell ref="Z263:AA263"/>
    <mergeCell ref="K263:L263"/>
    <mergeCell ref="W263:X263"/>
    <mergeCell ref="L269:M269"/>
    <mergeCell ref="O269:Q269"/>
    <mergeCell ref="K265:L265"/>
    <mergeCell ref="N263:O263"/>
    <mergeCell ref="X205:Y205"/>
    <mergeCell ref="H193:I193"/>
    <mergeCell ref="J196:K196"/>
    <mergeCell ref="K258:L258"/>
    <mergeCell ref="T199:U199"/>
    <mergeCell ref="N193:O193"/>
    <mergeCell ref="H216:I216"/>
    <mergeCell ref="AE215:AF215"/>
    <mergeCell ref="Q207:R207"/>
    <mergeCell ref="L213:M213"/>
    <mergeCell ref="K211:L211"/>
    <mergeCell ref="F210:H210"/>
    <mergeCell ref="O215:P215"/>
    <mergeCell ref="S215:T215"/>
    <mergeCell ref="H209:I209"/>
    <mergeCell ref="H213:J213"/>
    <mergeCell ref="W207:X207"/>
    <mergeCell ref="H207:I207"/>
    <mergeCell ref="K207:L207"/>
    <mergeCell ref="W209:X209"/>
    <mergeCell ref="S196:T196"/>
    <mergeCell ref="E258:F258"/>
    <mergeCell ref="E208:G208"/>
    <mergeCell ref="L205:M205"/>
    <mergeCell ref="H211:I211"/>
    <mergeCell ref="D143:F143"/>
    <mergeCell ref="E142:F142"/>
    <mergeCell ref="AV91:AW91"/>
    <mergeCell ref="H95:I95"/>
    <mergeCell ref="E87:F87"/>
    <mergeCell ref="H87:I87"/>
    <mergeCell ref="C105:D105"/>
    <mergeCell ref="AF97:AG97"/>
    <mergeCell ref="AI97:AJ97"/>
    <mergeCell ref="V102:W102"/>
    <mergeCell ref="O99:Q99"/>
    <mergeCell ref="H93:I93"/>
    <mergeCell ref="D90:F90"/>
    <mergeCell ref="F91:G91"/>
    <mergeCell ref="AF95:AG95"/>
    <mergeCell ref="AR97:AS97"/>
    <mergeCell ref="T87:U87"/>
    <mergeCell ref="W87:X87"/>
    <mergeCell ref="L91:M91"/>
    <mergeCell ref="R102:S102"/>
    <mergeCell ref="AO87:AP87"/>
    <mergeCell ref="Z93:AA93"/>
    <mergeCell ref="E88:F88"/>
    <mergeCell ref="E97:F97"/>
    <mergeCell ref="AC97:AD97"/>
    <mergeCell ref="K105:L105"/>
    <mergeCell ref="AU205:AW205"/>
    <mergeCell ref="S165:T165"/>
    <mergeCell ref="AU159:AV159"/>
    <mergeCell ref="E257:F257"/>
    <mergeCell ref="H257:I257"/>
    <mergeCell ref="I199:J199"/>
    <mergeCell ref="K201:L201"/>
    <mergeCell ref="O205:P205"/>
    <mergeCell ref="E222:F222"/>
    <mergeCell ref="H150:I150"/>
    <mergeCell ref="G196:H196"/>
    <mergeCell ref="I168:J168"/>
    <mergeCell ref="P199:Q199"/>
    <mergeCell ref="E220:G220"/>
    <mergeCell ref="E201:F201"/>
    <mergeCell ref="H202:I202"/>
    <mergeCell ref="K257:L257"/>
    <mergeCell ref="N257:O257"/>
    <mergeCell ref="E163:G163"/>
    <mergeCell ref="H164:I164"/>
    <mergeCell ref="D166:F166"/>
    <mergeCell ref="C162:D162"/>
    <mergeCell ref="D204:F204"/>
    <mergeCell ref="E211:F211"/>
    <mergeCell ref="M199:N199"/>
    <mergeCell ref="O177:T177"/>
    <mergeCell ref="O233:T233"/>
    <mergeCell ref="K209:L209"/>
    <mergeCell ref="N209:O209"/>
    <mergeCell ref="Q209:R209"/>
    <mergeCell ref="Q202:R202"/>
    <mergeCell ref="K186:L186"/>
    <mergeCell ref="J183:K183"/>
    <mergeCell ref="E209:F209"/>
    <mergeCell ref="E199:F199"/>
    <mergeCell ref="C9:C11"/>
    <mergeCell ref="J11:K11"/>
    <mergeCell ref="BP53:BQ53"/>
    <mergeCell ref="BE33:BF33"/>
    <mergeCell ref="BH33:BI33"/>
    <mergeCell ref="BM35:BN35"/>
    <mergeCell ref="BD35:BE35"/>
    <mergeCell ref="BG35:BH35"/>
    <mergeCell ref="BJ35:BK35"/>
    <mergeCell ref="AV39:AW39"/>
    <mergeCell ref="AX35:AY35"/>
    <mergeCell ref="AU35:AV35"/>
    <mergeCell ref="BK39:BL39"/>
    <mergeCell ref="BK50:BL50"/>
    <mergeCell ref="BB50:BC50"/>
    <mergeCell ref="AA51:AB51"/>
    <mergeCell ref="O39:P39"/>
    <mergeCell ref="AE43:AF43"/>
    <mergeCell ref="BP44:BQ44"/>
    <mergeCell ref="AO27:AP27"/>
    <mergeCell ref="E49:G49"/>
    <mergeCell ref="BE53:BF53"/>
    <mergeCell ref="E34:G34"/>
    <mergeCell ref="T30:U30"/>
    <mergeCell ref="W30:X30"/>
    <mergeCell ref="Z35:AA35"/>
    <mergeCell ref="Z30:AA30"/>
    <mergeCell ref="AI29:AJ29"/>
    <mergeCell ref="AC30:AD30"/>
    <mergeCell ref="AF30:AH30"/>
    <mergeCell ref="AA33:AB33"/>
    <mergeCell ref="BP35:BQ35"/>
    <mergeCell ref="BL162:BM162"/>
    <mergeCell ref="AG162:AH162"/>
    <mergeCell ref="AR162:AS162"/>
    <mergeCell ref="AJ91:AK91"/>
    <mergeCell ref="H79:I79"/>
    <mergeCell ref="AO63:AP63"/>
    <mergeCell ref="AD85:AE85"/>
    <mergeCell ref="AK85:AL85"/>
    <mergeCell ref="BC144:BE144"/>
    <mergeCell ref="AU144:AV144"/>
    <mergeCell ref="AX144:AY144"/>
    <mergeCell ref="AJ120:AK120"/>
    <mergeCell ref="E136:F136"/>
    <mergeCell ref="AL136:AM136"/>
    <mergeCell ref="I132:J132"/>
    <mergeCell ref="Z132:AC132"/>
    <mergeCell ref="AL128:AM128"/>
    <mergeCell ref="AK142:AL142"/>
    <mergeCell ref="T136:U136"/>
    <mergeCell ref="H144:I144"/>
    <mergeCell ref="AC144:AD144"/>
    <mergeCell ref="G82:H82"/>
    <mergeCell ref="P85:Q85"/>
    <mergeCell ref="AL97:AM97"/>
    <mergeCell ref="AU108:AV108"/>
    <mergeCell ref="E93:F93"/>
    <mergeCell ref="T93:U93"/>
    <mergeCell ref="H97:I97"/>
    <mergeCell ref="K97:L97"/>
    <mergeCell ref="E85:F85"/>
    <mergeCell ref="Z87:AA87"/>
    <mergeCell ref="I91:J91"/>
    <mergeCell ref="E21:F21"/>
    <mergeCell ref="H21:I21"/>
    <mergeCell ref="K21:L21"/>
    <mergeCell ref="P24:Q24"/>
    <mergeCell ref="E25:F25"/>
    <mergeCell ref="E37:F37"/>
    <mergeCell ref="Y48:Z48"/>
    <mergeCell ref="AB47:AC47"/>
    <mergeCell ref="Z21:AA21"/>
    <mergeCell ref="M24:N24"/>
    <mergeCell ref="T35:U35"/>
    <mergeCell ref="N35:O35"/>
    <mergeCell ref="R33:S33"/>
    <mergeCell ref="E35:F35"/>
    <mergeCell ref="J24:K24"/>
    <mergeCell ref="V24:W24"/>
    <mergeCell ref="F38:H38"/>
    <mergeCell ref="H30:I30"/>
    <mergeCell ref="D46:E46"/>
    <mergeCell ref="E27:F27"/>
    <mergeCell ref="H37:I37"/>
    <mergeCell ref="D32:F32"/>
    <mergeCell ref="F33:G33"/>
    <mergeCell ref="BF44:BG44"/>
    <mergeCell ref="BC43:BD43"/>
    <mergeCell ref="AM39:AN39"/>
    <mergeCell ref="C47:D47"/>
    <mergeCell ref="BD95:BE95"/>
    <mergeCell ref="AC95:AD95"/>
    <mergeCell ref="M57:O57"/>
    <mergeCell ref="AV71:AW71"/>
    <mergeCell ref="D57:F57"/>
    <mergeCell ref="E80:F80"/>
    <mergeCell ref="E79:F79"/>
    <mergeCell ref="E83:F83"/>
    <mergeCell ref="I75:J75"/>
    <mergeCell ref="K79:L79"/>
    <mergeCell ref="AR93:AS93"/>
    <mergeCell ref="BA87:BB87"/>
    <mergeCell ref="S82:T82"/>
    <mergeCell ref="V82:W82"/>
    <mergeCell ref="AG91:AH91"/>
    <mergeCell ref="Q87:R87"/>
    <mergeCell ref="D52:F52"/>
    <mergeCell ref="AM91:AN91"/>
    <mergeCell ref="AR79:AS79"/>
    <mergeCell ref="AR85:AS85"/>
    <mergeCell ref="X91:Y91"/>
    <mergeCell ref="J82:K82"/>
    <mergeCell ref="R91:S91"/>
    <mergeCell ref="D86:F86"/>
    <mergeCell ref="AU95:AV95"/>
    <mergeCell ref="AR87:AS87"/>
    <mergeCell ref="BC51:BD51"/>
    <mergeCell ref="AF21:AG21"/>
    <mergeCell ref="AJ39:AK39"/>
    <mergeCell ref="Z50:AA50"/>
    <mergeCell ref="AL50:AM50"/>
    <mergeCell ref="M53:N53"/>
    <mergeCell ref="N44:O44"/>
    <mergeCell ref="R44:S44"/>
    <mergeCell ref="AL35:AM35"/>
    <mergeCell ref="AI43:AJ43"/>
    <mergeCell ref="AC35:AD35"/>
    <mergeCell ref="AD33:AE33"/>
    <mergeCell ref="S43:T43"/>
    <mergeCell ref="O43:P43"/>
    <mergeCell ref="AA43:AB43"/>
    <mergeCell ref="N47:O47"/>
    <mergeCell ref="AI51:AJ51"/>
    <mergeCell ref="AL44:AM44"/>
    <mergeCell ref="K47:L47"/>
    <mergeCell ref="W43:X43"/>
    <mergeCell ref="K14:L14"/>
    <mergeCell ref="AI35:AJ35"/>
    <mergeCell ref="H29:I29"/>
    <mergeCell ref="AH44:AI44"/>
    <mergeCell ref="U33:V33"/>
    <mergeCell ref="X33:Y33"/>
    <mergeCell ref="AL6:AM6"/>
    <mergeCell ref="N29:O29"/>
    <mergeCell ref="AI21:AJ21"/>
    <mergeCell ref="AB24:AC24"/>
    <mergeCell ref="Y24:Z24"/>
    <mergeCell ref="N21:O21"/>
    <mergeCell ref="Q21:R21"/>
    <mergeCell ref="AA27:AB27"/>
    <mergeCell ref="AD44:AE44"/>
    <mergeCell ref="N50:O50"/>
    <mergeCell ref="O51:P51"/>
    <mergeCell ref="U12:V12"/>
    <mergeCell ref="X53:Y53"/>
    <mergeCell ref="AD50:AE50"/>
    <mergeCell ref="G24:H24"/>
    <mergeCell ref="AZ159:BA159"/>
    <mergeCell ref="AZ165:BB165"/>
    <mergeCell ref="Z207:AA207"/>
    <mergeCell ref="AI211:AJ211"/>
    <mergeCell ref="AF211:AG211"/>
    <mergeCell ref="AF209:AG209"/>
    <mergeCell ref="AI209:AJ209"/>
    <mergeCell ref="AC207:AD207"/>
    <mergeCell ref="T207:U207"/>
    <mergeCell ref="AL209:AM209"/>
    <mergeCell ref="S167:T167"/>
    <mergeCell ref="X167:Y167"/>
    <mergeCell ref="AO207:AP207"/>
    <mergeCell ref="AT201:AV201"/>
    <mergeCell ref="AM205:AN205"/>
    <mergeCell ref="AI201:AJ201"/>
    <mergeCell ref="T193:U193"/>
    <mergeCell ref="AA205:AB205"/>
    <mergeCell ref="AD205:AE205"/>
    <mergeCell ref="W193:X193"/>
    <mergeCell ref="AS33:AT33"/>
    <mergeCell ref="AG47:AH47"/>
    <mergeCell ref="AI37:AJ37"/>
    <mergeCell ref="AL37:AM37"/>
    <mergeCell ref="O41:Q41"/>
    <mergeCell ref="BC150:BE150"/>
    <mergeCell ref="E167:F167"/>
    <mergeCell ref="R164:S164"/>
    <mergeCell ref="N162:O162"/>
    <mergeCell ref="Q162:R162"/>
    <mergeCell ref="AE165:AF165"/>
    <mergeCell ref="AI167:AJ167"/>
    <mergeCell ref="AA167:AB167"/>
    <mergeCell ref="AI150:AJ150"/>
    <mergeCell ref="AX152:AY152"/>
    <mergeCell ref="AO152:AP152"/>
    <mergeCell ref="BC152:BE152"/>
    <mergeCell ref="N164:O164"/>
    <mergeCell ref="AB162:AC162"/>
    <mergeCell ref="AP159:AQ159"/>
    <mergeCell ref="AI152:AJ152"/>
    <mergeCell ref="AC150:AD150"/>
    <mergeCell ref="N152:O152"/>
    <mergeCell ref="AK156:AM156"/>
    <mergeCell ref="AX150:AY150"/>
    <mergeCell ref="BE167:BF167"/>
    <mergeCell ref="AZ164:BA164"/>
    <mergeCell ref="AO154:AP154"/>
    <mergeCell ref="AD159:AE159"/>
    <mergeCell ref="BC162:BD162"/>
    <mergeCell ref="AW165:AX165"/>
    <mergeCell ref="V164:W164"/>
    <mergeCell ref="Z144:AA144"/>
    <mergeCell ref="K144:L144"/>
    <mergeCell ref="Q150:R150"/>
    <mergeCell ref="T150:U150"/>
    <mergeCell ref="F162:G162"/>
    <mergeCell ref="E144:F144"/>
    <mergeCell ref="K35:L35"/>
    <mergeCell ref="X39:Y39"/>
    <mergeCell ref="AP33:AQ33"/>
    <mergeCell ref="I33:J33"/>
    <mergeCell ref="AV33:AW33"/>
    <mergeCell ref="L56:M56"/>
    <mergeCell ref="Z189:AC189"/>
    <mergeCell ref="Z201:AA201"/>
    <mergeCell ref="T211:U211"/>
    <mergeCell ref="R168:T168"/>
    <mergeCell ref="T209:U209"/>
    <mergeCell ref="AD199:AE199"/>
    <mergeCell ref="N202:O202"/>
    <mergeCell ref="N207:O207"/>
    <mergeCell ref="Q145:R145"/>
    <mergeCell ref="P167:Q167"/>
    <mergeCell ref="N168:P168"/>
    <mergeCell ref="AL211:AM211"/>
    <mergeCell ref="AM162:AN162"/>
    <mergeCell ref="R159:S159"/>
    <mergeCell ref="W201:X201"/>
    <mergeCell ref="AA148:AB148"/>
    <mergeCell ref="AA199:AB199"/>
    <mergeCell ref="AI165:AJ165"/>
    <mergeCell ref="P196:Q196"/>
    <mergeCell ref="AE177:AF177"/>
    <mergeCell ref="M196:N196"/>
    <mergeCell ref="L170:M170"/>
    <mergeCell ref="M171:O171"/>
    <mergeCell ref="Q211:R211"/>
    <mergeCell ref="AL164:AM164"/>
    <mergeCell ref="W199:X199"/>
    <mergeCell ref="Z209:AA209"/>
    <mergeCell ref="AI207:AJ207"/>
    <mergeCell ref="T202:U202"/>
    <mergeCell ref="AW167:AX167"/>
    <mergeCell ref="Z159:AA159"/>
    <mergeCell ref="AJ162:AK162"/>
    <mergeCell ref="Y162:Z162"/>
    <mergeCell ref="AA165:AB165"/>
    <mergeCell ref="AR165:AS165"/>
    <mergeCell ref="AT211:AV211"/>
    <mergeCell ref="AT207:AV207"/>
    <mergeCell ref="Q193:R193"/>
    <mergeCell ref="T201:U201"/>
    <mergeCell ref="R205:S205"/>
    <mergeCell ref="N201:O201"/>
    <mergeCell ref="K202:L202"/>
    <mergeCell ref="W202:Y202"/>
    <mergeCell ref="AL201:AM201"/>
    <mergeCell ref="BL97:BN97"/>
    <mergeCell ref="AD91:AE91"/>
    <mergeCell ref="AK99:AM99"/>
    <mergeCell ref="T88:U88"/>
    <mergeCell ref="M85:N85"/>
    <mergeCell ref="K72:L72"/>
    <mergeCell ref="I85:J85"/>
    <mergeCell ref="K95:L95"/>
    <mergeCell ref="AX105:AY105"/>
    <mergeCell ref="W93:X93"/>
    <mergeCell ref="Q97:R97"/>
    <mergeCell ref="AX95:AY95"/>
    <mergeCell ref="BA95:BB95"/>
    <mergeCell ref="BD97:BE97"/>
    <mergeCell ref="W95:X95"/>
    <mergeCell ref="AL95:AM95"/>
    <mergeCell ref="AO97:AP97"/>
    <mergeCell ref="N105:O105"/>
    <mergeCell ref="AG105:AH105"/>
    <mergeCell ref="Z102:AA102"/>
    <mergeCell ref="AM105:AN105"/>
    <mergeCell ref="T97:U97"/>
    <mergeCell ref="AS91:AT91"/>
    <mergeCell ref="N87:O87"/>
    <mergeCell ref="BG93:BH93"/>
    <mergeCell ref="BP50:BQ50"/>
    <mergeCell ref="AE51:AF51"/>
    <mergeCell ref="W97:X97"/>
    <mergeCell ref="N97:O97"/>
    <mergeCell ref="I101:J101"/>
    <mergeCell ref="H102:I102"/>
    <mergeCell ref="L99:M99"/>
    <mergeCell ref="BA97:BB97"/>
    <mergeCell ref="AB105:AC105"/>
    <mergeCell ref="AX102:AY102"/>
    <mergeCell ref="T95:U95"/>
    <mergeCell ref="AF93:AG93"/>
    <mergeCell ref="P82:Q82"/>
    <mergeCell ref="AI95:AJ95"/>
    <mergeCell ref="Y105:Z105"/>
    <mergeCell ref="K93:L93"/>
    <mergeCell ref="AH85:AI85"/>
    <mergeCell ref="M82:N82"/>
    <mergeCell ref="O91:P91"/>
    <mergeCell ref="F96:H96"/>
    <mergeCell ref="E94:G94"/>
    <mergeCell ref="E92:G92"/>
    <mergeCell ref="AA85:AB85"/>
    <mergeCell ref="W85:X85"/>
    <mergeCell ref="U91:V91"/>
    <mergeCell ref="AC88:AE88"/>
    <mergeCell ref="K54:L54"/>
    <mergeCell ref="AQ51:AR51"/>
    <mergeCell ref="AL13:AM13"/>
    <mergeCell ref="AQ13:AR13"/>
    <mergeCell ref="AV13:AW13"/>
    <mergeCell ref="S24:T24"/>
    <mergeCell ref="W29:X29"/>
    <mergeCell ref="AR29:AS29"/>
    <mergeCell ref="AL21:AM21"/>
    <mergeCell ref="AH27:AI27"/>
    <mergeCell ref="AF29:AG29"/>
    <mergeCell ref="AR21:AS21"/>
    <mergeCell ref="Z18:AC18"/>
    <mergeCell ref="AG33:AH33"/>
    <mergeCell ref="AJ33:AK33"/>
    <mergeCell ref="AM33:AN33"/>
    <mergeCell ref="V44:W44"/>
    <mergeCell ref="R54:S54"/>
    <mergeCell ref="AX44:AY44"/>
    <mergeCell ref="Q35:R35"/>
    <mergeCell ref="H54:I54"/>
    <mergeCell ref="AI144:AJ144"/>
    <mergeCell ref="T79:U79"/>
    <mergeCell ref="AO79:AP79"/>
    <mergeCell ref="W79:X79"/>
    <mergeCell ref="T85:U85"/>
    <mergeCell ref="N93:O93"/>
    <mergeCell ref="Z88:AA88"/>
    <mergeCell ref="E95:F95"/>
    <mergeCell ref="N95:O95"/>
    <mergeCell ref="AU97:AV97"/>
    <mergeCell ref="I39:J39"/>
    <mergeCell ref="H41:J41"/>
    <mergeCell ref="AU47:AV47"/>
    <mergeCell ref="AL71:AM71"/>
    <mergeCell ref="Q79:R79"/>
    <mergeCell ref="AJ73:AK73"/>
    <mergeCell ref="AF87:AG87"/>
    <mergeCell ref="K88:L88"/>
    <mergeCell ref="K87:L87"/>
    <mergeCell ref="Q95:R95"/>
    <mergeCell ref="AL93:AM93"/>
    <mergeCell ref="W88:X88"/>
    <mergeCell ref="Q93:R93"/>
    <mergeCell ref="AI93:AJ93"/>
    <mergeCell ref="AC93:AD93"/>
    <mergeCell ref="P53:Q53"/>
    <mergeCell ref="AP50:AQ50"/>
    <mergeCell ref="AH50:AI50"/>
    <mergeCell ref="H88:I88"/>
    <mergeCell ref="Z63:AA63"/>
    <mergeCell ref="W54:Y54"/>
    <mergeCell ref="AE63:AF63"/>
    <mergeCell ref="P139:Q139"/>
    <mergeCell ref="AA142:AB142"/>
    <mergeCell ref="P142:Q142"/>
    <mergeCell ref="K108:L108"/>
    <mergeCell ref="AU21:AV21"/>
    <mergeCell ref="T21:U21"/>
    <mergeCell ref="W21:X21"/>
    <mergeCell ref="AK27:AL27"/>
    <mergeCell ref="AR27:AS27"/>
    <mergeCell ref="AC21:AD21"/>
    <mergeCell ref="AO21:AP21"/>
    <mergeCell ref="W27:X27"/>
    <mergeCell ref="I17:J17"/>
    <mergeCell ref="Z95:AA95"/>
    <mergeCell ref="AU29:AV29"/>
    <mergeCell ref="AR35:AS35"/>
    <mergeCell ref="AV27:AW27"/>
    <mergeCell ref="BU35:BW35"/>
    <mergeCell ref="BK33:BL33"/>
    <mergeCell ref="BN33:BO33"/>
    <mergeCell ref="BQ33:BR33"/>
    <mergeCell ref="BV33:BX33"/>
    <mergeCell ref="BS53:BT53"/>
    <mergeCell ref="BQ39:BR39"/>
    <mergeCell ref="BP51:BR51"/>
    <mergeCell ref="BN39:BO39"/>
    <mergeCell ref="AI87:AJ87"/>
    <mergeCell ref="BS50:BU50"/>
    <mergeCell ref="AT53:AU53"/>
    <mergeCell ref="AA53:AB53"/>
    <mergeCell ref="AU87:AV87"/>
    <mergeCell ref="AO95:AP95"/>
    <mergeCell ref="AP91:AQ91"/>
    <mergeCell ref="Z44:AA44"/>
    <mergeCell ref="AD27:AE27"/>
    <mergeCell ref="BG87:BH87"/>
    <mergeCell ref="Y82:Z82"/>
    <mergeCell ref="BA29:BB29"/>
    <mergeCell ref="AT5:AU5"/>
    <mergeCell ref="BQ105:BR105"/>
    <mergeCell ref="BA93:BB93"/>
    <mergeCell ref="BD12:BE12"/>
    <mergeCell ref="W13:X13"/>
    <mergeCell ref="AB13:AC13"/>
    <mergeCell ref="AG13:AH13"/>
    <mergeCell ref="AL15:AM15"/>
    <mergeCell ref="AD53:AE53"/>
    <mergeCell ref="AI53:AJ53"/>
    <mergeCell ref="AL53:AM53"/>
    <mergeCell ref="AD102:AE102"/>
    <mergeCell ref="AH102:AI102"/>
    <mergeCell ref="AT63:AU63"/>
    <mergeCell ref="BG43:BH43"/>
    <mergeCell ref="AY43:AZ43"/>
    <mergeCell ref="AT44:AU44"/>
    <mergeCell ref="BH51:BI51"/>
    <mergeCell ref="AU43:AV43"/>
    <mergeCell ref="AM51:AN51"/>
    <mergeCell ref="AZ53:BA53"/>
    <mergeCell ref="AU51:AV51"/>
    <mergeCell ref="U99:W99"/>
    <mergeCell ref="T29:U29"/>
    <mergeCell ref="AM47:AN47"/>
    <mergeCell ref="AR47:AS47"/>
    <mergeCell ref="BF50:BG50"/>
    <mergeCell ref="U70:V70"/>
    <mergeCell ref="AX97:AY97"/>
    <mergeCell ref="AO37:AP37"/>
    <mergeCell ref="AK41:AM41"/>
    <mergeCell ref="AY5:AZ5"/>
    <mergeCell ref="AY39:AZ39"/>
    <mergeCell ref="Z17:AC17"/>
    <mergeCell ref="AS39:AT39"/>
    <mergeCell ref="AR37:AS37"/>
    <mergeCell ref="AO35:AP35"/>
    <mergeCell ref="AY33:AZ33"/>
    <mergeCell ref="V50:W50"/>
    <mergeCell ref="BA37:BB37"/>
    <mergeCell ref="S51:T51"/>
    <mergeCell ref="W51:X51"/>
    <mergeCell ref="AF35:AG35"/>
    <mergeCell ref="BB44:BC44"/>
    <mergeCell ref="BC47:BD47"/>
    <mergeCell ref="BF47:BG47"/>
    <mergeCell ref="AG71:AH71"/>
    <mergeCell ref="B60:CC60"/>
    <mergeCell ref="BU29:BW29"/>
    <mergeCell ref="BG37:BH37"/>
    <mergeCell ref="BM29:BN29"/>
    <mergeCell ref="F47:G47"/>
    <mergeCell ref="K30:L30"/>
    <mergeCell ref="N30:O30"/>
    <mergeCell ref="Q30:R30"/>
    <mergeCell ref="BG29:BH29"/>
    <mergeCell ref="E53:F53"/>
    <mergeCell ref="E54:F54"/>
    <mergeCell ref="H56:J56"/>
    <mergeCell ref="P48:Q48"/>
    <mergeCell ref="H53:I53"/>
    <mergeCell ref="R50:S50"/>
    <mergeCell ref="E55:G55"/>
    <mergeCell ref="AA54:AC54"/>
    <mergeCell ref="S48:T48"/>
    <mergeCell ref="AX47:AY47"/>
    <mergeCell ref="AY51:AZ51"/>
    <mergeCell ref="AB71:AC71"/>
    <mergeCell ref="AQ71:AR71"/>
    <mergeCell ref="AO53:AP53"/>
    <mergeCell ref="AX50:AY50"/>
    <mergeCell ref="CG22:CM22"/>
    <mergeCell ref="CF24:CF46"/>
    <mergeCell ref="CF47:CF64"/>
    <mergeCell ref="CF65:CF88"/>
    <mergeCell ref="AY70:AZ70"/>
    <mergeCell ref="AL64:AM64"/>
    <mergeCell ref="H50:I50"/>
    <mergeCell ref="L41:M41"/>
    <mergeCell ref="N54:P54"/>
    <mergeCell ref="O56:Q56"/>
    <mergeCell ref="I27:J27"/>
    <mergeCell ref="P27:Q27"/>
    <mergeCell ref="AC29:AD29"/>
    <mergeCell ref="M27:N27"/>
    <mergeCell ref="T27:U27"/>
    <mergeCell ref="AO29:AP29"/>
    <mergeCell ref="AP39:AQ39"/>
    <mergeCell ref="AP44:AQ44"/>
    <mergeCell ref="E22:F22"/>
    <mergeCell ref="B2:CC2"/>
    <mergeCell ref="O5:T5"/>
    <mergeCell ref="Z5:AA5"/>
    <mergeCell ref="AE5:AF5"/>
    <mergeCell ref="AJ5:AK5"/>
    <mergeCell ref="AO5:AP5"/>
    <mergeCell ref="BP37:BQ37"/>
    <mergeCell ref="K37:L37"/>
    <mergeCell ref="N37:O37"/>
    <mergeCell ref="Q37:R37"/>
    <mergeCell ref="T37:U37"/>
    <mergeCell ref="W37:X37"/>
    <mergeCell ref="Z37:AA37"/>
    <mergeCell ref="AC37:AD37"/>
    <mergeCell ref="BM37:BN37"/>
    <mergeCell ref="AF37:AG37"/>
    <mergeCell ref="C67:C69"/>
    <mergeCell ref="J69:K69"/>
    <mergeCell ref="K51:L51"/>
    <mergeCell ref="BU37:BW37"/>
    <mergeCell ref="BA13:BB13"/>
    <mergeCell ref="E36:G36"/>
    <mergeCell ref="AL29:AM29"/>
    <mergeCell ref="E30:F30"/>
    <mergeCell ref="D28:F28"/>
    <mergeCell ref="H35:I35"/>
    <mergeCell ref="W35:X35"/>
    <mergeCell ref="E29:F29"/>
    <mergeCell ref="O33:P33"/>
    <mergeCell ref="BP29:BQ29"/>
    <mergeCell ref="L33:M33"/>
    <mergeCell ref="K29:L29"/>
    <mergeCell ref="CF89:CF112"/>
    <mergeCell ref="Z75:AC75"/>
    <mergeCell ref="Z76:AC76"/>
    <mergeCell ref="O111:Q111"/>
    <mergeCell ref="S111:U111"/>
    <mergeCell ref="BE110:BF110"/>
    <mergeCell ref="BH110:BI110"/>
    <mergeCell ref="BK110:BL110"/>
    <mergeCell ref="AL110:AM110"/>
    <mergeCell ref="AO110:AP110"/>
    <mergeCell ref="AT110:AU110"/>
    <mergeCell ref="AW110:AX110"/>
    <mergeCell ref="AZ110:BA110"/>
    <mergeCell ref="AA110:AB110"/>
    <mergeCell ref="AD110:AE110"/>
    <mergeCell ref="N79:O79"/>
    <mergeCell ref="AX29:AY29"/>
    <mergeCell ref="BB33:BC33"/>
    <mergeCell ref="AX37:AY37"/>
    <mergeCell ref="AL79:AM79"/>
    <mergeCell ref="BD93:BE93"/>
    <mergeCell ref="BA35:BB35"/>
    <mergeCell ref="Z29:AA29"/>
    <mergeCell ref="Q29:R29"/>
    <mergeCell ref="AU37:AV37"/>
    <mergeCell ref="BV53:BW53"/>
    <mergeCell ref="BB39:BC39"/>
    <mergeCell ref="R39:S39"/>
    <mergeCell ref="S53:T53"/>
    <mergeCell ref="AD39:AE39"/>
    <mergeCell ref="AA39:AB39"/>
    <mergeCell ref="AG39:AH39"/>
    <mergeCell ref="F39:G39"/>
    <mergeCell ref="I43:J43"/>
    <mergeCell ref="L39:M39"/>
    <mergeCell ref="U41:W41"/>
    <mergeCell ref="AM43:AN43"/>
    <mergeCell ref="AJ47:AK47"/>
    <mergeCell ref="H44:I44"/>
    <mergeCell ref="K48:L48"/>
    <mergeCell ref="V47:W47"/>
    <mergeCell ref="Y47:Z47"/>
    <mergeCell ref="E48:F48"/>
    <mergeCell ref="H48:I48"/>
    <mergeCell ref="U39:V39"/>
    <mergeCell ref="E41:F41"/>
    <mergeCell ref="AQ43:AR43"/>
    <mergeCell ref="BH39:BI39"/>
    <mergeCell ref="AG41:AI41"/>
    <mergeCell ref="BE39:BF39"/>
    <mergeCell ref="N88:O88"/>
    <mergeCell ref="AM101:AN101"/>
    <mergeCell ref="E51:F51"/>
    <mergeCell ref="AY91:AZ91"/>
    <mergeCell ref="BB91:BC91"/>
    <mergeCell ref="AC87:AD87"/>
    <mergeCell ref="Q47:R47"/>
    <mergeCell ref="AW53:AX53"/>
    <mergeCell ref="AT50:AU50"/>
    <mergeCell ref="AR95:AS95"/>
    <mergeCell ref="AA99:AC99"/>
    <mergeCell ref="V48:W48"/>
    <mergeCell ref="AY101:AZ101"/>
    <mergeCell ref="CF113:CF137"/>
    <mergeCell ref="O63:T63"/>
    <mergeCell ref="S110:T110"/>
    <mergeCell ref="X110:Y110"/>
    <mergeCell ref="S108:T108"/>
    <mergeCell ref="AC79:AD79"/>
    <mergeCell ref="AF79:AG79"/>
    <mergeCell ref="AI79:AJ79"/>
    <mergeCell ref="AL102:AM102"/>
    <mergeCell ref="AP102:AQ102"/>
    <mergeCell ref="AO85:AP85"/>
    <mergeCell ref="O101:P101"/>
    <mergeCell ref="S101:T101"/>
    <mergeCell ref="W101:X101"/>
    <mergeCell ref="AA101:AB101"/>
    <mergeCell ref="AE101:AF101"/>
    <mergeCell ref="AI101:AJ101"/>
    <mergeCell ref="AJ63:AK63"/>
    <mergeCell ref="AU93:AV93"/>
    <mergeCell ref="AL87:AM87"/>
    <mergeCell ref="BG95:BH95"/>
    <mergeCell ref="AQ101:AR101"/>
    <mergeCell ref="BW105:BX105"/>
    <mergeCell ref="BH102:BI102"/>
    <mergeCell ref="BF105:BG105"/>
    <mergeCell ref="BI105:BJ105"/>
    <mergeCell ref="BC105:BD105"/>
    <mergeCell ref="Q88:R88"/>
    <mergeCell ref="AX107:AY107"/>
    <mergeCell ref="AQ108:AR108"/>
    <mergeCell ref="W71:X71"/>
    <mergeCell ref="BD101:BE101"/>
    <mergeCell ref="AO93:AP93"/>
    <mergeCell ref="BV110:BW110"/>
    <mergeCell ref="BS110:BT110"/>
    <mergeCell ref="E110:F110"/>
    <mergeCell ref="M114:O114"/>
    <mergeCell ref="E112:G112"/>
    <mergeCell ref="BC107:BD107"/>
    <mergeCell ref="AI136:AJ136"/>
    <mergeCell ref="Z136:AA136"/>
    <mergeCell ref="AC136:AD136"/>
    <mergeCell ref="E137:F137"/>
    <mergeCell ref="G139:H139"/>
    <mergeCell ref="AH107:AI107"/>
    <mergeCell ref="AI108:AJ108"/>
    <mergeCell ref="AA108:AB108"/>
    <mergeCell ref="AG130:AH130"/>
    <mergeCell ref="AG128:AH128"/>
    <mergeCell ref="Z133:AC133"/>
    <mergeCell ref="O120:T120"/>
    <mergeCell ref="Q136:R136"/>
    <mergeCell ref="Z120:AA120"/>
    <mergeCell ref="AB128:AC128"/>
    <mergeCell ref="AE108:AF108"/>
    <mergeCell ref="AL107:AM107"/>
    <mergeCell ref="J126:K126"/>
    <mergeCell ref="O108:P108"/>
    <mergeCell ref="AM112:AO112"/>
    <mergeCell ref="H107:I107"/>
    <mergeCell ref="E108:F108"/>
    <mergeCell ref="AD107:AE107"/>
    <mergeCell ref="K136:L136"/>
    <mergeCell ref="N136:O136"/>
    <mergeCell ref="AO120:AP120"/>
    <mergeCell ref="BT105:BU105"/>
    <mergeCell ref="BH107:BI107"/>
    <mergeCell ref="AZ108:BA108"/>
    <mergeCell ref="AF136:AG136"/>
    <mergeCell ref="S139:T139"/>
    <mergeCell ref="V139:W139"/>
    <mergeCell ref="AG121:AH121"/>
    <mergeCell ref="V105:W105"/>
    <mergeCell ref="AH142:AI142"/>
    <mergeCell ref="V107:W107"/>
    <mergeCell ref="J111:K111"/>
    <mergeCell ref="AD142:AE142"/>
    <mergeCell ref="T142:U142"/>
    <mergeCell ref="W142:X142"/>
    <mergeCell ref="N107:O107"/>
    <mergeCell ref="H136:I136"/>
    <mergeCell ref="M110:N110"/>
    <mergeCell ref="R107:S107"/>
    <mergeCell ref="J139:K139"/>
    <mergeCell ref="M139:N139"/>
    <mergeCell ref="L113:M113"/>
    <mergeCell ref="AI110:AJ110"/>
    <mergeCell ref="W136:X136"/>
    <mergeCell ref="AJ105:AK105"/>
    <mergeCell ref="BP110:BQ110"/>
    <mergeCell ref="AP107:AQ107"/>
    <mergeCell ref="C124:C126"/>
    <mergeCell ref="D109:F109"/>
    <mergeCell ref="F111:H111"/>
    <mergeCell ref="H113:J113"/>
    <mergeCell ref="H110:I110"/>
    <mergeCell ref="E99:F99"/>
    <mergeCell ref="AG99:AI99"/>
    <mergeCell ref="K129:L129"/>
    <mergeCell ref="U127:V127"/>
    <mergeCell ref="W128:X128"/>
    <mergeCell ref="AE120:AF120"/>
    <mergeCell ref="D114:F114"/>
    <mergeCell ref="P110:Q110"/>
    <mergeCell ref="AQ128:AR128"/>
    <mergeCell ref="H99:J99"/>
    <mergeCell ref="AR105:AS105"/>
    <mergeCell ref="W108:X108"/>
    <mergeCell ref="AM108:AN108"/>
    <mergeCell ref="Z107:AA107"/>
    <mergeCell ref="AT107:AU107"/>
    <mergeCell ref="AT127:AU127"/>
    <mergeCell ref="N102:O102"/>
    <mergeCell ref="AT102:AU102"/>
    <mergeCell ref="AU105:AV105"/>
    <mergeCell ref="AU101:AV101"/>
    <mergeCell ref="E106:G106"/>
    <mergeCell ref="D104:E104"/>
    <mergeCell ref="F105:G105"/>
    <mergeCell ref="Q105:R105"/>
    <mergeCell ref="E145:F145"/>
    <mergeCell ref="H145:I145"/>
    <mergeCell ref="AG148:AH148"/>
    <mergeCell ref="I148:J148"/>
    <mergeCell ref="Z150:AA150"/>
    <mergeCell ref="H156:J156"/>
    <mergeCell ref="K150:L150"/>
    <mergeCell ref="E149:G149"/>
    <mergeCell ref="D161:E161"/>
    <mergeCell ref="T154:U154"/>
    <mergeCell ref="F148:G148"/>
    <mergeCell ref="E152:F152"/>
    <mergeCell ref="L156:M156"/>
    <mergeCell ref="O156:Q156"/>
    <mergeCell ref="U156:W156"/>
    <mergeCell ref="AE158:AF158"/>
    <mergeCell ref="X148:Y148"/>
    <mergeCell ref="I158:J158"/>
    <mergeCell ref="F153:H153"/>
    <mergeCell ref="AC152:AD152"/>
    <mergeCell ref="K152:L152"/>
    <mergeCell ref="W150:X150"/>
    <mergeCell ref="E151:G151"/>
    <mergeCell ref="H152:I152"/>
    <mergeCell ref="E150:F150"/>
    <mergeCell ref="T145:U145"/>
    <mergeCell ref="K145:L145"/>
    <mergeCell ref="N145:O145"/>
    <mergeCell ref="Q152:R152"/>
    <mergeCell ref="T152:U152"/>
    <mergeCell ref="W152:X152"/>
    <mergeCell ref="V159:W159"/>
    <mergeCell ref="I142:J142"/>
    <mergeCell ref="M142:N142"/>
    <mergeCell ref="E140:F140"/>
    <mergeCell ref="Z193:AA193"/>
    <mergeCell ref="AC193:AD193"/>
    <mergeCell ref="Z190:AC190"/>
    <mergeCell ref="AD164:AE164"/>
    <mergeCell ref="AD167:AE167"/>
    <mergeCell ref="Z177:AA177"/>
    <mergeCell ref="K162:L162"/>
    <mergeCell ref="AA156:AC156"/>
    <mergeCell ref="W165:X165"/>
    <mergeCell ref="AE187:AF187"/>
    <mergeCell ref="AB185:AC185"/>
    <mergeCell ref="W185:X185"/>
    <mergeCell ref="B174:CC174"/>
    <mergeCell ref="C181:C183"/>
    <mergeCell ref="R148:S148"/>
    <mergeCell ref="U148:V148"/>
    <mergeCell ref="AD148:AE148"/>
    <mergeCell ref="E165:F165"/>
    <mergeCell ref="Z164:AA164"/>
    <mergeCell ref="O158:P158"/>
    <mergeCell ref="M167:N167"/>
    <mergeCell ref="H167:I167"/>
    <mergeCell ref="AQ158:AR158"/>
    <mergeCell ref="AU154:AV154"/>
    <mergeCell ref="AM158:AN158"/>
    <mergeCell ref="E154:F154"/>
    <mergeCell ref="H154:I154"/>
    <mergeCell ref="H159:I159"/>
    <mergeCell ref="K165:L165"/>
    <mergeCell ref="N150:O150"/>
    <mergeCell ref="AY148:AZ148"/>
    <mergeCell ref="BL224:BN224"/>
    <mergeCell ref="P224:Q224"/>
    <mergeCell ref="S224:T224"/>
    <mergeCell ref="N219:O219"/>
    <mergeCell ref="BH167:BI167"/>
    <mergeCell ref="AL167:AM167"/>
    <mergeCell ref="AJ177:AK177"/>
    <mergeCell ref="V162:W162"/>
    <mergeCell ref="O170:Q170"/>
    <mergeCell ref="AL185:AM185"/>
    <mergeCell ref="AG178:AH178"/>
    <mergeCell ref="N159:O159"/>
    <mergeCell ref="Q154:R154"/>
    <mergeCell ref="AR150:AS150"/>
    <mergeCell ref="AD221:AE221"/>
    <mergeCell ref="AA215:AB215"/>
    <mergeCell ref="AC211:AD211"/>
    <mergeCell ref="Z152:AA152"/>
    <mergeCell ref="AL159:AM159"/>
    <mergeCell ref="AG156:AI156"/>
    <mergeCell ref="W154:X154"/>
    <mergeCell ref="O213:Q213"/>
    <mergeCell ref="V216:W216"/>
    <mergeCell ref="W215:X215"/>
    <mergeCell ref="AC201:AD201"/>
    <mergeCell ref="BK167:BL167"/>
    <mergeCell ref="BI162:BJ162"/>
    <mergeCell ref="Z211:AA211"/>
    <mergeCell ref="R216:S216"/>
    <mergeCell ref="S158:T158"/>
    <mergeCell ref="Z154:AA154"/>
    <mergeCell ref="AG213:AI213"/>
    <mergeCell ref="V277:W277"/>
    <mergeCell ref="S280:T280"/>
    <mergeCell ref="P280:Q280"/>
    <mergeCell ref="N267:O267"/>
    <mergeCell ref="AA269:AC269"/>
    <mergeCell ref="AC267:AD267"/>
    <mergeCell ref="C237:C239"/>
    <mergeCell ref="I245:J245"/>
    <mergeCell ref="P252:Q252"/>
    <mergeCell ref="Z246:AC246"/>
    <mergeCell ref="E249:F249"/>
    <mergeCell ref="Q249:R249"/>
    <mergeCell ref="AZ224:BA224"/>
    <mergeCell ref="M224:N224"/>
    <mergeCell ref="AM221:AN221"/>
    <mergeCell ref="AE222:AF222"/>
    <mergeCell ref="W222:X222"/>
    <mergeCell ref="AR222:AT222"/>
    <mergeCell ref="AJ222:AK222"/>
    <mergeCell ref="AU221:AW221"/>
    <mergeCell ref="M252:N252"/>
    <mergeCell ref="Y219:Z219"/>
    <mergeCell ref="H224:I224"/>
    <mergeCell ref="K222:L222"/>
    <mergeCell ref="K219:L219"/>
    <mergeCell ref="H221:I221"/>
    <mergeCell ref="AB219:AC219"/>
    <mergeCell ref="AU219:AV219"/>
    <mergeCell ref="AT224:AU224"/>
    <mergeCell ref="D147:F147"/>
    <mergeCell ref="AM148:AN148"/>
    <mergeCell ref="AF154:AG154"/>
    <mergeCell ref="AI154:AJ154"/>
    <mergeCell ref="E225:G225"/>
    <mergeCell ref="S222:T222"/>
    <mergeCell ref="E253:F253"/>
    <mergeCell ref="X241:Y241"/>
    <mergeCell ref="K249:L249"/>
    <mergeCell ref="W249:X249"/>
    <mergeCell ref="C219:D219"/>
    <mergeCell ref="G252:H252"/>
    <mergeCell ref="J252:K252"/>
    <mergeCell ref="T249:U249"/>
    <mergeCell ref="B230:CC230"/>
    <mergeCell ref="E250:F250"/>
    <mergeCell ref="BP224:BR224"/>
    <mergeCell ref="AN215:AO215"/>
    <mergeCell ref="O165:P165"/>
    <mergeCell ref="AG219:AH219"/>
    <mergeCell ref="AI158:AJ158"/>
    <mergeCell ref="AH164:AI164"/>
    <mergeCell ref="E156:F156"/>
    <mergeCell ref="D227:F227"/>
    <mergeCell ref="AM216:AN216"/>
    <mergeCell ref="Z216:AA216"/>
    <mergeCell ref="AI224:AJ224"/>
    <mergeCell ref="J239:K239"/>
    <mergeCell ref="AH216:AI216"/>
    <mergeCell ref="AD243:AE243"/>
    <mergeCell ref="AC209:AD209"/>
    <mergeCell ref="AV148:AW148"/>
    <mergeCell ref="BC164:BE164"/>
    <mergeCell ref="AX162:AY162"/>
    <mergeCell ref="AU162:AV162"/>
    <mergeCell ref="AP148:AQ148"/>
    <mergeCell ref="AP164:AQ164"/>
    <mergeCell ref="AF152:AG152"/>
    <mergeCell ref="AA158:AB158"/>
    <mergeCell ref="AV158:AW158"/>
    <mergeCell ref="Z221:AA221"/>
    <mergeCell ref="W257:X257"/>
    <mergeCell ref="Z249:AA249"/>
    <mergeCell ref="N249:O249"/>
    <mergeCell ref="Z257:AA257"/>
    <mergeCell ref="AC257:AD257"/>
    <mergeCell ref="M227:O227"/>
    <mergeCell ref="H226:J226"/>
    <mergeCell ref="L226:M226"/>
    <mergeCell ref="AW224:AX224"/>
    <mergeCell ref="AX154:AY154"/>
    <mergeCell ref="I215:J215"/>
    <mergeCell ref="AA213:AC213"/>
    <mergeCell ref="AO222:AP222"/>
    <mergeCell ref="AR216:AS216"/>
    <mergeCell ref="AU152:AV152"/>
    <mergeCell ref="K154:L154"/>
    <mergeCell ref="W158:X158"/>
    <mergeCell ref="AO184:AP184"/>
    <mergeCell ref="AG185:AH185"/>
    <mergeCell ref="AJ205:AK205"/>
    <mergeCell ref="AP205:AQ205"/>
    <mergeCell ref="AL207:AM207"/>
    <mergeCell ref="AT209:AV209"/>
    <mergeCell ref="AK213:AM213"/>
    <mergeCell ref="AL224:AM224"/>
    <mergeCell ref="AD224:AE224"/>
    <mergeCell ref="AR144:AS144"/>
    <mergeCell ref="AO150:AP150"/>
    <mergeCell ref="AU150:AV150"/>
    <mergeCell ref="AL150:AM150"/>
    <mergeCell ref="AM219:AN219"/>
    <mergeCell ref="AH159:AI159"/>
    <mergeCell ref="U240:V240"/>
    <mergeCell ref="T257:U257"/>
    <mergeCell ref="M255:N255"/>
    <mergeCell ref="K242:L242"/>
    <mergeCell ref="W255:X255"/>
    <mergeCell ref="AA224:AB224"/>
    <mergeCell ref="N221:O221"/>
    <mergeCell ref="R221:S221"/>
    <mergeCell ref="AC234:AD234"/>
    <mergeCell ref="AL144:AM144"/>
    <mergeCell ref="Z145:AB145"/>
    <mergeCell ref="O148:P148"/>
    <mergeCell ref="N154:O154"/>
    <mergeCell ref="AR154:AS154"/>
    <mergeCell ref="AJ148:AK148"/>
    <mergeCell ref="AS148:AT148"/>
    <mergeCell ref="W144:X144"/>
    <mergeCell ref="AO144:AP144"/>
    <mergeCell ref="AM165:AN165"/>
    <mergeCell ref="AR152:AS152"/>
    <mergeCell ref="AJ219:AK219"/>
    <mergeCell ref="V219:W219"/>
    <mergeCell ref="Z245:AC245"/>
    <mergeCell ref="P255:Q255"/>
    <mergeCell ref="Q219:R219"/>
    <mergeCell ref="AH221:AI221"/>
    <mergeCell ref="AF207:AG207"/>
    <mergeCell ref="AF193:AG193"/>
    <mergeCell ref="AG205:AH205"/>
    <mergeCell ref="AO209:AP209"/>
    <mergeCell ref="R261:S261"/>
    <mergeCell ref="N258:O258"/>
    <mergeCell ref="W265:X265"/>
    <mergeCell ref="X261:Y261"/>
    <mergeCell ref="AK267:AM267"/>
    <mergeCell ref="E280:F280"/>
    <mergeCell ref="D274:E274"/>
    <mergeCell ref="H280:I280"/>
    <mergeCell ref="R272:S272"/>
    <mergeCell ref="S278:T278"/>
    <mergeCell ref="O278:P278"/>
    <mergeCell ref="AC265:AD265"/>
    <mergeCell ref="AD280:AE280"/>
    <mergeCell ref="AM275:AN275"/>
    <mergeCell ref="AK265:AM265"/>
    <mergeCell ref="I261:J261"/>
    <mergeCell ref="AO211:AP211"/>
    <mergeCell ref="W211:X211"/>
    <mergeCell ref="AO201:AP201"/>
    <mergeCell ref="AF201:AG201"/>
    <mergeCell ref="AI215:AJ215"/>
    <mergeCell ref="X297:Y297"/>
    <mergeCell ref="O222:P222"/>
    <mergeCell ref="X224:Y224"/>
    <mergeCell ref="H258:I258"/>
    <mergeCell ref="U261:V261"/>
    <mergeCell ref="L261:M261"/>
    <mergeCell ref="AB289:AC289"/>
    <mergeCell ref="AA222:AB222"/>
    <mergeCell ref="AK257:AM257"/>
    <mergeCell ref="I255:J255"/>
    <mergeCell ref="H249:I249"/>
    <mergeCell ref="T255:U255"/>
    <mergeCell ref="AD241:AE241"/>
    <mergeCell ref="AG269:AI269"/>
    <mergeCell ref="AD261:AE261"/>
    <mergeCell ref="AJ278:AL278"/>
    <mergeCell ref="Q258:R258"/>
    <mergeCell ref="T258:V258"/>
    <mergeCell ref="AC263:AD263"/>
    <mergeCell ref="Q267:R267"/>
    <mergeCell ref="AL261:AN261"/>
    <mergeCell ref="AF271:AG271"/>
    <mergeCell ref="AE272:AF272"/>
    <mergeCell ref="AM240:AN240"/>
    <mergeCell ref="AJ241:AK241"/>
    <mergeCell ref="AK269:AM269"/>
    <mergeCell ref="AG261:AH261"/>
    <mergeCell ref="O261:P261"/>
    <mergeCell ref="O271:P271"/>
    <mergeCell ref="K267:L267"/>
    <mergeCell ref="I271:J271"/>
    <mergeCell ref="J295:K295"/>
    <mergeCell ref="AF265:AG265"/>
    <mergeCell ref="N275:O275"/>
    <mergeCell ref="M280:N280"/>
    <mergeCell ref="W267:X267"/>
    <mergeCell ref="D223:F223"/>
    <mergeCell ref="E224:F224"/>
    <mergeCell ref="F266:H266"/>
    <mergeCell ref="N265:O265"/>
    <mergeCell ref="N277:O277"/>
    <mergeCell ref="AF257:AG257"/>
    <mergeCell ref="AR219:AS219"/>
    <mergeCell ref="S271:T271"/>
    <mergeCell ref="W271:X271"/>
    <mergeCell ref="AA280:AB280"/>
    <mergeCell ref="Z272:AA272"/>
    <mergeCell ref="AB278:AC278"/>
    <mergeCell ref="AB299:AC299"/>
    <mergeCell ref="AE277:AF277"/>
    <mergeCell ref="AJ277:AK277"/>
    <mergeCell ref="AB275:AC275"/>
    <mergeCell ref="AI280:AJ280"/>
    <mergeCell ref="AJ272:AK272"/>
    <mergeCell ref="AF267:AG267"/>
    <mergeCell ref="AK263:AM263"/>
    <mergeCell ref="AR292:AT292"/>
    <mergeCell ref="R277:S277"/>
    <mergeCell ref="AE297:AF297"/>
    <mergeCell ref="B286:CC286"/>
    <mergeCell ref="D283:F283"/>
    <mergeCell ref="D260:F260"/>
    <mergeCell ref="F261:G261"/>
    <mergeCell ref="D256:F256"/>
    <mergeCell ref="O226:Q226"/>
    <mergeCell ref="AD290:AE290"/>
    <mergeCell ref="AI296:AJ296"/>
    <mergeCell ref="AM277:AO277"/>
    <mergeCell ref="AR293:AT293"/>
    <mergeCell ref="AS294:AU294"/>
    <mergeCell ref="L282:M282"/>
    <mergeCell ref="AB321:AD321"/>
    <mergeCell ref="Q321:R321"/>
    <mergeCell ref="I317:J317"/>
    <mergeCell ref="F317:G317"/>
    <mergeCell ref="H319:I319"/>
    <mergeCell ref="K319:L319"/>
    <mergeCell ref="E267:F267"/>
    <mergeCell ref="T267:U267"/>
    <mergeCell ref="Q265:R265"/>
    <mergeCell ref="H265:I265"/>
    <mergeCell ref="H269:J269"/>
    <mergeCell ref="Q263:R263"/>
    <mergeCell ref="AO224:AP224"/>
    <mergeCell ref="BC224:BE224"/>
    <mergeCell ref="BG224:BH224"/>
    <mergeCell ref="AX219:AY219"/>
    <mergeCell ref="AR221:AS221"/>
    <mergeCell ref="E263:F263"/>
    <mergeCell ref="E262:G262"/>
    <mergeCell ref="Y275:Z275"/>
    <mergeCell ref="N272:O272"/>
    <mergeCell ref="AL280:AM280"/>
    <mergeCell ref="AG278:AH278"/>
    <mergeCell ref="T263:U263"/>
    <mergeCell ref="W278:X278"/>
    <mergeCell ref="Z265:AA265"/>
    <mergeCell ref="H277:I277"/>
    <mergeCell ref="H263:I263"/>
    <mergeCell ref="T265:U265"/>
    <mergeCell ref="AF263:AG263"/>
    <mergeCell ref="Z267:AA267"/>
    <mergeCell ref="AA271:AB271"/>
    <mergeCell ref="AL406:AN406"/>
    <mergeCell ref="O317:P317"/>
    <mergeCell ref="F331:G331"/>
    <mergeCell ref="Q403:S403"/>
    <mergeCell ref="H363:I363"/>
    <mergeCell ref="K402:L402"/>
    <mergeCell ref="AI406:AJ406"/>
    <mergeCell ref="AF345:AG345"/>
    <mergeCell ref="Z399:AC399"/>
    <mergeCell ref="AJ395:AK395"/>
    <mergeCell ref="O338:Q338"/>
    <mergeCell ref="N366:O366"/>
    <mergeCell ref="D339:F339"/>
    <mergeCell ref="L338:M338"/>
    <mergeCell ref="H378:J378"/>
    <mergeCell ref="K379:M379"/>
    <mergeCell ref="O379:P379"/>
    <mergeCell ref="R379:T379"/>
    <mergeCell ref="N367:O367"/>
    <mergeCell ref="G380:I380"/>
    <mergeCell ref="AG275:AH275"/>
    <mergeCell ref="W313:X313"/>
    <mergeCell ref="K305:L305"/>
    <mergeCell ref="E311:F311"/>
    <mergeCell ref="Q305:R305"/>
    <mergeCell ref="T305:U305"/>
    <mergeCell ref="D279:F279"/>
    <mergeCell ref="Q313:R313"/>
    <mergeCell ref="D316:F316"/>
    <mergeCell ref="H314:I314"/>
    <mergeCell ref="Q314:S314"/>
    <mergeCell ref="W319:X319"/>
    <mergeCell ref="T313:U313"/>
    <mergeCell ref="AB319:AD319"/>
    <mergeCell ref="J308:K308"/>
    <mergeCell ref="M308:N308"/>
    <mergeCell ref="P311:Q311"/>
    <mergeCell ref="L317:M317"/>
    <mergeCell ref="R317:S317"/>
    <mergeCell ref="E319:F319"/>
    <mergeCell ref="AC317:AE317"/>
    <mergeCell ref="K313:L313"/>
    <mergeCell ref="N313:O313"/>
    <mergeCell ref="U296:V296"/>
    <mergeCell ref="E281:G281"/>
    <mergeCell ref="K298:L298"/>
    <mergeCell ref="O289:T289"/>
    <mergeCell ref="E305:F305"/>
    <mergeCell ref="H305:I305"/>
    <mergeCell ref="I301:J301"/>
    <mergeCell ref="E314:F314"/>
    <mergeCell ref="U317:V317"/>
    <mergeCell ref="N323:O323"/>
    <mergeCell ref="N331:O331"/>
    <mergeCell ref="S327:T327"/>
    <mergeCell ref="E336:F336"/>
    <mergeCell ref="M339:O339"/>
    <mergeCell ref="K367:L367"/>
    <mergeCell ref="K334:L334"/>
    <mergeCell ref="K361:L361"/>
    <mergeCell ref="Q366:R366"/>
    <mergeCell ref="T366:U366"/>
    <mergeCell ref="AA352:AB352"/>
    <mergeCell ref="AA336:AB336"/>
    <mergeCell ref="X317:Y317"/>
    <mergeCell ref="H336:I336"/>
    <mergeCell ref="H361:I361"/>
    <mergeCell ref="Y356:AB356"/>
    <mergeCell ref="V331:W331"/>
    <mergeCell ref="Y331:Z331"/>
    <mergeCell ref="AB331:AC331"/>
    <mergeCell ref="H321:I321"/>
    <mergeCell ref="K331:L331"/>
    <mergeCell ref="Q323:R323"/>
    <mergeCell ref="R333:S333"/>
    <mergeCell ref="L325:M325"/>
    <mergeCell ref="U325:W325"/>
    <mergeCell ref="O325:Q325"/>
    <mergeCell ref="Q331:R331"/>
    <mergeCell ref="F322:H322"/>
    <mergeCell ref="H323:I323"/>
    <mergeCell ref="AC377:AD377"/>
    <mergeCell ref="K363:L363"/>
    <mergeCell ref="H377:I377"/>
    <mergeCell ref="H366:I366"/>
    <mergeCell ref="K366:L366"/>
    <mergeCell ref="X336:Y336"/>
    <mergeCell ref="T319:U319"/>
    <mergeCell ref="T321:U321"/>
    <mergeCell ref="E318:G318"/>
    <mergeCell ref="B383:CC383"/>
    <mergeCell ref="H367:I367"/>
    <mergeCell ref="D405:E405"/>
    <mergeCell ref="E337:G337"/>
    <mergeCell ref="P377:Q377"/>
    <mergeCell ref="S377:T377"/>
    <mergeCell ref="V377:W377"/>
    <mergeCell ref="Y377:AA377"/>
    <mergeCell ref="AH377:AJ377"/>
    <mergeCell ref="AL377:AN377"/>
    <mergeCell ref="C390:C392"/>
    <mergeCell ref="Y334:Z334"/>
    <mergeCell ref="D335:F335"/>
    <mergeCell ref="B342:CC342"/>
    <mergeCell ref="I357:J357"/>
    <mergeCell ref="O334:P334"/>
    <mergeCell ref="H338:J338"/>
    <mergeCell ref="AA347:AB347"/>
    <mergeCell ref="AB334:AD334"/>
    <mergeCell ref="S336:T336"/>
    <mergeCell ref="P415:Q415"/>
    <mergeCell ref="U415:V415"/>
    <mergeCell ref="E415:F415"/>
    <mergeCell ref="E412:G412"/>
    <mergeCell ref="E413:F413"/>
    <mergeCell ref="E414:G414"/>
    <mergeCell ref="AB410:AD410"/>
    <mergeCell ref="Y410:Z410"/>
    <mergeCell ref="I403:J403"/>
    <mergeCell ref="I398:J398"/>
    <mergeCell ref="J407:K407"/>
    <mergeCell ref="Q402:S402"/>
    <mergeCell ref="M413:N413"/>
    <mergeCell ref="AC396:AD396"/>
    <mergeCell ref="M410:N410"/>
    <mergeCell ref="Z400:AC400"/>
    <mergeCell ref="Z406:AA406"/>
    <mergeCell ref="L403:M403"/>
    <mergeCell ref="U407:W407"/>
    <mergeCell ref="AC388:AD388"/>
    <mergeCell ref="O386:T386"/>
    <mergeCell ref="O374:P374"/>
    <mergeCell ref="T374:U374"/>
    <mergeCell ref="L374:M374"/>
    <mergeCell ref="V354:W354"/>
    <mergeCell ref="U395:V395"/>
    <mergeCell ref="P392:R392"/>
    <mergeCell ref="K395:L395"/>
    <mergeCell ref="J438:K438"/>
    <mergeCell ref="P438:R438"/>
    <mergeCell ref="K441:L441"/>
    <mergeCell ref="F501:F503"/>
    <mergeCell ref="R492:R493"/>
    <mergeCell ref="F478:G478"/>
    <mergeCell ref="D426:F426"/>
    <mergeCell ref="M426:O426"/>
    <mergeCell ref="M417:N417"/>
    <mergeCell ref="F416:H416"/>
    <mergeCell ref="U417:V417"/>
    <mergeCell ref="Y417:Z417"/>
    <mergeCell ref="AB417:AD417"/>
    <mergeCell ref="E417:F417"/>
    <mergeCell ref="O425:Q425"/>
    <mergeCell ref="D421:E421"/>
    <mergeCell ref="L425:M425"/>
    <mergeCell ref="AC423:AD423"/>
    <mergeCell ref="E419:F419"/>
    <mergeCell ref="H419:J419"/>
    <mergeCell ref="L419:M419"/>
    <mergeCell ref="K377:L377"/>
    <mergeCell ref="T423:W423"/>
    <mergeCell ref="P380:R380"/>
    <mergeCell ref="W363:Y363"/>
    <mergeCell ref="G376:H376"/>
    <mergeCell ref="G365:H365"/>
    <mergeCell ref="H362:J362"/>
    <mergeCell ref="T363:U363"/>
    <mergeCell ref="O406:P406"/>
    <mergeCell ref="I478:J478"/>
    <mergeCell ref="T454:U454"/>
    <mergeCell ref="AA454:AB454"/>
    <mergeCell ref="N478:P478"/>
    <mergeCell ref="Y478:AA478"/>
    <mergeCell ref="M480:O480"/>
    <mergeCell ref="AF505:AG505"/>
    <mergeCell ref="AI505:AJ505"/>
    <mergeCell ref="AK520:AL520"/>
    <mergeCell ref="AK568:AL568"/>
    <mergeCell ref="AQ568:AR568"/>
    <mergeCell ref="AI517:AK517"/>
    <mergeCell ref="AM552:AN552"/>
    <mergeCell ref="AP554:AQ554"/>
    <mergeCell ref="AB515:AC515"/>
    <mergeCell ref="AE515:AF515"/>
    <mergeCell ref="BO561:BP561"/>
    <mergeCell ref="BR561:BS561"/>
    <mergeCell ref="AT561:AU561"/>
    <mergeCell ref="AW561:AX561"/>
    <mergeCell ref="BF563:BG563"/>
    <mergeCell ref="AW562:AX562"/>
    <mergeCell ref="AI523:AJ523"/>
    <mergeCell ref="AP515:AQ515"/>
    <mergeCell ref="AE563:AF563"/>
    <mergeCell ref="CF2:CL2"/>
    <mergeCell ref="AQ505:AR505"/>
    <mergeCell ref="AT505:AU505"/>
    <mergeCell ref="AM509:AN509"/>
    <mergeCell ref="AP509:AQ509"/>
    <mergeCell ref="AS509:AU509"/>
    <mergeCell ref="AD336:AE336"/>
    <mergeCell ref="CF4:CL4"/>
    <mergeCell ref="AA261:AB261"/>
    <mergeCell ref="Y423:AA423"/>
    <mergeCell ref="BV39:BX39"/>
    <mergeCell ref="Z79:AA79"/>
    <mergeCell ref="AA91:AB91"/>
    <mergeCell ref="BL93:BN93"/>
    <mergeCell ref="AA233:AB233"/>
    <mergeCell ref="AG233:AH233"/>
    <mergeCell ref="BE91:BF91"/>
    <mergeCell ref="BH91:BI91"/>
    <mergeCell ref="AA41:AC41"/>
    <mergeCell ref="AM506:AN506"/>
    <mergeCell ref="Z97:AA97"/>
    <mergeCell ref="AQ423:AR423"/>
    <mergeCell ref="B429:CC429"/>
    <mergeCell ref="O432:T432"/>
    <mergeCell ref="AC434:AD434"/>
    <mergeCell ref="C436:C438"/>
    <mergeCell ref="O419:Q419"/>
    <mergeCell ref="U419:W419"/>
    <mergeCell ref="H417:I417"/>
    <mergeCell ref="L423:M423"/>
    <mergeCell ref="E424:G424"/>
    <mergeCell ref="E423:F423"/>
    <mergeCell ref="AN391:AP391"/>
    <mergeCell ref="E410:F410"/>
    <mergeCell ref="R406:S406"/>
    <mergeCell ref="H410:I410"/>
    <mergeCell ref="U413:V413"/>
    <mergeCell ref="Y413:Z413"/>
    <mergeCell ref="AB413:AD413"/>
    <mergeCell ref="H415:I415"/>
    <mergeCell ref="M415:N415"/>
    <mergeCell ref="Y415:Z415"/>
    <mergeCell ref="H413:I413"/>
    <mergeCell ref="AB415:AD415"/>
    <mergeCell ref="P413:Q413"/>
    <mergeCell ref="AO497:AP497"/>
    <mergeCell ref="P552:Q552"/>
    <mergeCell ref="J581:L581"/>
    <mergeCell ref="N581:P581"/>
    <mergeCell ref="T591:T593"/>
    <mergeCell ref="T586:T588"/>
    <mergeCell ref="T584:T585"/>
    <mergeCell ref="AN570:AQ570"/>
    <mergeCell ref="AH562:AI562"/>
    <mergeCell ref="P504:P506"/>
    <mergeCell ref="J530:K530"/>
    <mergeCell ref="M513:O513"/>
    <mergeCell ref="AB522:AC522"/>
    <mergeCell ref="Y522:Z522"/>
    <mergeCell ref="AH522:AI522"/>
    <mergeCell ref="AK522:AL522"/>
    <mergeCell ref="X538:X539"/>
    <mergeCell ref="AH564:AI564"/>
    <mergeCell ref="AQ564:AR564"/>
    <mergeCell ref="BY561:CA561"/>
    <mergeCell ref="T497:T499"/>
    <mergeCell ref="T506:T508"/>
    <mergeCell ref="AK502:AM502"/>
    <mergeCell ref="AF502:AG502"/>
    <mergeCell ref="X504:Y504"/>
    <mergeCell ref="AA497:AB497"/>
    <mergeCell ref="AY505:BA505"/>
    <mergeCell ref="AP523:AQ523"/>
    <mergeCell ref="AI524:AK524"/>
    <mergeCell ref="AC520:AD520"/>
    <mergeCell ref="AA511:AC511"/>
    <mergeCell ref="BC521:BE521"/>
    <mergeCell ref="BU560:BW560"/>
    <mergeCell ref="V548:V550"/>
    <mergeCell ref="AB549:AD549"/>
    <mergeCell ref="AU559:AV559"/>
    <mergeCell ref="AH552:AI552"/>
    <mergeCell ref="AC501:AD501"/>
    <mergeCell ref="AM515:AN515"/>
    <mergeCell ref="BI561:BJ561"/>
    <mergeCell ref="BL560:BM560"/>
    <mergeCell ref="AB561:AC561"/>
    <mergeCell ref="AB552:AC552"/>
    <mergeCell ref="AE552:AF552"/>
    <mergeCell ref="AH545:AI545"/>
    <mergeCell ref="AP548:AQ548"/>
    <mergeCell ref="AC559:AD559"/>
    <mergeCell ref="AE556:AG556"/>
    <mergeCell ref="AI556:AJ556"/>
    <mergeCell ref="T543:T545"/>
    <mergeCell ref="AI544:AJ544"/>
    <mergeCell ref="BO568:BP568"/>
    <mergeCell ref="BR568:BS568"/>
    <mergeCell ref="BU568:BV568"/>
    <mergeCell ref="AB560:AC560"/>
    <mergeCell ref="AE560:AF560"/>
    <mergeCell ref="AY521:AZ521"/>
    <mergeCell ref="AS554:AT554"/>
    <mergeCell ref="AN541:AP541"/>
    <mergeCell ref="AC553:AE553"/>
    <mergeCell ref="AB554:AC554"/>
    <mergeCell ref="AB551:AD551"/>
    <mergeCell ref="AJ515:AK515"/>
    <mergeCell ref="AE509:AF509"/>
    <mergeCell ref="AS521:AT521"/>
    <mergeCell ref="B528:CC528"/>
    <mergeCell ref="AR536:AS536"/>
    <mergeCell ref="BG521:BI521"/>
    <mergeCell ref="X540:X542"/>
    <mergeCell ref="BY560:CA560"/>
    <mergeCell ref="BO560:BP560"/>
    <mergeCell ref="BR560:BS560"/>
    <mergeCell ref="E659:F659"/>
    <mergeCell ref="E662:F662"/>
    <mergeCell ref="W662:X662"/>
    <mergeCell ref="K664:L664"/>
    <mergeCell ref="AD667:AE667"/>
    <mergeCell ref="Z665:AB665"/>
    <mergeCell ref="Q665:R665"/>
    <mergeCell ref="N660:O660"/>
    <mergeCell ref="O669:P669"/>
    <mergeCell ref="AF541:AG541"/>
    <mergeCell ref="AQ562:AR562"/>
    <mergeCell ref="AE565:AF565"/>
    <mergeCell ref="AK560:AL560"/>
    <mergeCell ref="AM521:AN521"/>
    <mergeCell ref="O673:P673"/>
    <mergeCell ref="AH548:AI548"/>
    <mergeCell ref="J532:K532"/>
    <mergeCell ref="C546:C548"/>
    <mergeCell ref="C536:C538"/>
    <mergeCell ref="N536:O536"/>
    <mergeCell ref="Q549:R549"/>
    <mergeCell ref="Q554:S554"/>
    <mergeCell ref="AB664:AC664"/>
    <mergeCell ref="AE664:AF664"/>
    <mergeCell ref="Z671:AA671"/>
    <mergeCell ref="W646:X646"/>
    <mergeCell ref="AD668:AE668"/>
    <mergeCell ref="AF668:AG668"/>
    <mergeCell ref="Y659:Z659"/>
    <mergeCell ref="V648:W648"/>
    <mergeCell ref="J554:L554"/>
    <mergeCell ref="AE562:AF562"/>
    <mergeCell ref="AM530:AN530"/>
    <mergeCell ref="AB556:AC556"/>
    <mergeCell ref="AB558:AE558"/>
    <mergeCell ref="AE554:AF554"/>
    <mergeCell ref="AH554:AI554"/>
    <mergeCell ref="AO559:AP559"/>
    <mergeCell ref="AF540:AG540"/>
    <mergeCell ref="AI540:AJ540"/>
    <mergeCell ref="AD536:AE536"/>
    <mergeCell ref="AI541:AJ541"/>
    <mergeCell ref="AK537:AL537"/>
    <mergeCell ref="AD550:AF550"/>
    <mergeCell ref="AP552:AQ552"/>
    <mergeCell ref="AV554:AX554"/>
    <mergeCell ref="E531:E532"/>
    <mergeCell ref="H536:H538"/>
    <mergeCell ref="E533:E535"/>
    <mergeCell ref="BU561:BW561"/>
    <mergeCell ref="I671:J671"/>
    <mergeCell ref="E670:G670"/>
    <mergeCell ref="F671:G671"/>
    <mergeCell ref="AT567:AX567"/>
    <mergeCell ref="Z673:AA673"/>
    <mergeCell ref="I673:J673"/>
    <mergeCell ref="W673:X673"/>
    <mergeCell ref="Q688:R688"/>
    <mergeCell ref="W690:X690"/>
    <mergeCell ref="L683:M683"/>
    <mergeCell ref="L677:M677"/>
    <mergeCell ref="O677:Q677"/>
    <mergeCell ref="M690:N690"/>
    <mergeCell ref="S687:T687"/>
    <mergeCell ref="D663:F663"/>
    <mergeCell ref="J662:K662"/>
    <mergeCell ref="T723:U723"/>
    <mergeCell ref="H717:I717"/>
    <mergeCell ref="V657:W657"/>
    <mergeCell ref="Y700:AA700"/>
    <mergeCell ref="W696:X696"/>
    <mergeCell ref="R701:S701"/>
    <mergeCell ref="J702:K702"/>
    <mergeCell ref="U699:V699"/>
    <mergeCell ref="Q692:R692"/>
    <mergeCell ref="H722:I722"/>
    <mergeCell ref="H719:J719"/>
    <mergeCell ref="G698:H698"/>
    <mergeCell ref="J698:K698"/>
    <mergeCell ref="F697:H697"/>
    <mergeCell ref="J705:K705"/>
    <mergeCell ref="H714:I714"/>
    <mergeCell ref="O702:P702"/>
    <mergeCell ref="R699:S699"/>
    <mergeCell ref="L675:M675"/>
    <mergeCell ref="K665:L665"/>
    <mergeCell ref="E660:F660"/>
    <mergeCell ref="AC675:AE675"/>
    <mergeCell ref="AA543:AB543"/>
    <mergeCell ref="F674:H674"/>
    <mergeCell ref="E677:F677"/>
    <mergeCell ref="Q686:R686"/>
    <mergeCell ref="O675:P675"/>
    <mergeCell ref="L673:M673"/>
    <mergeCell ref="K660:L660"/>
    <mergeCell ref="K659:L659"/>
    <mergeCell ref="E649:G649"/>
    <mergeCell ref="H655:I655"/>
    <mergeCell ref="H660:I660"/>
    <mergeCell ref="E687:F687"/>
    <mergeCell ref="Z675:AA675"/>
    <mergeCell ref="W671:X671"/>
    <mergeCell ref="F675:G675"/>
    <mergeCell ref="I675:J675"/>
    <mergeCell ref="T675:U675"/>
    <mergeCell ref="W675:X675"/>
    <mergeCell ref="L671:M671"/>
    <mergeCell ref="O671:P671"/>
    <mergeCell ref="T671:U671"/>
    <mergeCell ref="R662:S662"/>
    <mergeCell ref="T669:U669"/>
    <mergeCell ref="W669:X669"/>
    <mergeCell ref="AC638:AD638"/>
    <mergeCell ref="E709:G709"/>
    <mergeCell ref="E691:F691"/>
    <mergeCell ref="E684:F684"/>
    <mergeCell ref="H677:J677"/>
    <mergeCell ref="J682:K682"/>
    <mergeCell ref="E688:F688"/>
    <mergeCell ref="E686:F686"/>
    <mergeCell ref="X687:Y687"/>
    <mergeCell ref="L688:M688"/>
    <mergeCell ref="AK733:AL733"/>
    <mergeCell ref="AC705:AD705"/>
    <mergeCell ref="R703:S703"/>
    <mergeCell ref="T715:V715"/>
    <mergeCell ref="O730:P730"/>
    <mergeCell ref="AE717:AG717"/>
    <mergeCell ref="AE723:AG723"/>
    <mergeCell ref="AM731:AN731"/>
    <mergeCell ref="R702:S702"/>
    <mergeCell ref="M728:O728"/>
    <mergeCell ref="W731:X731"/>
    <mergeCell ref="E725:F725"/>
    <mergeCell ref="H725:I725"/>
    <mergeCell ref="L723:M723"/>
    <mergeCell ref="N700:P700"/>
    <mergeCell ref="R700:T700"/>
    <mergeCell ref="T695:U695"/>
    <mergeCell ref="L697:M697"/>
    <mergeCell ref="O701:P701"/>
    <mergeCell ref="E723:F723"/>
    <mergeCell ref="AH725:AJ725"/>
    <mergeCell ref="U701:V701"/>
    <mergeCell ref="O727:Q727"/>
    <mergeCell ref="AH731:AI731"/>
    <mergeCell ref="AL725:AM725"/>
    <mergeCell ref="AL705:AN705"/>
    <mergeCell ref="AI717:AK717"/>
    <mergeCell ref="AB722:AC722"/>
    <mergeCell ref="O699:P699"/>
    <mergeCell ref="G699:H699"/>
    <mergeCell ref="J690:K690"/>
    <mergeCell ref="G705:H705"/>
    <mergeCell ref="AA699:AB699"/>
    <mergeCell ref="O698:P698"/>
    <mergeCell ref="P717:Q717"/>
    <mergeCell ref="L692:M692"/>
    <mergeCell ref="I695:J695"/>
    <mergeCell ref="Z717:AA717"/>
    <mergeCell ref="Z695:AA695"/>
    <mergeCell ref="Z701:AA701"/>
    <mergeCell ref="W695:X695"/>
    <mergeCell ref="Q696:R696"/>
    <mergeCell ref="J699:K699"/>
    <mergeCell ref="AN695:AO695"/>
    <mergeCell ref="AN733:AO733"/>
    <mergeCell ref="AL701:AM701"/>
    <mergeCell ref="X702:Y702"/>
    <mergeCell ref="W703:Y703"/>
    <mergeCell ref="AB690:AC690"/>
    <mergeCell ref="L715:M715"/>
    <mergeCell ref="E718:G718"/>
    <mergeCell ref="I696:J696"/>
    <mergeCell ref="Y688:Z688"/>
    <mergeCell ref="E692:F692"/>
    <mergeCell ref="J704:K704"/>
    <mergeCell ref="L695:M695"/>
    <mergeCell ref="U702:V702"/>
    <mergeCell ref="R698:S698"/>
    <mergeCell ref="G701:H701"/>
    <mergeCell ref="E712:G712"/>
    <mergeCell ref="T714:U714"/>
    <mergeCell ref="G702:H702"/>
    <mergeCell ref="BP696:BQ696"/>
    <mergeCell ref="BC745:BE745"/>
    <mergeCell ref="BC746:BE746"/>
    <mergeCell ref="BD747:BF747"/>
    <mergeCell ref="AC761:AD761"/>
    <mergeCell ref="AF761:AG761"/>
    <mergeCell ref="AI761:AJ761"/>
    <mergeCell ref="AR761:AS761"/>
    <mergeCell ref="AF701:AH701"/>
    <mergeCell ref="AY699:AZ699"/>
    <mergeCell ref="AA702:AB702"/>
    <mergeCell ref="AD702:AE702"/>
    <mergeCell ref="AC696:AD696"/>
    <mergeCell ref="AP730:AQ730"/>
    <mergeCell ref="BI817:BJ817"/>
    <mergeCell ref="U797:W797"/>
    <mergeCell ref="AB810:AC810"/>
    <mergeCell ref="AC812:AD812"/>
    <mergeCell ref="AH812:AI812"/>
    <mergeCell ref="AB813:AC813"/>
    <mergeCell ref="Z785:AA785"/>
    <mergeCell ref="AF779:AG779"/>
    <mergeCell ref="D716:F716"/>
    <mergeCell ref="E708:G708"/>
    <mergeCell ref="W722:X722"/>
    <mergeCell ref="O722:P722"/>
    <mergeCell ref="Z730:AA730"/>
    <mergeCell ref="V725:W725"/>
    <mergeCell ref="Y725:Z725"/>
    <mergeCell ref="Q723:R723"/>
    <mergeCell ref="AC703:AD703"/>
    <mergeCell ref="AK703:AL703"/>
    <mergeCell ref="BJ837:BK837"/>
    <mergeCell ref="R837:S837"/>
    <mergeCell ref="U837:V837"/>
    <mergeCell ref="AA837:AB837"/>
    <mergeCell ref="AD837:AE837"/>
    <mergeCell ref="T793:U793"/>
    <mergeCell ref="Z780:AA780"/>
    <mergeCell ref="Q780:R780"/>
    <mergeCell ref="T780:U780"/>
    <mergeCell ref="W780:X780"/>
    <mergeCell ref="AF782:AG782"/>
    <mergeCell ref="AD788:AE788"/>
    <mergeCell ref="Q793:R793"/>
    <mergeCell ref="M816:N816"/>
    <mergeCell ref="R816:S816"/>
    <mergeCell ref="K833:M833"/>
    <mergeCell ref="Q833:S833"/>
    <mergeCell ref="AD830:AE830"/>
    <mergeCell ref="AS828:AT828"/>
    <mergeCell ref="BI782:BJ782"/>
    <mergeCell ref="AQ821:AS821"/>
    <mergeCell ref="AT751:AU751"/>
    <mergeCell ref="AJ753:AK753"/>
    <mergeCell ref="J748:K748"/>
    <mergeCell ref="M736:O736"/>
    <mergeCell ref="AR696:AS696"/>
    <mergeCell ref="AS699:AT699"/>
    <mergeCell ref="AQ725:AS725"/>
    <mergeCell ref="AP699:AQ699"/>
    <mergeCell ref="AS731:AT731"/>
    <mergeCell ref="BG696:BH696"/>
    <mergeCell ref="E715:F715"/>
    <mergeCell ref="BI733:BK733"/>
    <mergeCell ref="AJ743:AK743"/>
    <mergeCell ref="T761:U761"/>
    <mergeCell ref="B739:CC739"/>
    <mergeCell ref="O742:T742"/>
    <mergeCell ref="BM699:BO699"/>
    <mergeCell ref="BE730:BF730"/>
    <mergeCell ref="R704:S704"/>
    <mergeCell ref="J701:K701"/>
    <mergeCell ref="D720:F720"/>
    <mergeCell ref="T730:U730"/>
    <mergeCell ref="Z705:AA705"/>
    <mergeCell ref="S769:U769"/>
    <mergeCell ref="Z777:AA777"/>
    <mergeCell ref="AC777:AD777"/>
    <mergeCell ref="AH777:AI777"/>
    <mergeCell ref="E767:F767"/>
    <mergeCell ref="V763:W763"/>
    <mergeCell ref="AS743:AT743"/>
    <mergeCell ref="K751:L751"/>
    <mergeCell ref="AZ733:BA733"/>
    <mergeCell ref="BB699:BC699"/>
    <mergeCell ref="M733:N733"/>
    <mergeCell ref="L703:N703"/>
    <mergeCell ref="BK731:BM731"/>
    <mergeCell ref="P733:Q733"/>
    <mergeCell ref="S733:T733"/>
    <mergeCell ref="AR822:AS822"/>
    <mergeCell ref="AI823:AJ823"/>
    <mergeCell ref="BD784:BE784"/>
    <mergeCell ref="Z791:AA791"/>
    <mergeCell ref="W817:X817"/>
    <mergeCell ref="AP828:AQ828"/>
    <mergeCell ref="AK797:AM797"/>
    <mergeCell ref="J782:K782"/>
    <mergeCell ref="K780:L780"/>
    <mergeCell ref="AO822:AP822"/>
    <mergeCell ref="C746:C748"/>
    <mergeCell ref="BV733:BX733"/>
    <mergeCell ref="BZ733:CB733"/>
    <mergeCell ref="AG744:AH744"/>
    <mergeCell ref="BP784:BR784"/>
    <mergeCell ref="AO774:AQ774"/>
    <mergeCell ref="N775:O775"/>
    <mergeCell ref="BD767:BF767"/>
    <mergeCell ref="K779:L779"/>
    <mergeCell ref="N779:O779"/>
    <mergeCell ref="AX779:AZ779"/>
    <mergeCell ref="AN782:AO782"/>
    <mergeCell ref="H779:I779"/>
    <mergeCell ref="E784:F784"/>
    <mergeCell ref="E777:F777"/>
    <mergeCell ref="BM733:BN733"/>
    <mergeCell ref="BP733:BR733"/>
    <mergeCell ref="AU761:AV761"/>
    <mergeCell ref="Z775:AB775"/>
    <mergeCell ref="AC780:AE780"/>
    <mergeCell ref="U782:V782"/>
    <mergeCell ref="BN822:BO822"/>
    <mergeCell ref="AU779:AV779"/>
    <mergeCell ref="K784:L784"/>
    <mergeCell ref="M782:N782"/>
    <mergeCell ref="BJ784:BK784"/>
    <mergeCell ref="K775:L775"/>
    <mergeCell ref="Y733:Z733"/>
    <mergeCell ref="AB733:AC733"/>
    <mergeCell ref="E775:F775"/>
    <mergeCell ref="BE731:BG731"/>
    <mergeCell ref="BE699:BF699"/>
    <mergeCell ref="E726:G726"/>
    <mergeCell ref="W775:X775"/>
    <mergeCell ref="T775:U775"/>
    <mergeCell ref="L727:M727"/>
    <mergeCell ref="D728:F728"/>
    <mergeCell ref="AO825:AP825"/>
    <mergeCell ref="H826:I826"/>
    <mergeCell ref="K826:L826"/>
    <mergeCell ref="R834:S834"/>
    <mergeCell ref="O838:P838"/>
    <mergeCell ref="L818:M818"/>
    <mergeCell ref="G831:H831"/>
    <mergeCell ref="W814:X814"/>
    <mergeCell ref="AB814:AC814"/>
    <mergeCell ref="G830:H830"/>
    <mergeCell ref="U828:V828"/>
    <mergeCell ref="J816:K816"/>
    <mergeCell ref="O834:P834"/>
    <mergeCell ref="AP830:AQ830"/>
    <mergeCell ref="I822:J822"/>
    <mergeCell ref="L822:M822"/>
    <mergeCell ref="O837:P837"/>
    <mergeCell ref="AO823:AP823"/>
    <mergeCell ref="AN816:AO816"/>
    <mergeCell ref="U838:V838"/>
    <mergeCell ref="AM830:AN830"/>
    <mergeCell ref="AI825:AJ825"/>
    <mergeCell ref="AI779:AJ779"/>
    <mergeCell ref="W809:X809"/>
    <mergeCell ref="AB809:AC809"/>
    <mergeCell ref="W810:X810"/>
    <mergeCell ref="AC779:AD779"/>
    <mergeCell ref="AS838:AT838"/>
    <mergeCell ref="W779:X779"/>
    <mergeCell ref="Z779:AA779"/>
    <mergeCell ref="BG784:BH784"/>
    <mergeCell ref="W785:X785"/>
    <mergeCell ref="AI791:AJ791"/>
    <mergeCell ref="AF774:AG774"/>
    <mergeCell ref="AI774:AJ774"/>
    <mergeCell ref="S788:T788"/>
    <mergeCell ref="AF787:AG787"/>
    <mergeCell ref="AC791:AD791"/>
    <mergeCell ref="Z784:AA784"/>
    <mergeCell ref="Y788:Z788"/>
    <mergeCell ref="AF785:AG785"/>
    <mergeCell ref="K785:L785"/>
    <mergeCell ref="S787:T787"/>
    <mergeCell ref="T784:U784"/>
    <mergeCell ref="W784:X784"/>
    <mergeCell ref="D783:F783"/>
    <mergeCell ref="N785:O785"/>
    <mergeCell ref="D788:F788"/>
    <mergeCell ref="I789:J789"/>
    <mergeCell ref="L805:M805"/>
    <mergeCell ref="BF838:BG838"/>
    <mergeCell ref="BD825:BE825"/>
    <mergeCell ref="O830:P830"/>
    <mergeCell ref="U830:V830"/>
    <mergeCell ref="H769:I769"/>
    <mergeCell ref="K769:L769"/>
    <mergeCell ref="N769:O769"/>
    <mergeCell ref="K774:L774"/>
    <mergeCell ref="Q785:R785"/>
    <mergeCell ref="L797:M797"/>
    <mergeCell ref="Q784:R784"/>
    <mergeCell ref="H774:I774"/>
    <mergeCell ref="Q774:R774"/>
    <mergeCell ref="R782:S782"/>
    <mergeCell ref="E780:F780"/>
    <mergeCell ref="E770:F770"/>
    <mergeCell ref="D778:F778"/>
    <mergeCell ref="L810:M810"/>
    <mergeCell ref="F789:G789"/>
    <mergeCell ref="E793:F793"/>
    <mergeCell ref="Q806:R806"/>
    <mergeCell ref="Q809:R809"/>
    <mergeCell ref="Q775:R775"/>
    <mergeCell ref="H793:I793"/>
    <mergeCell ref="P824:R824"/>
    <mergeCell ref="K824:L824"/>
    <mergeCell ref="AC823:AD823"/>
    <mergeCell ref="AF823:AG823"/>
    <mergeCell ref="AA831:AB831"/>
    <mergeCell ref="AD831:AE831"/>
    <mergeCell ref="Z816:AA816"/>
    <mergeCell ref="AC816:AD816"/>
    <mergeCell ref="AD828:AE828"/>
    <mergeCell ref="O827:P827"/>
    <mergeCell ref="BB831:BC831"/>
    <mergeCell ref="AA828:AB828"/>
    <mergeCell ref="AP866:AQ866"/>
    <mergeCell ref="J835:K835"/>
    <mergeCell ref="H791:I791"/>
    <mergeCell ref="K791:L791"/>
    <mergeCell ref="N793:O793"/>
    <mergeCell ref="L863:M863"/>
    <mergeCell ref="AM834:AN834"/>
    <mergeCell ref="AM831:AN831"/>
    <mergeCell ref="L851:M851"/>
    <mergeCell ref="Z808:AA808"/>
    <mergeCell ref="O831:P831"/>
    <mergeCell ref="R831:S831"/>
    <mergeCell ref="AP831:AQ831"/>
    <mergeCell ref="AE866:AF866"/>
    <mergeCell ref="AP837:AQ837"/>
    <mergeCell ref="AN861:AO861"/>
    <mergeCell ref="AG828:AH828"/>
    <mergeCell ref="J827:K827"/>
    <mergeCell ref="AF791:AG791"/>
    <mergeCell ref="S853:T853"/>
    <mergeCell ref="R830:S830"/>
    <mergeCell ref="AA830:AB830"/>
    <mergeCell ref="Q817:R817"/>
    <mergeCell ref="AC808:AD808"/>
    <mergeCell ref="AF816:AG816"/>
    <mergeCell ref="AM789:AN789"/>
    <mergeCell ref="Q791:R791"/>
    <mergeCell ref="Q814:R814"/>
    <mergeCell ref="R828:S828"/>
    <mergeCell ref="W791:X791"/>
    <mergeCell ref="AF793:AG793"/>
    <mergeCell ref="AC795:AD795"/>
    <mergeCell ref="K793:L793"/>
    <mergeCell ref="Q795:R795"/>
    <mergeCell ref="E869:F869"/>
    <mergeCell ref="H869:I869"/>
    <mergeCell ref="T850:U850"/>
    <mergeCell ref="W823:X823"/>
    <mergeCell ref="R838:S838"/>
    <mergeCell ref="U831:V831"/>
    <mergeCell ref="U816:V816"/>
    <mergeCell ref="E809:F809"/>
    <mergeCell ref="E812:F812"/>
    <mergeCell ref="Q810:R810"/>
    <mergeCell ref="I823:J823"/>
    <mergeCell ref="L823:M823"/>
    <mergeCell ref="Q823:R823"/>
    <mergeCell ref="T823:U823"/>
    <mergeCell ref="E810:F810"/>
    <mergeCell ref="E813:F813"/>
    <mergeCell ref="W826:X826"/>
    <mergeCell ref="O866:P866"/>
    <mergeCell ref="T866:U866"/>
    <mergeCell ref="D856:F856"/>
    <mergeCell ref="Q818:R818"/>
    <mergeCell ref="E844:G844"/>
    <mergeCell ref="K832:L832"/>
    <mergeCell ref="G838:H838"/>
    <mergeCell ref="L814:M814"/>
    <mergeCell ref="J808:K808"/>
    <mergeCell ref="W818:X818"/>
    <mergeCell ref="AB818:AC818"/>
    <mergeCell ref="G837:H837"/>
    <mergeCell ref="Q836:S836"/>
    <mergeCell ref="H850:I850"/>
    <mergeCell ref="H832:I832"/>
    <mergeCell ref="G828:H828"/>
    <mergeCell ref="E843:G843"/>
    <mergeCell ref="M808:N808"/>
    <mergeCell ref="R827:S827"/>
    <mergeCell ref="Z827:AB827"/>
    <mergeCell ref="O828:P828"/>
    <mergeCell ref="W825:X825"/>
    <mergeCell ref="AC825:AD825"/>
    <mergeCell ref="N826:O826"/>
    <mergeCell ref="R826:S826"/>
    <mergeCell ref="Q829:S829"/>
    <mergeCell ref="W793:X793"/>
    <mergeCell ref="W821:X821"/>
    <mergeCell ref="AB821:AC821"/>
    <mergeCell ref="E861:F861"/>
    <mergeCell ref="D864:F864"/>
    <mergeCell ref="D868:F868"/>
    <mergeCell ref="E867:F867"/>
    <mergeCell ref="E817:F817"/>
    <mergeCell ref="E818:F818"/>
    <mergeCell ref="E841:G841"/>
    <mergeCell ref="AL826:AN826"/>
    <mergeCell ref="AL918:AN918"/>
    <mergeCell ref="AF918:AG918"/>
    <mergeCell ref="AF916:AG916"/>
    <mergeCell ref="AL916:AN916"/>
    <mergeCell ref="AC912:AD912"/>
    <mergeCell ref="AC918:AD918"/>
    <mergeCell ref="E913:G913"/>
    <mergeCell ref="D852:F852"/>
    <mergeCell ref="E851:F851"/>
    <mergeCell ref="T822:U822"/>
    <mergeCell ref="W822:X822"/>
    <mergeCell ref="AC822:AD822"/>
    <mergeCell ref="AF822:AG822"/>
    <mergeCell ref="K836:M836"/>
    <mergeCell ref="AB829:AD829"/>
    <mergeCell ref="L839:M839"/>
    <mergeCell ref="E870:G870"/>
    <mergeCell ref="W867:X867"/>
    <mergeCell ref="J831:K831"/>
    <mergeCell ref="D860:F860"/>
    <mergeCell ref="E853:F853"/>
    <mergeCell ref="E862:G862"/>
    <mergeCell ref="G834:H834"/>
    <mergeCell ref="I821:J821"/>
    <mergeCell ref="L821:M821"/>
    <mergeCell ref="T779:U779"/>
    <mergeCell ref="H775:I775"/>
    <mergeCell ref="J777:K777"/>
    <mergeCell ref="T851:V851"/>
    <mergeCell ref="AG826:AH826"/>
    <mergeCell ref="E814:F814"/>
    <mergeCell ref="E816:F816"/>
    <mergeCell ref="E854:G854"/>
    <mergeCell ref="H855:J855"/>
    <mergeCell ref="L855:M855"/>
    <mergeCell ref="M856:O856"/>
    <mergeCell ref="J834:K834"/>
    <mergeCell ref="Z851:AB851"/>
    <mergeCell ref="G835:H835"/>
    <mergeCell ref="W832:Y832"/>
    <mergeCell ref="E806:F806"/>
    <mergeCell ref="E797:F797"/>
    <mergeCell ref="E790:G790"/>
    <mergeCell ref="T795:U795"/>
    <mergeCell ref="N791:O791"/>
    <mergeCell ref="T791:U791"/>
    <mergeCell ref="E779:F779"/>
    <mergeCell ref="E782:F782"/>
    <mergeCell ref="E792:G792"/>
    <mergeCell ref="F794:H794"/>
    <mergeCell ref="H780:I780"/>
    <mergeCell ref="H785:I785"/>
    <mergeCell ref="E845:G845"/>
    <mergeCell ref="E846:G846"/>
    <mergeCell ref="E847:G847"/>
    <mergeCell ref="E808:F808"/>
    <mergeCell ref="Q779:R779"/>
    <mergeCell ref="E795:F795"/>
    <mergeCell ref="E804:F804"/>
    <mergeCell ref="H795:I795"/>
    <mergeCell ref="Q851:R851"/>
    <mergeCell ref="P996:Q996"/>
    <mergeCell ref="U996:V996"/>
    <mergeCell ref="BN835:BP835"/>
    <mergeCell ref="D911:F911"/>
    <mergeCell ref="AF912:AG912"/>
    <mergeCell ref="W912:X912"/>
    <mergeCell ref="Z912:AA912"/>
    <mergeCell ref="G827:H827"/>
    <mergeCell ref="L871:M871"/>
    <mergeCell ref="O871:Q871"/>
    <mergeCell ref="Q822:R822"/>
    <mergeCell ref="AR962:AS962"/>
    <mergeCell ref="I964:J964"/>
    <mergeCell ref="AN964:AO964"/>
    <mergeCell ref="BK892:BM892"/>
    <mergeCell ref="BK893:BM893"/>
    <mergeCell ref="BL894:BN894"/>
    <mergeCell ref="E920:F920"/>
    <mergeCell ref="H920:J920"/>
    <mergeCell ref="L920:M920"/>
    <mergeCell ref="O920:Q920"/>
    <mergeCell ref="U920:W920"/>
    <mergeCell ref="AA920:AC920"/>
    <mergeCell ref="AG920:AI920"/>
    <mergeCell ref="AK920:AM920"/>
    <mergeCell ref="F912:H912"/>
    <mergeCell ref="J912:L912"/>
    <mergeCell ref="AY961:AZ961"/>
    <mergeCell ref="D907:F907"/>
    <mergeCell ref="AW911:AX911"/>
    <mergeCell ref="AU912:AV912"/>
    <mergeCell ref="E848:G848"/>
    <mergeCell ref="O850:P850"/>
    <mergeCell ref="M853:N853"/>
    <mergeCell ref="AY898:AZ898"/>
    <mergeCell ref="AR954:AS954"/>
    <mergeCell ref="BK831:BL831"/>
    <mergeCell ref="AM828:AN828"/>
    <mergeCell ref="BA825:BB825"/>
    <mergeCell ref="AJ880:AL880"/>
    <mergeCell ref="BO879:BP879"/>
    <mergeCell ref="F880:G880"/>
    <mergeCell ref="L880:M880"/>
    <mergeCell ref="BI879:BJ879"/>
    <mergeCell ref="BL879:BM879"/>
    <mergeCell ref="D878:F878"/>
    <mergeCell ref="D883:F883"/>
    <mergeCell ref="M883:O883"/>
    <mergeCell ref="I880:J880"/>
    <mergeCell ref="S880:U880"/>
    <mergeCell ref="W880:X880"/>
    <mergeCell ref="Z880:AB880"/>
    <mergeCell ref="AF880:AH880"/>
    <mergeCell ref="E908:G908"/>
    <mergeCell ref="I908:K908"/>
    <mergeCell ref="BD893:BE893"/>
    <mergeCell ref="BC879:BD879"/>
    <mergeCell ref="AZ879:BA879"/>
    <mergeCell ref="O889:T889"/>
    <mergeCell ref="AK908:AM908"/>
    <mergeCell ref="W893:X893"/>
    <mergeCell ref="P908:Q908"/>
    <mergeCell ref="L988:M988"/>
    <mergeCell ref="AW914:AX914"/>
    <mergeCell ref="Z918:AA918"/>
    <mergeCell ref="X930:Y930"/>
    <mergeCell ref="AL912:AN912"/>
    <mergeCell ref="BQ895:BS895"/>
    <mergeCell ref="E997:G997"/>
    <mergeCell ref="M997:N997"/>
    <mergeCell ref="R997:S997"/>
    <mergeCell ref="X997:Y997"/>
    <mergeCell ref="AC997:AD997"/>
    <mergeCell ref="AG997:AH997"/>
    <mergeCell ref="AJ997:AL997"/>
    <mergeCell ref="D998:F998"/>
    <mergeCell ref="E999:G999"/>
    <mergeCell ref="I999:J999"/>
    <mergeCell ref="N999:O999"/>
    <mergeCell ref="Q999:R999"/>
    <mergeCell ref="T999:U999"/>
    <mergeCell ref="Z999:AA999"/>
    <mergeCell ref="AC999:AD999"/>
    <mergeCell ref="AF999:AG999"/>
    <mergeCell ref="AJ999:AK999"/>
    <mergeCell ref="I995:K995"/>
    <mergeCell ref="AK988:AM988"/>
    <mergeCell ref="K990:L990"/>
    <mergeCell ref="AN995:AO995"/>
    <mergeCell ref="L986:M986"/>
    <mergeCell ref="O986:P986"/>
    <mergeCell ref="R986:S986"/>
    <mergeCell ref="U986:V986"/>
    <mergeCell ref="X986:Y986"/>
    <mergeCell ref="AA986:AB986"/>
    <mergeCell ref="Y908:Z908"/>
    <mergeCell ref="AB908:AC908"/>
    <mergeCell ref="AE908:AF908"/>
    <mergeCell ref="K909:L909"/>
    <mergeCell ref="T909:V909"/>
    <mergeCell ref="T923:U923"/>
    <mergeCell ref="Z923:AA923"/>
    <mergeCell ref="Z943:AA943"/>
    <mergeCell ref="F917:H917"/>
    <mergeCell ref="AM930:AN930"/>
    <mergeCell ref="Z928:AA928"/>
    <mergeCell ref="AC928:AD928"/>
    <mergeCell ref="AI928:AJ928"/>
    <mergeCell ref="AL928:AM928"/>
    <mergeCell ref="P929:Q929"/>
    <mergeCell ref="S929:U929"/>
    <mergeCell ref="K929:L929"/>
    <mergeCell ref="AE923:AF923"/>
    <mergeCell ref="K931:L931"/>
    <mergeCell ref="N909:O909"/>
    <mergeCell ref="M908:N908"/>
    <mergeCell ref="Q939:R939"/>
    <mergeCell ref="T939:U939"/>
    <mergeCell ref="F918:H918"/>
    <mergeCell ref="E909:F909"/>
    <mergeCell ref="P930:Q930"/>
    <mergeCell ref="R928:S928"/>
    <mergeCell ref="Y941:Z941"/>
    <mergeCell ref="K922:L922"/>
    <mergeCell ref="Q914:R914"/>
    <mergeCell ref="T914:U914"/>
    <mergeCell ref="W914:X914"/>
    <mergeCell ref="I1020:J1020"/>
    <mergeCell ref="Z1032:AA1032"/>
    <mergeCell ref="AC1032:AD1032"/>
    <mergeCell ref="AF1032:AG1032"/>
    <mergeCell ref="E1033:G1033"/>
    <mergeCell ref="F1034:H1034"/>
    <mergeCell ref="J1034:L1034"/>
    <mergeCell ref="AS1048:AT1048"/>
    <mergeCell ref="K1049:L1049"/>
    <mergeCell ref="P1049:Q1049"/>
    <mergeCell ref="S1049:U1049"/>
    <mergeCell ref="Z1034:AA1034"/>
    <mergeCell ref="AF1038:AG1038"/>
    <mergeCell ref="AL1038:AN1038"/>
    <mergeCell ref="L1040:M1040"/>
    <mergeCell ref="O1040:Q1040"/>
    <mergeCell ref="U1040:W1040"/>
    <mergeCell ref="AA1040:AC1040"/>
    <mergeCell ref="AG1040:AI1040"/>
    <mergeCell ref="AK1040:AM1040"/>
    <mergeCell ref="AF1034:AG1034"/>
    <mergeCell ref="AL1034:AN1034"/>
    <mergeCell ref="E1035:G1035"/>
    <mergeCell ref="F1036:H1036"/>
    <mergeCell ref="J1036:L1036"/>
    <mergeCell ref="T1036:U1036"/>
    <mergeCell ref="AL1036:AN1036"/>
    <mergeCell ref="F1037:H1037"/>
    <mergeCell ref="F1038:H1038"/>
    <mergeCell ref="BA995:BC995"/>
    <mergeCell ref="H996:J996"/>
    <mergeCell ref="AY1017:AZ1017"/>
    <mergeCell ref="AF1018:AG1018"/>
    <mergeCell ref="AR1018:AS1018"/>
    <mergeCell ref="AM999:AO999"/>
    <mergeCell ref="AQ999:AR999"/>
    <mergeCell ref="AV999:AX999"/>
    <mergeCell ref="AZ999:BB999"/>
    <mergeCell ref="AL1032:AN1032"/>
    <mergeCell ref="AR1010:AS1010"/>
    <mergeCell ref="H1001:J1001"/>
    <mergeCell ref="L1001:M1001"/>
    <mergeCell ref="O1001:Q1001"/>
    <mergeCell ref="M1002:O1002"/>
    <mergeCell ref="I1028:K1028"/>
    <mergeCell ref="M1028:N1028"/>
    <mergeCell ref="P1028:Q1028"/>
    <mergeCell ref="S1028:T1028"/>
    <mergeCell ref="AN1020:AO1020"/>
    <mergeCell ref="F1022:I1022"/>
    <mergeCell ref="F1023:I1023"/>
    <mergeCell ref="AB1028:AC1028"/>
    <mergeCell ref="AE1028:AF1028"/>
    <mergeCell ref="R1029:S1029"/>
    <mergeCell ref="U1029:W1029"/>
    <mergeCell ref="V1028:W1028"/>
    <mergeCell ref="Y1028:Z1028"/>
    <mergeCell ref="AK1028:AM1028"/>
    <mergeCell ref="AU1032:AV1032"/>
    <mergeCell ref="AW1032:AX1032"/>
    <mergeCell ref="AF996:AG996"/>
    <mergeCell ref="AU1031:AV1031"/>
    <mergeCell ref="AW1031:AX1031"/>
    <mergeCell ref="L1029:M1029"/>
    <mergeCell ref="Q1044:R1044"/>
    <mergeCell ref="V1044:W1044"/>
    <mergeCell ref="AB1044:AC1044"/>
    <mergeCell ref="AG1044:AH1044"/>
    <mergeCell ref="AK1044:AL1044"/>
    <mergeCell ref="Q1032:R1032"/>
    <mergeCell ref="T1032:U1032"/>
    <mergeCell ref="W1032:X1032"/>
    <mergeCell ref="N1034:O1034"/>
    <mergeCell ref="Q1034:R1034"/>
    <mergeCell ref="T1034:U1034"/>
    <mergeCell ref="W1034:X1034"/>
    <mergeCell ref="F1032:H1032"/>
    <mergeCell ref="J1032:L1032"/>
    <mergeCell ref="E1040:F1040"/>
    <mergeCell ref="H1040:J1040"/>
    <mergeCell ref="W1036:X1036"/>
    <mergeCell ref="Z1036:AA1036"/>
    <mergeCell ref="AC1036:AD1036"/>
    <mergeCell ref="AF1036:AG1036"/>
    <mergeCell ref="AC1038:AD1038"/>
    <mergeCell ref="AC1034:AD1034"/>
    <mergeCell ref="Z1038:AA1038"/>
    <mergeCell ref="Q1036:R1036"/>
    <mergeCell ref="T1038:U1038"/>
    <mergeCell ref="K1042:L1042"/>
    <mergeCell ref="P1042:Q1042"/>
    <mergeCell ref="S1042:T1042"/>
    <mergeCell ref="X1042:Y1042"/>
    <mergeCell ref="O1043:P1043"/>
    <mergeCell ref="T1043:U1043"/>
    <mergeCell ref="Z1043:AA1043"/>
    <mergeCell ref="AC1048:AD1048"/>
    <mergeCell ref="AI1048:AJ1048"/>
    <mergeCell ref="AL1048:AM1048"/>
    <mergeCell ref="AS1060:AT1060"/>
    <mergeCell ref="AX1060:AZ1060"/>
    <mergeCell ref="BB1060:BD1060"/>
    <mergeCell ref="E1061:G1061"/>
    <mergeCell ref="H1062:J1062"/>
    <mergeCell ref="L1062:M1062"/>
    <mergeCell ref="O1062:Q1062"/>
    <mergeCell ref="D1063:F1063"/>
    <mergeCell ref="M1063:O1063"/>
    <mergeCell ref="B1066:CC1066"/>
    <mergeCell ref="AC1060:AD1060"/>
    <mergeCell ref="AI1060:AJ1060"/>
    <mergeCell ref="AL1060:AM1060"/>
    <mergeCell ref="AO1060:AP1060"/>
    <mergeCell ref="AO1048:AP1048"/>
    <mergeCell ref="E1054:G1054"/>
    <mergeCell ref="E1053:G1053"/>
    <mergeCell ref="O1068:T1068"/>
    <mergeCell ref="G1056:H1056"/>
    <mergeCell ref="J1056:K1056"/>
    <mergeCell ref="M1056:N1056"/>
    <mergeCell ref="E1057:G1057"/>
    <mergeCell ref="T1058:U1058"/>
    <mergeCell ref="D1059:F1059"/>
    <mergeCell ref="Y1058:Z1058"/>
    <mergeCell ref="AE1058:AF1058"/>
    <mergeCell ref="AJ1058:AK1058"/>
    <mergeCell ref="AN1058:AO1058"/>
    <mergeCell ref="E1060:G1060"/>
    <mergeCell ref="I1060:J1060"/>
    <mergeCell ref="N1060:P1060"/>
    <mergeCell ref="W1060:X1060"/>
    <mergeCell ref="R1060:S1060"/>
    <mergeCell ref="Z1060:AA1060"/>
    <mergeCell ref="G1051:H1051"/>
    <mergeCell ref="J1051:K1051"/>
    <mergeCell ref="M1051:N1051"/>
    <mergeCell ref="P1051:Q1051"/>
    <mergeCell ref="S1051:T1051"/>
    <mergeCell ref="V1051:W1051"/>
    <mergeCell ref="AF1051:AG1051"/>
    <mergeCell ref="AI1051:AK1051"/>
    <mergeCell ref="K1048:L1048"/>
    <mergeCell ref="R1048:S1048"/>
    <mergeCell ref="W1048:X1048"/>
    <mergeCell ref="Z1048:AA1048"/>
    <mergeCell ref="I1080:J1080"/>
    <mergeCell ref="AN1080:AO1080"/>
    <mergeCell ref="F1082:I1082"/>
    <mergeCell ref="F1083:I1083"/>
    <mergeCell ref="E1108:F1108"/>
    <mergeCell ref="AB1077:AC1077"/>
    <mergeCell ref="AY1077:AZ1077"/>
    <mergeCell ref="AG1078:AH1078"/>
    <mergeCell ref="AS1078:AT1078"/>
    <mergeCell ref="AH1096:AI1096"/>
    <mergeCell ref="AK1096:AL1096"/>
    <mergeCell ref="Y1094:Z1094"/>
    <mergeCell ref="AB1094:AC1094"/>
    <mergeCell ref="AE1094:AF1094"/>
    <mergeCell ref="AH1094:AI1094"/>
    <mergeCell ref="AK1094:AL1094"/>
    <mergeCell ref="BG1089:BH1089"/>
    <mergeCell ref="BE1090:BF1090"/>
    <mergeCell ref="BG1090:BH1090"/>
    <mergeCell ref="AG1069:AH1069"/>
    <mergeCell ref="AB1092:AC1092"/>
    <mergeCell ref="AW1090:AY1090"/>
    <mergeCell ref="AW1092:AY1092"/>
    <mergeCell ref="AW1094:AY1094"/>
    <mergeCell ref="BE1092:BF1092"/>
    <mergeCell ref="BG1092:BH1092"/>
    <mergeCell ref="AR1070:AS1070"/>
    <mergeCell ref="BK1071:BM1071"/>
    <mergeCell ref="C1072:C1074"/>
    <mergeCell ref="W1072:X1072"/>
    <mergeCell ref="BD1072:BE1072"/>
    <mergeCell ref="BK1072:BM1072"/>
    <mergeCell ref="BL1073:BN1073"/>
    <mergeCell ref="J1074:K1074"/>
    <mergeCell ref="E1109:F1109"/>
    <mergeCell ref="J1109:K1109"/>
    <mergeCell ref="L1116:M1116"/>
    <mergeCell ref="O1116:P1116"/>
    <mergeCell ref="T1116:U1116"/>
    <mergeCell ref="AA1116:AB1116"/>
    <mergeCell ref="G1121:H1121"/>
    <mergeCell ref="J1121:K1121"/>
    <mergeCell ref="P1123:Q1123"/>
    <mergeCell ref="G1124:H1124"/>
    <mergeCell ref="J1124:K1124"/>
    <mergeCell ref="Q1124:R1124"/>
    <mergeCell ref="Z1117:AA1117"/>
    <mergeCell ref="Y1096:Z1096"/>
    <mergeCell ref="AB1096:AC1096"/>
    <mergeCell ref="J1104:K1104"/>
    <mergeCell ref="E1101:F1101"/>
    <mergeCell ref="E1106:F1106"/>
    <mergeCell ref="E1107:F1107"/>
    <mergeCell ref="E1102:F1102"/>
    <mergeCell ref="E1103:F1103"/>
    <mergeCell ref="E1104:F1104"/>
    <mergeCell ref="F1095:H1095"/>
    <mergeCell ref="F1096:H1096"/>
    <mergeCell ref="AW1096:AY1096"/>
    <mergeCell ref="E1098:F1098"/>
    <mergeCell ref="H1098:J1098"/>
    <mergeCell ref="N1094:O1094"/>
    <mergeCell ref="Q1094:R1094"/>
    <mergeCell ref="T1094:U1094"/>
    <mergeCell ref="J1096:L1096"/>
    <mergeCell ref="N1096:O1096"/>
    <mergeCell ref="Q1096:R1096"/>
    <mergeCell ref="T1096:U1096"/>
    <mergeCell ref="S1126:T1126"/>
    <mergeCell ref="X1126:Z1126"/>
    <mergeCell ref="H1135:I1135"/>
    <mergeCell ref="M1135:N1135"/>
    <mergeCell ref="D1136:F1136"/>
    <mergeCell ref="E1137:F1137"/>
    <mergeCell ref="H1137:I1137"/>
    <mergeCell ref="K1137:L1137"/>
    <mergeCell ref="N1137:P1137"/>
    <mergeCell ref="R1137:S1137"/>
    <mergeCell ref="W1137:Y1137"/>
    <mergeCell ref="AA1137:AB1137"/>
    <mergeCell ref="AH1137:AJ1137"/>
    <mergeCell ref="AL1137:AN1137"/>
    <mergeCell ref="E1128:G1128"/>
    <mergeCell ref="E1129:G1129"/>
    <mergeCell ref="E1130:G1130"/>
    <mergeCell ref="E1131:G1131"/>
    <mergeCell ref="E1132:G1132"/>
    <mergeCell ref="E1133:G1133"/>
    <mergeCell ref="AP1116:AQ1116"/>
    <mergeCell ref="G1113:H1113"/>
    <mergeCell ref="J1113:K1113"/>
    <mergeCell ref="Q1113:R1113"/>
    <mergeCell ref="N1115:O1115"/>
    <mergeCell ref="AU1116:AV1116"/>
    <mergeCell ref="AZ1116:BA1116"/>
    <mergeCell ref="X1124:Y1124"/>
    <mergeCell ref="AD1124:AE1124"/>
    <mergeCell ref="BE1116:BG1116"/>
    <mergeCell ref="AH1117:AI1117"/>
    <mergeCell ref="AM1117:AN1117"/>
    <mergeCell ref="AR1117:AT1117"/>
    <mergeCell ref="G1118:H1118"/>
    <mergeCell ref="J1118:K1118"/>
    <mergeCell ref="M1118:N1118"/>
    <mergeCell ref="R1118:S1118"/>
    <mergeCell ref="Y1118:Z1118"/>
    <mergeCell ref="AG1118:AH1118"/>
    <mergeCell ref="AL1118:AM1118"/>
    <mergeCell ref="AO1118:AQ1118"/>
    <mergeCell ref="N1120:O1120"/>
    <mergeCell ref="S1120:T1120"/>
    <mergeCell ref="X1120:Z1120"/>
    <mergeCell ref="AH1116:AI1116"/>
    <mergeCell ref="I1117:J1117"/>
    <mergeCell ref="L1117:M1117"/>
    <mergeCell ref="S1117:T1117"/>
    <mergeCell ref="AI1124:AJ1124"/>
    <mergeCell ref="AL1124:AN1124"/>
    <mergeCell ref="U1115:W1115"/>
    <mergeCell ref="I1116:J1116"/>
    <mergeCell ref="R1144:S1144"/>
    <mergeCell ref="W1144:Y1144"/>
    <mergeCell ref="H1152:I1152"/>
    <mergeCell ref="K1152:L1152"/>
    <mergeCell ref="P1152:R1152"/>
    <mergeCell ref="T1152:U1152"/>
    <mergeCell ref="W1152:Y1152"/>
    <mergeCell ref="E1159:F1159"/>
    <mergeCell ref="H1159:I1159"/>
    <mergeCell ref="K1159:M1159"/>
    <mergeCell ref="O1159:Q1159"/>
    <mergeCell ref="D1089:F1089"/>
    <mergeCell ref="BE1089:BF1089"/>
    <mergeCell ref="F1090:H1090"/>
    <mergeCell ref="J1090:L1090"/>
    <mergeCell ref="N1090:O1090"/>
    <mergeCell ref="Q1090:R1090"/>
    <mergeCell ref="E1091:G1091"/>
    <mergeCell ref="F1092:H1092"/>
    <mergeCell ref="J1092:L1092"/>
    <mergeCell ref="N1092:O1092"/>
    <mergeCell ref="Q1092:R1092"/>
    <mergeCell ref="T1092:U1092"/>
    <mergeCell ref="E1093:G1093"/>
    <mergeCell ref="F1094:H1094"/>
    <mergeCell ref="J1094:L1094"/>
    <mergeCell ref="H1149:J1149"/>
    <mergeCell ref="H1150:I1150"/>
    <mergeCell ref="K1150:L1150"/>
    <mergeCell ref="R1121:S1121"/>
    <mergeCell ref="N1150:P1150"/>
    <mergeCell ref="R1150:T1150"/>
    <mergeCell ref="H1151:J1151"/>
    <mergeCell ref="H1154:I1154"/>
    <mergeCell ref="E1155:F1155"/>
    <mergeCell ref="H1155:I1155"/>
    <mergeCell ref="M1155:O1155"/>
    <mergeCell ref="Q1155:R1155"/>
    <mergeCell ref="X1155:Z1155"/>
    <mergeCell ref="AA1152:AC1152"/>
    <mergeCell ref="AS1144:AU1144"/>
    <mergeCell ref="AW1144:AY1144"/>
    <mergeCell ref="E1145:G1145"/>
    <mergeCell ref="H1146:J1146"/>
    <mergeCell ref="L1146:M1146"/>
    <mergeCell ref="O1146:Q1146"/>
    <mergeCell ref="D1147:F1147"/>
    <mergeCell ref="M1147:O1147"/>
    <mergeCell ref="AF1144:AH1144"/>
    <mergeCell ref="AJ1144:AK1144"/>
    <mergeCell ref="AM1144:AO1144"/>
    <mergeCell ref="E1138:G1138"/>
    <mergeCell ref="H1139:J1139"/>
    <mergeCell ref="L1139:M1139"/>
    <mergeCell ref="O1139:Q1139"/>
    <mergeCell ref="D1140:F1140"/>
    <mergeCell ref="M1140:O1140"/>
    <mergeCell ref="H1142:I1142"/>
    <mergeCell ref="M1142:N1142"/>
    <mergeCell ref="AA1144:AB1144"/>
    <mergeCell ref="AF1125:AG1125"/>
    <mergeCell ref="AK1125:AL1125"/>
    <mergeCell ref="AP1125:AR1125"/>
    <mergeCell ref="N1126:O1126"/>
    <mergeCell ref="B1258:CC1258"/>
    <mergeCell ref="G1280:H1280"/>
    <mergeCell ref="J1280:K1280"/>
    <mergeCell ref="E1281:G1281"/>
    <mergeCell ref="E1283:F1283"/>
    <mergeCell ref="J1283:K1283"/>
    <mergeCell ref="Q1283:R1283"/>
    <mergeCell ref="T1283:U1283"/>
    <mergeCell ref="Y1283:Z1283"/>
    <mergeCell ref="E1279:G1279"/>
    <mergeCell ref="P1278:Q1278"/>
    <mergeCell ref="K1278:L1278"/>
    <mergeCell ref="H1278:I1278"/>
    <mergeCell ref="E1278:F1278"/>
    <mergeCell ref="AR1262:AT1262"/>
    <mergeCell ref="AR1263:AT1263"/>
    <mergeCell ref="AS1264:AU1264"/>
    <mergeCell ref="BI1089:BJ1089"/>
    <mergeCell ref="AQ1089:AR1089"/>
    <mergeCell ref="BK1089:BL1089"/>
    <mergeCell ref="AN1096:AO1096"/>
    <mergeCell ref="AQ1096:AR1096"/>
    <mergeCell ref="L1098:M1098"/>
    <mergeCell ref="O1098:Q1098"/>
    <mergeCell ref="U1098:W1098"/>
    <mergeCell ref="AA1098:AC1098"/>
    <mergeCell ref="AG1098:AI1098"/>
    <mergeCell ref="AK1098:AM1098"/>
    <mergeCell ref="T1090:U1090"/>
    <mergeCell ref="Y1090:Z1090"/>
    <mergeCell ref="AB1090:AC1090"/>
    <mergeCell ref="AE1090:AF1090"/>
    <mergeCell ref="AH1090:AI1090"/>
    <mergeCell ref="AK1090:AL1090"/>
    <mergeCell ref="AN1090:AO1090"/>
    <mergeCell ref="AQ1090:AR1090"/>
    <mergeCell ref="Y1092:Z1092"/>
    <mergeCell ref="AE1092:AF1092"/>
    <mergeCell ref="AH1092:AI1092"/>
    <mergeCell ref="AK1092:AL1092"/>
    <mergeCell ref="AN1092:AO1092"/>
    <mergeCell ref="AQ1092:AR1092"/>
    <mergeCell ref="BE1091:BF1091"/>
    <mergeCell ref="BG1091:BH1091"/>
    <mergeCell ref="AN1094:AO1094"/>
    <mergeCell ref="AQ1094:AR1094"/>
    <mergeCell ref="AE1096:AF1096"/>
    <mergeCell ref="H1157:I1157"/>
    <mergeCell ref="E1158:F1158"/>
    <mergeCell ref="H1158:I1158"/>
    <mergeCell ref="M1158:O1158"/>
    <mergeCell ref="Q1158:R1158"/>
    <mergeCell ref="T1158:V1158"/>
    <mergeCell ref="X1158:Z1158"/>
    <mergeCell ref="T1155:V1155"/>
    <mergeCell ref="E1156:F1156"/>
    <mergeCell ref="H1156:I1156"/>
    <mergeCell ref="K1156:M1156"/>
    <mergeCell ref="O1156:Q1156"/>
    <mergeCell ref="D1143:F1143"/>
    <mergeCell ref="E1144:F1144"/>
    <mergeCell ref="H1144:I1144"/>
    <mergeCell ref="K1144:L1144"/>
    <mergeCell ref="N1144:P1144"/>
    <mergeCell ref="E1284:F1284"/>
    <mergeCell ref="L1284:M1284"/>
    <mergeCell ref="E1285:F1285"/>
    <mergeCell ref="L1285:M1285"/>
    <mergeCell ref="Q1285:R1285"/>
    <mergeCell ref="J1288:K1288"/>
    <mergeCell ref="M1288:N1288"/>
    <mergeCell ref="R1288:S1288"/>
    <mergeCell ref="U1288:V1288"/>
    <mergeCell ref="AG1288:AI1288"/>
    <mergeCell ref="H1289:I1289"/>
    <mergeCell ref="O1289:P1289"/>
    <mergeCell ref="T1289:U1289"/>
    <mergeCell ref="D1290:F1290"/>
    <mergeCell ref="E1291:F1291"/>
    <mergeCell ref="H1291:I1291"/>
    <mergeCell ref="M1291:N1291"/>
    <mergeCell ref="P1291:Q1291"/>
    <mergeCell ref="S1291:T1291"/>
    <mergeCell ref="V1291:X1291"/>
    <mergeCell ref="Z1291:AA1291"/>
    <mergeCell ref="AE1291:AG1291"/>
    <mergeCell ref="AI1291:AK1291"/>
    <mergeCell ref="AD1262:AE1262"/>
    <mergeCell ref="W1270:X1270"/>
    <mergeCell ref="AK1270:AL1270"/>
    <mergeCell ref="AD1271:AE1271"/>
    <mergeCell ref="O1260:T1260"/>
    <mergeCell ref="C1264:C1266"/>
    <mergeCell ref="J1266:K1266"/>
    <mergeCell ref="K1269:L1269"/>
    <mergeCell ref="I1272:J1272"/>
    <mergeCell ref="F1274:I1274"/>
    <mergeCell ref="F1275:I1275"/>
    <mergeCell ref="AQ1296:AR1296"/>
    <mergeCell ref="R1297:T1297"/>
    <mergeCell ref="D1307:F1307"/>
    <mergeCell ref="E1308:F1308"/>
    <mergeCell ref="H1308:I1308"/>
    <mergeCell ref="K1308:L1308"/>
    <mergeCell ref="N1308:O1308"/>
    <mergeCell ref="Q1308:S1308"/>
    <mergeCell ref="E1309:F1309"/>
    <mergeCell ref="H1309:I1309"/>
    <mergeCell ref="K1309:L1309"/>
    <mergeCell ref="N1309:O1309"/>
    <mergeCell ref="Q1309:S1309"/>
    <mergeCell ref="E1298:G1298"/>
    <mergeCell ref="N1299:O1299"/>
    <mergeCell ref="Q1299:S1299"/>
    <mergeCell ref="E1305:F1305"/>
    <mergeCell ref="H1305:J1305"/>
    <mergeCell ref="L1305:M1305"/>
    <mergeCell ref="O1305:Q1305"/>
    <mergeCell ref="U1305:W1305"/>
    <mergeCell ref="AA1305:AC1305"/>
    <mergeCell ref="AG1305:AI1305"/>
    <mergeCell ref="AK1305:AM1305"/>
    <mergeCell ref="F1297:G1297"/>
    <mergeCell ref="I1297:J1297"/>
    <mergeCell ref="L1297:M1297"/>
    <mergeCell ref="O1297:P1297"/>
    <mergeCell ref="E1299:F1299"/>
    <mergeCell ref="H1299:I1299"/>
    <mergeCell ref="K1299:L1299"/>
    <mergeCell ref="E1301:F1301"/>
    <mergeCell ref="E1292:G1292"/>
    <mergeCell ref="H1293:J1293"/>
    <mergeCell ref="L1293:M1293"/>
    <mergeCell ref="O1293:Q1293"/>
    <mergeCell ref="E1303:F1303"/>
    <mergeCell ref="H1303:I1303"/>
    <mergeCell ref="K1303:L1303"/>
    <mergeCell ref="E1300:G1300"/>
    <mergeCell ref="N1301:O1301"/>
    <mergeCell ref="Q1301:S1301"/>
    <mergeCell ref="F1302:H1302"/>
    <mergeCell ref="N1303:O1303"/>
    <mergeCell ref="Q1303:S1303"/>
    <mergeCell ref="D1294:F1294"/>
    <mergeCell ref="M1294:O1294"/>
    <mergeCell ref="D1296:F1296"/>
    <mergeCell ref="H1301:I1301"/>
    <mergeCell ref="K1301:L1301"/>
    <mergeCell ref="C1319:C1321"/>
    <mergeCell ref="E1344:G1344"/>
    <mergeCell ref="E1345:G1345"/>
    <mergeCell ref="I1345:J1345"/>
    <mergeCell ref="L1345:M1345"/>
    <mergeCell ref="O1345:P1345"/>
    <mergeCell ref="R1345:S1345"/>
    <mergeCell ref="U1345:V1345"/>
    <mergeCell ref="E1340:G1340"/>
    <mergeCell ref="I1340:J1340"/>
    <mergeCell ref="L1340:M1340"/>
    <mergeCell ref="O1340:P1340"/>
    <mergeCell ref="R1340:S1340"/>
    <mergeCell ref="U1340:W1340"/>
    <mergeCell ref="E1333:F1333"/>
    <mergeCell ref="H1333:I1333"/>
    <mergeCell ref="X1345:Y1345"/>
    <mergeCell ref="F1330:I1330"/>
    <mergeCell ref="F1343:H1343"/>
    <mergeCell ref="J1343:K1343"/>
    <mergeCell ref="M1343:N1343"/>
    <mergeCell ref="P1343:Q1343"/>
    <mergeCell ref="S1343:T1343"/>
    <mergeCell ref="V1343:W1343"/>
    <mergeCell ref="Y1343:Z1343"/>
    <mergeCell ref="BK1319:BM1319"/>
    <mergeCell ref="BL1320:BN1320"/>
    <mergeCell ref="J1321:K1321"/>
    <mergeCell ref="K1324:L1324"/>
    <mergeCell ref="AB1324:AC1324"/>
    <mergeCell ref="AY1324:AZ1324"/>
    <mergeCell ref="AE1325:AF1325"/>
    <mergeCell ref="AS1325:AT1325"/>
    <mergeCell ref="I1327:J1327"/>
    <mergeCell ref="AN1327:AO1327"/>
    <mergeCell ref="F1329:I1329"/>
    <mergeCell ref="X1339:Y1339"/>
    <mergeCell ref="AA1339:AB1339"/>
    <mergeCell ref="AG1339:AI1339"/>
    <mergeCell ref="AK1325:AL1325"/>
    <mergeCell ref="T1333:U1333"/>
    <mergeCell ref="E1334:G1334"/>
    <mergeCell ref="K1333:L1333"/>
    <mergeCell ref="N1333:O1333"/>
    <mergeCell ref="Q1333:R1333"/>
    <mergeCell ref="G1335:H1335"/>
    <mergeCell ref="J1335:K1335"/>
    <mergeCell ref="M1335:N1335"/>
    <mergeCell ref="E1336:G1336"/>
    <mergeCell ref="D1338:F1338"/>
    <mergeCell ref="E1339:G1339"/>
    <mergeCell ref="I1339:J1339"/>
    <mergeCell ref="L1339:M1339"/>
    <mergeCell ref="O1339:P1339"/>
    <mergeCell ref="R1339:S1339"/>
    <mergeCell ref="U1339:V1339"/>
    <mergeCell ref="AA1351:AC1351"/>
    <mergeCell ref="AG1351:AI1351"/>
    <mergeCell ref="AM1362:AO1362"/>
    <mergeCell ref="AQ1362:AR1362"/>
    <mergeCell ref="AV1362:AX1362"/>
    <mergeCell ref="AZ1362:BB1362"/>
    <mergeCell ref="E1363:G1363"/>
    <mergeCell ref="H1364:J1364"/>
    <mergeCell ref="L1364:M1364"/>
    <mergeCell ref="O1364:Q1364"/>
    <mergeCell ref="D1365:F1365"/>
    <mergeCell ref="M1365:O1365"/>
    <mergeCell ref="E1360:G1360"/>
    <mergeCell ref="M1360:N1360"/>
    <mergeCell ref="R1360:S1360"/>
    <mergeCell ref="X1360:Y1360"/>
    <mergeCell ref="AC1360:AD1360"/>
    <mergeCell ref="AG1360:AH1360"/>
    <mergeCell ref="AJ1360:AL1360"/>
    <mergeCell ref="D1361:F1361"/>
    <mergeCell ref="E1362:G1362"/>
    <mergeCell ref="I1362:J1362"/>
    <mergeCell ref="N1362:O1362"/>
    <mergeCell ref="Q1362:R1362"/>
    <mergeCell ref="T1362:U1362"/>
    <mergeCell ref="Z1362:AA1362"/>
    <mergeCell ref="AC1362:AD1362"/>
    <mergeCell ref="I1358:K1358"/>
    <mergeCell ref="M1358:N1358"/>
    <mergeCell ref="R1358:S1358"/>
    <mergeCell ref="U1358:V1358"/>
    <mergeCell ref="X1358:Y1358"/>
    <mergeCell ref="I1347:J1347"/>
    <mergeCell ref="L1347:M1347"/>
    <mergeCell ref="O1347:P1347"/>
    <mergeCell ref="R1347:S1347"/>
    <mergeCell ref="U1347:V1347"/>
    <mergeCell ref="X1347:Y1347"/>
    <mergeCell ref="AA1347:AB1347"/>
    <mergeCell ref="AG1347:AI1347"/>
    <mergeCell ref="H1359:J1359"/>
    <mergeCell ref="P1359:Q1359"/>
    <mergeCell ref="U1359:V1359"/>
    <mergeCell ref="AA1359:AB1359"/>
    <mergeCell ref="AF1359:AG1359"/>
    <mergeCell ref="E1353:G1353"/>
    <mergeCell ref="K1353:L1353"/>
    <mergeCell ref="P1353:Q1353"/>
    <mergeCell ref="S1353:T1353"/>
    <mergeCell ref="X1353:Y1353"/>
    <mergeCell ref="E1354:G1354"/>
    <mergeCell ref="M1354:N1354"/>
    <mergeCell ref="R1354:S1354"/>
    <mergeCell ref="X1354:Y1354"/>
    <mergeCell ref="AC1354:AD1354"/>
    <mergeCell ref="E1355:G1355"/>
    <mergeCell ref="M1355:N1355"/>
    <mergeCell ref="R1355:S1355"/>
    <mergeCell ref="X1355:Y1355"/>
    <mergeCell ref="E1351:F1351"/>
    <mergeCell ref="H1351:J1351"/>
    <mergeCell ref="L1351:M1351"/>
    <mergeCell ref="O1351:Q1351"/>
    <mergeCell ref="U1351:W1351"/>
    <mergeCell ref="AJ1358:AK1358"/>
    <mergeCell ref="AN1358:AO1358"/>
    <mergeCell ref="AS1358:AT1358"/>
    <mergeCell ref="BA1358:BC1358"/>
    <mergeCell ref="AJ1359:AK1359"/>
    <mergeCell ref="B1368:CC1368"/>
    <mergeCell ref="AY1371:AZ1371"/>
    <mergeCell ref="BF1373:BH1373"/>
    <mergeCell ref="C1375:C1377"/>
    <mergeCell ref="BF1374:BH1374"/>
    <mergeCell ref="BG1375:BI1375"/>
    <mergeCell ref="AS1380:AT1380"/>
    <mergeCell ref="AF1381:AG1381"/>
    <mergeCell ref="AN1381:AO1381"/>
    <mergeCell ref="I1383:J1383"/>
    <mergeCell ref="AJ1383:AK1383"/>
    <mergeCell ref="AU1399:AV1399"/>
    <mergeCell ref="AZ1399:BA1399"/>
    <mergeCell ref="V1400:W1400"/>
    <mergeCell ref="Z1404:AA1404"/>
    <mergeCell ref="F1385:I1385"/>
    <mergeCell ref="F1386:I1386"/>
    <mergeCell ref="AJ1371:AK1371"/>
    <mergeCell ref="AE1372:AF1372"/>
    <mergeCell ref="E1415:G1415"/>
    <mergeCell ref="AV1381:AW1381"/>
    <mergeCell ref="G1389:H1389"/>
    <mergeCell ref="J1389:K1389"/>
    <mergeCell ref="M1389:N1389"/>
    <mergeCell ref="P1389:Q1389"/>
    <mergeCell ref="S1389:T1389"/>
    <mergeCell ref="V1389:W1389"/>
    <mergeCell ref="G1390:I1390"/>
    <mergeCell ref="G1391:H1391"/>
    <mergeCell ref="J1391:K1391"/>
    <mergeCell ref="M1391:N1391"/>
    <mergeCell ref="P1391:Q1391"/>
    <mergeCell ref="S1391:T1391"/>
    <mergeCell ref="V1391:W1391"/>
    <mergeCell ref="Y1391:Z1391"/>
    <mergeCell ref="AB1391:AC1391"/>
    <mergeCell ref="AE1391:AF1391"/>
    <mergeCell ref="AH1391:AI1391"/>
    <mergeCell ref="K1394:L1394"/>
    <mergeCell ref="AK1398:AL1398"/>
    <mergeCell ref="AK1391:AL1391"/>
    <mergeCell ref="O1371:T1371"/>
    <mergeCell ref="AV1373:AW1373"/>
    <mergeCell ref="W1375:X1375"/>
    <mergeCell ref="J1377:K1377"/>
    <mergeCell ref="K1380:L1380"/>
    <mergeCell ref="AB1380:AC1380"/>
    <mergeCell ref="K1405:L1405"/>
    <mergeCell ref="AB1343:AC1343"/>
    <mergeCell ref="AH1343:AJ1343"/>
    <mergeCell ref="AW1406:AX1406"/>
    <mergeCell ref="AT1421:AV1421"/>
    <mergeCell ref="AX1421:AZ1421"/>
    <mergeCell ref="I1421:J1421"/>
    <mergeCell ref="N1421:P1421"/>
    <mergeCell ref="R1421:S1421"/>
    <mergeCell ref="W1421:X1421"/>
    <mergeCell ref="K1407:L1407"/>
    <mergeCell ref="AQ1408:AR1408"/>
    <mergeCell ref="AV1408:AW1408"/>
    <mergeCell ref="AY1408:BA1408"/>
    <mergeCell ref="Z1406:AA1406"/>
    <mergeCell ref="AP1398:AQ1398"/>
    <mergeCell ref="R1394:S1394"/>
    <mergeCell ref="W1394:X1394"/>
    <mergeCell ref="O1395:P1395"/>
    <mergeCell ref="V1395:W1395"/>
    <mergeCell ref="Q1396:R1396"/>
    <mergeCell ref="V1396:W1396"/>
    <mergeCell ref="Y1396:Z1396"/>
    <mergeCell ref="AD1396:AE1396"/>
    <mergeCell ref="Z1409:AA1409"/>
    <mergeCell ref="AF1409:AG1409"/>
    <mergeCell ref="J1408:K1408"/>
    <mergeCell ref="P1407:Q1407"/>
    <mergeCell ref="R1404:S1404"/>
    <mergeCell ref="W1404:X1404"/>
    <mergeCell ref="AH1398:AI1398"/>
    <mergeCell ref="U1411:V1411"/>
    <mergeCell ref="K1404:L1404"/>
    <mergeCell ref="BL1406:BM1406"/>
    <mergeCell ref="U1407:W1407"/>
    <mergeCell ref="AB1400:AC1400"/>
    <mergeCell ref="AG1400:AH1400"/>
    <mergeCell ref="AQ1400:AR1400"/>
    <mergeCell ref="AW1400:AX1400"/>
    <mergeCell ref="Y1419:Z1419"/>
    <mergeCell ref="AD1419:AE1419"/>
    <mergeCell ref="AI1411:AJ1411"/>
    <mergeCell ref="AN1411:AP1411"/>
    <mergeCell ref="AU1411:AW1411"/>
    <mergeCell ref="AW1409:AX1409"/>
    <mergeCell ref="AH1408:AI1408"/>
    <mergeCell ref="T1418:U1418"/>
    <mergeCell ref="BI1406:BJ1406"/>
    <mergeCell ref="Y1418:Z1418"/>
    <mergeCell ref="AB1418:AC1418"/>
    <mergeCell ref="AF1404:AG1404"/>
    <mergeCell ref="AI1404:AJ1404"/>
    <mergeCell ref="AC1404:AD1404"/>
    <mergeCell ref="W1406:X1406"/>
    <mergeCell ref="AL1421:AM1421"/>
    <mergeCell ref="AL1404:AM1404"/>
    <mergeCell ref="T1409:U1409"/>
    <mergeCell ref="W1409:X1409"/>
    <mergeCell ref="AL1409:AM1409"/>
    <mergeCell ref="AT1409:AU1409"/>
    <mergeCell ref="Z1421:AA1421"/>
    <mergeCell ref="AC1421:AD1421"/>
    <mergeCell ref="AF1421:AG1421"/>
    <mergeCell ref="AD1358:AE1358"/>
    <mergeCell ref="AG1358:AH1358"/>
    <mergeCell ref="AD1437:AE1437"/>
    <mergeCell ref="S1405:U1405"/>
    <mergeCell ref="V1398:W1398"/>
    <mergeCell ref="AA1398:AB1398"/>
    <mergeCell ref="H1432:J1432"/>
    <mergeCell ref="L1432:M1432"/>
    <mergeCell ref="M1433:O1433"/>
    <mergeCell ref="AC1406:AD1406"/>
    <mergeCell ref="AI1406:AJ1406"/>
    <mergeCell ref="E1450:G1450"/>
    <mergeCell ref="E1437:G1437"/>
    <mergeCell ref="K1406:L1406"/>
    <mergeCell ref="R1406:S1406"/>
    <mergeCell ref="E1413:G1413"/>
    <mergeCell ref="E1414:G1414"/>
    <mergeCell ref="AI1421:AJ1421"/>
    <mergeCell ref="L1423:M1423"/>
    <mergeCell ref="O1423:Q1423"/>
    <mergeCell ref="D1424:F1424"/>
    <mergeCell ref="M1424:O1424"/>
    <mergeCell ref="D1440:F1440"/>
    <mergeCell ref="E1441:G1441"/>
    <mergeCell ref="I1441:K1441"/>
    <mergeCell ref="M1441:N1441"/>
    <mergeCell ref="P1441:Q1441"/>
    <mergeCell ref="P1437:Q1437"/>
    <mergeCell ref="S1437:T1437"/>
    <mergeCell ref="D1433:F1433"/>
    <mergeCell ref="M1448:N1448"/>
    <mergeCell ref="BW1406:BX1406"/>
    <mergeCell ref="BS1406:BU1406"/>
    <mergeCell ref="AZ1406:BA1406"/>
    <mergeCell ref="BO1427:BQ1427"/>
    <mergeCell ref="E1430:G1430"/>
    <mergeCell ref="D1436:F1436"/>
    <mergeCell ref="T1399:U1399"/>
    <mergeCell ref="AG1418:AH1418"/>
    <mergeCell ref="Q1419:R1419"/>
    <mergeCell ref="V1419:W1419"/>
    <mergeCell ref="BB1400:BC1400"/>
    <mergeCell ref="X1411:Z1411"/>
    <mergeCell ref="AD1411:AE1411"/>
    <mergeCell ref="Q1400:R1400"/>
    <mergeCell ref="BF1400:BG1400"/>
    <mergeCell ref="BC1409:BD1409"/>
    <mergeCell ref="BF1409:BG1409"/>
    <mergeCell ref="Z1399:AA1399"/>
    <mergeCell ref="BF1406:BG1406"/>
    <mergeCell ref="AE1399:AF1399"/>
    <mergeCell ref="AO1399:AP1399"/>
    <mergeCell ref="BI1409:BJ1409"/>
    <mergeCell ref="AL1406:AM1406"/>
    <mergeCell ref="AO1406:AP1406"/>
    <mergeCell ref="AB1408:AC1408"/>
    <mergeCell ref="AE1408:AF1408"/>
    <mergeCell ref="E1416:G1416"/>
    <mergeCell ref="D1420:F1420"/>
    <mergeCell ref="E1421:G1421"/>
    <mergeCell ref="O1410:P1410"/>
    <mergeCell ref="J1410:K1410"/>
    <mergeCell ref="AI1409:AJ1409"/>
    <mergeCell ref="BP1406:BQ1406"/>
    <mergeCell ref="AZ1426:BA1426"/>
    <mergeCell ref="BE1426:BF1426"/>
    <mergeCell ref="AA1489:AB1489"/>
    <mergeCell ref="AD1489:AE1489"/>
    <mergeCell ref="AK1489:AL1489"/>
    <mergeCell ref="I1497:J1497"/>
    <mergeCell ref="L1497:M1497"/>
    <mergeCell ref="O1497:P1497"/>
    <mergeCell ref="R1497:T1497"/>
    <mergeCell ref="V1497:W1497"/>
    <mergeCell ref="Y1497:AA1497"/>
    <mergeCell ref="AE1497:AG1497"/>
    <mergeCell ref="AI1497:AK1497"/>
    <mergeCell ref="U1490:V1490"/>
    <mergeCell ref="W1526:X1526"/>
    <mergeCell ref="Q1489:R1489"/>
    <mergeCell ref="T1489:U1489"/>
    <mergeCell ref="J1492:K1492"/>
    <mergeCell ref="M1492:N1492"/>
    <mergeCell ref="P1492:R1492"/>
    <mergeCell ref="T1492:U1492"/>
    <mergeCell ref="BA1512:BB1512"/>
    <mergeCell ref="AQ1515:AR1515"/>
    <mergeCell ref="V1493:X1493"/>
    <mergeCell ref="Z1493:AA1493"/>
    <mergeCell ref="E1452:G1452"/>
    <mergeCell ref="I1452:K1452"/>
    <mergeCell ref="E1448:G1448"/>
    <mergeCell ref="F1451:H1451"/>
    <mergeCell ref="F1446:H1446"/>
    <mergeCell ref="AD1450:AE1450"/>
    <mergeCell ref="N1488:O1488"/>
    <mergeCell ref="Q1488:R1488"/>
    <mergeCell ref="AG1452:AI1452"/>
    <mergeCell ref="Y1446:Z1446"/>
    <mergeCell ref="AB1446:AC1446"/>
    <mergeCell ref="E1447:G1447"/>
    <mergeCell ref="E1454:F1454"/>
    <mergeCell ref="H1454:J1454"/>
    <mergeCell ref="M1452:N1452"/>
    <mergeCell ref="P1452:Q1452"/>
    <mergeCell ref="S1452:T1452"/>
    <mergeCell ref="P1448:Q1448"/>
    <mergeCell ref="S1448:T1448"/>
    <mergeCell ref="I1450:K1450"/>
    <mergeCell ref="M1450:N1450"/>
    <mergeCell ref="P1450:Q1450"/>
    <mergeCell ref="S1450:T1450"/>
    <mergeCell ref="X1448:Y1448"/>
    <mergeCell ref="AE1469:AI1469"/>
    <mergeCell ref="AE1467:AF1467"/>
    <mergeCell ref="M1471:P1471"/>
    <mergeCell ref="Y1465:AA1465"/>
    <mergeCell ref="L1480:M1480"/>
    <mergeCell ref="O1480:P1480"/>
    <mergeCell ref="E1449:G1449"/>
    <mergeCell ref="I1448:K1448"/>
    <mergeCell ref="AG1454:AI1454"/>
    <mergeCell ref="AQ1446:AR1446"/>
    <mergeCell ref="L1476:M1476"/>
    <mergeCell ref="O1476:P1476"/>
    <mergeCell ref="R1476:S1476"/>
    <mergeCell ref="U1476:W1476"/>
    <mergeCell ref="V1468:W1468"/>
    <mergeCell ref="N1469:O1469"/>
    <mergeCell ref="L1454:M1454"/>
    <mergeCell ref="AQ1548:AS1548"/>
    <mergeCell ref="D1540:E1540"/>
    <mergeCell ref="D1541:E1541"/>
    <mergeCell ref="D1536:E1536"/>
    <mergeCell ref="D1537:E1537"/>
    <mergeCell ref="AV1547:AX1547"/>
    <mergeCell ref="AF1547:AG1547"/>
    <mergeCell ref="AI1547:AJ1547"/>
    <mergeCell ref="AE1545:AF1545"/>
    <mergeCell ref="M1548:O1548"/>
    <mergeCell ref="S1548:T1548"/>
    <mergeCell ref="D1542:E1542"/>
    <mergeCell ref="G1542:I1542"/>
    <mergeCell ref="T1542:U1542"/>
    <mergeCell ref="W1542:Y1542"/>
    <mergeCell ref="AD1542:AE1542"/>
    <mergeCell ref="AG1542:AI1542"/>
    <mergeCell ref="AL1542:AM1542"/>
    <mergeCell ref="AO1542:AQ1542"/>
    <mergeCell ref="Q1545:R1545"/>
    <mergeCell ref="X1545:Y1545"/>
    <mergeCell ref="AA1545:AC1545"/>
    <mergeCell ref="J1547:K1547"/>
    <mergeCell ref="M1547:N1547"/>
    <mergeCell ref="P1547:Q1547"/>
    <mergeCell ref="U1547:W1547"/>
    <mergeCell ref="Y1547:AA1547"/>
    <mergeCell ref="AC1547:AD1547"/>
    <mergeCell ref="BQ1526:BR1526"/>
    <mergeCell ref="BP1522:BQ1522"/>
    <mergeCell ref="AQ1520:AR1520"/>
    <mergeCell ref="I1526:J1526"/>
    <mergeCell ref="I1527:J1527"/>
    <mergeCell ref="AU1527:AV1527"/>
    <mergeCell ref="AZ1535:BB1535"/>
    <mergeCell ref="AU1541:AV1541"/>
    <mergeCell ref="AX1541:AZ1541"/>
    <mergeCell ref="I1494:J1494"/>
    <mergeCell ref="N1494:O1494"/>
    <mergeCell ref="R1532:S1532"/>
    <mergeCell ref="P1493:Q1493"/>
    <mergeCell ref="S1493:T1493"/>
    <mergeCell ref="Q1525:R1525"/>
    <mergeCell ref="I1531:J1531"/>
    <mergeCell ref="F1187:H1187"/>
    <mergeCell ref="J1187:L1187"/>
    <mergeCell ref="N1187:O1187"/>
    <mergeCell ref="Q1187:R1187"/>
    <mergeCell ref="T1187:U1187"/>
    <mergeCell ref="Y1187:Z1187"/>
    <mergeCell ref="AB1187:AC1187"/>
    <mergeCell ref="AE1187:AF1187"/>
    <mergeCell ref="AH1187:AI1187"/>
    <mergeCell ref="AK1187:AL1187"/>
    <mergeCell ref="J1206:K1206"/>
    <mergeCell ref="E1190:G1190"/>
    <mergeCell ref="F1191:H1191"/>
    <mergeCell ref="J1191:L1191"/>
    <mergeCell ref="N1191:O1191"/>
    <mergeCell ref="Q1191:R1191"/>
    <mergeCell ref="T1191:U1191"/>
    <mergeCell ref="Y1191:Z1191"/>
    <mergeCell ref="AB1191:AC1191"/>
    <mergeCell ref="AE1191:AF1191"/>
    <mergeCell ref="AH1191:AI1191"/>
    <mergeCell ref="B1312:CC1312"/>
    <mergeCell ref="O1315:T1315"/>
    <mergeCell ref="AH1315:AI1315"/>
    <mergeCell ref="AR1317:AS1317"/>
    <mergeCell ref="BK1318:BM1318"/>
    <mergeCell ref="X1349:Y1349"/>
    <mergeCell ref="AA1349:AB1349"/>
    <mergeCell ref="AG1349:AI1349"/>
    <mergeCell ref="D1342:F1342"/>
    <mergeCell ref="AE1441:AF1441"/>
    <mergeCell ref="AG1437:AI1437"/>
    <mergeCell ref="X1437:Y1437"/>
    <mergeCell ref="AA1437:AB1437"/>
    <mergeCell ref="K1398:L1398"/>
    <mergeCell ref="N1398:O1398"/>
    <mergeCell ref="S1398:T1398"/>
    <mergeCell ref="O1408:P1408"/>
    <mergeCell ref="T1408:U1408"/>
    <mergeCell ref="W1408:X1408"/>
    <mergeCell ref="O1432:Q1432"/>
    <mergeCell ref="M1437:N1437"/>
    <mergeCell ref="T1410:V1410"/>
    <mergeCell ref="P1411:Q1411"/>
    <mergeCell ref="Y1441:Z1441"/>
    <mergeCell ref="AB1441:AC1441"/>
    <mergeCell ref="I1437:K1437"/>
    <mergeCell ref="P1405:Q1405"/>
    <mergeCell ref="J1409:K1409"/>
    <mergeCell ref="O1409:P1409"/>
    <mergeCell ref="Y1426:Z1426"/>
    <mergeCell ref="T1426:U1426"/>
    <mergeCell ref="O1399:P1399"/>
    <mergeCell ref="X1488:Y1488"/>
    <mergeCell ref="AA1488:AB1488"/>
    <mergeCell ref="AD1488:AE1488"/>
    <mergeCell ref="AI1488:AK1488"/>
    <mergeCell ref="I1550:K1550"/>
    <mergeCell ref="O1550:P1550"/>
    <mergeCell ref="V1550:W1550"/>
    <mergeCell ref="Y1550:AA1550"/>
    <mergeCell ref="AC1550:AD1550"/>
    <mergeCell ref="AK1550:AM1550"/>
    <mergeCell ref="AQ1550:AS1550"/>
    <mergeCell ref="S1535:T1535"/>
    <mergeCell ref="AM1535:AN1535"/>
    <mergeCell ref="AR1535:AT1535"/>
    <mergeCell ref="G1540:I1540"/>
    <mergeCell ref="Y1540:Z1540"/>
    <mergeCell ref="AD1540:AE1540"/>
    <mergeCell ref="AG1540:AI1540"/>
    <mergeCell ref="G1541:I1541"/>
    <mergeCell ref="AC1541:AD1541"/>
    <mergeCell ref="AF1541:AH1541"/>
    <mergeCell ref="G1536:I1536"/>
    <mergeCell ref="V1536:W1536"/>
    <mergeCell ref="Y1536:AA1536"/>
    <mergeCell ref="AM1536:AN1536"/>
    <mergeCell ref="AP1536:AR1536"/>
    <mergeCell ref="J1548:K1548"/>
    <mergeCell ref="G1537:I1537"/>
    <mergeCell ref="AQ478:AR478"/>
    <mergeCell ref="Q482:R482"/>
    <mergeCell ref="T482:V482"/>
    <mergeCell ref="M484:O484"/>
    <mergeCell ref="AP1489:AR1489"/>
    <mergeCell ref="AD1492:AF1492"/>
    <mergeCell ref="AP454:AR454"/>
    <mergeCell ref="Q484:R484"/>
    <mergeCell ref="T484:V484"/>
    <mergeCell ref="AK478:AL478"/>
    <mergeCell ref="AM478:AN478"/>
    <mergeCell ref="AK479:AL479"/>
    <mergeCell ref="F483:H483"/>
    <mergeCell ref="V1442:W1442"/>
    <mergeCell ref="Y1442:Z1442"/>
    <mergeCell ref="G1392:H1392"/>
    <mergeCell ref="J1392:L1392"/>
    <mergeCell ref="E1438:G1438"/>
    <mergeCell ref="L1438:M1438"/>
    <mergeCell ref="O1438:P1438"/>
    <mergeCell ref="D474:F474"/>
    <mergeCell ref="Y475:AA475"/>
    <mergeCell ref="F475:G475"/>
    <mergeCell ref="I475:J475"/>
    <mergeCell ref="N475:P475"/>
    <mergeCell ref="AA462:AB462"/>
    <mergeCell ref="AH462:AJ462"/>
    <mergeCell ref="AL462:AN462"/>
    <mergeCell ref="B1162:CC1162"/>
    <mergeCell ref="O1164:T1164"/>
    <mergeCell ref="AG1165:AH1165"/>
    <mergeCell ref="AR1166:AS1166"/>
    <mergeCell ref="BK1167:BM1167"/>
    <mergeCell ref="C1168:C1170"/>
    <mergeCell ref="W1168:X1168"/>
    <mergeCell ref="BK1168:BM1168"/>
    <mergeCell ref="H464:J464"/>
    <mergeCell ref="L464:M464"/>
    <mergeCell ref="O464:Q464"/>
    <mergeCell ref="AJ1493:AL1493"/>
    <mergeCell ref="BI473:BK473"/>
    <mergeCell ref="R478:S478"/>
    <mergeCell ref="U478:W478"/>
    <mergeCell ref="AO478:AP478"/>
    <mergeCell ref="AR435:AT435"/>
    <mergeCell ref="AR436:AT436"/>
    <mergeCell ref="AS437:AU437"/>
    <mergeCell ref="L486:M486"/>
    <mergeCell ref="O486:Q486"/>
    <mergeCell ref="U486:W486"/>
    <mergeCell ref="AA486:AC486"/>
    <mergeCell ref="AG486:AI486"/>
    <mergeCell ref="AT454:AV454"/>
    <mergeCell ref="I455:J455"/>
    <mergeCell ref="L455:M455"/>
    <mergeCell ref="S455:T455"/>
    <mergeCell ref="AC455:AD455"/>
    <mergeCell ref="AH455:AJ455"/>
    <mergeCell ref="AM479:AN479"/>
    <mergeCell ref="R475:S475"/>
    <mergeCell ref="U475:W475"/>
    <mergeCell ref="U441:V441"/>
    <mergeCell ref="H482:I482"/>
    <mergeCell ref="X482:Z482"/>
    <mergeCell ref="AK486:AM486"/>
    <mergeCell ref="I454:J454"/>
    <mergeCell ref="L454:M454"/>
    <mergeCell ref="O454:P454"/>
    <mergeCell ref="AK454:AL454"/>
    <mergeCell ref="H484:I484"/>
    <mergeCell ref="X484:Z484"/>
    <mergeCell ref="M482:O482"/>
    <mergeCell ref="AJ441:AK441"/>
    <mergeCell ref="AC442:AD442"/>
    <mergeCell ref="I444:J444"/>
    <mergeCell ref="Z445:AC445"/>
    <mergeCell ref="Q480:R480"/>
    <mergeCell ref="T480:V480"/>
    <mergeCell ref="H486:J486"/>
    <mergeCell ref="AM1552:AO1552"/>
    <mergeCell ref="AQ1552:AR1552"/>
    <mergeCell ref="AA1548:AB1548"/>
    <mergeCell ref="P1554:R1554"/>
    <mergeCell ref="AQ1527:AR1527"/>
    <mergeCell ref="M1524:N1524"/>
    <mergeCell ref="R1524:S1524"/>
    <mergeCell ref="H1545:I1545"/>
    <mergeCell ref="K1545:M1545"/>
    <mergeCell ref="M1537:N1537"/>
    <mergeCell ref="V1537:W1537"/>
    <mergeCell ref="AD1537:AE1537"/>
    <mergeCell ref="AG1537:AH1537"/>
    <mergeCell ref="AN1537:AP1537"/>
    <mergeCell ref="AR1537:AT1537"/>
    <mergeCell ref="G1525:H1525"/>
    <mergeCell ref="L1525:M1525"/>
    <mergeCell ref="L1527:M1527"/>
    <mergeCell ref="Q1527:R1527"/>
    <mergeCell ref="V1527:W1527"/>
    <mergeCell ref="I1528:J1528"/>
    <mergeCell ref="G1524:H1524"/>
    <mergeCell ref="J1524:K1524"/>
    <mergeCell ref="N1531:O1531"/>
    <mergeCell ref="X1535:Y1535"/>
    <mergeCell ref="AT1552:AV1552"/>
    <mergeCell ref="AF1549:AG1549"/>
    <mergeCell ref="AF1535:AG1535"/>
    <mergeCell ref="E1551:G1551"/>
    <mergeCell ref="F1552:G1552"/>
    <mergeCell ref="AK1548:AL1548"/>
    <mergeCell ref="AU1548:AV1548"/>
    <mergeCell ref="Z446:AC446"/>
    <mergeCell ref="M1543:N1543"/>
    <mergeCell ref="T1543:U1543"/>
    <mergeCell ref="W1543:Y1543"/>
    <mergeCell ref="AA1543:AB1543"/>
    <mergeCell ref="H1544:I1544"/>
    <mergeCell ref="K1544:L1544"/>
    <mergeCell ref="R1544:T1544"/>
    <mergeCell ref="V1544:X1544"/>
    <mergeCell ref="AB1544:AC1544"/>
    <mergeCell ref="AC1534:AD1534"/>
    <mergeCell ref="K1529:L1529"/>
    <mergeCell ref="AA1527:AB1527"/>
    <mergeCell ref="V1532:W1532"/>
    <mergeCell ref="AC1532:AD1532"/>
    <mergeCell ref="B1503:CC1503"/>
    <mergeCell ref="AA1505:AB1505"/>
    <mergeCell ref="BD1506:BD1507"/>
    <mergeCell ref="BL1507:BL1508"/>
    <mergeCell ref="BD1508:BD1510"/>
    <mergeCell ref="BL1509:BL1511"/>
    <mergeCell ref="AT1509:AU1509"/>
    <mergeCell ref="D477:F477"/>
    <mergeCell ref="D471:E471"/>
    <mergeCell ref="Q472:R472"/>
    <mergeCell ref="X472:Z472"/>
    <mergeCell ref="O473:Q473"/>
    <mergeCell ref="E473:F473"/>
    <mergeCell ref="H473:I473"/>
    <mergeCell ref="K473:M473"/>
    <mergeCell ref="E457:G457"/>
    <mergeCell ref="E458:G458"/>
    <mergeCell ref="Y1549:Z1549"/>
    <mergeCell ref="AB1549:AD1549"/>
    <mergeCell ref="G1640:H1640"/>
    <mergeCell ref="R1640:S1640"/>
    <mergeCell ref="W1640:X1640"/>
    <mergeCell ref="AA1640:AB1640"/>
    <mergeCell ref="AJ1640:AK1640"/>
    <mergeCell ref="L1624:M1624"/>
    <mergeCell ref="Q1624:R1624"/>
    <mergeCell ref="V1632:W1632"/>
    <mergeCell ref="AC1632:AD1632"/>
    <mergeCell ref="C1633:D1633"/>
    <mergeCell ref="O1633:P1633"/>
    <mergeCell ref="Z1633:AA1633"/>
    <mergeCell ref="C1634:D1634"/>
    <mergeCell ref="L1634:M1634"/>
    <mergeCell ref="O1634:P1634"/>
    <mergeCell ref="X1634:Y1634"/>
    <mergeCell ref="C1635:D1635"/>
    <mergeCell ref="H1635:I1635"/>
    <mergeCell ref="M1635:N1635"/>
    <mergeCell ref="T1639:U1639"/>
    <mergeCell ref="AB1639:AC1639"/>
    <mergeCell ref="AD1552:AE1552"/>
    <mergeCell ref="AG1552:AH1552"/>
    <mergeCell ref="B1610:CC1610"/>
    <mergeCell ref="BG1612:BH1612"/>
    <mergeCell ref="E1614:F1614"/>
    <mergeCell ref="K1614:L1614"/>
    <mergeCell ref="H1614:I1614"/>
    <mergeCell ref="E1615:G1615"/>
    <mergeCell ref="G1617:H1617"/>
    <mergeCell ref="BV1627:BV1629"/>
    <mergeCell ref="BV1625:BV1626"/>
    <mergeCell ref="BA1614:BB1614"/>
    <mergeCell ref="AD1614:AF1614"/>
    <mergeCell ref="AD1615:AF1615"/>
    <mergeCell ref="AE1616:AG1616"/>
    <mergeCell ref="H1625:I1625"/>
    <mergeCell ref="J1626:K1626"/>
    <mergeCell ref="H1628:I1628"/>
    <mergeCell ref="K1629:L1629"/>
    <mergeCell ref="P1629:Q1629"/>
    <mergeCell ref="W1629:X1629"/>
    <mergeCell ref="E1623:F1623"/>
    <mergeCell ref="J1623:K1623"/>
    <mergeCell ref="S1623:T1623"/>
    <mergeCell ref="F1622:G1622"/>
    <mergeCell ref="K1622:L1622"/>
    <mergeCell ref="O1623:Q1623"/>
    <mergeCell ref="H1624:J1624"/>
    <mergeCell ref="F1620:G1620"/>
    <mergeCell ref="I1620:J1620"/>
    <mergeCell ref="L1620:M1620"/>
    <mergeCell ref="Q1620:R1620"/>
    <mergeCell ref="F1621:G1621"/>
    <mergeCell ref="K1621:L1621"/>
    <mergeCell ref="P1621:Q1621"/>
    <mergeCell ref="E1624:F1624"/>
    <mergeCell ref="AZ1620:BA1620"/>
    <mergeCell ref="BG1622:BH1622"/>
    <mergeCell ref="BL1620:BM1620"/>
    <mergeCell ref="AV1619:AW1619"/>
    <mergeCell ref="BR1619:BS1619"/>
    <mergeCell ref="BD1650:BF1650"/>
    <mergeCell ref="BJ1650:BL1650"/>
    <mergeCell ref="BN1650:BP1650"/>
    <mergeCell ref="BD1617:BG1617"/>
    <mergeCell ref="I1646:J1646"/>
    <mergeCell ref="AS1625:AW1625"/>
    <mergeCell ref="BF1631:BJ1631"/>
    <mergeCell ref="AS1641:AT1641"/>
    <mergeCell ref="BG1640:BH1640"/>
    <mergeCell ref="AW1643:AX1643"/>
    <mergeCell ref="AV1647:AX1647"/>
    <mergeCell ref="BB1647:BD1647"/>
    <mergeCell ref="R1656:S1656"/>
    <mergeCell ref="I1657:J1657"/>
    <mergeCell ref="L1657:N1657"/>
    <mergeCell ref="L1664:N1664"/>
    <mergeCell ref="F1665:H1665"/>
    <mergeCell ref="U1666:W1666"/>
    <mergeCell ref="M1660:O1660"/>
    <mergeCell ref="E1661:G1661"/>
    <mergeCell ref="E1662:G1662"/>
    <mergeCell ref="L1662:N1662"/>
    <mergeCell ref="F1660:H1660"/>
    <mergeCell ref="E1663:G1663"/>
    <mergeCell ref="E1664:G1664"/>
    <mergeCell ref="E1648:F1648"/>
    <mergeCell ref="AQ1640:AR1640"/>
    <mergeCell ref="AU1640:AV1640"/>
    <mergeCell ref="BB1640:BC1640"/>
    <mergeCell ref="C1641:D1641"/>
    <mergeCell ref="J1641:K1641"/>
    <mergeCell ref="M1641:N1641"/>
    <mergeCell ref="V1641:W1641"/>
    <mergeCell ref="AC1641:AD1641"/>
    <mergeCell ref="AG1641:AH1641"/>
    <mergeCell ref="AN1641:AO1641"/>
    <mergeCell ref="Z1650:AA1650"/>
    <mergeCell ref="AH1650:AI1650"/>
    <mergeCell ref="AL1650:AM1650"/>
    <mergeCell ref="AO1650:AP1650"/>
    <mergeCell ref="AT1650:AU1650"/>
    <mergeCell ref="AW1650:AY1650"/>
    <mergeCell ref="AK1643:AL1643"/>
    <mergeCell ref="AR1643:AS1643"/>
    <mergeCell ref="N1646:O1646"/>
    <mergeCell ref="X1646:Z1646"/>
    <mergeCell ref="J1645:K1645"/>
    <mergeCell ref="M1645:N1645"/>
    <mergeCell ref="P1645:Q1645"/>
    <mergeCell ref="U1645:V1645"/>
    <mergeCell ref="X1645:Y1645"/>
    <mergeCell ref="AJ1645:AL1645"/>
    <mergeCell ref="O1647:P1647"/>
    <mergeCell ref="R1647:S1647"/>
    <mergeCell ref="AA1647:AB1647"/>
    <mergeCell ref="AH1647:AI1647"/>
    <mergeCell ref="AL1647:AM1647"/>
    <mergeCell ref="AS1647:AT1647"/>
    <mergeCell ref="M1653:O1653"/>
    <mergeCell ref="E1631:F1631"/>
    <mergeCell ref="T1631:U1631"/>
    <mergeCell ref="AB1631:AC1631"/>
    <mergeCell ref="D1632:E1632"/>
    <mergeCell ref="K1632:L1632"/>
    <mergeCell ref="L1648:M1648"/>
    <mergeCell ref="O1648:P1648"/>
    <mergeCell ref="X1648:Y1648"/>
    <mergeCell ref="AE1648:AF1648"/>
    <mergeCell ref="AI1648:AJ1648"/>
    <mergeCell ref="AP1648:AQ1648"/>
    <mergeCell ref="AS1648:AU1648"/>
    <mergeCell ref="AY1648:BA1648"/>
    <mergeCell ref="D1649:F1649"/>
    <mergeCell ref="E1650:F1650"/>
    <mergeCell ref="AC1650:AD1650"/>
    <mergeCell ref="H1650:I1650"/>
    <mergeCell ref="M1650:N1650"/>
    <mergeCell ref="P1650:Q1650"/>
    <mergeCell ref="S1650:T1650"/>
    <mergeCell ref="E1668:F1668"/>
    <mergeCell ref="H1668:J1668"/>
    <mergeCell ref="L1668:M1668"/>
    <mergeCell ref="O1668:Q1668"/>
    <mergeCell ref="U1668:W1668"/>
    <mergeCell ref="AA1668:AC1668"/>
    <mergeCell ref="AG1668:AI1668"/>
    <mergeCell ref="AK1668:AM1668"/>
    <mergeCell ref="J1660:K1660"/>
    <mergeCell ref="I1662:J1662"/>
    <mergeCell ref="I1664:J1664"/>
    <mergeCell ref="I1666:J1666"/>
    <mergeCell ref="L1666:M1666"/>
    <mergeCell ref="R1666:S1666"/>
    <mergeCell ref="L1656:M1656"/>
    <mergeCell ref="O1656:P1656"/>
    <mergeCell ref="E1666:G1666"/>
    <mergeCell ref="Z1643:AA1643"/>
    <mergeCell ref="AG1643:AH1643"/>
    <mergeCell ref="BA1650:BB1650"/>
    <mergeCell ref="I1736:J1736"/>
    <mergeCell ref="L1736:M1736"/>
    <mergeCell ref="Q1736:R1736"/>
    <mergeCell ref="F1737:G1737"/>
    <mergeCell ref="K1737:L1737"/>
    <mergeCell ref="P1737:Q1737"/>
    <mergeCell ref="E1739:F1739"/>
    <mergeCell ref="AA1739:AB1739"/>
    <mergeCell ref="AQ1739:AR1739"/>
    <mergeCell ref="AU1739:AV1739"/>
    <mergeCell ref="D1747:E1747"/>
    <mergeCell ref="K1747:L1747"/>
    <mergeCell ref="R1747:S1747"/>
    <mergeCell ref="V1747:W1747"/>
    <mergeCell ref="AC1747:AD1747"/>
    <mergeCell ref="C1748:D1748"/>
    <mergeCell ref="O1748:P1748"/>
    <mergeCell ref="Z1748:AA1748"/>
    <mergeCell ref="C1749:D1749"/>
    <mergeCell ref="L1749:M1749"/>
    <mergeCell ref="O1749:P1749"/>
    <mergeCell ref="O1666:P1666"/>
    <mergeCell ref="E1657:G1657"/>
    <mergeCell ref="BJ1965:BL1965"/>
    <mergeCell ref="AE1950:AF1950"/>
    <mergeCell ref="AM1950:AN1950"/>
    <mergeCell ref="AX1962:AY1962"/>
    <mergeCell ref="AW1959:AX1960"/>
    <mergeCell ref="AY1959:AZ1960"/>
    <mergeCell ref="L1955:M1955"/>
    <mergeCell ref="E1958:F1958"/>
    <mergeCell ref="E1962:F1962"/>
    <mergeCell ref="C1947:D1947"/>
    <mergeCell ref="S1947:T1947"/>
    <mergeCell ref="AI1952:AJ1952"/>
    <mergeCell ref="BI1950:BM1950"/>
    <mergeCell ref="AH1954:AK1954"/>
    <mergeCell ref="S1940:T1940"/>
    <mergeCell ref="L1744:M1744"/>
    <mergeCell ref="R1744:S1744"/>
    <mergeCell ref="Y1744:Z1744"/>
    <mergeCell ref="F1738:G1738"/>
    <mergeCell ref="K1738:L1738"/>
    <mergeCell ref="J1739:K1739"/>
    <mergeCell ref="AD1690:AF1690"/>
    <mergeCell ref="H1691:I1691"/>
    <mergeCell ref="O1691:P1691"/>
    <mergeCell ref="D1693:F1693"/>
    <mergeCell ref="H1743:I1743"/>
    <mergeCell ref="E1746:F1746"/>
    <mergeCell ref="T1746:U1746"/>
    <mergeCell ref="AB1746:AC1746"/>
    <mergeCell ref="L1700:M1700"/>
    <mergeCell ref="H1740:I1740"/>
    <mergeCell ref="J1741:K1741"/>
    <mergeCell ref="AV1741:AW1742"/>
    <mergeCell ref="AH1730:AK1730"/>
    <mergeCell ref="AQ1732:AR1732"/>
    <mergeCell ref="AX1741:AY1742"/>
    <mergeCell ref="L1761:M1761"/>
    <mergeCell ref="W1761:X1761"/>
    <mergeCell ref="AG1761:AH1761"/>
    <mergeCell ref="AS1761:AT1761"/>
    <mergeCell ref="BG1762:BI1762"/>
    <mergeCell ref="I2010:J2010"/>
    <mergeCell ref="N2010:O2010"/>
    <mergeCell ref="Q2010:R2010"/>
    <mergeCell ref="T2010:U2010"/>
    <mergeCell ref="Y2010:Z2010"/>
    <mergeCell ref="AD2010:AE2010"/>
    <mergeCell ref="AJ2035:AL2035"/>
    <mergeCell ref="K2036:L2036"/>
    <mergeCell ref="O2037:Q2037"/>
    <mergeCell ref="T2036:U2036"/>
    <mergeCell ref="F1998:G1998"/>
    <mergeCell ref="BN1641:BO1641"/>
    <mergeCell ref="BJ1638:BK1639"/>
    <mergeCell ref="BL1638:BM1639"/>
    <mergeCell ref="BS1638:BT1639"/>
    <mergeCell ref="BU1638:BV1639"/>
    <mergeCell ref="W2006:X2006"/>
    <mergeCell ref="I2008:J2008"/>
    <mergeCell ref="L2008:M2008"/>
    <mergeCell ref="I2009:J2009"/>
    <mergeCell ref="N2009:O2009"/>
    <mergeCell ref="Q2009:R2009"/>
    <mergeCell ref="T2009:U2009"/>
    <mergeCell ref="Y2009:Z2009"/>
    <mergeCell ref="AD2009:AE2009"/>
    <mergeCell ref="E2012:F2012"/>
    <mergeCell ref="J2012:M2012"/>
    <mergeCell ref="O2012:P2012"/>
    <mergeCell ref="R2012:U2012"/>
    <mergeCell ref="W2012:Y2012"/>
    <mergeCell ref="AC2012:AE2012"/>
    <mergeCell ref="AD1694:AF1694"/>
    <mergeCell ref="AH1694:AJ1694"/>
    <mergeCell ref="Y1694:Z1694"/>
    <mergeCell ref="D1699:F1699"/>
    <mergeCell ref="E1700:G1700"/>
    <mergeCell ref="I1700:J1700"/>
    <mergeCell ref="BM1688:BM1689"/>
    <mergeCell ref="O1706:P1706"/>
    <mergeCell ref="L1708:M1708"/>
    <mergeCell ref="O1708:P1708"/>
    <mergeCell ref="U1710:V1710"/>
    <mergeCell ref="X1710:Y1710"/>
    <mergeCell ref="D1703:F1703"/>
    <mergeCell ref="F1704:H1704"/>
    <mergeCell ref="J1704:K1704"/>
    <mergeCell ref="U1704:W1704"/>
    <mergeCell ref="E1705:G1705"/>
    <mergeCell ref="E1706:G1706"/>
    <mergeCell ref="F1709:H1709"/>
    <mergeCell ref="E1710:G1710"/>
    <mergeCell ref="I1710:J1710"/>
    <mergeCell ref="L1710:M1710"/>
    <mergeCell ref="O1710:P1710"/>
    <mergeCell ref="E1695:G1695"/>
    <mergeCell ref="H1696:J1696"/>
    <mergeCell ref="L1696:M1696"/>
    <mergeCell ref="O1696:Q1696"/>
    <mergeCell ref="D1697:F1697"/>
    <mergeCell ref="M1697:O1697"/>
    <mergeCell ref="E1707:G1707"/>
    <mergeCell ref="E1708:G1708"/>
    <mergeCell ref="I1708:J1708"/>
    <mergeCell ref="O1700:P1700"/>
    <mergeCell ref="BX1641:BY1641"/>
    <mergeCell ref="B1671:CC1671"/>
    <mergeCell ref="R1710:S1710"/>
    <mergeCell ref="AC1710:AE1710"/>
    <mergeCell ref="E1712:F1712"/>
    <mergeCell ref="H1712:J1712"/>
    <mergeCell ref="L1712:M1712"/>
    <mergeCell ref="O1712:Q1712"/>
    <mergeCell ref="U1712:W1712"/>
    <mergeCell ref="AA1712:AC1712"/>
    <mergeCell ref="AG1712:AI1712"/>
    <mergeCell ref="AK1712:AM1712"/>
    <mergeCell ref="L1701:M1701"/>
    <mergeCell ref="M1704:N1704"/>
    <mergeCell ref="P1704:Q1704"/>
    <mergeCell ref="L1706:M1706"/>
    <mergeCell ref="O2004:P2004"/>
    <mergeCell ref="W2004:X2004"/>
    <mergeCell ref="AE2004:AF2004"/>
    <mergeCell ref="AI1994:AJ1994"/>
    <mergeCell ref="O2000:Q2000"/>
    <mergeCell ref="W1999:Y1999"/>
    <mergeCell ref="AE1999:AG1999"/>
    <mergeCell ref="K2003:L2003"/>
    <mergeCell ref="AM2001:AP2001"/>
    <mergeCell ref="U2000:Z2000"/>
    <mergeCell ref="AC2000:AH2000"/>
    <mergeCell ref="AP1899:AR1899"/>
    <mergeCell ref="E1905:G1905"/>
    <mergeCell ref="M1905:O1905"/>
    <mergeCell ref="E1907:F1907"/>
    <mergeCell ref="J1907:M1907"/>
    <mergeCell ref="T1708:V1708"/>
    <mergeCell ref="T1700:V1700"/>
    <mergeCell ref="E1701:G1701"/>
    <mergeCell ref="I1701:J1701"/>
    <mergeCell ref="R1701:T1701"/>
    <mergeCell ref="O1701:P1701"/>
    <mergeCell ref="G1687:H1687"/>
    <mergeCell ref="N1687:O1687"/>
    <mergeCell ref="I1690:J1690"/>
    <mergeCell ref="L1690:M1690"/>
    <mergeCell ref="O1690:P1690"/>
    <mergeCell ref="R1690:S1690"/>
    <mergeCell ref="I1706:J1706"/>
    <mergeCell ref="T1706:V1706"/>
    <mergeCell ref="E1694:F1694"/>
    <mergeCell ref="H1694:I1694"/>
    <mergeCell ref="M1694:N1694"/>
    <mergeCell ref="P1694:Q1694"/>
    <mergeCell ref="U1694:W1694"/>
    <mergeCell ref="E1692:F1692"/>
    <mergeCell ref="L1692:M1692"/>
    <mergeCell ref="BR1955:BS1955"/>
    <mergeCell ref="BS1959:BT1959"/>
    <mergeCell ref="M1963:O1963"/>
    <mergeCell ref="M1964:O1964"/>
    <mergeCell ref="BP1734:BQ1734"/>
    <mergeCell ref="BQ1738:BR1739"/>
    <mergeCell ref="BS1738:BT1739"/>
    <mergeCell ref="O1739:P1739"/>
    <mergeCell ref="R1739:S1739"/>
    <mergeCell ref="BK1744:BM1744"/>
    <mergeCell ref="F1736:G1736"/>
    <mergeCell ref="T2029:U2029"/>
    <mergeCell ref="Y2029:AA2029"/>
    <mergeCell ref="K2030:L2030"/>
    <mergeCell ref="P2030:R2030"/>
    <mergeCell ref="T2030:U2030"/>
    <mergeCell ref="O2031:Q2031"/>
    <mergeCell ref="G2032:I2032"/>
    <mergeCell ref="K2032:L2032"/>
    <mergeCell ref="P2032:R2032"/>
    <mergeCell ref="T2032:U2032"/>
    <mergeCell ref="AA2032:AC2032"/>
    <mergeCell ref="O2034:Q2034"/>
    <mergeCell ref="W2032:Y2032"/>
    <mergeCell ref="Y2035:AA2035"/>
    <mergeCell ref="E2048:G2048"/>
    <mergeCell ref="M2048:O2048"/>
    <mergeCell ref="U2048:W2048"/>
    <mergeCell ref="E2014:G2014"/>
    <mergeCell ref="M2014:O2014"/>
    <mergeCell ref="E2016:F2016"/>
    <mergeCell ref="J2016:M2016"/>
    <mergeCell ref="O2016:P2016"/>
    <mergeCell ref="R2016:U2016"/>
    <mergeCell ref="W2016:Y2016"/>
    <mergeCell ref="AC2016:AE2016"/>
    <mergeCell ref="E2017:G2017"/>
    <mergeCell ref="M2017:O2017"/>
    <mergeCell ref="E2018:G2018"/>
    <mergeCell ref="M2018:O2018"/>
    <mergeCell ref="E2020:F2020"/>
    <mergeCell ref="J2020:M2020"/>
    <mergeCell ref="O2020:P2020"/>
    <mergeCell ref="R2020:U2020"/>
    <mergeCell ref="W2020:Y2020"/>
    <mergeCell ref="AC2020:AE2020"/>
    <mergeCell ref="AL1899:AO1899"/>
    <mergeCell ref="O1918:Q1918"/>
    <mergeCell ref="G1920:I1920"/>
    <mergeCell ref="O1920:Q1920"/>
    <mergeCell ref="E1921:G1921"/>
    <mergeCell ref="M1921:O1921"/>
    <mergeCell ref="D1922:F1922"/>
    <mergeCell ref="E1923:G1923"/>
    <mergeCell ref="I1923:J1923"/>
    <mergeCell ref="N1923:P1923"/>
    <mergeCell ref="R1923:S1923"/>
    <mergeCell ref="AI1923:AL1923"/>
    <mergeCell ref="W1923:Y1923"/>
    <mergeCell ref="AF1913:AH1913"/>
    <mergeCell ref="AO1901:AP1901"/>
    <mergeCell ref="H1903:K1903"/>
    <mergeCell ref="AF2035:AH2035"/>
    <mergeCell ref="E2013:G2013"/>
    <mergeCell ref="M2013:O2013"/>
    <mergeCell ref="AA1921:AB1921"/>
    <mergeCell ref="E1924:G1924"/>
    <mergeCell ref="H1925:J1925"/>
    <mergeCell ref="AG1903:AI1903"/>
    <mergeCell ref="AK1903:AM1903"/>
    <mergeCell ref="E2059:G2059"/>
    <mergeCell ref="H2060:J2060"/>
    <mergeCell ref="L2060:M2060"/>
    <mergeCell ref="O2060:Q2060"/>
    <mergeCell ref="G2039:I2039"/>
    <mergeCell ref="O2039:Q2039"/>
    <mergeCell ref="E2040:G2040"/>
    <mergeCell ref="M2040:O2040"/>
    <mergeCell ref="D2041:F2041"/>
    <mergeCell ref="E2042:G2042"/>
    <mergeCell ref="I2042:J2042"/>
    <mergeCell ref="N2042:P2042"/>
    <mergeCell ref="R2042:S2042"/>
    <mergeCell ref="Y2042:AB2042"/>
    <mergeCell ref="G2035:I2035"/>
    <mergeCell ref="K2035:L2035"/>
    <mergeCell ref="P2035:R2035"/>
    <mergeCell ref="T2035:U2035"/>
    <mergeCell ref="L2044:M2044"/>
    <mergeCell ref="O2044:Q2044"/>
    <mergeCell ref="D2045:F2045"/>
    <mergeCell ref="M2045:O2045"/>
    <mergeCell ref="AA2056:AC2056"/>
    <mergeCell ref="D2057:F2057"/>
    <mergeCell ref="E2058:G2058"/>
    <mergeCell ref="I2058:J2058"/>
    <mergeCell ref="N2058:P2058"/>
    <mergeCell ref="R2058:S2058"/>
    <mergeCell ref="W2058:Y2058"/>
    <mergeCell ref="AA2058:AB2058"/>
    <mergeCell ref="G2047:I2047"/>
    <mergeCell ref="O2047:Q2047"/>
    <mergeCell ref="AD2058:AF2058"/>
    <mergeCell ref="E2021:G2021"/>
    <mergeCell ref="M2021:O2021"/>
    <mergeCell ref="E2022:G2022"/>
    <mergeCell ref="M2022:O2022"/>
    <mergeCell ref="G2026:I2026"/>
    <mergeCell ref="K2026:L2026"/>
    <mergeCell ref="P2026:R2026"/>
    <mergeCell ref="M1900:N1900"/>
    <mergeCell ref="P1901:Q1901"/>
    <mergeCell ref="S1901:T1901"/>
    <mergeCell ref="V1901:W1901"/>
    <mergeCell ref="T1900:U1900"/>
    <mergeCell ref="W1900:X1900"/>
    <mergeCell ref="AB1900:AC1900"/>
    <mergeCell ref="AD1901:AE1901"/>
    <mergeCell ref="AG1901:AH1901"/>
    <mergeCell ref="AL1901:AM1901"/>
    <mergeCell ref="O1915:Q1915"/>
    <mergeCell ref="S1915:U1915"/>
    <mergeCell ref="Y1916:AA1916"/>
    <mergeCell ref="AC1916:AD1916"/>
    <mergeCell ref="AF1916:AG1916"/>
    <mergeCell ref="G1917:I1917"/>
    <mergeCell ref="AC1917:AE1917"/>
    <mergeCell ref="S1918:U1918"/>
    <mergeCell ref="Z1918:AB1918"/>
    <mergeCell ref="W1920:Y1920"/>
    <mergeCell ref="AC1920:AD1920"/>
    <mergeCell ref="U1921:W1921"/>
    <mergeCell ref="O1907:P1907"/>
    <mergeCell ref="R1907:U1907"/>
    <mergeCell ref="E1908:G1908"/>
    <mergeCell ref="AE1928:AF1928"/>
    <mergeCell ref="D2061:F2061"/>
    <mergeCell ref="M2061:O2061"/>
    <mergeCell ref="B1992:CC1992"/>
    <mergeCell ref="AD2050:AF2050"/>
    <mergeCell ref="AJ2050:AM2050"/>
    <mergeCell ref="E2051:G2051"/>
    <mergeCell ref="H2052:J2052"/>
    <mergeCell ref="L2052:M2052"/>
    <mergeCell ref="O2052:Q2052"/>
    <mergeCell ref="D2053:F2053"/>
    <mergeCell ref="M2053:O2053"/>
    <mergeCell ref="G2055:I2055"/>
    <mergeCell ref="O2055:Q2055"/>
    <mergeCell ref="E2056:G2056"/>
    <mergeCell ref="M2056:O2056"/>
    <mergeCell ref="U2056:W2056"/>
    <mergeCell ref="AA1923:AB1923"/>
    <mergeCell ref="AD1923:AE1923"/>
    <mergeCell ref="L1925:M1925"/>
    <mergeCell ref="O1925:Q1925"/>
    <mergeCell ref="D1926:F1926"/>
    <mergeCell ref="M1926:O1926"/>
    <mergeCell ref="G1928:I1928"/>
    <mergeCell ref="O1928:Q1928"/>
    <mergeCell ref="E1929:G1929"/>
    <mergeCell ref="M1929:O1929"/>
    <mergeCell ref="D1930:F1930"/>
    <mergeCell ref="S1928:T1928"/>
    <mergeCell ref="AA1928:AC1928"/>
    <mergeCell ref="AJ2058:AM2058"/>
    <mergeCell ref="E2043:G2043"/>
    <mergeCell ref="H2044:J2044"/>
    <mergeCell ref="AA2048:AC2048"/>
    <mergeCell ref="D2049:F2049"/>
    <mergeCell ref="E2050:G2050"/>
    <mergeCell ref="I2050:J2050"/>
    <mergeCell ref="N2050:P2050"/>
    <mergeCell ref="R2050:S2050"/>
    <mergeCell ref="AQ1903:AS1903"/>
    <mergeCell ref="E1904:G1904"/>
    <mergeCell ref="K1904:M1904"/>
    <mergeCell ref="S1904:U1904"/>
    <mergeCell ref="U1905:W1905"/>
    <mergeCell ref="AA1905:AB1905"/>
    <mergeCell ref="W1907:X1907"/>
    <mergeCell ref="AB1907:AC1907"/>
    <mergeCell ref="AE1907:AH1907"/>
    <mergeCell ref="AJ1907:AK1907"/>
    <mergeCell ref="AO1907:AQ1907"/>
    <mergeCell ref="K1917:L1917"/>
    <mergeCell ref="P1917:R1917"/>
    <mergeCell ref="T1917:U1917"/>
    <mergeCell ref="E1909:G1909"/>
    <mergeCell ref="M1909:O1909"/>
    <mergeCell ref="G1913:I1913"/>
    <mergeCell ref="K1913:L1913"/>
    <mergeCell ref="W1913:Y1913"/>
    <mergeCell ref="AI1916:AK1916"/>
    <mergeCell ref="AC1914:AE1914"/>
    <mergeCell ref="P1914:R1914"/>
    <mergeCell ref="T1914:U1914"/>
    <mergeCell ref="M1903:N1903"/>
    <mergeCell ref="P1903:S1903"/>
    <mergeCell ref="W1903:X1903"/>
    <mergeCell ref="Z1903:AC1903"/>
    <mergeCell ref="E1932:G1932"/>
    <mergeCell ref="H1933:J1933"/>
    <mergeCell ref="L1933:M1933"/>
    <mergeCell ref="O1933:Q1933"/>
    <mergeCell ref="D1934:F1934"/>
    <mergeCell ref="M1934:O1934"/>
    <mergeCell ref="AN2275:AQ2275"/>
    <mergeCell ref="H2287:I2287"/>
    <mergeCell ref="M2292:N2292"/>
    <mergeCell ref="U2292:V2292"/>
    <mergeCell ref="AE2294:AF2294"/>
    <mergeCell ref="S2298:T2298"/>
    <mergeCell ref="Z2299:AA2299"/>
    <mergeCell ref="O2306:P2306"/>
    <mergeCell ref="O2312:Q2312"/>
    <mergeCell ref="F2314:H2314"/>
    <mergeCell ref="Z2314:AB2314"/>
    <mergeCell ref="K2315:L2315"/>
    <mergeCell ref="U2315:V2315"/>
    <mergeCell ref="AV2286:AW2286"/>
    <mergeCell ref="BB2282:BB2284"/>
    <mergeCell ref="BF2283:BG2283"/>
    <mergeCell ref="BI2286:BJ2286"/>
    <mergeCell ref="BG2289:BH2289"/>
    <mergeCell ref="AS2283:AT2283"/>
    <mergeCell ref="AT2289:AU2289"/>
    <mergeCell ref="AO2282:AO2284"/>
    <mergeCell ref="AY1907:AZ1907"/>
    <mergeCell ref="BD1907:BF1907"/>
    <mergeCell ref="BH1907:BI1907"/>
    <mergeCell ref="K1908:M1908"/>
    <mergeCell ref="O1908:P1908"/>
    <mergeCell ref="W1908:Y1908"/>
    <mergeCell ref="AA1908:AB1908"/>
    <mergeCell ref="Q1909:R1909"/>
    <mergeCell ref="Y1909:AA1909"/>
    <mergeCell ref="AC1909:AD1909"/>
    <mergeCell ref="N1913:P1913"/>
    <mergeCell ref="R1913:S1913"/>
    <mergeCell ref="AA1913:AB1913"/>
    <mergeCell ref="B2267:CC2267"/>
    <mergeCell ref="P2271:Q2271"/>
    <mergeCell ref="AR2291:AU2291"/>
    <mergeCell ref="BF2291:BI2291"/>
    <mergeCell ref="Q1929:R1929"/>
    <mergeCell ref="Y1929:AA1929"/>
    <mergeCell ref="AC1929:AD1929"/>
    <mergeCell ref="AK1929:AM1929"/>
    <mergeCell ref="AQ1929:AS1929"/>
    <mergeCell ref="E1931:G1931"/>
    <mergeCell ref="I1931:J1931"/>
    <mergeCell ref="N1931:P1931"/>
    <mergeCell ref="R1931:S1931"/>
    <mergeCell ref="U1931:V1931"/>
    <mergeCell ref="AA1931:AC1931"/>
    <mergeCell ref="AE1931:AF1931"/>
    <mergeCell ref="AH1931:AI1931"/>
    <mergeCell ref="AN1931:AP1931"/>
    <mergeCell ref="AR1931:AS1931"/>
    <mergeCell ref="AU1931:AW1931"/>
    <mergeCell ref="AU1907:AW1907"/>
    <mergeCell ref="W2050:Y2050"/>
    <mergeCell ref="AA2050:AB2050"/>
    <mergeCell ref="T2026:U2026"/>
    <mergeCell ref="W2026:Y2026"/>
    <mergeCell ref="AC2035:AD2035"/>
    <mergeCell ref="O2028:Q2028"/>
    <mergeCell ref="G2029:I2029"/>
    <mergeCell ref="K2029:L2029"/>
    <mergeCell ref="P2029:R2029"/>
    <mergeCell ref="E2326:F2326"/>
    <mergeCell ref="J2326:K2326"/>
    <mergeCell ref="Q2326:R2326"/>
    <mergeCell ref="V2326:W2326"/>
    <mergeCell ref="E2328:F2328"/>
    <mergeCell ref="J2328:K2328"/>
    <mergeCell ref="M2328:N2328"/>
    <mergeCell ref="R2328:S2328"/>
    <mergeCell ref="U2328:V2328"/>
    <mergeCell ref="X2328:Y2328"/>
    <mergeCell ref="AC2328:AD2328"/>
    <mergeCell ref="E2329:F2329"/>
    <mergeCell ref="J2329:K2329"/>
    <mergeCell ref="M2329:N2329"/>
    <mergeCell ref="U2329:V2329"/>
    <mergeCell ref="X2329:Y2329"/>
    <mergeCell ref="AF2329:AG2329"/>
    <mergeCell ref="P2317:Q2317"/>
    <mergeCell ref="E2321:F2321"/>
    <mergeCell ref="J2321:K2321"/>
    <mergeCell ref="M2321:N2321"/>
    <mergeCell ref="P2321:Q2321"/>
    <mergeCell ref="S2321:T2321"/>
    <mergeCell ref="E2322:F2322"/>
    <mergeCell ref="J2322:K2322"/>
    <mergeCell ref="M2322:N2322"/>
    <mergeCell ref="P2322:Q2322"/>
    <mergeCell ref="U2322:V2322"/>
    <mergeCell ref="E2324:F2324"/>
    <mergeCell ref="J2324:K2324"/>
    <mergeCell ref="O2324:P2324"/>
    <mergeCell ref="E2325:F2325"/>
    <mergeCell ref="J2325:K2325"/>
    <mergeCell ref="Q2325:R2325"/>
    <mergeCell ref="AX2333:AY2333"/>
    <mergeCell ref="BE2333:BF2333"/>
    <mergeCell ref="K2334:L2334"/>
    <mergeCell ref="R2334:S2334"/>
    <mergeCell ref="U2334:W2334"/>
    <mergeCell ref="G2335:H2335"/>
    <mergeCell ref="L2335:M2335"/>
    <mergeCell ref="O2335:P2335"/>
    <mergeCell ref="T2335:U2335"/>
    <mergeCell ref="W2335:X2335"/>
    <mergeCell ref="Z2335:AA2335"/>
    <mergeCell ref="AE2335:AF2335"/>
    <mergeCell ref="AJ2335:AK2335"/>
    <mergeCell ref="AO2335:AQ2335"/>
    <mergeCell ref="AS2335:AU2335"/>
    <mergeCell ref="G2336:H2336"/>
    <mergeCell ref="L2336:M2336"/>
    <mergeCell ref="O2336:P2336"/>
    <mergeCell ref="T2336:U2336"/>
    <mergeCell ref="W2336:X2336"/>
    <mergeCell ref="AH2336:AJ2336"/>
    <mergeCell ref="AL2336:AN2336"/>
    <mergeCell ref="E2330:F2330"/>
    <mergeCell ref="J2330:K2330"/>
    <mergeCell ref="M2330:N2330"/>
    <mergeCell ref="U2330:V2330"/>
    <mergeCell ref="X2330:Y2330"/>
    <mergeCell ref="AF2330:AG2330"/>
    <mergeCell ref="AK2330:AL2330"/>
    <mergeCell ref="J2333:K2333"/>
    <mergeCell ref="O2333:P2333"/>
    <mergeCell ref="R2333:S2333"/>
    <mergeCell ref="U2333:V2333"/>
    <mergeCell ref="AA2333:AB2333"/>
    <mergeCell ref="AD2333:AE2333"/>
    <mergeCell ref="AG2333:AH2333"/>
    <mergeCell ref="AM2333:AN2333"/>
    <mergeCell ref="AP2333:AQ2333"/>
    <mergeCell ref="AS2333:AT2333"/>
    <mergeCell ref="Q2340:S2340"/>
    <mergeCell ref="U2340:W2340"/>
    <mergeCell ref="AC2340:AE2340"/>
    <mergeCell ref="AG2340:AI2340"/>
    <mergeCell ref="AP2340:AR2340"/>
    <mergeCell ref="I2342:J2342"/>
    <mergeCell ref="N2342:O2342"/>
    <mergeCell ref="Q2342:R2342"/>
    <mergeCell ref="V2342:W2342"/>
    <mergeCell ref="Y2342:Z2342"/>
    <mergeCell ref="AB2342:AC2342"/>
    <mergeCell ref="AG2342:AH2342"/>
    <mergeCell ref="AL2342:AM2342"/>
    <mergeCell ref="AQ2342:AR2342"/>
    <mergeCell ref="AT2342:AV2342"/>
    <mergeCell ref="G2343:H2343"/>
    <mergeCell ref="L2343:M2343"/>
    <mergeCell ref="O2343:Q2343"/>
    <mergeCell ref="O2337:P2337"/>
    <mergeCell ref="T2337:V2337"/>
    <mergeCell ref="X2337:Z2337"/>
    <mergeCell ref="AF2337:AH2337"/>
    <mergeCell ref="AJ2337:AL2337"/>
    <mergeCell ref="AQ2337:AR2337"/>
    <mergeCell ref="AV2337:AX2337"/>
    <mergeCell ref="G2338:H2338"/>
    <mergeCell ref="L2338:M2338"/>
    <mergeCell ref="O2338:P2338"/>
    <mergeCell ref="T2338:U2338"/>
    <mergeCell ref="W2338:X2338"/>
    <mergeCell ref="AH2338:AJ2338"/>
    <mergeCell ref="AL2338:AN2338"/>
    <mergeCell ref="G2339:H2339"/>
    <mergeCell ref="L2339:M2339"/>
    <mergeCell ref="O2339:P2339"/>
    <mergeCell ref="T2339:U2339"/>
    <mergeCell ref="W2339:X2339"/>
    <mergeCell ref="AH2339:AJ2339"/>
    <mergeCell ref="AL2339:AN2339"/>
    <mergeCell ref="E2361:F2361"/>
    <mergeCell ref="L2361:M2361"/>
    <mergeCell ref="Q2361:S2361"/>
    <mergeCell ref="W2361:X2361"/>
    <mergeCell ref="E2362:G2362"/>
    <mergeCell ref="K2362:M2362"/>
    <mergeCell ref="O2362:Q2362"/>
    <mergeCell ref="S2362:U2362"/>
    <mergeCell ref="E2363:G2363"/>
    <mergeCell ref="K2363:M2363"/>
    <mergeCell ref="O2363:Q2363"/>
    <mergeCell ref="E2365:G2365"/>
    <mergeCell ref="E2366:G2366"/>
    <mergeCell ref="E2367:G2367"/>
    <mergeCell ref="E2368:G2368"/>
    <mergeCell ref="K2370:M2370"/>
    <mergeCell ref="O2370:Q2370"/>
    <mergeCell ref="S2370:T2370"/>
    <mergeCell ref="V2370:X2370"/>
    <mergeCell ref="P2344:R2344"/>
    <mergeCell ref="P2348:Q2348"/>
    <mergeCell ref="F2352:H2352"/>
    <mergeCell ref="Z2352:AB2352"/>
    <mergeCell ref="K2353:L2353"/>
    <mergeCell ref="U2353:V2353"/>
    <mergeCell ref="P2355:Q2355"/>
    <mergeCell ref="M2357:N2357"/>
    <mergeCell ref="P2357:Q2357"/>
    <mergeCell ref="W2357:X2357"/>
    <mergeCell ref="C2359:D2359"/>
    <mergeCell ref="P2359:Q2359"/>
    <mergeCell ref="U2359:V2359"/>
    <mergeCell ref="X2359:Z2359"/>
    <mergeCell ref="C2360:D2360"/>
    <mergeCell ref="L2360:M2360"/>
    <mergeCell ref="S2360:T2360"/>
    <mergeCell ref="X2360:Z2360"/>
    <mergeCell ref="E2378:G2378"/>
    <mergeCell ref="B2381:CC2381"/>
    <mergeCell ref="Q2389:R2389"/>
    <mergeCell ref="AR2393:AS2393"/>
    <mergeCell ref="J2394:K2394"/>
    <mergeCell ref="AH2394:AI2394"/>
    <mergeCell ref="J2400:K2400"/>
    <mergeCell ref="W2401:X2401"/>
    <mergeCell ref="AK2401:AL2401"/>
    <mergeCell ref="BN2399:BQ2399"/>
    <mergeCell ref="AZ2399:BC2399"/>
    <mergeCell ref="AF2386:AI2386"/>
    <mergeCell ref="D2414:E2414"/>
    <mergeCell ref="F2414:H2414"/>
    <mergeCell ref="AH2414:AI2414"/>
    <mergeCell ref="X2415:Y2415"/>
    <mergeCell ref="AW2390:AW2392"/>
    <mergeCell ref="BJ2390:BJ2392"/>
    <mergeCell ref="BA2391:BB2391"/>
    <mergeCell ref="BN2391:BO2391"/>
    <mergeCell ref="BD2394:BE2394"/>
    <mergeCell ref="BQ2394:BR2394"/>
    <mergeCell ref="BB2397:BC2397"/>
    <mergeCell ref="BO2397:BP2397"/>
    <mergeCell ref="Y2392:AD2392"/>
    <mergeCell ref="AA2404:AF2404"/>
    <mergeCell ref="Z2370:AB2370"/>
    <mergeCell ref="AD2370:AF2370"/>
    <mergeCell ref="E2371:G2371"/>
    <mergeCell ref="H2372:J2372"/>
    <mergeCell ref="L2372:M2372"/>
    <mergeCell ref="O2372:Q2372"/>
    <mergeCell ref="E2373:G2373"/>
    <mergeCell ref="N2373:P2373"/>
    <mergeCell ref="E2375:F2375"/>
    <mergeCell ref="J2375:K2375"/>
    <mergeCell ref="M2375:N2375"/>
    <mergeCell ref="P2375:R2375"/>
    <mergeCell ref="T2375:U2375"/>
    <mergeCell ref="W2375:Y2375"/>
    <mergeCell ref="E2376:G2376"/>
    <mergeCell ref="I2377:K2377"/>
    <mergeCell ref="O2377:Q2377"/>
    <mergeCell ref="V2444:W2444"/>
    <mergeCell ref="Y2444:Z2444"/>
    <mergeCell ref="AD2444:AE2444"/>
    <mergeCell ref="AN2444:AO2444"/>
    <mergeCell ref="AS2444:AU2444"/>
    <mergeCell ref="J2445:L2445"/>
    <mergeCell ref="N2445:O2445"/>
    <mergeCell ref="S2445:U2445"/>
    <mergeCell ref="W2445:X2445"/>
    <mergeCell ref="AI2445:AK2445"/>
    <mergeCell ref="O2440:P2440"/>
    <mergeCell ref="R2440:S2440"/>
    <mergeCell ref="U2440:V2440"/>
    <mergeCell ref="Z2440:AA2440"/>
    <mergeCell ref="AG2440:AI2440"/>
    <mergeCell ref="F2441:H2441"/>
    <mergeCell ref="J2441:K2441"/>
    <mergeCell ref="R2441:S2441"/>
    <mergeCell ref="U2441:V2441"/>
    <mergeCell ref="AC2441:AD2441"/>
    <mergeCell ref="T2423:V2423"/>
    <mergeCell ref="M2425:N2425"/>
    <mergeCell ref="AA2425:AB2425"/>
    <mergeCell ref="F2428:G2428"/>
    <mergeCell ref="I2428:J2428"/>
    <mergeCell ref="L2428:M2428"/>
    <mergeCell ref="O2428:P2428"/>
    <mergeCell ref="R2428:S2428"/>
    <mergeCell ref="U2428:V2428"/>
    <mergeCell ref="X2428:Y2428"/>
    <mergeCell ref="AA2428:AB2428"/>
    <mergeCell ref="AD2428:AE2428"/>
    <mergeCell ref="F2429:G2429"/>
    <mergeCell ref="I2429:K2429"/>
    <mergeCell ref="F2430:H2430"/>
    <mergeCell ref="F2432:G2432"/>
    <mergeCell ref="I2432:J2432"/>
    <mergeCell ref="L2432:M2432"/>
    <mergeCell ref="AS2461:AT2461"/>
    <mergeCell ref="AY2461:BA2461"/>
    <mergeCell ref="BC2461:BD2461"/>
    <mergeCell ref="BF2461:BH2461"/>
    <mergeCell ref="BL2461:BN2461"/>
    <mergeCell ref="BP2461:BR2461"/>
    <mergeCell ref="F2462:H2462"/>
    <mergeCell ref="I2463:K2463"/>
    <mergeCell ref="M2463:N2463"/>
    <mergeCell ref="P2463:R2463"/>
    <mergeCell ref="F2464:H2464"/>
    <mergeCell ref="O2464:Q2464"/>
    <mergeCell ref="I2454:K2454"/>
    <mergeCell ref="F2455:H2455"/>
    <mergeCell ref="N2455:P2455"/>
    <mergeCell ref="R2455:T2455"/>
    <mergeCell ref="V2455:X2455"/>
    <mergeCell ref="Z2455:AB2455"/>
    <mergeCell ref="F2456:H2456"/>
    <mergeCell ref="F2457:H2457"/>
    <mergeCell ref="F2458:H2458"/>
    <mergeCell ref="F2461:H2461"/>
    <mergeCell ref="J2461:K2461"/>
    <mergeCell ref="M2461:N2461"/>
    <mergeCell ref="S2461:U2461"/>
    <mergeCell ref="W2461:X2461"/>
    <mergeCell ref="Z2461:AA2461"/>
    <mergeCell ref="AI2461:AJ2461"/>
    <mergeCell ref="H2446:J2446"/>
    <mergeCell ref="L2446:M2446"/>
    <mergeCell ref="Q2446:R2446"/>
    <mergeCell ref="T2446:U2446"/>
    <mergeCell ref="AC2446:AE2446"/>
    <mergeCell ref="H2447:J2447"/>
    <mergeCell ref="L2447:M2447"/>
    <mergeCell ref="Q2447:S2447"/>
    <mergeCell ref="U2447:V2447"/>
    <mergeCell ref="AD2447:AF2447"/>
    <mergeCell ref="P2448:R2448"/>
    <mergeCell ref="V2448:X2448"/>
    <mergeCell ref="AE2448:AG2448"/>
    <mergeCell ref="L2452:N2452"/>
    <mergeCell ref="P2452:Q2452"/>
    <mergeCell ref="S2452:T2452"/>
    <mergeCell ref="Z2452:AB2452"/>
    <mergeCell ref="AF2757:AF2759"/>
    <mergeCell ref="AL2757:AN2757"/>
    <mergeCell ref="O2759:P2759"/>
    <mergeCell ref="AB2759:AC2759"/>
    <mergeCell ref="AL2759:AO2759"/>
    <mergeCell ref="AL2761:AO2761"/>
    <mergeCell ref="P2766:Q2766"/>
    <mergeCell ref="Y2766:Z2766"/>
    <mergeCell ref="R2768:S2768"/>
    <mergeCell ref="V2771:X2771"/>
    <mergeCell ref="AB2771:AC2771"/>
    <mergeCell ref="P2772:Q2772"/>
    <mergeCell ref="E2774:F2774"/>
    <mergeCell ref="H2777:J2777"/>
    <mergeCell ref="P2778:Q2778"/>
    <mergeCell ref="Y2778:Z2778"/>
    <mergeCell ref="G2781:H2781"/>
    <mergeCell ref="J2781:K2781"/>
    <mergeCell ref="M2781:N2781"/>
    <mergeCell ref="P2781:Q2781"/>
    <mergeCell ref="S2781:T2781"/>
    <mergeCell ref="V2781:W2781"/>
    <mergeCell ref="L2473:M2473"/>
    <mergeCell ref="V2473:W2473"/>
    <mergeCell ref="Q2475:R2475"/>
    <mergeCell ref="L2478:N2478"/>
    <mergeCell ref="P2478:R2478"/>
    <mergeCell ref="T2478:U2478"/>
    <mergeCell ref="W2478:Y2478"/>
    <mergeCell ref="AA2478:AC2478"/>
    <mergeCell ref="AE2478:AG2478"/>
    <mergeCell ref="F2479:H2479"/>
    <mergeCell ref="I2480:K2480"/>
    <mergeCell ref="M2480:N2480"/>
    <mergeCell ref="P2480:R2480"/>
    <mergeCell ref="F2481:H2481"/>
    <mergeCell ref="O2481:Q2481"/>
    <mergeCell ref="R2541:T2541"/>
    <mergeCell ref="R2545:S2545"/>
    <mergeCell ref="H2549:J2549"/>
    <mergeCell ref="AB2549:AD2549"/>
    <mergeCell ref="K2532:L2532"/>
    <mergeCell ref="P2532:Q2532"/>
    <mergeCell ref="S2532:T2532"/>
    <mergeCell ref="AB2532:AC2532"/>
    <mergeCell ref="AG2532:AI2532"/>
    <mergeCell ref="Q2533:R2533"/>
    <mergeCell ref="V2533:W2533"/>
    <mergeCell ref="Y2533:AA2533"/>
    <mergeCell ref="AE2533:AF2533"/>
    <mergeCell ref="AJ2533:AL2533"/>
    <mergeCell ref="B2484:CC2484"/>
    <mergeCell ref="O2554:P2554"/>
    <mergeCell ref="R2554:S2554"/>
    <mergeCell ref="Y2554:Z2554"/>
    <mergeCell ref="AQ2539:AR2539"/>
    <mergeCell ref="AX2539:AY2539"/>
    <mergeCell ref="S2571:T2571"/>
    <mergeCell ref="X2571:Y2571"/>
    <mergeCell ref="Q2623:R2623"/>
    <mergeCell ref="V2623:W2623"/>
    <mergeCell ref="S2537:T2537"/>
    <mergeCell ref="V2537:W2537"/>
    <mergeCell ref="Y2537:Z2537"/>
    <mergeCell ref="AA2793:AC2793"/>
    <mergeCell ref="AG2793:AH2793"/>
    <mergeCell ref="G2794:I2794"/>
    <mergeCell ref="K2794:L2794"/>
    <mergeCell ref="S2794:T2794"/>
    <mergeCell ref="V2794:W2794"/>
    <mergeCell ref="AD2794:AF2794"/>
    <mergeCell ref="AL2794:AM2794"/>
    <mergeCell ref="G2795:I2795"/>
    <mergeCell ref="K2795:L2795"/>
    <mergeCell ref="S2795:T2795"/>
    <mergeCell ref="V2795:W2795"/>
    <mergeCell ref="AD2795:AF2795"/>
    <mergeCell ref="AL2795:AM2795"/>
    <mergeCell ref="AQ2795:AR2795"/>
    <mergeCell ref="I2798:K2798"/>
    <mergeCell ref="M2798:N2798"/>
    <mergeCell ref="R2798:S2798"/>
    <mergeCell ref="U2798:V2798"/>
    <mergeCell ref="X2798:Y2798"/>
    <mergeCell ref="AC2798:AD2798"/>
    <mergeCell ref="AH2798:AI2798"/>
    <mergeCell ref="AK2798:AM2798"/>
    <mergeCell ref="G2782:I2782"/>
    <mergeCell ref="I2784:J2784"/>
    <mergeCell ref="L2784:M2784"/>
    <mergeCell ref="O2784:P2784"/>
    <mergeCell ref="G2785:I2785"/>
    <mergeCell ref="G2789:I2789"/>
    <mergeCell ref="M2789:N2789"/>
    <mergeCell ref="G2790:I2790"/>
    <mergeCell ref="O2790:P2790"/>
    <mergeCell ref="G2791:I2791"/>
    <mergeCell ref="O2791:P2791"/>
    <mergeCell ref="T2791:U2791"/>
    <mergeCell ref="G2793:I2793"/>
    <mergeCell ref="K2793:L2793"/>
    <mergeCell ref="P2793:Q2793"/>
    <mergeCell ref="S2793:T2793"/>
    <mergeCell ref="V2793:W2793"/>
    <mergeCell ref="BI2822:BK2822"/>
    <mergeCell ref="N2818:O2818"/>
    <mergeCell ref="Q2818:S2818"/>
    <mergeCell ref="G2819:I2819"/>
    <mergeCell ref="P2819:R2819"/>
    <mergeCell ref="J2818:L2818"/>
    <mergeCell ref="K2815:M2815"/>
    <mergeCell ref="O2815:P2815"/>
    <mergeCell ref="T2815:U2815"/>
    <mergeCell ref="Q2803:S2803"/>
    <mergeCell ref="W2803:Y2803"/>
    <mergeCell ref="AF2803:AH2803"/>
    <mergeCell ref="I2805:K2805"/>
    <mergeCell ref="M2805:N2805"/>
    <mergeCell ref="R2805:S2805"/>
    <mergeCell ref="U2805:V2805"/>
    <mergeCell ref="X2805:Y2805"/>
    <mergeCell ref="AC2805:AD2805"/>
    <mergeCell ref="AF2805:AH2805"/>
    <mergeCell ref="AL2805:AM2805"/>
    <mergeCell ref="G2806:I2806"/>
    <mergeCell ref="M2806:N2806"/>
    <mergeCell ref="M2808:O2808"/>
    <mergeCell ref="S2808:T2808"/>
    <mergeCell ref="E2809:G2809"/>
    <mergeCell ref="I2809:J2809"/>
    <mergeCell ref="L2809:N2809"/>
    <mergeCell ref="Q2809:S2809"/>
    <mergeCell ref="W2809:X2809"/>
    <mergeCell ref="Z2809:AB2809"/>
    <mergeCell ref="AD2809:AG2809"/>
    <mergeCell ref="I2799:K2799"/>
    <mergeCell ref="M2799:N2799"/>
    <mergeCell ref="R2799:T2799"/>
    <mergeCell ref="V2799:W2799"/>
    <mergeCell ref="AE2799:AG2799"/>
    <mergeCell ref="Q2800:S2800"/>
    <mergeCell ref="W2800:X2800"/>
    <mergeCell ref="Z2800:AB2800"/>
    <mergeCell ref="AG2800:AH2800"/>
    <mergeCell ref="AL2800:AN2800"/>
    <mergeCell ref="I2801:K2801"/>
    <mergeCell ref="M2801:N2801"/>
    <mergeCell ref="R2801:S2801"/>
    <mergeCell ref="U2801:V2801"/>
    <mergeCell ref="AD2801:AF2801"/>
    <mergeCell ref="I2802:K2802"/>
    <mergeCell ref="M2802:N2802"/>
    <mergeCell ref="R2802:T2802"/>
    <mergeCell ref="V2802:W2802"/>
    <mergeCell ref="AE2802:AG2802"/>
    <mergeCell ref="K2834:L2834"/>
    <mergeCell ref="N2834:O2834"/>
    <mergeCell ref="Q2834:R2834"/>
    <mergeCell ref="T2834:U2834"/>
    <mergeCell ref="W2834:X2834"/>
    <mergeCell ref="Z2834:AA2834"/>
    <mergeCell ref="AC2834:AE2834"/>
    <mergeCell ref="AG2834:AH2834"/>
    <mergeCell ref="AJ2834:AK2834"/>
    <mergeCell ref="F2829:H2829"/>
    <mergeCell ref="V2830:X2830"/>
    <mergeCell ref="Q2831:S2831"/>
    <mergeCell ref="F2833:H2833"/>
    <mergeCell ref="AR2834:AT2834"/>
    <mergeCell ref="AA2835:AC2835"/>
    <mergeCell ref="J2825:L2825"/>
    <mergeCell ref="N2825:O2825"/>
    <mergeCell ref="Q2825:S2825"/>
    <mergeCell ref="G2826:I2826"/>
    <mergeCell ref="P2826:R2826"/>
    <mergeCell ref="B2751:CC2751"/>
    <mergeCell ref="AX2760:AX2762"/>
    <mergeCell ref="BB2761:BC2761"/>
    <mergeCell ref="BE2764:BF2764"/>
    <mergeCell ref="BC2767:BD2767"/>
    <mergeCell ref="L2764:Q2764"/>
    <mergeCell ref="BK2760:BK2762"/>
    <mergeCell ref="BO2761:BP2761"/>
    <mergeCell ref="BR2764:BS2764"/>
    <mergeCell ref="BP2767:BQ2767"/>
    <mergeCell ref="O2754:T2754"/>
    <mergeCell ref="G2823:I2823"/>
    <mergeCell ref="K2823:L2823"/>
    <mergeCell ref="N2823:O2823"/>
    <mergeCell ref="T2823:U2823"/>
    <mergeCell ref="W2823:X2823"/>
    <mergeCell ref="Z2823:AA2823"/>
    <mergeCell ref="AF2823:AH2823"/>
    <mergeCell ref="AJ2823:AK2823"/>
    <mergeCell ref="AO2823:AP2823"/>
    <mergeCell ref="AR2823:AS2823"/>
    <mergeCell ref="AU2823:AV2823"/>
    <mergeCell ref="AX2823:AZ2823"/>
    <mergeCell ref="BB2823:BC2823"/>
    <mergeCell ref="BE2823:BG2823"/>
    <mergeCell ref="BK2823:BM2823"/>
    <mergeCell ref="BO2823:BQ2823"/>
    <mergeCell ref="G2824:I2824"/>
    <mergeCell ref="G2810:I2810"/>
    <mergeCell ref="G2811:I2811"/>
    <mergeCell ref="G2812:I2812"/>
    <mergeCell ref="K2822:M2822"/>
    <mergeCell ref="O2822:P2822"/>
    <mergeCell ref="R2822:S2822"/>
    <mergeCell ref="X2822:Y2822"/>
    <mergeCell ref="AA2822:AB2822"/>
    <mergeCell ref="AD2822:AE2822"/>
    <mergeCell ref="AJ2822:AL2822"/>
    <mergeCell ref="AN2822:AO2822"/>
    <mergeCell ref="AS2822:AT2822"/>
    <mergeCell ref="AV2822:AW2822"/>
    <mergeCell ref="AY2822:AZ2822"/>
    <mergeCell ref="BB2822:BD2822"/>
    <mergeCell ref="BF2822:BG2822"/>
    <mergeCell ref="E2860:F2860"/>
    <mergeCell ref="P2930:Q2930"/>
    <mergeCell ref="S2930:T2930"/>
    <mergeCell ref="Y2930:AA2930"/>
    <mergeCell ref="AC2930:AD2930"/>
    <mergeCell ref="AF2930:AG2930"/>
    <mergeCell ref="G2928:I2928"/>
    <mergeCell ref="Q2929:R2929"/>
    <mergeCell ref="T2929:U2929"/>
    <mergeCell ref="BA2929:BC2929"/>
    <mergeCell ref="H2930:J2930"/>
    <mergeCell ref="V2930:W2930"/>
    <mergeCell ref="AI2930:AK2930"/>
    <mergeCell ref="I2929:K2929"/>
    <mergeCell ref="Z2929:AA2929"/>
    <mergeCell ref="AC2929:AD2929"/>
    <mergeCell ref="AF2929:AG2929"/>
    <mergeCell ref="AS2929:AT2929"/>
    <mergeCell ref="M2929:O2929"/>
    <mergeCell ref="W2929:X2929"/>
    <mergeCell ref="AI2929:AJ2929"/>
    <mergeCell ref="AL2929:AN2929"/>
    <mergeCell ref="AP2929:AQ2929"/>
    <mergeCell ref="AV2929:AW2929"/>
    <mergeCell ref="L2930:N2930"/>
    <mergeCell ref="H2863:J2863"/>
    <mergeCell ref="AB2863:AD2863"/>
    <mergeCell ref="P2864:Q2864"/>
    <mergeCell ref="Y2864:Z2864"/>
    <mergeCell ref="H2869:I2869"/>
    <mergeCell ref="K2869:L2869"/>
    <mergeCell ref="N2869:O2869"/>
    <mergeCell ref="AM2834:AN2834"/>
    <mergeCell ref="G2835:I2835"/>
    <mergeCell ref="K2835:L2835"/>
    <mergeCell ref="N2835:O2835"/>
    <mergeCell ref="Q2835:S2835"/>
    <mergeCell ref="U2835:V2835"/>
    <mergeCell ref="X2835:Y2835"/>
    <mergeCell ref="G2924:I2924"/>
    <mergeCell ref="Q2925:R2925"/>
    <mergeCell ref="AF2925:AH2925"/>
    <mergeCell ref="Y2926:AA2926"/>
    <mergeCell ref="I2925:K2925"/>
    <mergeCell ref="X2925:Y2925"/>
    <mergeCell ref="T2925:V2925"/>
    <mergeCell ref="AA2925:AB2925"/>
    <mergeCell ref="M2925:O2925"/>
    <mergeCell ref="H2926:J2926"/>
    <mergeCell ref="L2926:N2926"/>
    <mergeCell ref="P2926:Q2926"/>
    <mergeCell ref="S2926:T2926"/>
    <mergeCell ref="V2926:W2926"/>
    <mergeCell ref="AF2844:AF2846"/>
    <mergeCell ref="AK2844:AM2844"/>
    <mergeCell ref="O2846:P2846"/>
    <mergeCell ref="AK2846:AN2846"/>
    <mergeCell ref="AK2848:AN2848"/>
    <mergeCell ref="P2853:Q2853"/>
    <mergeCell ref="Y2853:Z2853"/>
    <mergeCell ref="R2855:S2855"/>
    <mergeCell ref="V2857:X2857"/>
    <mergeCell ref="P2858:Q2858"/>
    <mergeCell ref="AF2860:AG2860"/>
    <mergeCell ref="AN1187:AO1187"/>
    <mergeCell ref="AQ1187:AR1187"/>
    <mergeCell ref="AW1187:AY1187"/>
    <mergeCell ref="BE1187:BF1187"/>
    <mergeCell ref="BG1187:BH1187"/>
    <mergeCell ref="E1188:G1188"/>
    <mergeCell ref="BE1188:BF1188"/>
    <mergeCell ref="BG1188:BH1188"/>
    <mergeCell ref="F1189:H1189"/>
    <mergeCell ref="J1189:L1189"/>
    <mergeCell ref="N1189:O1189"/>
    <mergeCell ref="Q1189:R1189"/>
    <mergeCell ref="T1189:U1189"/>
    <mergeCell ref="Y1189:Z1189"/>
    <mergeCell ref="AB1189:AC1189"/>
    <mergeCell ref="AE1189:AF1189"/>
    <mergeCell ref="AH1189:AI1189"/>
    <mergeCell ref="AK1189:AL1189"/>
    <mergeCell ref="AN1189:AO1189"/>
    <mergeCell ref="AQ1189:AR1189"/>
    <mergeCell ref="AW1189:AY1189"/>
    <mergeCell ref="BL1169:BN1169"/>
    <mergeCell ref="J1170:K1170"/>
    <mergeCell ref="K1173:L1173"/>
    <mergeCell ref="AB1173:AC1173"/>
    <mergeCell ref="AY1173:AZ1173"/>
    <mergeCell ref="AG1174:AH1174"/>
    <mergeCell ref="AS1174:AT1174"/>
    <mergeCell ref="I1176:J1176"/>
    <mergeCell ref="AN1176:AO1176"/>
    <mergeCell ref="F1178:I1178"/>
    <mergeCell ref="F1179:I1179"/>
    <mergeCell ref="D1186:F1186"/>
    <mergeCell ref="AQ1186:AR1186"/>
    <mergeCell ref="BE1186:BF1186"/>
    <mergeCell ref="BG1186:BH1186"/>
    <mergeCell ref="BI1186:BJ1186"/>
    <mergeCell ref="BK1186:BL1186"/>
    <mergeCell ref="G1210:H1210"/>
    <mergeCell ref="J1210:K1210"/>
    <mergeCell ref="Q1210:R1210"/>
    <mergeCell ref="N1212:O1212"/>
    <mergeCell ref="U1212:W1212"/>
    <mergeCell ref="I1213:J1213"/>
    <mergeCell ref="L1213:M1213"/>
    <mergeCell ref="O1213:P1213"/>
    <mergeCell ref="T1213:U1213"/>
    <mergeCell ref="AA1213:AB1213"/>
    <mergeCell ref="AH1213:AI1213"/>
    <mergeCell ref="AP1213:AQ1213"/>
    <mergeCell ref="AU1213:AV1213"/>
    <mergeCell ref="AZ1213:BA1213"/>
    <mergeCell ref="BE1213:BG1213"/>
    <mergeCell ref="E1195:F1195"/>
    <mergeCell ref="H1195:J1195"/>
    <mergeCell ref="L1195:M1195"/>
    <mergeCell ref="O1195:Q1195"/>
    <mergeCell ref="U1195:W1195"/>
    <mergeCell ref="AA1195:AC1195"/>
    <mergeCell ref="AG1195:AI1195"/>
    <mergeCell ref="AK1195:AM1195"/>
    <mergeCell ref="E1198:F1198"/>
    <mergeCell ref="E1199:F1199"/>
    <mergeCell ref="E1200:F1200"/>
    <mergeCell ref="E1201:F1201"/>
    <mergeCell ref="J1201:K1201"/>
    <mergeCell ref="E1203:F1203"/>
    <mergeCell ref="E1204:F1204"/>
    <mergeCell ref="E1205:F1205"/>
    <mergeCell ref="E1206:F1206"/>
    <mergeCell ref="AK1191:AL1191"/>
    <mergeCell ref="AN1191:AO1191"/>
    <mergeCell ref="AQ1191:AR1191"/>
    <mergeCell ref="AW1191:AY1191"/>
    <mergeCell ref="F1192:H1192"/>
    <mergeCell ref="F1193:H1193"/>
    <mergeCell ref="J1193:L1193"/>
    <mergeCell ref="N1193:O1193"/>
    <mergeCell ref="Q1193:R1193"/>
    <mergeCell ref="T1193:U1193"/>
    <mergeCell ref="Y1193:Z1193"/>
    <mergeCell ref="AB1193:AC1193"/>
    <mergeCell ref="AE1193:AF1193"/>
    <mergeCell ref="AH1193:AI1193"/>
    <mergeCell ref="AK1193:AL1193"/>
    <mergeCell ref="AN1193:AO1193"/>
    <mergeCell ref="AQ1193:AR1193"/>
    <mergeCell ref="AW1193:AY1193"/>
    <mergeCell ref="E1229:G1229"/>
    <mergeCell ref="E1230:G1230"/>
    <mergeCell ref="H1232:I1232"/>
    <mergeCell ref="M1232:N1232"/>
    <mergeCell ref="D1233:F1233"/>
    <mergeCell ref="E1234:F1234"/>
    <mergeCell ref="H1234:I1234"/>
    <mergeCell ref="K1234:L1234"/>
    <mergeCell ref="N1234:P1234"/>
    <mergeCell ref="R1234:S1234"/>
    <mergeCell ref="W1234:Y1234"/>
    <mergeCell ref="AA1234:AB1234"/>
    <mergeCell ref="AH1234:AJ1234"/>
    <mergeCell ref="AL1234:AN1234"/>
    <mergeCell ref="AJ1241:AK1241"/>
    <mergeCell ref="AM1241:AO1241"/>
    <mergeCell ref="G1215:H1215"/>
    <mergeCell ref="J1215:K1215"/>
    <mergeCell ref="M1215:N1215"/>
    <mergeCell ref="R1215:S1215"/>
    <mergeCell ref="Y1215:Z1215"/>
    <mergeCell ref="AG1215:AH1215"/>
    <mergeCell ref="AL1215:AM1215"/>
    <mergeCell ref="AO1215:AQ1215"/>
    <mergeCell ref="N1217:O1217"/>
    <mergeCell ref="S1217:T1217"/>
    <mergeCell ref="X1217:Z1217"/>
    <mergeCell ref="G1218:H1218"/>
    <mergeCell ref="J1218:K1218"/>
    <mergeCell ref="R1218:S1218"/>
    <mergeCell ref="P1220:Q1220"/>
    <mergeCell ref="G1221:H1221"/>
    <mergeCell ref="J1221:K1221"/>
    <mergeCell ref="Q1221:R1221"/>
    <mergeCell ref="X1221:Y1221"/>
    <mergeCell ref="AD1221:AE1221"/>
    <mergeCell ref="AI1221:AJ1221"/>
    <mergeCell ref="AL1221:AN1221"/>
    <mergeCell ref="H1250:I1250"/>
    <mergeCell ref="E1251:F1251"/>
    <mergeCell ref="H1251:I1251"/>
    <mergeCell ref="M1251:O1251"/>
    <mergeCell ref="Q1251:R1251"/>
    <mergeCell ref="T1251:V1251"/>
    <mergeCell ref="X1251:Z1251"/>
    <mergeCell ref="E1252:F1252"/>
    <mergeCell ref="H1252:I1252"/>
    <mergeCell ref="K1252:M1252"/>
    <mergeCell ref="O1252:Q1252"/>
    <mergeCell ref="H1253:I1253"/>
    <mergeCell ref="E1254:F1254"/>
    <mergeCell ref="H1254:I1254"/>
    <mergeCell ref="M1254:O1254"/>
    <mergeCell ref="Q1254:R1254"/>
    <mergeCell ref="T1254:V1254"/>
    <mergeCell ref="X1254:Z1254"/>
    <mergeCell ref="AS1241:AU1241"/>
    <mergeCell ref="AW1241:AY1241"/>
    <mergeCell ref="E1242:G1242"/>
    <mergeCell ref="H1243:J1243"/>
    <mergeCell ref="L1243:M1243"/>
    <mergeCell ref="O1243:Q1243"/>
    <mergeCell ref="D1244:F1244"/>
    <mergeCell ref="M1244:O1244"/>
    <mergeCell ref="H1246:J1246"/>
    <mergeCell ref="H1247:I1247"/>
    <mergeCell ref="K1247:L1247"/>
    <mergeCell ref="N1247:P1247"/>
    <mergeCell ref="R1247:T1247"/>
    <mergeCell ref="H1248:J1248"/>
    <mergeCell ref="G1214:H1214"/>
    <mergeCell ref="J1214:K1214"/>
    <mergeCell ref="Q1214:R1214"/>
    <mergeCell ref="AA1214:AB1214"/>
    <mergeCell ref="AF1214:AH1214"/>
    <mergeCell ref="E1235:G1235"/>
    <mergeCell ref="H1236:J1236"/>
    <mergeCell ref="L1236:M1236"/>
    <mergeCell ref="O1236:Q1236"/>
    <mergeCell ref="D1237:F1237"/>
    <mergeCell ref="M1237:O1237"/>
    <mergeCell ref="H1239:I1239"/>
    <mergeCell ref="M1239:N1239"/>
    <mergeCell ref="D1240:F1240"/>
    <mergeCell ref="E1241:F1241"/>
    <mergeCell ref="H1241:I1241"/>
    <mergeCell ref="K1241:L1241"/>
    <mergeCell ref="N1241:P1241"/>
    <mergeCell ref="R1241:S1241"/>
    <mergeCell ref="W1241:Y1241"/>
    <mergeCell ref="AA1241:AB1241"/>
    <mergeCell ref="AF1241:AH1241"/>
    <mergeCell ref="AF1222:AG1222"/>
    <mergeCell ref="AK1222:AL1222"/>
    <mergeCell ref="AP1222:AR1222"/>
    <mergeCell ref="N1223:O1223"/>
    <mergeCell ref="S1223:T1223"/>
    <mergeCell ref="X1223:Z1223"/>
    <mergeCell ref="E1225:G1225"/>
    <mergeCell ref="E1226:G1226"/>
    <mergeCell ref="E1227:G1227"/>
    <mergeCell ref="E1228:G1228"/>
    <mergeCell ref="S2626:T2626"/>
    <mergeCell ref="V2626:W2626"/>
    <mergeCell ref="AD2626:AE2626"/>
    <mergeCell ref="K2621:L2621"/>
    <mergeCell ref="I2625:J2625"/>
    <mergeCell ref="F2572:H2572"/>
    <mergeCell ref="G2573:I2573"/>
    <mergeCell ref="K2573:L2573"/>
    <mergeCell ref="P2573:R2573"/>
    <mergeCell ref="T2573:U2573"/>
    <mergeCell ref="Y2573:Z2573"/>
    <mergeCell ref="AB2573:AC2573"/>
    <mergeCell ref="AE2573:AF2573"/>
    <mergeCell ref="AJ2573:AL2573"/>
    <mergeCell ref="AN2573:AP2573"/>
    <mergeCell ref="G2574:I2574"/>
    <mergeCell ref="J2575:L2575"/>
    <mergeCell ref="N2575:O2575"/>
    <mergeCell ref="Q2575:S2575"/>
    <mergeCell ref="F2576:H2576"/>
    <mergeCell ref="O2576:Q2576"/>
    <mergeCell ref="O2622:P2622"/>
    <mergeCell ref="G2581:I2581"/>
    <mergeCell ref="J2582:L2582"/>
    <mergeCell ref="N2582:O2582"/>
    <mergeCell ref="Q2582:S2582"/>
    <mergeCell ref="F2583:H2583"/>
    <mergeCell ref="O2583:Q2583"/>
    <mergeCell ref="AH2578:AI2578"/>
    <mergeCell ref="AO2580:AP2580"/>
    <mergeCell ref="E1255:F1255"/>
    <mergeCell ref="H1255:I1255"/>
    <mergeCell ref="K1255:M1255"/>
    <mergeCell ref="O1255:Q1255"/>
    <mergeCell ref="V2281:AA2281"/>
    <mergeCell ref="W2270:AB2270"/>
    <mergeCell ref="Q2466:R2466"/>
    <mergeCell ref="Q2470:S2470"/>
    <mergeCell ref="G2472:I2472"/>
    <mergeCell ref="AA2472:AC2472"/>
    <mergeCell ref="AF2461:AG2461"/>
    <mergeCell ref="F2433:H2433"/>
    <mergeCell ref="F2436:H2436"/>
    <mergeCell ref="L2436:M2436"/>
    <mergeCell ref="F2437:H2437"/>
    <mergeCell ref="N2437:O2437"/>
    <mergeCell ref="F2438:H2438"/>
    <mergeCell ref="N2438:O2438"/>
    <mergeCell ref="S2438:T2438"/>
    <mergeCell ref="F2440:H2440"/>
    <mergeCell ref="J2440:K2440"/>
    <mergeCell ref="AL2461:AM2461"/>
    <mergeCell ref="AO2461:AQ2461"/>
    <mergeCell ref="AJ2441:AL2441"/>
    <mergeCell ref="F2442:H2442"/>
    <mergeCell ref="J2442:K2442"/>
    <mergeCell ref="R2442:S2442"/>
    <mergeCell ref="U2442:V2442"/>
    <mergeCell ref="AC2442:AD2442"/>
    <mergeCell ref="AH2442:AI2442"/>
    <mergeCell ref="AK2442:AM2442"/>
    <mergeCell ref="J2444:L2444"/>
    <mergeCell ref="N2444:O2444"/>
    <mergeCell ref="S2444:T2444"/>
    <mergeCell ref="AR2580:AS2580"/>
    <mergeCell ref="AW2580:AY2580"/>
    <mergeCell ref="BJ2580:BL2580"/>
    <mergeCell ref="BN2580:BP2580"/>
    <mergeCell ref="AG2589:AH2589"/>
    <mergeCell ref="T2590:U2590"/>
    <mergeCell ref="X2601:Y2601"/>
    <mergeCell ref="T2599:U2599"/>
    <mergeCell ref="AC2599:AD2599"/>
    <mergeCell ref="T2612:U2612"/>
    <mergeCell ref="AC2612:AD2612"/>
    <mergeCell ref="AG2603:AH2603"/>
    <mergeCell ref="T2604:U2604"/>
    <mergeCell ref="T2619:U2619"/>
    <mergeCell ref="BD2610:BD2612"/>
    <mergeCell ref="AU2611:AV2611"/>
    <mergeCell ref="BH2611:BI2611"/>
    <mergeCell ref="N2625:O2625"/>
    <mergeCell ref="Q2625:R2625"/>
    <mergeCell ref="T2625:U2625"/>
    <mergeCell ref="Y2625:Z2625"/>
    <mergeCell ref="BK2614:BL2614"/>
    <mergeCell ref="AV2617:AW2617"/>
    <mergeCell ref="BA2580:BB2580"/>
    <mergeCell ref="BD2580:BF2580"/>
    <mergeCell ref="Z2578:AA2578"/>
    <mergeCell ref="O2578:P2578"/>
    <mergeCell ref="W2578:X2578"/>
    <mergeCell ref="F2579:H2579"/>
    <mergeCell ref="G2580:I2580"/>
    <mergeCell ref="K2580:L2580"/>
    <mergeCell ref="P2580:R2580"/>
    <mergeCell ref="T2580:U2580"/>
    <mergeCell ref="W2580:X2580"/>
    <mergeCell ref="AC2580:AD2580"/>
    <mergeCell ref="AF2580:AG2580"/>
    <mergeCell ref="AI2580:AJ2580"/>
    <mergeCell ref="BN2640:BP2640"/>
    <mergeCell ref="AK2631:AL2631"/>
    <mergeCell ref="AN2631:AP2631"/>
    <mergeCell ref="I2632:J2632"/>
    <mergeCell ref="N2632:O2632"/>
    <mergeCell ref="Q2632:R2632"/>
    <mergeCell ref="Z2632:AA2632"/>
    <mergeCell ref="AE2632:AG2632"/>
    <mergeCell ref="O2633:P2633"/>
    <mergeCell ref="T2633:U2633"/>
    <mergeCell ref="W2633:Y2633"/>
    <mergeCell ref="AC2633:AD2633"/>
    <mergeCell ref="AH2633:AJ2633"/>
    <mergeCell ref="AO2633:AP2633"/>
    <mergeCell ref="AT2633:AV2633"/>
    <mergeCell ref="I2634:J2634"/>
    <mergeCell ref="N2634:O2634"/>
    <mergeCell ref="S2634:T2634"/>
    <mergeCell ref="V2634:W2634"/>
    <mergeCell ref="AC2634:AD2634"/>
    <mergeCell ref="AH2634:AI2634"/>
    <mergeCell ref="AK2634:AM2634"/>
    <mergeCell ref="BK2640:BL2640"/>
    <mergeCell ref="I2631:J2631"/>
    <mergeCell ref="P2631:Q2631"/>
    <mergeCell ref="U2631:V2631"/>
    <mergeCell ref="X2631:Y2631"/>
    <mergeCell ref="AA2631:AB2631"/>
    <mergeCell ref="AF2631:AG2631"/>
    <mergeCell ref="BF2640:BG2640"/>
    <mergeCell ref="M2627:N2627"/>
    <mergeCell ref="U2627:V2627"/>
    <mergeCell ref="X2627:Y2627"/>
    <mergeCell ref="AF2627:AG2627"/>
    <mergeCell ref="AS2627:AT2627"/>
    <mergeCell ref="D2665:F2665"/>
    <mergeCell ref="E2666:G2666"/>
    <mergeCell ref="I2666:J2666"/>
    <mergeCell ref="N2666:P2666"/>
    <mergeCell ref="R2666:S2666"/>
    <mergeCell ref="U2666:V2666"/>
    <mergeCell ref="AA2666:AB2666"/>
    <mergeCell ref="AD2666:AE2666"/>
    <mergeCell ref="AG2666:AH2666"/>
    <mergeCell ref="F2646:G2646"/>
    <mergeCell ref="K2646:L2646"/>
    <mergeCell ref="N2646:P2646"/>
    <mergeCell ref="V2646:W2646"/>
    <mergeCell ref="E2647:G2647"/>
    <mergeCell ref="K2647:M2647"/>
    <mergeCell ref="O2647:Q2647"/>
    <mergeCell ref="U2647:W2647"/>
    <mergeCell ref="E2648:G2648"/>
    <mergeCell ref="K2648:M2648"/>
    <mergeCell ref="Q2648:S2648"/>
    <mergeCell ref="U2648:W2648"/>
    <mergeCell ref="E2650:G2650"/>
    <mergeCell ref="E2651:G2651"/>
    <mergeCell ref="E2652:G2652"/>
    <mergeCell ref="E2653:G2653"/>
    <mergeCell ref="M2664:N2664"/>
    <mergeCell ref="U2664:V2664"/>
    <mergeCell ref="X2664:Y2664"/>
    <mergeCell ref="AF2664:AG2664"/>
    <mergeCell ref="BI2617:BJ2617"/>
    <mergeCell ref="AT2619:AW2619"/>
    <mergeCell ref="BH2619:BK2619"/>
    <mergeCell ref="O2588:T2588"/>
    <mergeCell ref="Q2597:V2597"/>
    <mergeCell ref="V2642:W2642"/>
    <mergeCell ref="Y2642:Z2642"/>
    <mergeCell ref="AB2642:AC2642"/>
    <mergeCell ref="M2644:N2644"/>
    <mergeCell ref="V2644:W2644"/>
    <mergeCell ref="J2642:K2642"/>
    <mergeCell ref="Q2642:R2642"/>
    <mergeCell ref="L2643:M2643"/>
    <mergeCell ref="O2643:Q2643"/>
    <mergeCell ref="P2638:Q2638"/>
    <mergeCell ref="AN2640:AO2640"/>
    <mergeCell ref="AT2603:AW2603"/>
    <mergeCell ref="AQ2610:AQ2612"/>
    <mergeCell ref="I2635:J2635"/>
    <mergeCell ref="N2635:O2635"/>
    <mergeCell ref="Q2635:R2635"/>
    <mergeCell ref="Z2635:AA2635"/>
    <mergeCell ref="AE2635:AG2635"/>
    <mergeCell ref="O2636:P2636"/>
    <mergeCell ref="T2636:U2636"/>
    <mergeCell ref="W2636:Y2636"/>
    <mergeCell ref="I2607:K2607"/>
    <mergeCell ref="AF2640:AG2640"/>
    <mergeCell ref="AI2640:AJ2640"/>
    <mergeCell ref="AH2625:AI2625"/>
    <mergeCell ref="Y2589:Z2589"/>
    <mergeCell ref="Y2603:Z2603"/>
    <mergeCell ref="AX2614:AY2614"/>
    <mergeCell ref="AQ2626:AR2626"/>
    <mergeCell ref="K2626:L2626"/>
    <mergeCell ref="BE2723:BG2723"/>
    <mergeCell ref="AD2724:AF2724"/>
    <mergeCell ref="Q2727:S2727"/>
    <mergeCell ref="Q2730:S2730"/>
    <mergeCell ref="AX2696:BA2696"/>
    <mergeCell ref="AU2723:AW2723"/>
    <mergeCell ref="AY2723:BA2723"/>
    <mergeCell ref="P2724:R2724"/>
    <mergeCell ref="T2724:V2724"/>
    <mergeCell ref="X2724:Z2724"/>
    <mergeCell ref="X2723:Z2723"/>
    <mergeCell ref="AG2705:AH2705"/>
    <mergeCell ref="E2672:G2672"/>
    <mergeCell ref="H2673:J2673"/>
    <mergeCell ref="L2673:M2673"/>
    <mergeCell ref="O2673:Q2673"/>
    <mergeCell ref="E2674:G2674"/>
    <mergeCell ref="N2674:P2674"/>
    <mergeCell ref="B2586:CC2586"/>
    <mergeCell ref="AH2659:AJ2659"/>
    <mergeCell ref="AL2659:AN2659"/>
    <mergeCell ref="E2660:G2660"/>
    <mergeCell ref="H2661:J2661"/>
    <mergeCell ref="L2661:M2661"/>
    <mergeCell ref="O2661:Q2661"/>
    <mergeCell ref="D2662:F2662"/>
    <mergeCell ref="M2662:O2662"/>
    <mergeCell ref="Q2657:R2657"/>
    <mergeCell ref="V2657:W2657"/>
    <mergeCell ref="W2659:X2659"/>
    <mergeCell ref="Z2659:AA2659"/>
    <mergeCell ref="AC2659:AD2659"/>
    <mergeCell ref="K2671:M2671"/>
    <mergeCell ref="O2671:Q2671"/>
    <mergeCell ref="U2671:W2671"/>
    <mergeCell ref="Y2671:AA2671"/>
    <mergeCell ref="AC2671:AE2671"/>
    <mergeCell ref="AM2666:AN2666"/>
    <mergeCell ref="AP2666:AQ2666"/>
    <mergeCell ref="BB2666:BD2666"/>
    <mergeCell ref="BF2666:BG2666"/>
    <mergeCell ref="BI2666:BK2666"/>
    <mergeCell ref="BO2666:BQ2666"/>
    <mergeCell ref="BS2666:BU2666"/>
    <mergeCell ref="G2643:H2643"/>
    <mergeCell ref="AC2636:AD2636"/>
    <mergeCell ref="E2667:G2667"/>
    <mergeCell ref="H2668:J2668"/>
    <mergeCell ref="L2668:M2668"/>
    <mergeCell ref="O2668:Q2668"/>
    <mergeCell ref="D2669:F2669"/>
    <mergeCell ref="M2669:O2669"/>
    <mergeCell ref="AU2666:AW2666"/>
    <mergeCell ref="AY2666:AZ2666"/>
    <mergeCell ref="D2658:F2658"/>
    <mergeCell ref="E2659:G2659"/>
    <mergeCell ref="I2659:J2659"/>
    <mergeCell ref="N2659:P2659"/>
    <mergeCell ref="R2659:S2659"/>
    <mergeCell ref="E2654:G2654"/>
    <mergeCell ref="Y2610:AA2610"/>
    <mergeCell ref="Y2614:AA2614"/>
    <mergeCell ref="O2611:Q2611"/>
    <mergeCell ref="AH2636:AJ2636"/>
    <mergeCell ref="AS2653:AV2653"/>
    <mergeCell ref="AX2627:AY2627"/>
    <mergeCell ref="AQ2640:AR2640"/>
    <mergeCell ref="AT2640:AU2640"/>
    <mergeCell ref="Y2690:Z2690"/>
    <mergeCell ref="Y2692:Z2692"/>
    <mergeCell ref="M2690:N2690"/>
    <mergeCell ref="AK2690:AL2690"/>
    <mergeCell ref="N2680:O2680"/>
    <mergeCell ref="Y2679:Z2679"/>
    <mergeCell ref="AX2680:BA2680"/>
    <mergeCell ref="AU2687:AU2689"/>
    <mergeCell ref="AY2688:AZ2688"/>
    <mergeCell ref="AO2636:AP2636"/>
    <mergeCell ref="AT2636:AV2636"/>
    <mergeCell ref="G2638:H2638"/>
    <mergeCell ref="J2638:K2638"/>
    <mergeCell ref="M2638:N2638"/>
    <mergeCell ref="Z2638:AB2638"/>
    <mergeCell ref="N2640:O2640"/>
    <mergeCell ref="Q2640:R2640"/>
    <mergeCell ref="T2640:U2640"/>
    <mergeCell ref="W2640:X2640"/>
    <mergeCell ref="Z2640:AA2640"/>
    <mergeCell ref="AC2640:AD2640"/>
    <mergeCell ref="G2830:I2830"/>
    <mergeCell ref="K2830:L2830"/>
    <mergeCell ref="N2830:O2830"/>
    <mergeCell ref="Q2830:R2830"/>
    <mergeCell ref="G2831:I2831"/>
    <mergeCell ref="K2831:L2831"/>
    <mergeCell ref="N2831:O2831"/>
    <mergeCell ref="G2834:I2834"/>
  </mergeCells>
  <dataValidations disablePrompts="1" count="1">
    <dataValidation type="list" allowBlank="1" showInputMessage="1" showErrorMessage="1" sqref="O63:T63 O289:T289 O120:T120 O177:T177 O233:T233 O5:T5 O345:T345 O386:T386 O627:T627 O742:T742 O889:T889 O952:T952 O1008:T1008 O1068:T1068 O1260:T1260 O1315:T1315 O1371:T1371 O432:T432 M2001:R2001 U2000:Z2000 AC2000:AH2000 Y1888:AD1888 I2074:N2074 Q2075:V2075 Y2074:AD2074 O2179:T2179 BB2179:BG2179 W2270:AB2270 V2281:AA2281 Y2392:AD2392 AA2404:AF2404 L2764:Q2764 O2754:T2754 L2851:Q2851 P2841:U2841 O1164:T1164 Q2488:V2488 N2508:S2508 O2588:T2588 Q2597:V2597 AG2680:AL2680 AI2686:AN2686" xr:uid="{16C70590-E67A-48B1-936E-44EFCC583DCF}">
      <formula1>$CG$24:$CG$138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55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cp:lastPrinted>2025-08-13T17:11:52Z</cp:lastPrinted>
  <dcterms:created xsi:type="dcterms:W3CDTF">2025-07-18T07:22:25Z</dcterms:created>
  <dcterms:modified xsi:type="dcterms:W3CDTF">2025-09-21T16:26:38Z</dcterms:modified>
</cp:coreProperties>
</file>