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rcan Dosyalar\ozel\satis\yeni_yönetmelige_gore_hesaplar(sifreli)\statik_hesaplar\"/>
    </mc:Choice>
  </mc:AlternateContent>
  <xr:revisionPtr revIDLastSave="0" documentId="13_ncr:1_{8B21B561-A4BB-4BD0-A2CF-78E580E86C19}" xr6:coauthVersionLast="47" xr6:coauthVersionMax="47" xr10:uidLastSave="{00000000-0000-0000-0000-000000000000}"/>
  <bookViews>
    <workbookView xWindow="-120" yWindow="-120" windowWidth="29040" windowHeight="15840" xr2:uid="{39B0CF08-F45B-4531-84AE-DE532406BE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74" i="1" l="1"/>
  <c r="AH173" i="1"/>
  <c r="AH172" i="1"/>
  <c r="AH171" i="1"/>
  <c r="AH170" i="1"/>
  <c r="AI138" i="1"/>
  <c r="AI137" i="1"/>
  <c r="AH187" i="1"/>
  <c r="AH189" i="1" s="1"/>
  <c r="AN186" i="1"/>
  <c r="AJ186" i="1"/>
  <c r="AR186" i="1" s="1"/>
  <c r="AN169" i="1"/>
  <c r="AJ169" i="1"/>
  <c r="AR169" i="1" s="1"/>
  <c r="AH153" i="1"/>
  <c r="AN152" i="1"/>
  <c r="AJ152" i="1"/>
  <c r="AN135" i="1"/>
  <c r="AJ135" i="1"/>
  <c r="AR135" i="1" l="1"/>
  <c r="AI136" i="1" s="1"/>
  <c r="AH188" i="1"/>
  <c r="AR152" i="1"/>
  <c r="AH155" i="1" s="1"/>
  <c r="AH154" i="1" l="1"/>
  <c r="Z123" i="1" l="1"/>
  <c r="O123" i="1" s="1"/>
  <c r="AH121" i="1"/>
  <c r="AG107" i="1" s="1"/>
  <c r="AH120" i="1"/>
  <c r="AN118" i="1"/>
  <c r="AJ118" i="1"/>
  <c r="Q100" i="1"/>
  <c r="J88" i="1" s="1"/>
  <c r="G98" i="1"/>
  <c r="AH93" i="1"/>
  <c r="AN94" i="1" s="1"/>
  <c r="AH92" i="1"/>
  <c r="AJ94" i="1" s="1"/>
  <c r="AR94" i="1" s="1"/>
  <c r="AL95" i="1" s="1"/>
  <c r="Q84" i="1"/>
  <c r="G82" i="1"/>
  <c r="AH77" i="1"/>
  <c r="AN78" i="1" s="1"/>
  <c r="AH76" i="1"/>
  <c r="AJ78" i="1" s="1"/>
  <c r="J72" i="1"/>
  <c r="R48" i="1"/>
  <c r="AH47" i="1"/>
  <c r="AH46" i="1"/>
  <c r="AN44" i="1"/>
  <c r="AJ44" i="1"/>
  <c r="Z65" i="1"/>
  <c r="P65" i="1" s="1"/>
  <c r="AI62" i="1"/>
  <c r="AO60" i="1"/>
  <c r="AK60" i="1"/>
  <c r="R31" i="1"/>
  <c r="AI27" i="1"/>
  <c r="AO25" i="1"/>
  <c r="AK25" i="1"/>
  <c r="AH81" i="1" l="1"/>
  <c r="AR118" i="1"/>
  <c r="AL119" i="1" s="1"/>
  <c r="AH80" i="1"/>
  <c r="AH96" i="1"/>
  <c r="R98" i="1"/>
  <c r="R82" i="1"/>
  <c r="AR78" i="1"/>
  <c r="AL79" i="1" s="1"/>
  <c r="AV80" i="1" s="1"/>
  <c r="AV81" i="1" s="1"/>
  <c r="AH97" i="1"/>
  <c r="AJ122" i="1"/>
  <c r="AN107" i="1"/>
  <c r="AG111" i="1"/>
  <c r="AN111" i="1"/>
  <c r="AQ101" i="1"/>
  <c r="AV96" i="1"/>
  <c r="AV97" i="1" s="1"/>
  <c r="AQ96" i="1"/>
  <c r="AR44" i="1"/>
  <c r="AL45" i="1" s="1"/>
  <c r="AW46" i="1" s="1"/>
  <c r="AS60" i="1"/>
  <c r="AM61" i="1" s="1"/>
  <c r="AJ63" i="1" s="1"/>
  <c r="AJ64" i="1" s="1"/>
  <c r="AJ65" i="1" s="1"/>
  <c r="AJ48" i="1"/>
  <c r="AS25" i="1"/>
  <c r="AM26" i="1" s="1"/>
  <c r="AI29" i="1" s="1"/>
  <c r="AI32" i="1" s="1"/>
  <c r="AJ82" i="1" l="1"/>
  <c r="AQ81" i="1" s="1"/>
  <c r="AQ85" i="1"/>
  <c r="AQ86" i="1" s="1"/>
  <c r="AQ80" i="1"/>
  <c r="AQ102" i="1"/>
  <c r="AQ100" i="1" s="1"/>
  <c r="AV84" i="1"/>
  <c r="AV100" i="1"/>
  <c r="AV101" i="1" s="1"/>
  <c r="AH100" i="1" s="1"/>
  <c r="AN106" i="1" s="1"/>
  <c r="AJ98" i="1"/>
  <c r="AW43" i="1"/>
  <c r="AW41" i="1"/>
  <c r="BB41" i="1"/>
  <c r="AW47" i="1"/>
  <c r="AW45" i="1" s="1"/>
  <c r="AW42" i="1"/>
  <c r="AI30" i="1"/>
  <c r="AI31" i="1" s="1"/>
  <c r="AQ82" i="1" l="1"/>
  <c r="AQ83" i="1" s="1"/>
  <c r="AV82" i="1" s="1"/>
  <c r="AG105" i="1" s="1"/>
  <c r="AQ84" i="1"/>
  <c r="AG106" i="1"/>
  <c r="AH83" i="1"/>
  <c r="AN105" i="1"/>
  <c r="AN108" i="1" s="1"/>
  <c r="AW112" i="1" s="1"/>
  <c r="AH124" i="1" s="1"/>
  <c r="AV85" i="1"/>
  <c r="AQ97" i="1"/>
  <c r="AQ98" i="1"/>
  <c r="AG110" i="1"/>
  <c r="AN110" i="1"/>
  <c r="AH99" i="1"/>
  <c r="AW44" i="1"/>
  <c r="BB45" i="1"/>
  <c r="BB42" i="1"/>
  <c r="AI28" i="1"/>
  <c r="AG108" i="1" l="1"/>
  <c r="AV83" i="1"/>
  <c r="AG109" i="1" s="1"/>
  <c r="AG112" i="1" s="1"/>
  <c r="BB43" i="1"/>
  <c r="BB44" i="1" s="1"/>
  <c r="AQ99" i="1"/>
  <c r="AV98" i="1" s="1"/>
  <c r="AV99" i="1" s="1"/>
  <c r="AN109" i="1"/>
  <c r="AN112" i="1" s="1"/>
  <c r="AW108" i="1" s="1"/>
  <c r="AH123" i="1" s="1"/>
  <c r="AH84" i="1"/>
  <c r="AH50" i="1"/>
  <c r="BB46" i="1"/>
  <c r="AH49" i="1" s="1"/>
  <c r="AI221" i="1"/>
  <c r="R223" i="1"/>
  <c r="AI220" i="1"/>
  <c r="AO218" i="1"/>
  <c r="AK218" i="1"/>
  <c r="AI204" i="1"/>
  <c r="AO202" i="1"/>
  <c r="AK202" i="1"/>
  <c r="R207" i="1"/>
  <c r="I14" i="1"/>
  <c r="AI10" i="1" s="1"/>
  <c r="AO9" i="1"/>
  <c r="AK9" i="1"/>
  <c r="M429" i="1"/>
  <c r="U424" i="1" s="1"/>
  <c r="M312" i="1"/>
  <c r="R418" i="1"/>
  <c r="P287" i="1"/>
  <c r="AK282" i="1"/>
  <c r="AI253" i="1"/>
  <c r="AI285" i="1"/>
  <c r="AI284" i="1"/>
  <c r="AO282" i="1"/>
  <c r="AK266" i="1"/>
  <c r="P271" i="1"/>
  <c r="AI268" i="1"/>
  <c r="AO266" i="1"/>
  <c r="AI252" i="1"/>
  <c r="AI236" i="1"/>
  <c r="AO234" i="1"/>
  <c r="AK234" i="1"/>
  <c r="Z239" i="1"/>
  <c r="P239" i="1" s="1"/>
  <c r="G526" i="1"/>
  <c r="G527" i="1" s="1"/>
  <c r="G513" i="1"/>
  <c r="G514" i="1" s="1"/>
  <c r="G392" i="1"/>
  <c r="G405" i="1"/>
  <c r="G406" i="1" s="1"/>
  <c r="U311" i="1"/>
  <c r="Z301" i="1"/>
  <c r="U429" i="1"/>
  <c r="U428" i="1"/>
  <c r="X424" i="1"/>
  <c r="X423" i="1"/>
  <c r="U423" i="1"/>
  <c r="U312" i="1"/>
  <c r="AS218" i="1" l="1"/>
  <c r="AI222" i="1" s="1"/>
  <c r="V14" i="1"/>
  <c r="AS202" i="1"/>
  <c r="AS9" i="1"/>
  <c r="AD423" i="1"/>
  <c r="W426" i="1" s="1"/>
  <c r="AD424" i="1"/>
  <c r="AA426" i="1" s="1"/>
  <c r="AS282" i="1"/>
  <c r="AM283" i="1" s="1"/>
  <c r="AS234" i="1"/>
  <c r="AM235" i="1" s="1"/>
  <c r="AS266" i="1"/>
  <c r="AM267" i="1" s="1"/>
  <c r="Z255" i="1"/>
  <c r="P255" i="1" s="1"/>
  <c r="G393" i="1"/>
  <c r="X307" i="1"/>
  <c r="U307" i="1"/>
  <c r="X306" i="1"/>
  <c r="U306" i="1"/>
  <c r="P301" i="1"/>
  <c r="AM219" i="1" l="1"/>
  <c r="AI223" i="1"/>
  <c r="AM203" i="1"/>
  <c r="AI209" i="1"/>
  <c r="AI208" i="1"/>
  <c r="AD306" i="1"/>
  <c r="W309" i="1" s="1"/>
  <c r="AI207" i="1"/>
  <c r="AI206" i="1"/>
  <c r="AI205" i="1"/>
  <c r="AJ11" i="1"/>
  <c r="AD307" i="1"/>
  <c r="AN286" i="1"/>
  <c r="AI287" i="1" s="1"/>
  <c r="AI270" i="1"/>
  <c r="AI273" i="1" s="1"/>
  <c r="AK250" i="1"/>
  <c r="AJ237" i="1"/>
  <c r="AE426" i="1"/>
  <c r="Y427" i="1" s="1"/>
  <c r="AJ12" i="1" l="1"/>
  <c r="AJ13" i="1" s="1"/>
  <c r="AI288" i="1"/>
  <c r="AI271" i="1"/>
  <c r="AI269" i="1" s="1"/>
  <c r="F434" i="1"/>
  <c r="F436" i="1" s="1"/>
  <c r="AA309" i="1"/>
  <c r="AE309" i="1" s="1"/>
  <c r="Y310" i="1" s="1"/>
  <c r="AO250" i="1"/>
  <c r="AS250" i="1" s="1"/>
  <c r="AM251" i="1" s="1"/>
  <c r="AJ238" i="1"/>
  <c r="AJ239" i="1" s="1"/>
  <c r="G461" i="1"/>
  <c r="AM443" i="1" l="1"/>
  <c r="N498" i="1" s="1"/>
  <c r="V498" i="1" s="1"/>
  <c r="V500" i="1" s="1"/>
  <c r="V499" i="1" s="1"/>
  <c r="V501" i="1" s="1"/>
  <c r="AI272" i="1"/>
  <c r="G471" i="1"/>
  <c r="G469" i="1" s="1"/>
  <c r="P448" i="1"/>
  <c r="S457" i="1" s="1"/>
  <c r="X510" i="1" s="1"/>
  <c r="X511" i="1" s="1"/>
  <c r="F432" i="1"/>
  <c r="F443" i="1" s="1"/>
  <c r="N501" i="1" s="1"/>
  <c r="AN254" i="1"/>
  <c r="AI256" i="1" s="1"/>
  <c r="N315" i="1"/>
  <c r="N317" i="1" s="1"/>
  <c r="F315" i="1"/>
  <c r="F324" i="1" s="1"/>
  <c r="G340" i="1"/>
  <c r="G345" i="1" l="1"/>
  <c r="Z443" i="1"/>
  <c r="Z498" i="1" s="1"/>
  <c r="Z500" i="1" s="1"/>
  <c r="Z499" i="1" s="1"/>
  <c r="Z501" i="1" s="1"/>
  <c r="R498" i="1"/>
  <c r="R500" i="1" s="1"/>
  <c r="R499" i="1" s="1"/>
  <c r="R501" i="1" s="1"/>
  <c r="G466" i="1"/>
  <c r="V480" i="1" s="1"/>
  <c r="Y523" i="1" s="1"/>
  <c r="Y524" i="1" s="1"/>
  <c r="S443" i="1"/>
  <c r="N499" i="1" s="1"/>
  <c r="F448" i="1"/>
  <c r="G457" i="1" s="1"/>
  <c r="P510" i="1" s="1"/>
  <c r="P511" i="1" s="1"/>
  <c r="G350" i="1"/>
  <c r="AI255" i="1"/>
  <c r="AM324" i="1"/>
  <c r="N377" i="1" s="1"/>
  <c r="V377" i="1" s="1"/>
  <c r="V379" i="1" s="1"/>
  <c r="V378" i="1" s="1"/>
  <c r="V380" i="1" s="1"/>
  <c r="S324" i="1"/>
  <c r="U334" i="1"/>
  <c r="S336" i="1"/>
  <c r="F317" i="1"/>
  <c r="I334" i="1" s="1"/>
  <c r="G464" i="1" l="1"/>
  <c r="G480" i="1" s="1"/>
  <c r="Q523" i="1" s="1"/>
  <c r="Q524" i="1" s="1"/>
  <c r="AE501" i="1"/>
  <c r="T511" i="1" s="1"/>
  <c r="U524" i="1" s="1"/>
  <c r="N500" i="1"/>
  <c r="AE500" i="1" s="1"/>
  <c r="T510" i="1" s="1"/>
  <c r="U523" i="1" s="1"/>
  <c r="G336" i="1"/>
  <c r="P389" i="1" s="1"/>
  <c r="P390" i="1" s="1"/>
  <c r="Z324" i="1"/>
  <c r="Z377" i="1" s="1"/>
  <c r="Z379" i="1" s="1"/>
  <c r="Z378" i="1" s="1"/>
  <c r="Z380" i="1" s="1"/>
  <c r="AE498" i="1"/>
  <c r="L510" i="1" s="1"/>
  <c r="AE499" i="1"/>
  <c r="L511" i="1" s="1"/>
  <c r="R377" i="1"/>
  <c r="N380" i="1"/>
  <c r="X389" i="1"/>
  <c r="X390" i="1" s="1"/>
  <c r="N378" i="1"/>
  <c r="G348" i="1"/>
  <c r="V359" i="1" l="1"/>
  <c r="Y402" i="1" s="1"/>
  <c r="Y403" i="1" s="1"/>
  <c r="M524" i="1"/>
  <c r="AC524" i="1" s="1"/>
  <c r="K527" i="1" s="1"/>
  <c r="O527" i="1" s="1"/>
  <c r="N379" i="1"/>
  <c r="AB510" i="1"/>
  <c r="J513" i="1" s="1"/>
  <c r="N513" i="1" s="1"/>
  <c r="M523" i="1"/>
  <c r="AC523" i="1" s="1"/>
  <c r="K526" i="1" s="1"/>
  <c r="O526" i="1" s="1"/>
  <c r="G343" i="1"/>
  <c r="R379" i="1"/>
  <c r="R378" i="1" s="1"/>
  <c r="R380" i="1" s="1"/>
  <c r="AE380" i="1" s="1"/>
  <c r="T390" i="1" s="1"/>
  <c r="U403" i="1" s="1"/>
  <c r="AE377" i="1"/>
  <c r="L389" i="1" s="1"/>
  <c r="G359" i="1" l="1"/>
  <c r="Q402" i="1" s="1"/>
  <c r="Q403" i="1" s="1"/>
  <c r="AB511" i="1"/>
  <c r="J514" i="1" s="1"/>
  <c r="N514" i="1" s="1"/>
  <c r="AE379" i="1"/>
  <c r="T389" i="1" s="1"/>
  <c r="U402" i="1" s="1"/>
  <c r="AE378" i="1"/>
  <c r="M402" i="1"/>
  <c r="L390" i="1" l="1"/>
  <c r="AB390" i="1" s="1"/>
  <c r="J393" i="1" s="1"/>
  <c r="N393" i="1" s="1"/>
  <c r="AC402" i="1"/>
  <c r="K405" i="1" s="1"/>
  <c r="O405" i="1" s="1"/>
  <c r="AB389" i="1"/>
  <c r="J392" i="1" s="1"/>
  <c r="N392" i="1" s="1"/>
  <c r="M403" i="1" l="1"/>
  <c r="AC403" i="1" s="1"/>
  <c r="K406" i="1" s="1"/>
  <c r="O406" i="1" s="1"/>
</calcChain>
</file>

<file path=xl/sharedStrings.xml><?xml version="1.0" encoding="utf-8"?>
<sst xmlns="http://schemas.openxmlformats.org/spreadsheetml/2006/main" count="953" uniqueCount="162">
  <si>
    <t>I</t>
  </si>
  <si>
    <t>Io</t>
  </si>
  <si>
    <t>L=</t>
  </si>
  <si>
    <t>m</t>
  </si>
  <si>
    <r>
      <t>l</t>
    </r>
    <r>
      <rPr>
        <sz val="8"/>
        <color theme="1"/>
        <rFont val="Arial"/>
        <family val="2"/>
        <charset val="162"/>
      </rPr>
      <t>L =</t>
    </r>
  </si>
  <si>
    <r>
      <t>Io</t>
    </r>
    <r>
      <rPr>
        <sz val="8"/>
        <color theme="1"/>
        <rFont val="Arial"/>
        <family val="2"/>
        <charset val="162"/>
      </rPr>
      <t xml:space="preserve"> =</t>
    </r>
  </si>
  <si>
    <t>*</t>
  </si>
  <si>
    <t>=</t>
  </si>
  <si>
    <t>m4</t>
  </si>
  <si>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>/</t>
    </r>
  </si>
  <si>
    <r>
      <t>I</t>
    </r>
    <r>
      <rPr>
        <sz val="8"/>
        <color theme="1"/>
        <rFont val="Arial"/>
        <family val="2"/>
        <charset val="162"/>
      </rPr>
      <t xml:space="preserve"> =</t>
    </r>
  </si>
  <si>
    <t>E=</t>
  </si>
  <si>
    <t>N/mm²</t>
  </si>
  <si>
    <t>(elastisite modülü)</t>
  </si>
  <si>
    <r>
      <t xml:space="preserve">n =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o /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=</t>
    </r>
  </si>
  <si>
    <t xml:space="preserve"> /</t>
  </si>
  <si>
    <r>
      <t xml:space="preserve">c = 1 / n </t>
    </r>
    <r>
      <rPr>
        <vertAlign val="superscript"/>
        <sz val="8"/>
        <color theme="1"/>
        <rFont val="Arial"/>
        <family val="2"/>
        <charset val="162"/>
      </rPr>
      <t>1 / 3</t>
    </r>
    <r>
      <rPr>
        <sz val="8"/>
        <color theme="1"/>
        <rFont val="Arial"/>
        <family val="2"/>
        <charset val="162"/>
      </rPr>
      <t xml:space="preserve">  -  1 =</t>
    </r>
  </si>
  <si>
    <t>i</t>
  </si>
  <si>
    <t>j</t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</si>
  <si>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ij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ji</t>
    </r>
    <r>
      <rPr>
        <sz val="8"/>
        <color theme="1"/>
        <rFont val="Arial"/>
        <family val="2"/>
        <charset val="162"/>
      </rPr>
      <t xml:space="preserve"> =</t>
    </r>
    <r>
      <rPr>
        <sz val="8"/>
        <color theme="1"/>
        <rFont val="Arial"/>
        <family val="1"/>
        <charset val="2"/>
      </rPr>
      <t xml:space="preserve"> 0,5 - (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1"/>
        <charset val="2"/>
      </rPr>
      <t xml:space="preserve"> </t>
    </r>
    <r>
      <rPr>
        <sz val="8"/>
        <color theme="1"/>
        <rFont val="Arial"/>
        <family val="2"/>
        <charset val="162"/>
      </rPr>
      <t>* c * (</t>
    </r>
    <r>
      <rPr>
        <sz val="8"/>
        <color theme="1"/>
        <rFont val="Arial"/>
        <family val="1"/>
        <charset val="162"/>
      </rPr>
      <t xml:space="preserve"> 2 * c + 3 ) / ( 2 * ( c + 1 )² ) ) -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ii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</si>
  <si>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ii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jj</t>
    </r>
    <r>
      <rPr>
        <sz val="8"/>
        <color theme="1"/>
        <rFont val="Arial"/>
        <family val="2"/>
        <charset val="162"/>
      </rPr>
      <t xml:space="preserve"> =</t>
    </r>
    <r>
      <rPr>
        <sz val="8"/>
        <color theme="1"/>
        <rFont val="Arial"/>
        <family val="1"/>
        <charset val="2"/>
      </rPr>
      <t xml:space="preserve"> (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1"/>
        <charset val="2"/>
      </rPr>
      <t xml:space="preserve"> </t>
    </r>
    <r>
      <rPr>
        <sz val="8"/>
        <color theme="1"/>
        <rFont val="Arial"/>
        <family val="2"/>
        <charset val="162"/>
      </rPr>
      <t>* (</t>
    </r>
    <r>
      <rPr>
        <sz val="8"/>
        <color theme="1"/>
        <rFont val="Arial"/>
        <family val="1"/>
        <charset val="162"/>
      </rPr>
      <t xml:space="preserve"> c + 2 ) / ( 2 * ( c + 1 )² ) ) - (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1"/>
        <charset val="162"/>
      </rPr>
      <t xml:space="preserve">² / ( c + 1 ) ) + </t>
    </r>
    <r>
      <rPr>
        <sz val="8"/>
        <color theme="1"/>
        <rFont val="Symbol"/>
        <family val="1"/>
        <charset val="2"/>
      </rPr>
      <t>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1"/>
        <charset val="162"/>
      </rPr>
      <t xml:space="preserve"> / c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1"/>
        <charset val="162"/>
      </rPr>
      <t xml:space="preserve"> * ( 2 * ln ( c + 1 ) + c² - 2 * c ) + </t>
    </r>
    <r>
      <rPr>
        <sz val="8"/>
        <color theme="1"/>
        <rFont val="Arial"/>
        <family val="1"/>
        <charset val="2"/>
      </rPr>
      <t xml:space="preserve">( ( 1 -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1"/>
        <charset val="2"/>
      </rPr>
      <t xml:space="preserve"> )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1"/>
        <charset val="2"/>
      </rPr>
      <t xml:space="preserve"> - </t>
    </r>
    <r>
      <rPr>
        <sz val="8"/>
        <color theme="1"/>
        <rFont val="Symbol"/>
        <family val="1"/>
        <charset val="2"/>
      </rPr>
      <t>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1"/>
        <charset val="2"/>
      </rPr>
      <t xml:space="preserve"> ) / 3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</si>
  <si>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jj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</si>
  <si>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ii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</si>
  <si>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ji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</si>
  <si>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ij</t>
    </r>
    <r>
      <rPr>
        <sz val="8"/>
        <color theme="1"/>
        <rFont val="Arial"/>
        <family val="2"/>
        <charset val="162"/>
      </rPr>
      <t xml:space="preserve"> =</t>
    </r>
  </si>
  <si>
    <t>Mi = 1 KNm</t>
  </si>
  <si>
    <r>
      <t>f</t>
    </r>
    <r>
      <rPr>
        <vertAlign val="subscript"/>
        <sz val="8"/>
        <color theme="1"/>
        <rFont val="Arial"/>
        <family val="2"/>
        <charset val="162"/>
      </rPr>
      <t>ii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ii</t>
    </r>
    <r>
      <rPr>
        <sz val="8"/>
        <color theme="1"/>
        <rFont val="Arial"/>
        <family val="2"/>
        <charset val="162"/>
      </rPr>
      <t xml:space="preserve"> * L / </t>
    </r>
    <r>
      <rPr>
        <sz val="8"/>
        <color theme="1"/>
        <rFont val="Arial"/>
        <family val="2"/>
        <charset val="162"/>
      </rPr>
      <t xml:space="preserve">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</si>
  <si>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t>f</t>
    </r>
    <r>
      <rPr>
        <vertAlign val="subscript"/>
        <sz val="8"/>
        <color theme="1"/>
        <rFont val="Arial"/>
        <family val="2"/>
        <charset val="162"/>
      </rPr>
      <t>ii</t>
    </r>
    <r>
      <rPr>
        <sz val="8"/>
        <color theme="1"/>
        <rFont val="Arial"/>
        <family val="2"/>
        <charset val="162"/>
      </rPr>
      <t xml:space="preserve"> =</t>
    </r>
  </si>
  <si>
    <r>
      <t>f</t>
    </r>
    <r>
      <rPr>
        <vertAlign val="subscript"/>
        <sz val="8"/>
        <color theme="1"/>
        <rFont val="Arial"/>
        <family val="2"/>
        <charset val="162"/>
      </rPr>
      <t>ji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ji</t>
    </r>
    <r>
      <rPr>
        <sz val="8"/>
        <color theme="1"/>
        <rFont val="Arial"/>
        <family val="2"/>
        <charset val="162"/>
      </rPr>
      <t xml:space="preserve"> * L / </t>
    </r>
    <r>
      <rPr>
        <sz val="8"/>
        <color theme="1"/>
        <rFont val="Arial"/>
        <family val="2"/>
        <charset val="162"/>
      </rPr>
      <t xml:space="preserve">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</si>
  <si>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t>f</t>
    </r>
    <r>
      <rPr>
        <vertAlign val="subscript"/>
        <sz val="8"/>
        <color theme="1"/>
        <rFont val="Arial"/>
        <family val="2"/>
        <charset val="162"/>
      </rPr>
      <t>ji</t>
    </r>
    <r>
      <rPr>
        <sz val="8"/>
        <color theme="1"/>
        <rFont val="Arial"/>
        <family val="2"/>
        <charset val="162"/>
      </rPr>
      <t xml:space="preserve"> =</t>
    </r>
  </si>
  <si>
    <r>
      <t>f</t>
    </r>
    <r>
      <rPr>
        <vertAlign val="subscript"/>
        <sz val="8"/>
        <color theme="1"/>
        <rFont val="Arial"/>
        <family val="2"/>
        <charset val="162"/>
      </rPr>
      <t>ii</t>
    </r>
  </si>
  <si>
    <r>
      <t>f</t>
    </r>
    <r>
      <rPr>
        <vertAlign val="subscript"/>
        <sz val="8"/>
        <color theme="1"/>
        <rFont val="Arial"/>
        <family val="2"/>
        <charset val="162"/>
      </rPr>
      <t>ji</t>
    </r>
  </si>
  <si>
    <t>Mj = 1 KNm</t>
  </si>
  <si>
    <r>
      <t>f</t>
    </r>
    <r>
      <rPr>
        <vertAlign val="subscript"/>
        <sz val="8"/>
        <color theme="1"/>
        <rFont val="Arial"/>
        <family val="2"/>
        <charset val="162"/>
      </rPr>
      <t>ij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ij</t>
    </r>
    <r>
      <rPr>
        <sz val="8"/>
        <color theme="1"/>
        <rFont val="Arial"/>
        <family val="2"/>
        <charset val="162"/>
      </rPr>
      <t xml:space="preserve"> * L / </t>
    </r>
    <r>
      <rPr>
        <sz val="8"/>
        <color theme="1"/>
        <rFont val="Arial"/>
        <family val="2"/>
        <charset val="162"/>
      </rPr>
      <t xml:space="preserve">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</si>
  <si>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t>f</t>
    </r>
    <r>
      <rPr>
        <vertAlign val="subscript"/>
        <sz val="8"/>
        <color theme="1"/>
        <rFont val="Arial"/>
        <family val="2"/>
        <charset val="162"/>
      </rPr>
      <t>ij</t>
    </r>
    <r>
      <rPr>
        <sz val="8"/>
        <color theme="1"/>
        <rFont val="Arial"/>
        <family val="2"/>
        <charset val="162"/>
      </rPr>
      <t xml:space="preserve"> =</t>
    </r>
  </si>
  <si>
    <r>
      <t>f</t>
    </r>
    <r>
      <rPr>
        <vertAlign val="subscript"/>
        <sz val="8"/>
        <color theme="1"/>
        <rFont val="Arial"/>
        <family val="2"/>
        <charset val="162"/>
      </rPr>
      <t>io</t>
    </r>
  </si>
  <si>
    <r>
      <t>f</t>
    </r>
    <r>
      <rPr>
        <vertAlign val="subscript"/>
        <sz val="8"/>
        <color theme="1"/>
        <rFont val="Arial"/>
        <family val="2"/>
        <charset val="162"/>
      </rPr>
      <t>jo</t>
    </r>
  </si>
  <si>
    <r>
      <t>f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1 / 4 *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ij</t>
    </r>
    <r>
      <rPr>
        <sz val="8"/>
        <color theme="1"/>
        <rFont val="Arial"/>
        <family val="2"/>
        <charset val="162"/>
      </rPr>
      <t xml:space="preserve"> * 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</t>
    </r>
    <r>
      <rPr>
        <sz val="8"/>
        <color theme="1"/>
        <rFont val="Arial"/>
        <family val="2"/>
        <charset val="162"/>
      </rPr>
      <t xml:space="preserve">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</si>
  <si>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t>f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</t>
    </r>
  </si>
  <si>
    <r>
      <t>f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 1 / 4 *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ij</t>
    </r>
    <r>
      <rPr>
        <sz val="8"/>
        <color theme="1"/>
        <rFont val="Arial"/>
        <family val="2"/>
        <charset val="162"/>
      </rPr>
      <t xml:space="preserve"> * 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</t>
    </r>
    <r>
      <rPr>
        <sz val="8"/>
        <color theme="1"/>
        <rFont val="Arial"/>
        <family val="2"/>
        <charset val="162"/>
      </rPr>
      <t xml:space="preserve">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</si>
  <si>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t>f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</t>
    </r>
  </si>
  <si>
    <t>q = 1 KN/m</t>
  </si>
  <si>
    <r>
      <t xml:space="preserve">e = - c *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/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+ c + 1 </t>
    </r>
  </si>
  <si>
    <t>e =</t>
  </si>
  <si>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=&lt;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 için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</si>
  <si>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(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² / ( 2 * e² * ( c + 1 ) ) +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/ ( 2 * c ) * ( 1 - 1 / e² ) +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* ( 1 / 2 -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) -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jo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</si>
  <si>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</t>
    </r>
  </si>
  <si>
    <t>P</t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</si>
  <si>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</t>
    </r>
  </si>
  <si>
    <r>
      <t>f'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* L² / 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</si>
  <si>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t>f'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 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* L² / 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</si>
  <si>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rPr>
        <sz val="8"/>
        <color theme="1"/>
        <rFont val="Symbol"/>
        <family val="1"/>
        <charset val="2"/>
      </rPr>
      <t>l =&lt; h</t>
    </r>
    <r>
      <rPr>
        <sz val="8"/>
        <color theme="1"/>
        <rFont val="Arial"/>
        <family val="2"/>
        <charset val="162"/>
      </rPr>
      <t xml:space="preserve"> =&lt; ( 1 - 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)  için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</si>
  <si>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1 / 2 * (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² / ( c + 1 ) +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² -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² ) -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* (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- 1 / 2 ) -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jo</t>
    </r>
  </si>
  <si>
    <r>
      <t>f'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</t>
    </r>
  </si>
  <si>
    <r>
      <t>f'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</t>
    </r>
  </si>
  <si>
    <t>birim yerdeğiştirme sabitleri</t>
  </si>
  <si>
    <r>
      <t>mi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>i = kii = fjj / ( fii * fjj - fij² ) =</t>
    </r>
  </si>
  <si>
    <r>
      <t>f</t>
    </r>
    <r>
      <rPr>
        <vertAlign val="subscript"/>
        <sz val="8"/>
        <color theme="1"/>
        <rFont val="Arial"/>
        <family val="2"/>
        <charset val="162"/>
      </rPr>
      <t>jj</t>
    </r>
    <r>
      <rPr>
        <sz val="8"/>
        <color theme="1"/>
        <rFont val="Arial"/>
        <family val="2"/>
        <charset val="162"/>
      </rPr>
      <t xml:space="preserve"> =</t>
    </r>
  </si>
  <si>
    <r>
      <t>f</t>
    </r>
    <r>
      <rPr>
        <vertAlign val="subscript"/>
        <sz val="8"/>
        <color theme="1"/>
        <rFont val="Arial"/>
        <family val="2"/>
        <charset val="162"/>
      </rPr>
      <t>jj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jj</t>
    </r>
    <r>
      <rPr>
        <sz val="8"/>
        <color theme="1"/>
        <rFont val="Arial"/>
        <family val="2"/>
        <charset val="162"/>
      </rPr>
      <t xml:space="preserve"> * L / 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</si>
  <si>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t xml:space="preserve"> /(</t>
  </si>
  <si>
    <t>-</t>
  </si>
  <si>
    <t>² ) =</t>
  </si>
  <si>
    <r>
      <t>mi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>j = kij = fij / ( fii * fjj - fij² ) =</t>
    </r>
  </si>
  <si>
    <r>
      <t>mj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>i = kji = fji / ( fii * fjj - fij² ) =</t>
    </r>
  </si>
  <si>
    <r>
      <t>mj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>j = kjj = fii / ( fii * fjj - fij² ) =</t>
    </r>
  </si>
  <si>
    <t>ankastrelik momentleri (yayılı yük için)</t>
  </si>
  <si>
    <t>Mij = - kii * fio - kij * fjo =</t>
  </si>
  <si>
    <t>KNm</t>
  </si>
  <si>
    <t>Mji = - kji * fio - kjj * fjo =</t>
  </si>
  <si>
    <t>ankastrelik momentleri (tekil yük için)</t>
  </si>
  <si>
    <t>M'ij = - kii * f'io - kij * f'jo =</t>
  </si>
  <si>
    <t>M'ji = - kji * f'io - kjj * f'jo =</t>
  </si>
  <si>
    <t>tekil yük için</t>
  </si>
  <si>
    <t>yayılı yük için</t>
  </si>
  <si>
    <r>
      <rPr>
        <sz val="8"/>
        <color theme="1"/>
        <rFont val="Symbol"/>
        <family val="1"/>
        <charset val="2"/>
      </rPr>
      <t xml:space="preserve">  q</t>
    </r>
    <r>
      <rPr>
        <sz val="8"/>
        <color theme="1"/>
        <rFont val="Arial"/>
        <family val="2"/>
        <charset val="162"/>
      </rPr>
      <t>i = 1</t>
    </r>
  </si>
  <si>
    <r>
      <t>mj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>i</t>
    </r>
  </si>
  <si>
    <r>
      <rPr>
        <sz val="8"/>
        <color theme="1"/>
        <rFont val="Symbol"/>
        <family val="1"/>
        <charset val="2"/>
      </rPr>
      <t xml:space="preserve">  q</t>
    </r>
    <r>
      <rPr>
        <sz val="8"/>
        <color theme="1"/>
        <rFont val="Arial"/>
        <family val="2"/>
        <charset val="162"/>
      </rPr>
      <t>j = 1</t>
    </r>
  </si>
  <si>
    <r>
      <t>mi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>i</t>
    </r>
  </si>
  <si>
    <r>
      <t>mj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>j</t>
    </r>
  </si>
  <si>
    <r>
      <t>mi</t>
    </r>
    <r>
      <rPr>
        <sz val="8"/>
        <color theme="1"/>
        <rFont val="Symbol"/>
        <family val="1"/>
        <charset val="2"/>
      </rPr>
      <t>q</t>
    </r>
    <r>
      <rPr>
        <sz val="8"/>
        <color theme="1"/>
        <rFont val="Arial"/>
        <family val="2"/>
        <charset val="162"/>
      </rPr>
      <t>j</t>
    </r>
  </si>
  <si>
    <t>Mij</t>
  </si>
  <si>
    <t>Mji</t>
  </si>
  <si>
    <t>M'ij</t>
  </si>
  <si>
    <t>M'ji</t>
  </si>
  <si>
    <t>P = 1 KN</t>
  </si>
  <si>
    <r>
      <rPr>
        <sz val="8"/>
        <color theme="1"/>
        <rFont val="Symbol"/>
        <family val="1"/>
        <charset val="2"/>
      </rPr>
      <t>l</t>
    </r>
    <r>
      <rPr>
        <vertAlign val="subscript"/>
        <sz val="8"/>
        <color theme="1"/>
        <rFont val="Arial"/>
        <family val="2"/>
        <charset val="162"/>
      </rPr>
      <t xml:space="preserve"> </t>
    </r>
    <r>
      <rPr>
        <sz val="8"/>
        <color theme="1"/>
        <rFont val="Arial"/>
        <family val="2"/>
        <charset val="162"/>
      </rPr>
      <t>=</t>
    </r>
  </si>
  <si>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</si>
  <si>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ii</t>
    </r>
    <r>
      <rPr>
        <sz val="8"/>
        <color theme="1"/>
        <rFont val="Arial"/>
        <family val="2"/>
        <charset val="162"/>
      </rPr>
      <t xml:space="preserve"> =</t>
    </r>
    <r>
      <rPr>
        <sz val="8"/>
        <color theme="1"/>
        <rFont val="Arial"/>
        <family val="1"/>
        <charset val="2"/>
      </rPr>
      <t xml:space="preserve"> 1 - (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1"/>
        <charset val="2"/>
      </rPr>
      <t xml:space="preserve"> * c * ( 2 * c + 3 ) / ( 2 * ( c + 1 )² ) ) -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1"/>
        <charset val="2"/>
      </rPr>
      <t xml:space="preserve">jj - 2 *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1"/>
        <charset val="2"/>
      </rPr>
      <t>ji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</si>
  <si>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ji</t>
    </r>
    <r>
      <rPr>
        <sz val="8"/>
        <color theme="1"/>
        <rFont val="Arial"/>
        <family val="2"/>
        <charset val="162"/>
      </rPr>
      <t xml:space="preserve"> =</t>
    </r>
    <r>
      <rPr>
        <sz val="8"/>
        <color theme="1"/>
        <rFont val="Arial"/>
        <family val="1"/>
        <charset val="2"/>
      </rPr>
      <t xml:space="preserve">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1"/>
        <charset val="2"/>
      </rPr>
      <t xml:space="preserve">² / ( 2 * ( c + 1 ) ) + ( 1 -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1"/>
        <charset val="2"/>
      </rPr>
      <t xml:space="preserve">² ) / 2 -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1"/>
        <charset val="2"/>
      </rPr>
      <t>jj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</si>
  <si>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1 / 2 *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ji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jo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</si>
  <si>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</si>
  <si>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 1 / 2 *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jj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l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/ ( 2 * c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) * ( 3 * ( c + 1 )  * ln ( c + 1 ) + ( c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- 3 * c² - 6 * c ) / 2 ) - ( 1 - </t>
    </r>
    <r>
      <rPr>
        <sz val="8"/>
        <color theme="1"/>
        <rFont val="Symbol"/>
        <family val="1"/>
        <charset val="2"/>
      </rPr>
      <t>l</t>
    </r>
    <r>
      <rPr>
        <vertAlign val="superscript"/>
        <sz val="8"/>
        <color theme="1"/>
        <rFont val="Arial"/>
        <family val="2"/>
        <charset val="162"/>
      </rPr>
      <t>4</t>
    </r>
    <r>
      <rPr>
        <sz val="8"/>
        <color theme="1"/>
        <rFont val="Arial"/>
        <family val="2"/>
        <charset val="162"/>
      </rPr>
      <t xml:space="preserve"> ) / 8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</si>
  <si>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</si>
  <si>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(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² / ( 2 * e² * ( c + 1 ) ) - </t>
    </r>
    <r>
      <rPr>
        <sz val="8"/>
        <color theme="1"/>
        <rFont val="Symbol"/>
        <family val="1"/>
        <charset val="2"/>
      </rPr>
      <t xml:space="preserve">h </t>
    </r>
    <r>
      <rPr>
        <sz val="8"/>
        <color theme="1"/>
        <rFont val="Arial"/>
        <family val="2"/>
        <charset val="162"/>
      </rPr>
      <t xml:space="preserve">*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² / ( 2 * ( c + 1 ) ) </t>
    </r>
    <r>
      <rPr>
        <sz val="8"/>
        <color theme="1"/>
        <rFont val="Arial"/>
        <family val="2"/>
        <charset val="162"/>
      </rPr>
      <t xml:space="preserve">+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/ ( 2 * c ) * ( 1 - 1 / e² ) +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/ 2 * ( 1 -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)² -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jo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</si>
  <si>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 - </t>
    </r>
    <r>
      <rPr>
        <sz val="8"/>
        <color theme="1"/>
        <rFont val="Symbol"/>
        <family val="1"/>
        <charset val="2"/>
      </rPr>
      <t>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c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* ( ln ( e / ( c + 1 ) ) + c *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/ (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* e ) - ( c² *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² / ( 2 *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² * e * ( c + 1 ) ) ) ) +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ji</t>
    </r>
  </si>
  <si>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&gt;=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 için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</si>
  <si>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( 1 -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) / 2 * (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-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² * c / ( c + 1 ) ) </t>
    </r>
    <r>
      <rPr>
        <sz val="8"/>
        <color theme="1"/>
        <rFont val="Arial"/>
        <family val="2"/>
        <charset val="162"/>
      </rPr>
      <t xml:space="preserve">-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jo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</si>
  <si>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 (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/ 2 - </t>
    </r>
    <r>
      <rPr>
        <sz val="8"/>
        <color theme="1"/>
        <rFont val="Symbol"/>
        <family val="1"/>
        <charset val="2"/>
      </rPr>
      <t>h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6 - 1 / 3 )</t>
    </r>
    <r>
      <rPr>
        <sz val="8"/>
        <color theme="1"/>
        <rFont val="Arial"/>
        <family val="2"/>
        <charset val="162"/>
      </rPr>
      <t xml:space="preserve"> + ( 1 -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) *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jj</t>
    </r>
  </si>
  <si>
    <t>büyük enkesit</t>
  </si>
  <si>
    <t>küçük enkesit</t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</si>
  <si>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jj</t>
    </r>
    <r>
      <rPr>
        <sz val="8"/>
        <color theme="1"/>
        <rFont val="Arial"/>
        <family val="2"/>
        <charset val="162"/>
      </rPr>
      <t xml:space="preserve"> =</t>
    </r>
    <r>
      <rPr>
        <sz val="8"/>
        <color theme="1"/>
        <rFont val="Arial"/>
        <family val="1"/>
        <charset val="2"/>
      </rPr>
      <t xml:space="preserve"> </t>
    </r>
    <r>
      <rPr>
        <sz val="8"/>
        <color theme="1"/>
        <rFont val="Symbol"/>
        <family val="1"/>
        <charset val="2"/>
      </rPr>
      <t>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1"/>
        <charset val="2"/>
      </rPr>
      <t xml:space="preserve"> / c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1"/>
        <charset val="2"/>
      </rPr>
      <t xml:space="preserve"> * ( ln ( c + 1 ) - c * ( 1 - c / 2 ) ) + ( 1 - </t>
    </r>
    <r>
      <rPr>
        <sz val="8"/>
        <color theme="1"/>
        <rFont val="Symbol"/>
        <family val="1"/>
        <charset val="2"/>
      </rPr>
      <t>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1"/>
        <charset val="2"/>
      </rPr>
      <t xml:space="preserve"> ) / 3</t>
    </r>
  </si>
  <si>
    <r>
      <t>f</t>
    </r>
    <r>
      <rPr>
        <vertAlign val="subscript"/>
        <sz val="8"/>
        <color theme="1"/>
        <rFont val="Arial"/>
        <family val="2"/>
        <charset val="162"/>
      </rPr>
      <t>ij</t>
    </r>
  </si>
  <si>
    <r>
      <t>f</t>
    </r>
    <r>
      <rPr>
        <vertAlign val="subscript"/>
        <sz val="8"/>
        <color theme="1"/>
        <rFont val="Arial"/>
        <family val="2"/>
        <charset val="162"/>
      </rPr>
      <t>jj</t>
    </r>
  </si>
  <si>
    <r>
      <t>f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1 / 4 *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* 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</si>
  <si>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t>f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 1 / 4 *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* 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</si>
  <si>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t>f'</t>
    </r>
    <r>
      <rPr>
        <vertAlign val="subscript"/>
        <sz val="8"/>
        <color theme="1"/>
        <rFont val="Arial"/>
        <family val="2"/>
        <charset val="162"/>
      </rPr>
      <t>io</t>
    </r>
  </si>
  <si>
    <r>
      <t>f'</t>
    </r>
    <r>
      <rPr>
        <vertAlign val="subscript"/>
        <sz val="8"/>
        <color theme="1"/>
        <rFont val="Arial"/>
        <family val="2"/>
        <charset val="162"/>
      </rPr>
      <t>jo</t>
    </r>
  </si>
  <si>
    <r>
      <t>f'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  </t>
    </r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* L² / ( E *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)</t>
    </r>
  </si>
  <si>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* L</t>
    </r>
  </si>
  <si>
    <r>
      <t xml:space="preserve">  h</t>
    </r>
    <r>
      <rPr>
        <sz val="8"/>
        <color theme="1"/>
        <rFont val="Arial"/>
        <family val="2"/>
        <charset val="162"/>
      </rPr>
      <t xml:space="preserve"> * L =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</si>
  <si>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ij</t>
    </r>
    <r>
      <rPr>
        <sz val="8"/>
        <color theme="1"/>
        <rFont val="Arial"/>
        <family val="2"/>
        <charset val="162"/>
      </rPr>
      <t xml:space="preserve"> / 4 =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</si>
  <si>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ji</t>
    </r>
    <r>
      <rPr>
        <sz val="8"/>
        <color theme="1"/>
        <rFont val="Arial"/>
        <family val="2"/>
        <charset val="162"/>
      </rPr>
      <t xml:space="preserve"> / 4 =</t>
    </r>
  </si>
  <si>
    <t>P = 1 KN için:</t>
  </si>
  <si>
    <t>P=</t>
  </si>
  <si>
    <t>KN</t>
  </si>
  <si>
    <t>M'ij =</t>
  </si>
  <si>
    <t>M'ji =</t>
  </si>
  <si>
    <t>için :</t>
  </si>
  <si>
    <t>q = 1 KN/m  için:</t>
  </si>
  <si>
    <t>q=</t>
  </si>
  <si>
    <t>KN/m  için:</t>
  </si>
  <si>
    <t>Mij =</t>
  </si>
  <si>
    <t>Mji =</t>
  </si>
  <si>
    <t>Dikkat sadece sarı hücrelere data girilecek.</t>
  </si>
  <si>
    <t>birim kuvvet sabitleri</t>
  </si>
  <si>
    <t>yükleme sabitleri</t>
  </si>
  <si>
    <t>(atalet momenti)</t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</si>
  <si>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ii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jj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</si>
  <si>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ij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ji</t>
    </r>
    <r>
      <rPr>
        <sz val="8"/>
        <color theme="1"/>
        <rFont val="Arial"/>
        <family val="2"/>
        <charset val="162"/>
      </rPr>
      <t xml:space="preserve"> =</t>
    </r>
  </si>
  <si>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io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</t>
    </r>
  </si>
  <si>
    <r>
      <t xml:space="preserve">e = - c *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/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+ c + 1 =</t>
    </r>
  </si>
  <si>
    <r>
      <rPr>
        <sz val="8"/>
        <color theme="1"/>
        <rFont val="Symbol"/>
        <family val="1"/>
        <charset val="2"/>
      </rPr>
      <t>j</t>
    </r>
    <r>
      <rPr>
        <sz val="8"/>
        <color theme="1"/>
        <rFont val="Arial"/>
        <family val="2"/>
        <charset val="162"/>
      </rPr>
      <t>'</t>
    </r>
    <r>
      <rPr>
        <vertAlign val="subscript"/>
        <sz val="8"/>
        <color theme="1"/>
        <rFont val="Arial"/>
        <family val="2"/>
        <charset val="162"/>
      </rPr>
      <t>jo</t>
    </r>
    <r>
      <rPr>
        <sz val="8"/>
        <color theme="1"/>
        <rFont val="Arial"/>
        <family val="2"/>
        <charset val="162"/>
      </rPr>
      <t xml:space="preserve"> = </t>
    </r>
    <r>
      <rPr>
        <sz val="8"/>
        <color theme="1"/>
        <rFont val="Symbol"/>
        <family val="1"/>
        <charset val="2"/>
      </rPr>
      <t>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/ c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* ( ln ( c + 1 ) + c * ( c - 2 ) / 2 ) +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² *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* c  / ( 2 * ( c + 1 ) ) - ( </t>
    </r>
    <r>
      <rPr>
        <sz val="8"/>
        <color theme="1"/>
        <rFont val="Symbol"/>
        <family val="1"/>
        <charset val="2"/>
      </rPr>
      <t>h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+ 2 * </t>
    </r>
    <r>
      <rPr>
        <sz val="8"/>
        <color theme="1"/>
        <rFont val="Symbol"/>
        <family val="1"/>
        <charset val="2"/>
      </rPr>
      <t>l</t>
    </r>
    <r>
      <rPr>
        <vertAlign val="superscript"/>
        <sz val="8"/>
        <color theme="1"/>
        <rFont val="Arial"/>
        <family val="2"/>
        <charset val="162"/>
      </rPr>
      <t>3</t>
    </r>
    <r>
      <rPr>
        <sz val="8"/>
        <color theme="1"/>
        <rFont val="Arial"/>
        <family val="2"/>
        <charset val="162"/>
      </rPr>
      <t xml:space="preserve"> ) / 6 +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* </t>
    </r>
    <r>
      <rPr>
        <sz val="8"/>
        <color theme="1"/>
        <rFont val="Symbol"/>
        <family val="1"/>
        <charset val="2"/>
      </rPr>
      <t>j</t>
    </r>
    <r>
      <rPr>
        <vertAlign val="subscript"/>
        <sz val="8"/>
        <color theme="1"/>
        <rFont val="Arial"/>
        <family val="2"/>
        <charset val="162"/>
      </rPr>
      <t>ji</t>
    </r>
  </si>
  <si>
    <t>(genişlik sabit kesit)</t>
  </si>
  <si>
    <r>
      <t xml:space="preserve">n =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/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>o =</t>
    </r>
  </si>
  <si>
    <r>
      <rPr>
        <b/>
        <sz val="12"/>
        <color theme="7" tint="-0.499984740745262"/>
        <rFont val="Arial"/>
        <family val="2"/>
        <charset val="162"/>
      </rPr>
      <t xml:space="preserve">DOĞRU EKSENLİ, ENKESİT DEĞİŞİMİ SİMETRİK ÇUBUK İÇİN BİRİM KUVVET SABİTLERİ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</si>
  <si>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DOĞRU EKSENLİ, ENKESİT DEĞİŞİMİ SİMETRİK OLMAYAN ÇUBUK İÇİN BİRİM KUVVET SABİTLERİ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</si>
  <si>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DOĞRU EKSENLİ, ENKESİT DEĞİŞİMİ SİMETRİK ÇUBUK İÇİN BİRİM KUVVET SABİTLERİ , YÜKLEME SABİTLERİ , BİRİM YERDEĞİŞTİRME SABİTLERİ , ANKASTRELİK UÇ KUVVETLERİ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</si>
  <si>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rPr>
        <b/>
        <sz val="12"/>
        <color theme="7" tint="-0.499984740745262"/>
        <rFont val="Arial"/>
        <family val="2"/>
        <charset val="162"/>
      </rPr>
      <t xml:space="preserve">DOĞRU EKSENLİ, ENKESİT DEĞİŞİMİ SİMETRİK OLMAYAN ÇUBUK İÇİN BİRİM KUVVET SABİTLERİ , YÜKLEME SABİTLERİ , BİRİM YERDEĞİŞTİRME SABİTLERİ , ANKASTRELİK UÇ KUVVETLERİ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</si>
  <si>
    <t>Ag =</t>
  </si>
  <si>
    <r>
      <t xml:space="preserve">f =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 </t>
    </r>
    <r>
      <rPr>
        <sz val="8"/>
        <color theme="1"/>
        <rFont val="Arial"/>
        <family val="2"/>
        <charset val="162"/>
      </rPr>
      <t xml:space="preserve">/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 </t>
    </r>
    <r>
      <rPr>
        <sz val="8"/>
        <color theme="1"/>
        <rFont val="Arial"/>
        <family val="2"/>
        <charset val="162"/>
      </rPr>
      <t>- 1 =</t>
    </r>
  </si>
  <si>
    <t>KB1 =</t>
  </si>
  <si>
    <t>K =</t>
  </si>
  <si>
    <t>KB =</t>
  </si>
  <si>
    <t>KA =</t>
  </si>
  <si>
    <r>
      <t>A</t>
    </r>
    <r>
      <rPr>
        <sz val="8"/>
        <color theme="0"/>
        <rFont val="Symbol"/>
        <family val="1"/>
        <charset val="2"/>
      </rPr>
      <t>a</t>
    </r>
    <r>
      <rPr>
        <sz val="8"/>
        <color theme="0"/>
        <rFont val="Arial"/>
        <family val="2"/>
        <charset val="162"/>
      </rPr>
      <t xml:space="preserve"> =</t>
    </r>
  </si>
  <si>
    <r>
      <t>B</t>
    </r>
    <r>
      <rPr>
        <sz val="8"/>
        <color theme="0"/>
        <rFont val="Symbol"/>
        <family val="1"/>
        <charset val="2"/>
      </rPr>
      <t>a</t>
    </r>
    <r>
      <rPr>
        <sz val="8"/>
        <color theme="0"/>
        <rFont val="Arial"/>
        <family val="2"/>
        <charset val="162"/>
      </rPr>
      <t xml:space="preserve"> =</t>
    </r>
  </si>
  <si>
    <r>
      <t>C</t>
    </r>
    <r>
      <rPr>
        <sz val="8"/>
        <color theme="0"/>
        <rFont val="Symbol"/>
        <family val="1"/>
        <charset val="2"/>
      </rPr>
      <t>a</t>
    </r>
    <r>
      <rPr>
        <sz val="8"/>
        <color theme="0"/>
        <rFont val="Arial"/>
        <family val="2"/>
        <charset val="162"/>
      </rPr>
      <t xml:space="preserve"> =</t>
    </r>
  </si>
  <si>
    <r>
      <t>A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</t>
    </r>
  </si>
  <si>
    <r>
      <t>B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</t>
    </r>
  </si>
  <si>
    <r>
      <t>C</t>
    </r>
    <r>
      <rPr>
        <sz val="8"/>
        <color theme="1"/>
        <rFont val="Symbol"/>
        <family val="1"/>
        <charset val="2"/>
      </rPr>
      <t>a</t>
    </r>
    <r>
      <rPr>
        <sz val="8"/>
        <color theme="1"/>
        <rFont val="Arial"/>
        <family val="2"/>
        <charset val="162"/>
      </rPr>
      <t xml:space="preserve"> =</t>
    </r>
  </si>
  <si>
    <t>KB = kb + ka' - kb''</t>
  </si>
  <si>
    <t>KA = ka + kb' - ka''</t>
  </si>
  <si>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L &lt; 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L </t>
    </r>
    <r>
      <rPr>
        <sz val="8"/>
        <color theme="1"/>
        <rFont val="Arial"/>
        <family val="2"/>
        <charset val="162"/>
      </rPr>
      <t xml:space="preserve"> ise</t>
    </r>
  </si>
  <si>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 xml:space="preserve">L &lt; </t>
    </r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L &lt; ( 1 -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>L</t>
    </r>
    <r>
      <rPr>
        <sz val="8"/>
        <color theme="1"/>
        <rFont val="Arial"/>
        <family val="2"/>
        <charset val="162"/>
      </rPr>
      <t xml:space="preserve"> ) ise</t>
    </r>
  </si>
  <si>
    <r>
      <rPr>
        <sz val="8"/>
        <color theme="1"/>
        <rFont val="Symbol"/>
        <family val="1"/>
        <charset val="2"/>
      </rPr>
      <t>h</t>
    </r>
    <r>
      <rPr>
        <sz val="8"/>
        <color theme="1"/>
        <rFont val="Arial"/>
        <family val="2"/>
        <charset val="162"/>
      </rPr>
      <t xml:space="preserve">L &gt; ( 1 - </t>
    </r>
    <r>
      <rPr>
        <sz val="8"/>
        <color theme="1"/>
        <rFont val="Symbol"/>
        <family val="1"/>
        <charset val="2"/>
      </rPr>
      <t>l</t>
    </r>
    <r>
      <rPr>
        <sz val="8"/>
        <color theme="1"/>
        <rFont val="Arial"/>
        <family val="2"/>
        <charset val="162"/>
      </rPr>
      <t>L</t>
    </r>
    <r>
      <rPr>
        <sz val="8"/>
        <color theme="1"/>
        <rFont val="Arial"/>
        <family val="2"/>
        <charset val="162"/>
      </rPr>
      <t xml:space="preserve"> ) ise</t>
    </r>
  </si>
  <si>
    <t>kb =</t>
  </si>
  <si>
    <t>--</t>
  </si>
  <si>
    <t>ka' =</t>
  </si>
  <si>
    <t>kb'' =</t>
  </si>
  <si>
    <t>ka =</t>
  </si>
  <si>
    <t>kb' =</t>
  </si>
  <si>
    <t>ka''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</si>
</sst>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8"/>
      <color theme="1"/>
      <name val="Arial"/>
      <family val="2"/>
      <charset val="162"/>
    </font>
    <font>
      <sz val="8"/>
      <color theme="1"/>
      <name val="Symbol"/>
      <family val="1"/>
      <charset val="2"/>
    </font>
    <font>
      <vertAlign val="superscript"/>
      <sz val="8"/>
      <color theme="1"/>
      <name val="Arial"/>
      <family val="2"/>
      <charset val="162"/>
    </font>
    <font>
      <sz val="8"/>
      <color theme="1"/>
      <name val="Arial"/>
      <family val="1"/>
      <charset val="2"/>
    </font>
    <font>
      <vertAlign val="subscript"/>
      <sz val="8"/>
      <color theme="1"/>
      <name val="Arial"/>
      <family val="2"/>
      <charset val="162"/>
    </font>
    <font>
      <sz val="8"/>
      <color theme="1"/>
      <name val="Arial"/>
      <family val="1"/>
      <charset val="162"/>
    </font>
    <font>
      <i/>
      <u/>
      <sz val="8"/>
      <color theme="1"/>
      <name val="Arial"/>
      <family val="2"/>
      <charset val="162"/>
    </font>
    <font>
      <i/>
      <sz val="8"/>
      <color theme="1"/>
      <name val="Arial"/>
      <family val="2"/>
      <charset val="162"/>
    </font>
    <font>
      <u/>
      <sz val="8"/>
      <color theme="1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b/>
      <sz val="8"/>
      <color rgb="FFFF0000"/>
      <name val="Arial"/>
      <family val="2"/>
      <charset val="162"/>
    </font>
    <font>
      <sz val="8"/>
      <color theme="0"/>
      <name val="Arial"/>
      <family val="2"/>
      <charset val="162"/>
    </font>
    <font>
      <sz val="8"/>
      <color theme="0"/>
      <name val="Arial"/>
      <family val="1"/>
      <charset val="162"/>
    </font>
    <font>
      <sz val="8"/>
      <color theme="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textRotation="90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7" fillId="0" borderId="9" xfId="0" applyFont="1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4" borderId="6" xfId="0" applyFill="1" applyBorder="1" applyAlignment="1" applyProtection="1">
      <alignment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4" xfId="0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0" xfId="0" quotePrefix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 textRotation="90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95246</xdr:colOff>
      <xdr:row>294</xdr:row>
      <xdr:rowOff>1</xdr:rowOff>
    </xdr:from>
    <xdr:to>
      <xdr:col>28</xdr:col>
      <xdr:colOff>71438</xdr:colOff>
      <xdr:row>303</xdr:row>
      <xdr:rowOff>61913</xdr:rowOff>
    </xdr:to>
    <xdr:grpSp>
      <xdr:nvGrpSpPr>
        <xdr:cNvPr id="164" name="Group 163">
          <a:extLst>
            <a:ext uri="{FF2B5EF4-FFF2-40B4-BE49-F238E27FC236}">
              <a16:creationId xmlns:a16="http://schemas.microsoft.com/office/drawing/2014/main" id="{1596AE21-C4CF-DF02-1471-9A01620F6082}"/>
            </a:ext>
          </a:extLst>
        </xdr:cNvPr>
        <xdr:cNvGrpSpPr/>
      </xdr:nvGrpSpPr>
      <xdr:grpSpPr>
        <a:xfrm>
          <a:off x="581021" y="44434126"/>
          <a:ext cx="4024317" cy="1347787"/>
          <a:chOff x="1390646" y="714376"/>
          <a:chExt cx="4024317" cy="1347787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5B6927E7-84FD-C905-78EB-524FC1B893FA}"/>
              </a:ext>
            </a:extLst>
          </xdr:cNvPr>
          <xdr:cNvCxnSpPr/>
        </xdr:nvCxnSpPr>
        <xdr:spPr>
          <a:xfrm>
            <a:off x="1457325" y="1500188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66629071-60DC-1CFD-5480-C1072A22CFCC}"/>
              </a:ext>
            </a:extLst>
          </xdr:cNvPr>
          <xdr:cNvCxnSpPr/>
        </xdr:nvCxnSpPr>
        <xdr:spPr>
          <a:xfrm>
            <a:off x="1390650" y="1714502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FA406B4F-C1CB-311A-01CA-1C7F187F5A20}"/>
              </a:ext>
            </a:extLst>
          </xdr:cNvPr>
          <xdr:cNvCxnSpPr/>
        </xdr:nvCxnSpPr>
        <xdr:spPr>
          <a:xfrm flipH="1">
            <a:off x="1419226" y="16811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1C7F5B78-5572-4300-8DFF-3A7FB1602DE9}"/>
              </a:ext>
            </a:extLst>
          </xdr:cNvPr>
          <xdr:cNvCxnSpPr/>
        </xdr:nvCxnSpPr>
        <xdr:spPr>
          <a:xfrm>
            <a:off x="1390646" y="2000254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97E7B366-365C-45DB-AA66-AF783FDD4DF6}"/>
              </a:ext>
            </a:extLst>
          </xdr:cNvPr>
          <xdr:cNvCxnSpPr/>
        </xdr:nvCxnSpPr>
        <xdr:spPr>
          <a:xfrm flipH="1">
            <a:off x="1419222" y="196691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5137B08B-C9B7-44F3-8014-4B6A8C5C3796}"/>
              </a:ext>
            </a:extLst>
          </xdr:cNvPr>
          <xdr:cNvCxnSpPr/>
        </xdr:nvCxnSpPr>
        <xdr:spPr>
          <a:xfrm>
            <a:off x="5343525" y="1500188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DFC6B981-8BF6-4E4F-88D4-66F55BDB1CDB}"/>
              </a:ext>
            </a:extLst>
          </xdr:cNvPr>
          <xdr:cNvCxnSpPr/>
        </xdr:nvCxnSpPr>
        <xdr:spPr>
          <a:xfrm flipH="1">
            <a:off x="5305425" y="16811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C85D84B5-F963-4A09-BE7B-4CA455F83F5F}"/>
              </a:ext>
            </a:extLst>
          </xdr:cNvPr>
          <xdr:cNvCxnSpPr/>
        </xdr:nvCxnSpPr>
        <xdr:spPr>
          <a:xfrm flipH="1">
            <a:off x="5305422" y="196691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9B9353BE-ABF2-4146-BA2F-1D60D7BB69E0}"/>
              </a:ext>
            </a:extLst>
          </xdr:cNvPr>
          <xdr:cNvCxnSpPr/>
        </xdr:nvCxnSpPr>
        <xdr:spPr>
          <a:xfrm>
            <a:off x="2266955" y="1214439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71968250-A430-4A9F-9DE7-39ADAA5E6A45}"/>
              </a:ext>
            </a:extLst>
          </xdr:cNvPr>
          <xdr:cNvCxnSpPr/>
        </xdr:nvCxnSpPr>
        <xdr:spPr>
          <a:xfrm flipH="1">
            <a:off x="2228852" y="1681166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FC1CC8CC-E86D-4E09-9BA7-C2D2FE7BD7E3}"/>
              </a:ext>
            </a:extLst>
          </xdr:cNvPr>
          <xdr:cNvCxnSpPr/>
        </xdr:nvCxnSpPr>
        <xdr:spPr>
          <a:xfrm>
            <a:off x="4533887" y="1214440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84B73427-571B-4E3F-A93A-2AFF394B8D8A}"/>
              </a:ext>
            </a:extLst>
          </xdr:cNvPr>
          <xdr:cNvCxnSpPr/>
        </xdr:nvCxnSpPr>
        <xdr:spPr>
          <a:xfrm flipH="1">
            <a:off x="4495784" y="1681167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Freeform: Shape 20">
            <a:extLst>
              <a:ext uri="{FF2B5EF4-FFF2-40B4-BE49-F238E27FC236}">
                <a16:creationId xmlns:a16="http://schemas.microsoft.com/office/drawing/2014/main" id="{3E00A48F-8824-2131-5DDC-40DF907FEF3B}"/>
              </a:ext>
            </a:extLst>
          </xdr:cNvPr>
          <xdr:cNvSpPr/>
        </xdr:nvSpPr>
        <xdr:spPr>
          <a:xfrm>
            <a:off x="1457326" y="714376"/>
            <a:ext cx="3881438" cy="714375"/>
          </a:xfrm>
          <a:custGeom>
            <a:avLst/>
            <a:gdLst>
              <a:gd name="connsiteX0" fmla="*/ 800100 w 3881438"/>
              <a:gd name="connsiteY0" fmla="*/ 423862 h 714375"/>
              <a:gd name="connsiteX1" fmla="*/ 3067050 w 3881438"/>
              <a:gd name="connsiteY1" fmla="*/ 423862 h 714375"/>
              <a:gd name="connsiteX2" fmla="*/ 3881438 w 3881438"/>
              <a:gd name="connsiteY2" fmla="*/ 709612 h 714375"/>
              <a:gd name="connsiteX3" fmla="*/ 3881438 w 3881438"/>
              <a:gd name="connsiteY3" fmla="*/ 0 h 714375"/>
              <a:gd name="connsiteX4" fmla="*/ 0 w 3881438"/>
              <a:gd name="connsiteY4" fmla="*/ 0 h 714375"/>
              <a:gd name="connsiteX5" fmla="*/ 0 w 3881438"/>
              <a:gd name="connsiteY5" fmla="*/ 714375 h 714375"/>
              <a:gd name="connsiteX6" fmla="*/ 800100 w 3881438"/>
              <a:gd name="connsiteY6" fmla="*/ 423862 h 714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3881438" h="714375">
                <a:moveTo>
                  <a:pt x="800100" y="423862"/>
                </a:moveTo>
                <a:lnTo>
                  <a:pt x="3067050" y="423862"/>
                </a:lnTo>
                <a:lnTo>
                  <a:pt x="3881438" y="709612"/>
                </a:lnTo>
                <a:lnTo>
                  <a:pt x="3881438" y="0"/>
                </a:lnTo>
                <a:lnTo>
                  <a:pt x="0" y="0"/>
                </a:lnTo>
                <a:lnTo>
                  <a:pt x="0" y="714375"/>
                </a:lnTo>
                <a:lnTo>
                  <a:pt x="800100" y="423862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100013</xdr:colOff>
      <xdr:row>304</xdr:row>
      <xdr:rowOff>80963</xdr:rowOff>
    </xdr:from>
    <xdr:to>
      <xdr:col>9</xdr:col>
      <xdr:colOff>80962</xdr:colOff>
      <xdr:row>310</xdr:row>
      <xdr:rowOff>71435</xdr:rowOff>
    </xdr:to>
    <xdr:grpSp>
      <xdr:nvGrpSpPr>
        <xdr:cNvPr id="227" name="Group 226">
          <a:extLst>
            <a:ext uri="{FF2B5EF4-FFF2-40B4-BE49-F238E27FC236}">
              <a16:creationId xmlns:a16="http://schemas.microsoft.com/office/drawing/2014/main" id="{15D9F9B2-9694-7730-A8B3-E3E17152DA53}"/>
            </a:ext>
          </a:extLst>
        </xdr:cNvPr>
        <xdr:cNvGrpSpPr/>
      </xdr:nvGrpSpPr>
      <xdr:grpSpPr>
        <a:xfrm>
          <a:off x="747713" y="45943838"/>
          <a:ext cx="790574" cy="847722"/>
          <a:chOff x="1557338" y="2224088"/>
          <a:chExt cx="790574" cy="847722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99ACF37-9778-1121-1E43-BB734BC3CEE4}"/>
              </a:ext>
            </a:extLst>
          </xdr:cNvPr>
          <xdr:cNvSpPr/>
        </xdr:nvSpPr>
        <xdr:spPr>
          <a:xfrm>
            <a:off x="1624013" y="2286000"/>
            <a:ext cx="319087" cy="428625"/>
          </a:xfrm>
          <a:prstGeom prst="rect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5C68BED1-B157-C321-5700-159C2DE32D3A}"/>
              </a:ext>
            </a:extLst>
          </xdr:cNvPr>
          <xdr:cNvCxnSpPr/>
        </xdr:nvCxnSpPr>
        <xdr:spPr>
          <a:xfrm>
            <a:off x="1619250" y="278606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A5DE7E82-EA5A-EA54-F3AC-A34D56941513}"/>
              </a:ext>
            </a:extLst>
          </xdr:cNvPr>
          <xdr:cNvCxnSpPr/>
        </xdr:nvCxnSpPr>
        <xdr:spPr>
          <a:xfrm>
            <a:off x="1557338" y="3000375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9310E48C-AF73-4334-AB32-21701B2F8AA4}"/>
              </a:ext>
            </a:extLst>
          </xdr:cNvPr>
          <xdr:cNvCxnSpPr/>
        </xdr:nvCxnSpPr>
        <xdr:spPr>
          <a:xfrm flipH="1">
            <a:off x="1581149" y="296704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6A718AD5-7DB9-49F8-BF5C-E1706C711321}"/>
              </a:ext>
            </a:extLst>
          </xdr:cNvPr>
          <xdr:cNvCxnSpPr/>
        </xdr:nvCxnSpPr>
        <xdr:spPr>
          <a:xfrm>
            <a:off x="1943100" y="278606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48D693CC-2E4B-4610-8F32-8768C33D47A1}"/>
              </a:ext>
            </a:extLst>
          </xdr:cNvPr>
          <xdr:cNvCxnSpPr/>
        </xdr:nvCxnSpPr>
        <xdr:spPr>
          <a:xfrm flipH="1">
            <a:off x="1904999" y="296704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78CB6FC5-28FF-9193-9592-5A9E745AB71D}"/>
              </a:ext>
            </a:extLst>
          </xdr:cNvPr>
          <xdr:cNvCxnSpPr/>
        </xdr:nvCxnSpPr>
        <xdr:spPr>
          <a:xfrm>
            <a:off x="2005012" y="2286000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125B79B0-3858-61F3-E1D2-2BA65C54592A}"/>
              </a:ext>
            </a:extLst>
          </xdr:cNvPr>
          <xdr:cNvCxnSpPr/>
        </xdr:nvCxnSpPr>
        <xdr:spPr>
          <a:xfrm>
            <a:off x="2266950" y="2224088"/>
            <a:ext cx="0" cy="557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C95B70A5-4D97-4F50-B1F8-81500CB00348}"/>
              </a:ext>
            </a:extLst>
          </xdr:cNvPr>
          <xdr:cNvCxnSpPr/>
        </xdr:nvCxnSpPr>
        <xdr:spPr>
          <a:xfrm flipH="1">
            <a:off x="2228852" y="22526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2066C743-E9A7-43DB-93BC-7158EBCE66CF}"/>
              </a:ext>
            </a:extLst>
          </xdr:cNvPr>
          <xdr:cNvCxnSpPr/>
        </xdr:nvCxnSpPr>
        <xdr:spPr>
          <a:xfrm>
            <a:off x="2005012" y="2714625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7CD04DE2-D24B-40DF-8283-373F48D7147A}"/>
              </a:ext>
            </a:extLst>
          </xdr:cNvPr>
          <xdr:cNvCxnSpPr/>
        </xdr:nvCxnSpPr>
        <xdr:spPr>
          <a:xfrm flipH="1">
            <a:off x="2228852" y="268128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100013</xdr:colOff>
      <xdr:row>304</xdr:row>
      <xdr:rowOff>80963</xdr:rowOff>
    </xdr:from>
    <xdr:to>
      <xdr:col>16</xdr:col>
      <xdr:colOff>80962</xdr:colOff>
      <xdr:row>312</xdr:row>
      <xdr:rowOff>71435</xdr:rowOff>
    </xdr:to>
    <xdr:grpSp>
      <xdr:nvGrpSpPr>
        <xdr:cNvPr id="327" name="Group 326">
          <a:extLst>
            <a:ext uri="{FF2B5EF4-FFF2-40B4-BE49-F238E27FC236}">
              <a16:creationId xmlns:a16="http://schemas.microsoft.com/office/drawing/2014/main" id="{B1C2625A-CCE3-50ED-869F-9A5EED464504}"/>
            </a:ext>
          </a:extLst>
        </xdr:cNvPr>
        <xdr:cNvGrpSpPr/>
      </xdr:nvGrpSpPr>
      <xdr:grpSpPr>
        <a:xfrm>
          <a:off x="1881188" y="45943838"/>
          <a:ext cx="790574" cy="1133472"/>
          <a:chOff x="2690813" y="2224088"/>
          <a:chExt cx="790574" cy="1133472"/>
        </a:xfrm>
      </xdr:grpSpPr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045B9DA1-BCB8-411C-B64E-0935397A7B3D}"/>
              </a:ext>
            </a:extLst>
          </xdr:cNvPr>
          <xdr:cNvSpPr/>
        </xdr:nvSpPr>
        <xdr:spPr>
          <a:xfrm>
            <a:off x="2757488" y="2286000"/>
            <a:ext cx="319087" cy="714375"/>
          </a:xfrm>
          <a:prstGeom prst="rect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96745EBD-68B2-46B4-93CD-FE5DE8932B48}"/>
              </a:ext>
            </a:extLst>
          </xdr:cNvPr>
          <xdr:cNvCxnSpPr/>
        </xdr:nvCxnSpPr>
        <xdr:spPr>
          <a:xfrm>
            <a:off x="2752725" y="307181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85821EDD-B950-4C6B-8518-8E2F9DC3FFCE}"/>
              </a:ext>
            </a:extLst>
          </xdr:cNvPr>
          <xdr:cNvCxnSpPr/>
        </xdr:nvCxnSpPr>
        <xdr:spPr>
          <a:xfrm>
            <a:off x="2690813" y="3286125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17ACF988-78A1-4FFB-AE7C-B18708325A55}"/>
              </a:ext>
            </a:extLst>
          </xdr:cNvPr>
          <xdr:cNvCxnSpPr/>
        </xdr:nvCxnSpPr>
        <xdr:spPr>
          <a:xfrm flipH="1">
            <a:off x="2714624" y="325279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7F48C282-70D1-40BD-8AD2-ACAAB039A88B}"/>
              </a:ext>
            </a:extLst>
          </xdr:cNvPr>
          <xdr:cNvCxnSpPr/>
        </xdr:nvCxnSpPr>
        <xdr:spPr>
          <a:xfrm>
            <a:off x="3076575" y="307181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BB967B40-174F-419B-9FA7-82F30791388A}"/>
              </a:ext>
            </a:extLst>
          </xdr:cNvPr>
          <xdr:cNvCxnSpPr/>
        </xdr:nvCxnSpPr>
        <xdr:spPr>
          <a:xfrm flipH="1">
            <a:off x="3038474" y="325279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Connector 45">
            <a:extLst>
              <a:ext uri="{FF2B5EF4-FFF2-40B4-BE49-F238E27FC236}">
                <a16:creationId xmlns:a16="http://schemas.microsoft.com/office/drawing/2014/main" id="{E1757ADD-5FCB-4E24-AC63-306FCF27F5FF}"/>
              </a:ext>
            </a:extLst>
          </xdr:cNvPr>
          <xdr:cNvCxnSpPr/>
        </xdr:nvCxnSpPr>
        <xdr:spPr>
          <a:xfrm>
            <a:off x="3138487" y="2286000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64262EC8-1450-400A-BED6-8BEA98056119}"/>
              </a:ext>
            </a:extLst>
          </xdr:cNvPr>
          <xdr:cNvCxnSpPr/>
        </xdr:nvCxnSpPr>
        <xdr:spPr>
          <a:xfrm>
            <a:off x="3400425" y="2224088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Connector 47">
            <a:extLst>
              <a:ext uri="{FF2B5EF4-FFF2-40B4-BE49-F238E27FC236}">
                <a16:creationId xmlns:a16="http://schemas.microsoft.com/office/drawing/2014/main" id="{8B45A3CF-CB96-4880-B367-0EA8D4A8588A}"/>
              </a:ext>
            </a:extLst>
          </xdr:cNvPr>
          <xdr:cNvCxnSpPr/>
        </xdr:nvCxnSpPr>
        <xdr:spPr>
          <a:xfrm flipH="1">
            <a:off x="3362327" y="2252657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8822F489-F5A4-4ECE-937E-63BD74031A79}"/>
              </a:ext>
            </a:extLst>
          </xdr:cNvPr>
          <xdr:cNvCxnSpPr/>
        </xdr:nvCxnSpPr>
        <xdr:spPr>
          <a:xfrm>
            <a:off x="3138487" y="3000381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626D3BBF-BBDF-4FF3-9AD8-17E8E8BB4851}"/>
              </a:ext>
            </a:extLst>
          </xdr:cNvPr>
          <xdr:cNvCxnSpPr/>
        </xdr:nvCxnSpPr>
        <xdr:spPr>
          <a:xfrm flipH="1">
            <a:off x="3362327" y="2967044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66676</xdr:colOff>
      <xdr:row>318</xdr:row>
      <xdr:rowOff>9526</xdr:rowOff>
    </xdr:from>
    <xdr:to>
      <xdr:col>20</xdr:col>
      <xdr:colOff>0</xdr:colOff>
      <xdr:row>321</xdr:row>
      <xdr:rowOff>1</xdr:rowOff>
    </xdr:to>
    <xdr:grpSp>
      <xdr:nvGrpSpPr>
        <xdr:cNvPr id="330" name="Group 329">
          <a:extLst>
            <a:ext uri="{FF2B5EF4-FFF2-40B4-BE49-F238E27FC236}">
              <a16:creationId xmlns:a16="http://schemas.microsoft.com/office/drawing/2014/main" id="{D49173E1-D810-7DDF-5F70-95F3703F32E1}"/>
            </a:ext>
          </a:extLst>
        </xdr:cNvPr>
        <xdr:cNvGrpSpPr/>
      </xdr:nvGrpSpPr>
      <xdr:grpSpPr>
        <a:xfrm>
          <a:off x="714376" y="47872651"/>
          <a:ext cx="2524124" cy="419100"/>
          <a:chOff x="1524001" y="4152901"/>
          <a:chExt cx="2524124" cy="419100"/>
        </a:xfrm>
      </xdr:grpSpPr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DD1DB8D5-E2A7-F199-8199-0739E45C4BC7}"/>
              </a:ext>
            </a:extLst>
          </xdr:cNvPr>
          <xdr:cNvSpPr/>
        </xdr:nvSpPr>
        <xdr:spPr>
          <a:xfrm>
            <a:off x="1619250" y="440531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2" name="Isosceles Triangle 51">
            <a:extLst>
              <a:ext uri="{FF2B5EF4-FFF2-40B4-BE49-F238E27FC236}">
                <a16:creationId xmlns:a16="http://schemas.microsoft.com/office/drawing/2014/main" id="{1D886D18-67EC-9421-0E36-8028BD59CAE4}"/>
              </a:ext>
            </a:extLst>
          </xdr:cNvPr>
          <xdr:cNvSpPr/>
        </xdr:nvSpPr>
        <xdr:spPr>
          <a:xfrm>
            <a:off x="1720406" y="4291012"/>
            <a:ext cx="121540" cy="104776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4" name="Straight Connector 53">
            <a:extLst>
              <a:ext uri="{FF2B5EF4-FFF2-40B4-BE49-F238E27FC236}">
                <a16:creationId xmlns:a16="http://schemas.microsoft.com/office/drawing/2014/main" id="{DB1B60C6-64F3-9524-4193-F41E04468A6E}"/>
              </a:ext>
            </a:extLst>
          </xdr:cNvPr>
          <xdr:cNvCxnSpPr/>
        </xdr:nvCxnSpPr>
        <xdr:spPr>
          <a:xfrm>
            <a:off x="1624012" y="439578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007B6819-2B62-CABF-7121-12BDE341419B}"/>
              </a:ext>
            </a:extLst>
          </xdr:cNvPr>
          <xdr:cNvCxnSpPr/>
        </xdr:nvCxnSpPr>
        <xdr:spPr>
          <a:xfrm>
            <a:off x="1781175" y="4286251"/>
            <a:ext cx="2109788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F9F9DD92-6433-49AD-B0B4-CB0DC1EBCF21}"/>
              </a:ext>
            </a:extLst>
          </xdr:cNvPr>
          <xdr:cNvSpPr/>
        </xdr:nvSpPr>
        <xdr:spPr>
          <a:xfrm>
            <a:off x="3724275" y="440531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0" name="Isosceles Triangle 59">
            <a:extLst>
              <a:ext uri="{FF2B5EF4-FFF2-40B4-BE49-F238E27FC236}">
                <a16:creationId xmlns:a16="http://schemas.microsoft.com/office/drawing/2014/main" id="{84F95E7F-331F-4FDE-98EF-D61C02334671}"/>
              </a:ext>
            </a:extLst>
          </xdr:cNvPr>
          <xdr:cNvSpPr/>
        </xdr:nvSpPr>
        <xdr:spPr>
          <a:xfrm>
            <a:off x="3833814" y="4279188"/>
            <a:ext cx="104774" cy="90322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A3C90498-F4AB-4230-B95B-89D06F7D44DE}"/>
              </a:ext>
            </a:extLst>
          </xdr:cNvPr>
          <xdr:cNvCxnSpPr/>
        </xdr:nvCxnSpPr>
        <xdr:spPr>
          <a:xfrm>
            <a:off x="3729037" y="439578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122D1084-7D15-405A-BAA5-A2819EE13C1D}"/>
              </a:ext>
            </a:extLst>
          </xdr:cNvPr>
          <xdr:cNvCxnSpPr/>
        </xdr:nvCxnSpPr>
        <xdr:spPr>
          <a:xfrm>
            <a:off x="3729037" y="436721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" name="Freeform: Shape 62">
            <a:extLst>
              <a:ext uri="{FF2B5EF4-FFF2-40B4-BE49-F238E27FC236}">
                <a16:creationId xmlns:a16="http://schemas.microsoft.com/office/drawing/2014/main" id="{3623F900-CC59-DF3E-3EDA-C080C1D7094B}"/>
              </a:ext>
            </a:extLst>
          </xdr:cNvPr>
          <xdr:cNvSpPr/>
        </xdr:nvSpPr>
        <xdr:spPr>
          <a:xfrm>
            <a:off x="1785938" y="4286250"/>
            <a:ext cx="2105025" cy="152400"/>
          </a:xfrm>
          <a:custGeom>
            <a:avLst/>
            <a:gdLst>
              <a:gd name="connsiteX0" fmla="*/ 0 w 2105025"/>
              <a:gd name="connsiteY0" fmla="*/ 0 h 152400"/>
              <a:gd name="connsiteX1" fmla="*/ 1047750 w 2105025"/>
              <a:gd name="connsiteY1" fmla="*/ 152400 h 152400"/>
              <a:gd name="connsiteX2" fmla="*/ 2105025 w 2105025"/>
              <a:gd name="connsiteY2" fmla="*/ 0 h 152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105025" h="152400">
                <a:moveTo>
                  <a:pt x="0" y="0"/>
                </a:moveTo>
                <a:cubicBezTo>
                  <a:pt x="348456" y="76200"/>
                  <a:pt x="696913" y="152400"/>
                  <a:pt x="1047750" y="152400"/>
                </a:cubicBezTo>
                <a:cubicBezTo>
                  <a:pt x="1398587" y="152400"/>
                  <a:pt x="1751806" y="76200"/>
                  <a:pt x="2105025" y="0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65" name="Straight Connector 64">
            <a:extLst>
              <a:ext uri="{FF2B5EF4-FFF2-40B4-BE49-F238E27FC236}">
                <a16:creationId xmlns:a16="http://schemas.microsoft.com/office/drawing/2014/main" id="{D4E812DC-1B6D-F36C-3588-D2E6AE02CBC0}"/>
              </a:ext>
            </a:extLst>
          </xdr:cNvPr>
          <xdr:cNvCxnSpPr>
            <a:stCxn id="52" idx="0"/>
          </xdr:cNvCxnSpPr>
        </xdr:nvCxnSpPr>
        <xdr:spPr>
          <a:xfrm>
            <a:off x="1781176" y="4291012"/>
            <a:ext cx="742949" cy="1666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3931FFDF-D26D-2E84-2C90-FC905D1D68D4}"/>
              </a:ext>
            </a:extLst>
          </xdr:cNvPr>
          <xdr:cNvCxnSpPr>
            <a:stCxn id="63" idx="2"/>
          </xdr:cNvCxnSpPr>
        </xdr:nvCxnSpPr>
        <xdr:spPr>
          <a:xfrm flipH="1">
            <a:off x="3219450" y="4286250"/>
            <a:ext cx="671513" cy="1714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" name="Arc 67">
            <a:extLst>
              <a:ext uri="{FF2B5EF4-FFF2-40B4-BE49-F238E27FC236}">
                <a16:creationId xmlns:a16="http://schemas.microsoft.com/office/drawing/2014/main" id="{3BD4D035-A702-E261-C7DC-FA824F18A538}"/>
              </a:ext>
            </a:extLst>
          </xdr:cNvPr>
          <xdr:cNvSpPr/>
        </xdr:nvSpPr>
        <xdr:spPr>
          <a:xfrm rot="2732899">
            <a:off x="2100261" y="4257673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9" name="Arc 68">
            <a:extLst>
              <a:ext uri="{FF2B5EF4-FFF2-40B4-BE49-F238E27FC236}">
                <a16:creationId xmlns:a16="http://schemas.microsoft.com/office/drawing/2014/main" id="{FDD03FBD-668D-4EA9-B3BB-8D3CCF9D310E}"/>
              </a:ext>
            </a:extLst>
          </xdr:cNvPr>
          <xdr:cNvSpPr/>
        </xdr:nvSpPr>
        <xdr:spPr>
          <a:xfrm rot="12990771">
            <a:off x="3476624" y="4248147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1" name="Arc 70">
            <a:extLst>
              <a:ext uri="{FF2B5EF4-FFF2-40B4-BE49-F238E27FC236}">
                <a16:creationId xmlns:a16="http://schemas.microsoft.com/office/drawing/2014/main" id="{3E56AC07-CCA0-CF0A-581F-84366F4F3C9E}"/>
              </a:ext>
            </a:extLst>
          </xdr:cNvPr>
          <xdr:cNvSpPr/>
        </xdr:nvSpPr>
        <xdr:spPr>
          <a:xfrm rot="13026901">
            <a:off x="1524001" y="4152901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25</xdr:col>
      <xdr:colOff>0</xdr:colOff>
      <xdr:row>317</xdr:row>
      <xdr:rowOff>114300</xdr:rowOff>
    </xdr:from>
    <xdr:to>
      <xdr:col>40</xdr:col>
      <xdr:colOff>147638</xdr:colOff>
      <xdr:row>321</xdr:row>
      <xdr:rowOff>1</xdr:rowOff>
    </xdr:to>
    <xdr:grpSp>
      <xdr:nvGrpSpPr>
        <xdr:cNvPr id="331" name="Group 330">
          <a:extLst>
            <a:ext uri="{FF2B5EF4-FFF2-40B4-BE49-F238E27FC236}">
              <a16:creationId xmlns:a16="http://schemas.microsoft.com/office/drawing/2014/main" id="{FA48899C-352E-3365-F061-B8DF8E41297F}"/>
            </a:ext>
          </a:extLst>
        </xdr:cNvPr>
        <xdr:cNvGrpSpPr/>
      </xdr:nvGrpSpPr>
      <xdr:grpSpPr>
        <a:xfrm>
          <a:off x="4048125" y="47834550"/>
          <a:ext cx="2576513" cy="457201"/>
          <a:chOff x="4857750" y="4114800"/>
          <a:chExt cx="2576513" cy="457201"/>
        </a:xfrm>
      </xdr:grpSpPr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DDA30C62-D45B-4660-961F-992D1B8D4BD5}"/>
              </a:ext>
            </a:extLst>
          </xdr:cNvPr>
          <xdr:cNvSpPr/>
        </xdr:nvSpPr>
        <xdr:spPr>
          <a:xfrm>
            <a:off x="4857750" y="440531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3" name="Isosceles Triangle 72">
            <a:extLst>
              <a:ext uri="{FF2B5EF4-FFF2-40B4-BE49-F238E27FC236}">
                <a16:creationId xmlns:a16="http://schemas.microsoft.com/office/drawing/2014/main" id="{FE10DF38-5717-4084-A271-B91EF7DD3910}"/>
              </a:ext>
            </a:extLst>
          </xdr:cNvPr>
          <xdr:cNvSpPr/>
        </xdr:nvSpPr>
        <xdr:spPr>
          <a:xfrm>
            <a:off x="4958906" y="4291012"/>
            <a:ext cx="121540" cy="104776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665B3CBF-D82A-442E-B5A2-001FBF7B2749}"/>
              </a:ext>
            </a:extLst>
          </xdr:cNvPr>
          <xdr:cNvCxnSpPr/>
        </xdr:nvCxnSpPr>
        <xdr:spPr>
          <a:xfrm>
            <a:off x="4862512" y="439578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3F3D992D-E222-47FF-9DE4-A8882F3EA91A}"/>
              </a:ext>
            </a:extLst>
          </xdr:cNvPr>
          <xdr:cNvCxnSpPr/>
        </xdr:nvCxnSpPr>
        <xdr:spPr>
          <a:xfrm>
            <a:off x="5019675" y="4286251"/>
            <a:ext cx="2109788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076808FE-7FDB-44C4-B670-B8E9754EDB36}"/>
              </a:ext>
            </a:extLst>
          </xdr:cNvPr>
          <xdr:cNvSpPr/>
        </xdr:nvSpPr>
        <xdr:spPr>
          <a:xfrm>
            <a:off x="6962775" y="440531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7" name="Isosceles Triangle 76">
            <a:extLst>
              <a:ext uri="{FF2B5EF4-FFF2-40B4-BE49-F238E27FC236}">
                <a16:creationId xmlns:a16="http://schemas.microsoft.com/office/drawing/2014/main" id="{8A236432-0101-4D0E-9DE5-B7D5157F81A2}"/>
              </a:ext>
            </a:extLst>
          </xdr:cNvPr>
          <xdr:cNvSpPr/>
        </xdr:nvSpPr>
        <xdr:spPr>
          <a:xfrm>
            <a:off x="7072314" y="4279188"/>
            <a:ext cx="104774" cy="90322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" name="Straight Connector 77">
            <a:extLst>
              <a:ext uri="{FF2B5EF4-FFF2-40B4-BE49-F238E27FC236}">
                <a16:creationId xmlns:a16="http://schemas.microsoft.com/office/drawing/2014/main" id="{00F07201-6279-4043-B822-B22616E9439E}"/>
              </a:ext>
            </a:extLst>
          </xdr:cNvPr>
          <xdr:cNvCxnSpPr/>
        </xdr:nvCxnSpPr>
        <xdr:spPr>
          <a:xfrm>
            <a:off x="6967537" y="439578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BA654C8A-297E-4B9F-A1A7-13BC46B5CD30}"/>
              </a:ext>
            </a:extLst>
          </xdr:cNvPr>
          <xdr:cNvCxnSpPr/>
        </xdr:nvCxnSpPr>
        <xdr:spPr>
          <a:xfrm>
            <a:off x="6967537" y="436721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" name="Freeform: Shape 79">
            <a:extLst>
              <a:ext uri="{FF2B5EF4-FFF2-40B4-BE49-F238E27FC236}">
                <a16:creationId xmlns:a16="http://schemas.microsoft.com/office/drawing/2014/main" id="{192E8CCA-AEF0-41E0-90BD-495319E82A48}"/>
              </a:ext>
            </a:extLst>
          </xdr:cNvPr>
          <xdr:cNvSpPr/>
        </xdr:nvSpPr>
        <xdr:spPr>
          <a:xfrm>
            <a:off x="5024438" y="4286250"/>
            <a:ext cx="2105025" cy="152400"/>
          </a:xfrm>
          <a:custGeom>
            <a:avLst/>
            <a:gdLst>
              <a:gd name="connsiteX0" fmla="*/ 0 w 2105025"/>
              <a:gd name="connsiteY0" fmla="*/ 0 h 152400"/>
              <a:gd name="connsiteX1" fmla="*/ 1047750 w 2105025"/>
              <a:gd name="connsiteY1" fmla="*/ 152400 h 152400"/>
              <a:gd name="connsiteX2" fmla="*/ 2105025 w 2105025"/>
              <a:gd name="connsiteY2" fmla="*/ 0 h 152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105025" h="152400">
                <a:moveTo>
                  <a:pt x="0" y="0"/>
                </a:moveTo>
                <a:cubicBezTo>
                  <a:pt x="348456" y="76200"/>
                  <a:pt x="696913" y="152400"/>
                  <a:pt x="1047750" y="152400"/>
                </a:cubicBezTo>
                <a:cubicBezTo>
                  <a:pt x="1398587" y="152400"/>
                  <a:pt x="1751806" y="76200"/>
                  <a:pt x="2105025" y="0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4364F801-48C7-4DFF-ADEF-1C2F3AAF72E0}"/>
              </a:ext>
            </a:extLst>
          </xdr:cNvPr>
          <xdr:cNvCxnSpPr>
            <a:stCxn id="73" idx="0"/>
          </xdr:cNvCxnSpPr>
        </xdr:nvCxnSpPr>
        <xdr:spPr>
          <a:xfrm>
            <a:off x="5019676" y="4291012"/>
            <a:ext cx="742949" cy="1666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8D3041C8-1361-4C6D-B7E2-FBDE9D3EA6C7}"/>
              </a:ext>
            </a:extLst>
          </xdr:cNvPr>
          <xdr:cNvCxnSpPr>
            <a:stCxn id="80" idx="2"/>
          </xdr:cNvCxnSpPr>
        </xdr:nvCxnSpPr>
        <xdr:spPr>
          <a:xfrm flipH="1">
            <a:off x="6457950" y="4286250"/>
            <a:ext cx="671513" cy="1714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Arc 82">
            <a:extLst>
              <a:ext uri="{FF2B5EF4-FFF2-40B4-BE49-F238E27FC236}">
                <a16:creationId xmlns:a16="http://schemas.microsoft.com/office/drawing/2014/main" id="{9EEF88A9-B3DF-48AA-8861-0BD70A8E0D3C}"/>
              </a:ext>
            </a:extLst>
          </xdr:cNvPr>
          <xdr:cNvSpPr/>
        </xdr:nvSpPr>
        <xdr:spPr>
          <a:xfrm rot="2732899">
            <a:off x="5338761" y="4257673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4" name="Arc 83">
            <a:extLst>
              <a:ext uri="{FF2B5EF4-FFF2-40B4-BE49-F238E27FC236}">
                <a16:creationId xmlns:a16="http://schemas.microsoft.com/office/drawing/2014/main" id="{B69A3137-53F2-46E1-9192-8DB2305B1137}"/>
              </a:ext>
            </a:extLst>
          </xdr:cNvPr>
          <xdr:cNvSpPr/>
        </xdr:nvSpPr>
        <xdr:spPr>
          <a:xfrm rot="12990771">
            <a:off x="6715124" y="4248147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6" name="Arc 85">
            <a:extLst>
              <a:ext uri="{FF2B5EF4-FFF2-40B4-BE49-F238E27FC236}">
                <a16:creationId xmlns:a16="http://schemas.microsoft.com/office/drawing/2014/main" id="{642EC3B3-16B4-48B9-8C90-D36348F680A0}"/>
              </a:ext>
            </a:extLst>
          </xdr:cNvPr>
          <xdr:cNvSpPr/>
        </xdr:nvSpPr>
        <xdr:spPr>
          <a:xfrm rot="1341123">
            <a:off x="7024689" y="4114800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6</xdr:col>
      <xdr:colOff>0</xdr:colOff>
      <xdr:row>327</xdr:row>
      <xdr:rowOff>95245</xdr:rowOff>
    </xdr:from>
    <xdr:to>
      <xdr:col>21</xdr:col>
      <xdr:colOff>0</xdr:colOff>
      <xdr:row>332</xdr:row>
      <xdr:rowOff>1</xdr:rowOff>
    </xdr:to>
    <xdr:grpSp>
      <xdr:nvGrpSpPr>
        <xdr:cNvPr id="332" name="Group 331">
          <a:extLst>
            <a:ext uri="{FF2B5EF4-FFF2-40B4-BE49-F238E27FC236}">
              <a16:creationId xmlns:a16="http://schemas.microsoft.com/office/drawing/2014/main" id="{2DA6BB2C-F991-343D-0149-A8ED1A3265AA}"/>
            </a:ext>
          </a:extLst>
        </xdr:cNvPr>
        <xdr:cNvGrpSpPr/>
      </xdr:nvGrpSpPr>
      <xdr:grpSpPr>
        <a:xfrm>
          <a:off x="971550" y="49244245"/>
          <a:ext cx="2428875" cy="619131"/>
          <a:chOff x="1781175" y="5667370"/>
          <a:chExt cx="2428875" cy="619131"/>
        </a:xfrm>
      </xdr:grpSpPr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7AFDF23D-09B3-4EB1-BA37-B98B281928BB}"/>
              </a:ext>
            </a:extLst>
          </xdr:cNvPr>
          <xdr:cNvSpPr/>
        </xdr:nvSpPr>
        <xdr:spPr>
          <a:xfrm>
            <a:off x="1781175" y="611981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8" name="Isosceles Triangle 87">
            <a:extLst>
              <a:ext uri="{FF2B5EF4-FFF2-40B4-BE49-F238E27FC236}">
                <a16:creationId xmlns:a16="http://schemas.microsoft.com/office/drawing/2014/main" id="{8A1C1738-9A77-461E-971F-4A4D4E645C15}"/>
              </a:ext>
            </a:extLst>
          </xdr:cNvPr>
          <xdr:cNvSpPr/>
        </xdr:nvSpPr>
        <xdr:spPr>
          <a:xfrm>
            <a:off x="1882331" y="6005512"/>
            <a:ext cx="121540" cy="104776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9" name="Straight Connector 88">
            <a:extLst>
              <a:ext uri="{FF2B5EF4-FFF2-40B4-BE49-F238E27FC236}">
                <a16:creationId xmlns:a16="http://schemas.microsoft.com/office/drawing/2014/main" id="{B60D2A59-8658-44AB-8823-A081FFF54598}"/>
              </a:ext>
            </a:extLst>
          </xdr:cNvPr>
          <xdr:cNvCxnSpPr/>
        </xdr:nvCxnSpPr>
        <xdr:spPr>
          <a:xfrm>
            <a:off x="1785937" y="611028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9BA720BB-50D9-45DC-BB49-278D31E657B2}"/>
              </a:ext>
            </a:extLst>
          </xdr:cNvPr>
          <xdr:cNvCxnSpPr/>
        </xdr:nvCxnSpPr>
        <xdr:spPr>
          <a:xfrm>
            <a:off x="1943100" y="6000751"/>
            <a:ext cx="2109788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9CF71626-2528-4AF5-B80D-DF13A28FEC31}"/>
              </a:ext>
            </a:extLst>
          </xdr:cNvPr>
          <xdr:cNvSpPr/>
        </xdr:nvSpPr>
        <xdr:spPr>
          <a:xfrm>
            <a:off x="3886200" y="611981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2" name="Isosceles Triangle 91">
            <a:extLst>
              <a:ext uri="{FF2B5EF4-FFF2-40B4-BE49-F238E27FC236}">
                <a16:creationId xmlns:a16="http://schemas.microsoft.com/office/drawing/2014/main" id="{002A0F38-C31C-4574-91B5-353228F97C0B}"/>
              </a:ext>
            </a:extLst>
          </xdr:cNvPr>
          <xdr:cNvSpPr/>
        </xdr:nvSpPr>
        <xdr:spPr>
          <a:xfrm>
            <a:off x="3995739" y="5993688"/>
            <a:ext cx="104774" cy="90322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3" name="Straight Connector 92">
            <a:extLst>
              <a:ext uri="{FF2B5EF4-FFF2-40B4-BE49-F238E27FC236}">
                <a16:creationId xmlns:a16="http://schemas.microsoft.com/office/drawing/2014/main" id="{0F76F7E6-00A8-4325-BEFB-65A582D21A88}"/>
              </a:ext>
            </a:extLst>
          </xdr:cNvPr>
          <xdr:cNvCxnSpPr/>
        </xdr:nvCxnSpPr>
        <xdr:spPr>
          <a:xfrm>
            <a:off x="3890962" y="611028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EF6D82EF-4084-4D67-9F3F-5FABB940460B}"/>
              </a:ext>
            </a:extLst>
          </xdr:cNvPr>
          <xdr:cNvCxnSpPr/>
        </xdr:nvCxnSpPr>
        <xdr:spPr>
          <a:xfrm>
            <a:off x="3890962" y="608171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5" name="Freeform: Shape 94">
            <a:extLst>
              <a:ext uri="{FF2B5EF4-FFF2-40B4-BE49-F238E27FC236}">
                <a16:creationId xmlns:a16="http://schemas.microsoft.com/office/drawing/2014/main" id="{7F245CF3-B685-47B1-8035-BC77AD1E20D0}"/>
              </a:ext>
            </a:extLst>
          </xdr:cNvPr>
          <xdr:cNvSpPr/>
        </xdr:nvSpPr>
        <xdr:spPr>
          <a:xfrm>
            <a:off x="1947863" y="6000750"/>
            <a:ext cx="2105025" cy="152400"/>
          </a:xfrm>
          <a:custGeom>
            <a:avLst/>
            <a:gdLst>
              <a:gd name="connsiteX0" fmla="*/ 0 w 2105025"/>
              <a:gd name="connsiteY0" fmla="*/ 0 h 152400"/>
              <a:gd name="connsiteX1" fmla="*/ 1047750 w 2105025"/>
              <a:gd name="connsiteY1" fmla="*/ 152400 h 152400"/>
              <a:gd name="connsiteX2" fmla="*/ 2105025 w 2105025"/>
              <a:gd name="connsiteY2" fmla="*/ 0 h 152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105025" h="152400">
                <a:moveTo>
                  <a:pt x="0" y="0"/>
                </a:moveTo>
                <a:cubicBezTo>
                  <a:pt x="348456" y="76200"/>
                  <a:pt x="696913" y="152400"/>
                  <a:pt x="1047750" y="152400"/>
                </a:cubicBezTo>
                <a:cubicBezTo>
                  <a:pt x="1398587" y="152400"/>
                  <a:pt x="1751806" y="76200"/>
                  <a:pt x="2105025" y="0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6" name="Straight Connector 95">
            <a:extLst>
              <a:ext uri="{FF2B5EF4-FFF2-40B4-BE49-F238E27FC236}">
                <a16:creationId xmlns:a16="http://schemas.microsoft.com/office/drawing/2014/main" id="{922B67EE-4EB1-4DE6-AB5A-400192F49C85}"/>
              </a:ext>
            </a:extLst>
          </xdr:cNvPr>
          <xdr:cNvCxnSpPr>
            <a:stCxn id="88" idx="0"/>
          </xdr:cNvCxnSpPr>
        </xdr:nvCxnSpPr>
        <xdr:spPr>
          <a:xfrm>
            <a:off x="1943101" y="6005512"/>
            <a:ext cx="742949" cy="1666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Connector 96">
            <a:extLst>
              <a:ext uri="{FF2B5EF4-FFF2-40B4-BE49-F238E27FC236}">
                <a16:creationId xmlns:a16="http://schemas.microsoft.com/office/drawing/2014/main" id="{98F5D3E4-6A19-4F22-A2C4-5DAD84CE6C8C}"/>
              </a:ext>
            </a:extLst>
          </xdr:cNvPr>
          <xdr:cNvCxnSpPr>
            <a:stCxn id="95" idx="2"/>
          </xdr:cNvCxnSpPr>
        </xdr:nvCxnSpPr>
        <xdr:spPr>
          <a:xfrm flipH="1">
            <a:off x="3381375" y="6000750"/>
            <a:ext cx="671513" cy="1714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8" name="Arc 97">
            <a:extLst>
              <a:ext uri="{FF2B5EF4-FFF2-40B4-BE49-F238E27FC236}">
                <a16:creationId xmlns:a16="http://schemas.microsoft.com/office/drawing/2014/main" id="{47394F5B-D3E7-494F-8266-9A60ADFE03B2}"/>
              </a:ext>
            </a:extLst>
          </xdr:cNvPr>
          <xdr:cNvSpPr/>
        </xdr:nvSpPr>
        <xdr:spPr>
          <a:xfrm rot="2732899">
            <a:off x="2262186" y="5972173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9" name="Arc 98">
            <a:extLst>
              <a:ext uri="{FF2B5EF4-FFF2-40B4-BE49-F238E27FC236}">
                <a16:creationId xmlns:a16="http://schemas.microsoft.com/office/drawing/2014/main" id="{CE594C2C-BAC5-4213-8E2D-561690263DCC}"/>
              </a:ext>
            </a:extLst>
          </xdr:cNvPr>
          <xdr:cNvSpPr/>
        </xdr:nvSpPr>
        <xdr:spPr>
          <a:xfrm rot="12990771">
            <a:off x="3638549" y="5962647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1" name="Straight Arrow Connector 100">
            <a:extLst>
              <a:ext uri="{FF2B5EF4-FFF2-40B4-BE49-F238E27FC236}">
                <a16:creationId xmlns:a16="http://schemas.microsoft.com/office/drawing/2014/main" id="{76E4D7EF-E672-A816-CB5B-ED23B96CBC0E}"/>
              </a:ext>
            </a:extLst>
          </xdr:cNvPr>
          <xdr:cNvCxnSpPr/>
        </xdr:nvCxnSpPr>
        <xdr:spPr>
          <a:xfrm>
            <a:off x="1943100" y="5672137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" name="Straight Arrow Connector 101">
            <a:extLst>
              <a:ext uri="{FF2B5EF4-FFF2-40B4-BE49-F238E27FC236}">
                <a16:creationId xmlns:a16="http://schemas.microsoft.com/office/drawing/2014/main" id="{446D9765-55E0-4AD6-AA7B-2AE0CFF4644F}"/>
              </a:ext>
            </a:extLst>
          </xdr:cNvPr>
          <xdr:cNvCxnSpPr/>
        </xdr:nvCxnSpPr>
        <xdr:spPr>
          <a:xfrm>
            <a:off x="2105025" y="5672137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" name="Straight Arrow Connector 102">
            <a:extLst>
              <a:ext uri="{FF2B5EF4-FFF2-40B4-BE49-F238E27FC236}">
                <a16:creationId xmlns:a16="http://schemas.microsoft.com/office/drawing/2014/main" id="{092E665D-7FD6-435F-ADD2-E75F6A123906}"/>
              </a:ext>
            </a:extLst>
          </xdr:cNvPr>
          <xdr:cNvCxnSpPr/>
        </xdr:nvCxnSpPr>
        <xdr:spPr>
          <a:xfrm>
            <a:off x="2266949" y="567213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Straight Arrow Connector 103">
            <a:extLst>
              <a:ext uri="{FF2B5EF4-FFF2-40B4-BE49-F238E27FC236}">
                <a16:creationId xmlns:a16="http://schemas.microsoft.com/office/drawing/2014/main" id="{38C12795-429C-4F90-8347-13BE44469B7B}"/>
              </a:ext>
            </a:extLst>
          </xdr:cNvPr>
          <xdr:cNvCxnSpPr/>
        </xdr:nvCxnSpPr>
        <xdr:spPr>
          <a:xfrm>
            <a:off x="2428874" y="567213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Arrow Connector 104">
            <a:extLst>
              <a:ext uri="{FF2B5EF4-FFF2-40B4-BE49-F238E27FC236}">
                <a16:creationId xmlns:a16="http://schemas.microsoft.com/office/drawing/2014/main" id="{84F49DFB-ADCD-4809-BC0D-18D8243C1320}"/>
              </a:ext>
            </a:extLst>
          </xdr:cNvPr>
          <xdr:cNvCxnSpPr/>
        </xdr:nvCxnSpPr>
        <xdr:spPr>
          <a:xfrm>
            <a:off x="2590801" y="5672137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Straight Arrow Connector 105">
            <a:extLst>
              <a:ext uri="{FF2B5EF4-FFF2-40B4-BE49-F238E27FC236}">
                <a16:creationId xmlns:a16="http://schemas.microsoft.com/office/drawing/2014/main" id="{35AB5F3C-315D-47C5-8D5A-0511DF2B7E82}"/>
              </a:ext>
            </a:extLst>
          </xdr:cNvPr>
          <xdr:cNvCxnSpPr/>
        </xdr:nvCxnSpPr>
        <xdr:spPr>
          <a:xfrm>
            <a:off x="2752726" y="5672137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Arrow Connector 106">
            <a:extLst>
              <a:ext uri="{FF2B5EF4-FFF2-40B4-BE49-F238E27FC236}">
                <a16:creationId xmlns:a16="http://schemas.microsoft.com/office/drawing/2014/main" id="{50745353-E5FB-4C13-A341-5506480B6921}"/>
              </a:ext>
            </a:extLst>
          </xdr:cNvPr>
          <xdr:cNvCxnSpPr/>
        </xdr:nvCxnSpPr>
        <xdr:spPr>
          <a:xfrm>
            <a:off x="2914650" y="567213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Arrow Connector 107">
            <a:extLst>
              <a:ext uri="{FF2B5EF4-FFF2-40B4-BE49-F238E27FC236}">
                <a16:creationId xmlns:a16="http://schemas.microsoft.com/office/drawing/2014/main" id="{518B40A7-C33B-4E35-82BD-CE2FA5FA7950}"/>
              </a:ext>
            </a:extLst>
          </xdr:cNvPr>
          <xdr:cNvCxnSpPr/>
        </xdr:nvCxnSpPr>
        <xdr:spPr>
          <a:xfrm>
            <a:off x="3076575" y="567213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Arrow Connector 108">
            <a:extLst>
              <a:ext uri="{FF2B5EF4-FFF2-40B4-BE49-F238E27FC236}">
                <a16:creationId xmlns:a16="http://schemas.microsoft.com/office/drawing/2014/main" id="{8A76C544-20CA-4C2F-9A13-112D21B8A1E0}"/>
              </a:ext>
            </a:extLst>
          </xdr:cNvPr>
          <xdr:cNvCxnSpPr/>
        </xdr:nvCxnSpPr>
        <xdr:spPr>
          <a:xfrm>
            <a:off x="3238508" y="5667371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0999959F-1A5F-4336-9F9B-A9A3AB11F8D9}"/>
              </a:ext>
            </a:extLst>
          </xdr:cNvPr>
          <xdr:cNvCxnSpPr/>
        </xdr:nvCxnSpPr>
        <xdr:spPr>
          <a:xfrm>
            <a:off x="3400433" y="5667371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2462FC91-5265-43C4-86FF-A6E4052A9584}"/>
              </a:ext>
            </a:extLst>
          </xdr:cNvPr>
          <xdr:cNvCxnSpPr/>
        </xdr:nvCxnSpPr>
        <xdr:spPr>
          <a:xfrm>
            <a:off x="3562357" y="566737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Arrow Connector 111">
            <a:extLst>
              <a:ext uri="{FF2B5EF4-FFF2-40B4-BE49-F238E27FC236}">
                <a16:creationId xmlns:a16="http://schemas.microsoft.com/office/drawing/2014/main" id="{113C4931-CBD1-40FF-AC42-3588187DECE3}"/>
              </a:ext>
            </a:extLst>
          </xdr:cNvPr>
          <xdr:cNvCxnSpPr/>
        </xdr:nvCxnSpPr>
        <xdr:spPr>
          <a:xfrm>
            <a:off x="3724282" y="566737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2C076D44-D6C3-490B-ADE8-7E203D1FCFF3}"/>
              </a:ext>
            </a:extLst>
          </xdr:cNvPr>
          <xdr:cNvCxnSpPr/>
        </xdr:nvCxnSpPr>
        <xdr:spPr>
          <a:xfrm>
            <a:off x="3886209" y="5667371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F7258E90-6201-4FF0-A82C-AF68E296DE19}"/>
              </a:ext>
            </a:extLst>
          </xdr:cNvPr>
          <xdr:cNvCxnSpPr/>
        </xdr:nvCxnSpPr>
        <xdr:spPr>
          <a:xfrm>
            <a:off x="4048134" y="5667371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Connector 117">
            <a:extLst>
              <a:ext uri="{FF2B5EF4-FFF2-40B4-BE49-F238E27FC236}">
                <a16:creationId xmlns:a16="http://schemas.microsoft.com/office/drawing/2014/main" id="{CE3B4039-FA45-160A-2134-98F916706663}"/>
              </a:ext>
            </a:extLst>
          </xdr:cNvPr>
          <xdr:cNvCxnSpPr/>
        </xdr:nvCxnSpPr>
        <xdr:spPr>
          <a:xfrm>
            <a:off x="1938338" y="5857875"/>
            <a:ext cx="2114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1C13E568-9F3D-4DA2-8A40-050801E94270}"/>
              </a:ext>
            </a:extLst>
          </xdr:cNvPr>
          <xdr:cNvCxnSpPr/>
        </xdr:nvCxnSpPr>
        <xdr:spPr>
          <a:xfrm>
            <a:off x="1943100" y="5667374"/>
            <a:ext cx="2114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350</xdr:row>
      <xdr:rowOff>138113</xdr:rowOff>
    </xdr:from>
    <xdr:to>
      <xdr:col>21</xdr:col>
      <xdr:colOff>0</xdr:colOff>
      <xdr:row>356</xdr:row>
      <xdr:rowOff>1</xdr:rowOff>
    </xdr:to>
    <xdr:grpSp>
      <xdr:nvGrpSpPr>
        <xdr:cNvPr id="333" name="Group 332">
          <a:extLst>
            <a:ext uri="{FF2B5EF4-FFF2-40B4-BE49-F238E27FC236}">
              <a16:creationId xmlns:a16="http://schemas.microsoft.com/office/drawing/2014/main" id="{04C6A331-77C6-FC57-6913-A17AB67447EE}"/>
            </a:ext>
          </a:extLst>
        </xdr:cNvPr>
        <xdr:cNvGrpSpPr/>
      </xdr:nvGrpSpPr>
      <xdr:grpSpPr>
        <a:xfrm>
          <a:off x="971550" y="52573238"/>
          <a:ext cx="2428875" cy="719138"/>
          <a:chOff x="1781175" y="8853488"/>
          <a:chExt cx="2428875" cy="719138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772116B9-0A29-453A-87E6-8BAF49F9A949}"/>
              </a:ext>
            </a:extLst>
          </xdr:cNvPr>
          <xdr:cNvSpPr/>
        </xdr:nvSpPr>
        <xdr:spPr>
          <a:xfrm>
            <a:off x="1781175" y="9405938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" name="Isosceles Triangle 2">
            <a:extLst>
              <a:ext uri="{FF2B5EF4-FFF2-40B4-BE49-F238E27FC236}">
                <a16:creationId xmlns:a16="http://schemas.microsoft.com/office/drawing/2014/main" id="{4B782EA3-4828-4F84-B904-51204E4E4488}"/>
              </a:ext>
            </a:extLst>
          </xdr:cNvPr>
          <xdr:cNvSpPr/>
        </xdr:nvSpPr>
        <xdr:spPr>
          <a:xfrm>
            <a:off x="1882331" y="9291637"/>
            <a:ext cx="121540" cy="104776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14BF50B6-5F1D-4E84-ACE4-5A36940D923E}"/>
              </a:ext>
            </a:extLst>
          </xdr:cNvPr>
          <xdr:cNvCxnSpPr/>
        </xdr:nvCxnSpPr>
        <xdr:spPr>
          <a:xfrm>
            <a:off x="1785937" y="939641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50D350D8-8A51-4161-ACBB-51C2EB19531F}"/>
              </a:ext>
            </a:extLst>
          </xdr:cNvPr>
          <xdr:cNvCxnSpPr/>
        </xdr:nvCxnSpPr>
        <xdr:spPr>
          <a:xfrm>
            <a:off x="1943100" y="9286876"/>
            <a:ext cx="2109788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53466446-257B-4577-83A8-85C423258FA7}"/>
              </a:ext>
            </a:extLst>
          </xdr:cNvPr>
          <xdr:cNvSpPr/>
        </xdr:nvSpPr>
        <xdr:spPr>
          <a:xfrm>
            <a:off x="3886200" y="9405938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" name="Isosceles Triangle 11">
            <a:extLst>
              <a:ext uri="{FF2B5EF4-FFF2-40B4-BE49-F238E27FC236}">
                <a16:creationId xmlns:a16="http://schemas.microsoft.com/office/drawing/2014/main" id="{7C4AC2B9-4820-4FDE-897E-A6EE9AB2E0A8}"/>
              </a:ext>
            </a:extLst>
          </xdr:cNvPr>
          <xdr:cNvSpPr/>
        </xdr:nvSpPr>
        <xdr:spPr>
          <a:xfrm>
            <a:off x="3995739" y="9279813"/>
            <a:ext cx="104774" cy="90322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CEB852E9-00AE-4F29-AA37-AFDF2AB4B4C4}"/>
              </a:ext>
            </a:extLst>
          </xdr:cNvPr>
          <xdr:cNvCxnSpPr/>
        </xdr:nvCxnSpPr>
        <xdr:spPr>
          <a:xfrm>
            <a:off x="3890962" y="939641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6B3BD857-A320-48C6-BB9E-8BD95BA17145}"/>
              </a:ext>
            </a:extLst>
          </xdr:cNvPr>
          <xdr:cNvCxnSpPr/>
        </xdr:nvCxnSpPr>
        <xdr:spPr>
          <a:xfrm>
            <a:off x="3890962" y="936783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" name="Freeform: Shape 22">
            <a:extLst>
              <a:ext uri="{FF2B5EF4-FFF2-40B4-BE49-F238E27FC236}">
                <a16:creationId xmlns:a16="http://schemas.microsoft.com/office/drawing/2014/main" id="{E81EAA08-15CF-4368-A327-5BC23E99F5BE}"/>
              </a:ext>
            </a:extLst>
          </xdr:cNvPr>
          <xdr:cNvSpPr/>
        </xdr:nvSpPr>
        <xdr:spPr>
          <a:xfrm>
            <a:off x="1947863" y="9286875"/>
            <a:ext cx="2105025" cy="152400"/>
          </a:xfrm>
          <a:custGeom>
            <a:avLst/>
            <a:gdLst>
              <a:gd name="connsiteX0" fmla="*/ 0 w 2105025"/>
              <a:gd name="connsiteY0" fmla="*/ 0 h 152400"/>
              <a:gd name="connsiteX1" fmla="*/ 1047750 w 2105025"/>
              <a:gd name="connsiteY1" fmla="*/ 152400 h 152400"/>
              <a:gd name="connsiteX2" fmla="*/ 2105025 w 2105025"/>
              <a:gd name="connsiteY2" fmla="*/ 0 h 152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105025" h="152400">
                <a:moveTo>
                  <a:pt x="0" y="0"/>
                </a:moveTo>
                <a:cubicBezTo>
                  <a:pt x="348456" y="76200"/>
                  <a:pt x="696913" y="152400"/>
                  <a:pt x="1047750" y="152400"/>
                </a:cubicBezTo>
                <a:cubicBezTo>
                  <a:pt x="1398587" y="152400"/>
                  <a:pt x="1751806" y="76200"/>
                  <a:pt x="2105025" y="0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06297952-E09D-4584-8CF4-73A71E243586}"/>
              </a:ext>
            </a:extLst>
          </xdr:cNvPr>
          <xdr:cNvCxnSpPr>
            <a:stCxn id="3" idx="0"/>
          </xdr:cNvCxnSpPr>
        </xdr:nvCxnSpPr>
        <xdr:spPr>
          <a:xfrm>
            <a:off x="1943101" y="9291637"/>
            <a:ext cx="742949" cy="1666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BE009EDC-67AB-49D7-A59C-47D40CD29A20}"/>
              </a:ext>
            </a:extLst>
          </xdr:cNvPr>
          <xdr:cNvCxnSpPr>
            <a:stCxn id="23" idx="2"/>
          </xdr:cNvCxnSpPr>
        </xdr:nvCxnSpPr>
        <xdr:spPr>
          <a:xfrm flipH="1">
            <a:off x="3381375" y="9286875"/>
            <a:ext cx="671513" cy="1714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Arc 31">
            <a:extLst>
              <a:ext uri="{FF2B5EF4-FFF2-40B4-BE49-F238E27FC236}">
                <a16:creationId xmlns:a16="http://schemas.microsoft.com/office/drawing/2014/main" id="{82671E1C-1CAC-4938-959C-D31571D29836}"/>
              </a:ext>
            </a:extLst>
          </xdr:cNvPr>
          <xdr:cNvSpPr/>
        </xdr:nvSpPr>
        <xdr:spPr>
          <a:xfrm rot="2732899">
            <a:off x="2262186" y="9258298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3" name="Arc 32">
            <a:extLst>
              <a:ext uri="{FF2B5EF4-FFF2-40B4-BE49-F238E27FC236}">
                <a16:creationId xmlns:a16="http://schemas.microsoft.com/office/drawing/2014/main" id="{FD177135-8AC6-426A-8670-D5F34AAFAF85}"/>
              </a:ext>
            </a:extLst>
          </xdr:cNvPr>
          <xdr:cNvSpPr/>
        </xdr:nvSpPr>
        <xdr:spPr>
          <a:xfrm rot="12990771">
            <a:off x="3638549" y="9248772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1" name="Straight Arrow Connector 50">
            <a:extLst>
              <a:ext uri="{FF2B5EF4-FFF2-40B4-BE49-F238E27FC236}">
                <a16:creationId xmlns:a16="http://schemas.microsoft.com/office/drawing/2014/main" id="{640B4971-7FC9-487E-FCBD-E18CB1FB2822}"/>
              </a:ext>
            </a:extLst>
          </xdr:cNvPr>
          <xdr:cNvCxnSpPr/>
        </xdr:nvCxnSpPr>
        <xdr:spPr>
          <a:xfrm>
            <a:off x="2595562" y="8853488"/>
            <a:ext cx="0" cy="419101"/>
          </a:xfrm>
          <a:prstGeom prst="straightConnector1">
            <a:avLst/>
          </a:prstGeom>
          <a:ln w="127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Straight Connector 55">
            <a:extLst>
              <a:ext uri="{FF2B5EF4-FFF2-40B4-BE49-F238E27FC236}">
                <a16:creationId xmlns:a16="http://schemas.microsoft.com/office/drawing/2014/main" id="{000BCF31-0B40-8023-87C6-D2402F261D74}"/>
              </a:ext>
            </a:extLst>
          </xdr:cNvPr>
          <xdr:cNvCxnSpPr/>
        </xdr:nvCxnSpPr>
        <xdr:spPr>
          <a:xfrm>
            <a:off x="1943100" y="8910638"/>
            <a:ext cx="0" cy="238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5241D542-EBE8-8A01-A53C-829B7FADB1BB}"/>
              </a:ext>
            </a:extLst>
          </xdr:cNvPr>
          <xdr:cNvCxnSpPr/>
        </xdr:nvCxnSpPr>
        <xdr:spPr>
          <a:xfrm>
            <a:off x="1885950" y="9001125"/>
            <a:ext cx="762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Straight Connector 69">
            <a:extLst>
              <a:ext uri="{FF2B5EF4-FFF2-40B4-BE49-F238E27FC236}">
                <a16:creationId xmlns:a16="http://schemas.microsoft.com/office/drawing/2014/main" id="{2CEC2C2F-D263-B6E1-EDAB-415B442AE9F1}"/>
              </a:ext>
            </a:extLst>
          </xdr:cNvPr>
          <xdr:cNvCxnSpPr/>
        </xdr:nvCxnSpPr>
        <xdr:spPr>
          <a:xfrm flipH="1">
            <a:off x="1909762" y="8972551"/>
            <a:ext cx="61913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Straight Connector 99">
            <a:extLst>
              <a:ext uri="{FF2B5EF4-FFF2-40B4-BE49-F238E27FC236}">
                <a16:creationId xmlns:a16="http://schemas.microsoft.com/office/drawing/2014/main" id="{3C385ED0-1591-4E6F-9911-9E41B239F8D6}"/>
              </a:ext>
            </a:extLst>
          </xdr:cNvPr>
          <xdr:cNvCxnSpPr/>
        </xdr:nvCxnSpPr>
        <xdr:spPr>
          <a:xfrm flipH="1">
            <a:off x="2566987" y="8967786"/>
            <a:ext cx="61913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104401</xdr:colOff>
      <xdr:row>361</xdr:row>
      <xdr:rowOff>23436</xdr:rowOff>
    </xdr:from>
    <xdr:to>
      <xdr:col>21</xdr:col>
      <xdr:colOff>23811</xdr:colOff>
      <xdr:row>370</xdr:row>
      <xdr:rowOff>5135</xdr:rowOff>
    </xdr:to>
    <xdr:grpSp>
      <xdr:nvGrpSpPr>
        <xdr:cNvPr id="335" name="Group 334">
          <a:extLst>
            <a:ext uri="{FF2B5EF4-FFF2-40B4-BE49-F238E27FC236}">
              <a16:creationId xmlns:a16="http://schemas.microsoft.com/office/drawing/2014/main" id="{8B5FD3D5-0913-0F1C-FE6B-D25AB7D55CD9}"/>
            </a:ext>
          </a:extLst>
        </xdr:cNvPr>
        <xdr:cNvGrpSpPr/>
      </xdr:nvGrpSpPr>
      <xdr:grpSpPr>
        <a:xfrm>
          <a:off x="752101" y="54030186"/>
          <a:ext cx="2672135" cy="1267574"/>
          <a:chOff x="1561726" y="10310436"/>
          <a:chExt cx="2672135" cy="1267574"/>
        </a:xfrm>
      </xdr:grpSpPr>
      <xdr:sp macro="" textlink="">
        <xdr:nvSpPr>
          <xdr:cNvPr id="121" name="Arc 120">
            <a:extLst>
              <a:ext uri="{FF2B5EF4-FFF2-40B4-BE49-F238E27FC236}">
                <a16:creationId xmlns:a16="http://schemas.microsoft.com/office/drawing/2014/main" id="{4FA573BE-C8A8-D519-9099-9DDFCF1196EC}"/>
              </a:ext>
            </a:extLst>
          </xdr:cNvPr>
          <xdr:cNvSpPr/>
        </xdr:nvSpPr>
        <xdr:spPr>
          <a:xfrm rot="18629070">
            <a:off x="1561726" y="10310436"/>
            <a:ext cx="1267574" cy="1267574"/>
          </a:xfrm>
          <a:prstGeom prst="arc">
            <a:avLst>
              <a:gd name="adj1" fmla="val 16200000"/>
              <a:gd name="adj2" fmla="val 18009144"/>
            </a:avLst>
          </a:prstGeom>
          <a:ln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5" name="Freeform: Shape 34">
            <a:extLst>
              <a:ext uri="{FF2B5EF4-FFF2-40B4-BE49-F238E27FC236}">
                <a16:creationId xmlns:a16="http://schemas.microsoft.com/office/drawing/2014/main" id="{E1A5B63A-CB73-F126-C375-38D17F6FBAC2}"/>
              </a:ext>
            </a:extLst>
          </xdr:cNvPr>
          <xdr:cNvSpPr/>
        </xdr:nvSpPr>
        <xdr:spPr>
          <a:xfrm>
            <a:off x="1943100" y="10567975"/>
            <a:ext cx="1947863" cy="295288"/>
          </a:xfrm>
          <a:custGeom>
            <a:avLst/>
            <a:gdLst>
              <a:gd name="connsiteX0" fmla="*/ 0 w 1947863"/>
              <a:gd name="connsiteY0" fmla="*/ 285763 h 295288"/>
              <a:gd name="connsiteX1" fmla="*/ 585788 w 1947863"/>
              <a:gd name="connsiteY1" fmla="*/ 13 h 295288"/>
              <a:gd name="connsiteX2" fmla="*/ 1947863 w 1947863"/>
              <a:gd name="connsiteY2" fmla="*/ 295288 h 2952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3" h="295288">
                <a:moveTo>
                  <a:pt x="0" y="285763"/>
                </a:moveTo>
                <a:cubicBezTo>
                  <a:pt x="130572" y="142094"/>
                  <a:pt x="261144" y="-1574"/>
                  <a:pt x="585788" y="13"/>
                </a:cubicBezTo>
                <a:cubicBezTo>
                  <a:pt x="910432" y="1600"/>
                  <a:pt x="1429147" y="148444"/>
                  <a:pt x="1947863" y="295288"/>
                </a:cubicBezTo>
              </a:path>
            </a:pathLst>
          </a:cu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CE5D4EA8-AFEF-4D54-B5F6-E1156B71E21B}"/>
              </a:ext>
            </a:extLst>
          </xdr:cNvPr>
          <xdr:cNvSpPr/>
        </xdr:nvSpPr>
        <xdr:spPr>
          <a:xfrm rot="3294139">
            <a:off x="1704976" y="10829925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0D5831F5-C34D-4A64-9A82-00EAC71C8AA0}"/>
              </a:ext>
            </a:extLst>
          </xdr:cNvPr>
          <xdr:cNvCxnSpPr/>
        </xdr:nvCxnSpPr>
        <xdr:spPr>
          <a:xfrm rot="3294139">
            <a:off x="1785938" y="10858499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8A03DBCB-7C93-417B-BD87-E226F140C17F}"/>
              </a:ext>
            </a:extLst>
          </xdr:cNvPr>
          <xdr:cNvSpPr/>
        </xdr:nvSpPr>
        <xdr:spPr>
          <a:xfrm rot="16200000">
            <a:off x="3819525" y="10777537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0A6F6CA0-CE67-491C-97A4-430C184A1C72}"/>
              </a:ext>
            </a:extLst>
          </xdr:cNvPr>
          <xdr:cNvCxnSpPr/>
        </xdr:nvCxnSpPr>
        <xdr:spPr>
          <a:xfrm rot="16200000">
            <a:off x="3733800" y="10863260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B7846383-6692-406D-8B53-09EDA857150E}"/>
              </a:ext>
            </a:extLst>
          </xdr:cNvPr>
          <xdr:cNvCxnSpPr/>
        </xdr:nvCxnSpPr>
        <xdr:spPr>
          <a:xfrm rot="3294139">
            <a:off x="1585912" y="10572750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2" name="Arc 121">
            <a:extLst>
              <a:ext uri="{FF2B5EF4-FFF2-40B4-BE49-F238E27FC236}">
                <a16:creationId xmlns:a16="http://schemas.microsoft.com/office/drawing/2014/main" id="{7C2583A4-E60F-4EE9-89CA-3AF91469C5F4}"/>
              </a:ext>
            </a:extLst>
          </xdr:cNvPr>
          <xdr:cNvSpPr/>
        </xdr:nvSpPr>
        <xdr:spPr>
          <a:xfrm rot="13026901">
            <a:off x="1581150" y="10668001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23" name="Arc 122">
            <a:extLst>
              <a:ext uri="{FF2B5EF4-FFF2-40B4-BE49-F238E27FC236}">
                <a16:creationId xmlns:a16="http://schemas.microsoft.com/office/drawing/2014/main" id="{0EB87383-E034-4E31-A428-F4A01B96C7F2}"/>
              </a:ext>
            </a:extLst>
          </xdr:cNvPr>
          <xdr:cNvSpPr/>
        </xdr:nvSpPr>
        <xdr:spPr>
          <a:xfrm rot="1508362">
            <a:off x="3824287" y="10663238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123825</xdr:colOff>
      <xdr:row>369</xdr:row>
      <xdr:rowOff>42862</xdr:rowOff>
    </xdr:from>
    <xdr:to>
      <xdr:col>24</xdr:col>
      <xdr:colOff>91237</xdr:colOff>
      <xdr:row>378</xdr:row>
      <xdr:rowOff>24561</xdr:rowOff>
    </xdr:to>
    <xdr:grpSp>
      <xdr:nvGrpSpPr>
        <xdr:cNvPr id="336" name="Group 335">
          <a:extLst>
            <a:ext uri="{FF2B5EF4-FFF2-40B4-BE49-F238E27FC236}">
              <a16:creationId xmlns:a16="http://schemas.microsoft.com/office/drawing/2014/main" id="{8AE0AD9C-6B72-8FD9-8155-F191C01F4B1E}"/>
            </a:ext>
          </a:extLst>
        </xdr:cNvPr>
        <xdr:cNvGrpSpPr/>
      </xdr:nvGrpSpPr>
      <xdr:grpSpPr>
        <a:xfrm>
          <a:off x="771525" y="55192612"/>
          <a:ext cx="3205912" cy="1267574"/>
          <a:chOff x="1581150" y="11472862"/>
          <a:chExt cx="3205912" cy="1267574"/>
        </a:xfrm>
      </xdr:grpSpPr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66235D5B-D0FF-4688-A4E3-D22943D6B13B}"/>
              </a:ext>
            </a:extLst>
          </xdr:cNvPr>
          <xdr:cNvSpPr/>
        </xdr:nvSpPr>
        <xdr:spPr>
          <a:xfrm rot="3294139">
            <a:off x="3781427" y="11853862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1FD7DB1C-DE10-419D-A9D3-D878BF6E4B61}"/>
              </a:ext>
            </a:extLst>
          </xdr:cNvPr>
          <xdr:cNvCxnSpPr/>
        </xdr:nvCxnSpPr>
        <xdr:spPr>
          <a:xfrm rot="3294139">
            <a:off x="3714752" y="11982449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6CCFFAEF-1E17-4025-AA5D-E9CA2031B846}"/>
              </a:ext>
            </a:extLst>
          </xdr:cNvPr>
          <xdr:cNvSpPr/>
        </xdr:nvSpPr>
        <xdr:spPr>
          <a:xfrm rot="16200000">
            <a:off x="1700213" y="11930062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A7773C1B-BFA5-456C-B962-20A0DF52D3E2}"/>
              </a:ext>
            </a:extLst>
          </xdr:cNvPr>
          <xdr:cNvCxnSpPr/>
        </xdr:nvCxnSpPr>
        <xdr:spPr>
          <a:xfrm rot="16200000">
            <a:off x="1781176" y="12011022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9AAB83DC-1988-4758-A6C7-87C14D6D820A}"/>
              </a:ext>
            </a:extLst>
          </xdr:cNvPr>
          <xdr:cNvCxnSpPr/>
        </xdr:nvCxnSpPr>
        <xdr:spPr>
          <a:xfrm rot="3294139">
            <a:off x="3514724" y="11701462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0" name="Arc 129">
            <a:extLst>
              <a:ext uri="{FF2B5EF4-FFF2-40B4-BE49-F238E27FC236}">
                <a16:creationId xmlns:a16="http://schemas.microsoft.com/office/drawing/2014/main" id="{FDEA3C34-BC1F-4758-A70C-1B0F130383BF}"/>
              </a:ext>
            </a:extLst>
          </xdr:cNvPr>
          <xdr:cNvSpPr/>
        </xdr:nvSpPr>
        <xdr:spPr>
          <a:xfrm rot="13026901">
            <a:off x="1581150" y="11811001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1" name="Arc 130">
            <a:extLst>
              <a:ext uri="{FF2B5EF4-FFF2-40B4-BE49-F238E27FC236}">
                <a16:creationId xmlns:a16="http://schemas.microsoft.com/office/drawing/2014/main" id="{87747CD8-E6AD-4659-88A6-2BA543482690}"/>
              </a:ext>
            </a:extLst>
          </xdr:cNvPr>
          <xdr:cNvSpPr/>
        </xdr:nvSpPr>
        <xdr:spPr>
          <a:xfrm rot="1508362">
            <a:off x="3824287" y="11806238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2" name="Arc 131">
            <a:extLst>
              <a:ext uri="{FF2B5EF4-FFF2-40B4-BE49-F238E27FC236}">
                <a16:creationId xmlns:a16="http://schemas.microsoft.com/office/drawing/2014/main" id="{F4BF2CE0-4CFC-473E-8DA4-2A1E07BCE3E5}"/>
              </a:ext>
            </a:extLst>
          </xdr:cNvPr>
          <xdr:cNvSpPr/>
        </xdr:nvSpPr>
        <xdr:spPr>
          <a:xfrm rot="18629070">
            <a:off x="3519488" y="11472862"/>
            <a:ext cx="1267574" cy="1267574"/>
          </a:xfrm>
          <a:prstGeom prst="arc">
            <a:avLst>
              <a:gd name="adj1" fmla="val 16200000"/>
              <a:gd name="adj2" fmla="val 18009144"/>
            </a:avLst>
          </a:prstGeom>
          <a:ln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35" name="Freeform: Shape 134">
            <a:extLst>
              <a:ext uri="{FF2B5EF4-FFF2-40B4-BE49-F238E27FC236}">
                <a16:creationId xmlns:a16="http://schemas.microsoft.com/office/drawing/2014/main" id="{C8840BFE-3DDC-A335-1F6A-640E8D82E595}"/>
              </a:ext>
            </a:extLst>
          </xdr:cNvPr>
          <xdr:cNvSpPr/>
        </xdr:nvSpPr>
        <xdr:spPr>
          <a:xfrm>
            <a:off x="1938338" y="11996738"/>
            <a:ext cx="1947862" cy="276228"/>
          </a:xfrm>
          <a:custGeom>
            <a:avLst/>
            <a:gdLst>
              <a:gd name="connsiteX0" fmla="*/ 1947862 w 1947862"/>
              <a:gd name="connsiteY0" fmla="*/ 4762 h 276228"/>
              <a:gd name="connsiteX1" fmla="*/ 1452562 w 1947862"/>
              <a:gd name="connsiteY1" fmla="*/ 276225 h 276228"/>
              <a:gd name="connsiteX2" fmla="*/ 0 w 1947862"/>
              <a:gd name="connsiteY2" fmla="*/ 0 h 2762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2" h="276228">
                <a:moveTo>
                  <a:pt x="1947862" y="4762"/>
                </a:moveTo>
                <a:cubicBezTo>
                  <a:pt x="1862534" y="140890"/>
                  <a:pt x="1777206" y="277019"/>
                  <a:pt x="1452562" y="276225"/>
                </a:cubicBezTo>
                <a:cubicBezTo>
                  <a:pt x="1127918" y="275431"/>
                  <a:pt x="563959" y="137715"/>
                  <a:pt x="0" y="0"/>
                </a:cubicBezTo>
              </a:path>
            </a:pathLst>
          </a:cu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9525</xdr:colOff>
      <xdr:row>383</xdr:row>
      <xdr:rowOff>85724</xdr:rowOff>
    </xdr:from>
    <xdr:to>
      <xdr:col>21</xdr:col>
      <xdr:colOff>23811</xdr:colOff>
      <xdr:row>386</xdr:row>
      <xdr:rowOff>71437</xdr:rowOff>
    </xdr:to>
    <xdr:grpSp>
      <xdr:nvGrpSpPr>
        <xdr:cNvPr id="337" name="Group 336">
          <a:extLst>
            <a:ext uri="{FF2B5EF4-FFF2-40B4-BE49-F238E27FC236}">
              <a16:creationId xmlns:a16="http://schemas.microsoft.com/office/drawing/2014/main" id="{82A42EDC-5D40-84BB-035A-A84EE899C533}"/>
            </a:ext>
          </a:extLst>
        </xdr:cNvPr>
        <xdr:cNvGrpSpPr/>
      </xdr:nvGrpSpPr>
      <xdr:grpSpPr>
        <a:xfrm>
          <a:off x="819150" y="57235724"/>
          <a:ext cx="2605086" cy="414338"/>
          <a:chOff x="1628775" y="13373099"/>
          <a:chExt cx="2605086" cy="414338"/>
        </a:xfrm>
      </xdr:grpSpPr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EFD8800F-2F00-4145-A0BC-F8312BBEEA8C}"/>
              </a:ext>
            </a:extLst>
          </xdr:cNvPr>
          <xdr:cNvSpPr/>
        </xdr:nvSpPr>
        <xdr:spPr>
          <a:xfrm rot="16200000">
            <a:off x="1700213" y="13501687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94BD5C93-53A5-40A8-82E5-7D3A529FD175}"/>
              </a:ext>
            </a:extLst>
          </xdr:cNvPr>
          <xdr:cNvCxnSpPr/>
        </xdr:nvCxnSpPr>
        <xdr:spPr>
          <a:xfrm rot="16200000">
            <a:off x="1781176" y="13582647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FDDB95C4-21FC-48E2-8B0F-2F37D4A57404}"/>
              </a:ext>
            </a:extLst>
          </xdr:cNvPr>
          <xdr:cNvSpPr/>
        </xdr:nvSpPr>
        <xdr:spPr>
          <a:xfrm rot="16200000">
            <a:off x="3819525" y="13492162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42E2B710-5482-4849-A336-9FBF7CA1C81D}"/>
              </a:ext>
            </a:extLst>
          </xdr:cNvPr>
          <xdr:cNvCxnSpPr/>
        </xdr:nvCxnSpPr>
        <xdr:spPr>
          <a:xfrm rot="16200000">
            <a:off x="3733800" y="13577885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0" name="Arc 139">
            <a:extLst>
              <a:ext uri="{FF2B5EF4-FFF2-40B4-BE49-F238E27FC236}">
                <a16:creationId xmlns:a16="http://schemas.microsoft.com/office/drawing/2014/main" id="{DAAC84AB-9C54-4447-9AC4-0D3F4CA30F24}"/>
              </a:ext>
            </a:extLst>
          </xdr:cNvPr>
          <xdr:cNvSpPr/>
        </xdr:nvSpPr>
        <xdr:spPr>
          <a:xfrm rot="1508362">
            <a:off x="3824287" y="13377863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41" name="Arc 140">
            <a:extLst>
              <a:ext uri="{FF2B5EF4-FFF2-40B4-BE49-F238E27FC236}">
                <a16:creationId xmlns:a16="http://schemas.microsoft.com/office/drawing/2014/main" id="{A3AFAE5E-450A-4131-AFF6-EAEA111B3A42}"/>
              </a:ext>
            </a:extLst>
          </xdr:cNvPr>
          <xdr:cNvSpPr/>
        </xdr:nvSpPr>
        <xdr:spPr>
          <a:xfrm rot="13026901">
            <a:off x="1628775" y="13373100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8E2B6D73-159F-3849-FE76-6F5DB02C5889}"/>
              </a:ext>
            </a:extLst>
          </xdr:cNvPr>
          <xdr:cNvCxnSpPr/>
        </xdr:nvCxnSpPr>
        <xdr:spPr>
          <a:xfrm>
            <a:off x="1938338" y="13573125"/>
            <a:ext cx="19573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Arrow Connector 144">
            <a:extLst>
              <a:ext uri="{FF2B5EF4-FFF2-40B4-BE49-F238E27FC236}">
                <a16:creationId xmlns:a16="http://schemas.microsoft.com/office/drawing/2014/main" id="{FB670D30-28A2-4B90-8B5B-F68E46AD2E68}"/>
              </a:ext>
            </a:extLst>
          </xdr:cNvPr>
          <xdr:cNvCxnSpPr/>
        </xdr:nvCxnSpPr>
        <xdr:spPr>
          <a:xfrm>
            <a:off x="1943099" y="1337787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Straight Arrow Connector 145">
            <a:extLst>
              <a:ext uri="{FF2B5EF4-FFF2-40B4-BE49-F238E27FC236}">
                <a16:creationId xmlns:a16="http://schemas.microsoft.com/office/drawing/2014/main" id="{DDE471CF-870A-4C6B-8170-7E1AC9FE9A29}"/>
              </a:ext>
            </a:extLst>
          </xdr:cNvPr>
          <xdr:cNvCxnSpPr/>
        </xdr:nvCxnSpPr>
        <xdr:spPr>
          <a:xfrm>
            <a:off x="2105024" y="1337787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Arrow Connector 146">
            <a:extLst>
              <a:ext uri="{FF2B5EF4-FFF2-40B4-BE49-F238E27FC236}">
                <a16:creationId xmlns:a16="http://schemas.microsoft.com/office/drawing/2014/main" id="{7910FF99-0D3F-40B5-BD46-89607DAB3013}"/>
              </a:ext>
            </a:extLst>
          </xdr:cNvPr>
          <xdr:cNvCxnSpPr/>
        </xdr:nvCxnSpPr>
        <xdr:spPr>
          <a:xfrm>
            <a:off x="2266948" y="1337787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Arrow Connector 147">
            <a:extLst>
              <a:ext uri="{FF2B5EF4-FFF2-40B4-BE49-F238E27FC236}">
                <a16:creationId xmlns:a16="http://schemas.microsoft.com/office/drawing/2014/main" id="{3FCBF3AD-1B95-4D76-90AE-F40FA2FA5E53}"/>
              </a:ext>
            </a:extLst>
          </xdr:cNvPr>
          <xdr:cNvCxnSpPr/>
        </xdr:nvCxnSpPr>
        <xdr:spPr>
          <a:xfrm>
            <a:off x="2428873" y="1337787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Arrow Connector 148">
            <a:extLst>
              <a:ext uri="{FF2B5EF4-FFF2-40B4-BE49-F238E27FC236}">
                <a16:creationId xmlns:a16="http://schemas.microsoft.com/office/drawing/2014/main" id="{582A9C02-32F0-4E88-BCA9-D00753C867F9}"/>
              </a:ext>
            </a:extLst>
          </xdr:cNvPr>
          <xdr:cNvCxnSpPr/>
        </xdr:nvCxnSpPr>
        <xdr:spPr>
          <a:xfrm>
            <a:off x="2590800" y="1337787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Arrow Connector 149">
            <a:extLst>
              <a:ext uri="{FF2B5EF4-FFF2-40B4-BE49-F238E27FC236}">
                <a16:creationId xmlns:a16="http://schemas.microsoft.com/office/drawing/2014/main" id="{ABD1305A-622E-445D-91BD-B8A9A5356DA4}"/>
              </a:ext>
            </a:extLst>
          </xdr:cNvPr>
          <xdr:cNvCxnSpPr/>
        </xdr:nvCxnSpPr>
        <xdr:spPr>
          <a:xfrm>
            <a:off x="2752725" y="1337787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Arrow Connector 150">
            <a:extLst>
              <a:ext uri="{FF2B5EF4-FFF2-40B4-BE49-F238E27FC236}">
                <a16:creationId xmlns:a16="http://schemas.microsoft.com/office/drawing/2014/main" id="{5D59DC7C-6E2F-47B5-8DAD-5C1C1C7507B1}"/>
              </a:ext>
            </a:extLst>
          </xdr:cNvPr>
          <xdr:cNvCxnSpPr/>
        </xdr:nvCxnSpPr>
        <xdr:spPr>
          <a:xfrm>
            <a:off x="2914649" y="1337787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Arrow Connector 151">
            <a:extLst>
              <a:ext uri="{FF2B5EF4-FFF2-40B4-BE49-F238E27FC236}">
                <a16:creationId xmlns:a16="http://schemas.microsoft.com/office/drawing/2014/main" id="{3C393EC5-EE19-44E5-8879-CCD0FD57543C}"/>
              </a:ext>
            </a:extLst>
          </xdr:cNvPr>
          <xdr:cNvCxnSpPr/>
        </xdr:nvCxnSpPr>
        <xdr:spPr>
          <a:xfrm>
            <a:off x="3076574" y="1337787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Arrow Connector 152">
            <a:extLst>
              <a:ext uri="{FF2B5EF4-FFF2-40B4-BE49-F238E27FC236}">
                <a16:creationId xmlns:a16="http://schemas.microsoft.com/office/drawing/2014/main" id="{9FC623D4-518D-44E5-A0E4-EFB14BE0425D}"/>
              </a:ext>
            </a:extLst>
          </xdr:cNvPr>
          <xdr:cNvCxnSpPr/>
        </xdr:nvCxnSpPr>
        <xdr:spPr>
          <a:xfrm>
            <a:off x="3238507" y="1337311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Arrow Connector 153">
            <a:extLst>
              <a:ext uri="{FF2B5EF4-FFF2-40B4-BE49-F238E27FC236}">
                <a16:creationId xmlns:a16="http://schemas.microsoft.com/office/drawing/2014/main" id="{1ADCF37A-0E89-4090-AF52-E7426DBD94A4}"/>
              </a:ext>
            </a:extLst>
          </xdr:cNvPr>
          <xdr:cNvCxnSpPr/>
        </xdr:nvCxnSpPr>
        <xdr:spPr>
          <a:xfrm>
            <a:off x="3400432" y="1337311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Arrow Connector 154">
            <a:extLst>
              <a:ext uri="{FF2B5EF4-FFF2-40B4-BE49-F238E27FC236}">
                <a16:creationId xmlns:a16="http://schemas.microsoft.com/office/drawing/2014/main" id="{77B16CEB-1D14-4EAC-92C1-5EE407E85D8A}"/>
              </a:ext>
            </a:extLst>
          </xdr:cNvPr>
          <xdr:cNvCxnSpPr/>
        </xdr:nvCxnSpPr>
        <xdr:spPr>
          <a:xfrm>
            <a:off x="3562356" y="13373109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Arrow Connector 155">
            <a:extLst>
              <a:ext uri="{FF2B5EF4-FFF2-40B4-BE49-F238E27FC236}">
                <a16:creationId xmlns:a16="http://schemas.microsoft.com/office/drawing/2014/main" id="{ED260117-0A38-4FB4-AA07-ECE914293997}"/>
              </a:ext>
            </a:extLst>
          </xdr:cNvPr>
          <xdr:cNvCxnSpPr/>
        </xdr:nvCxnSpPr>
        <xdr:spPr>
          <a:xfrm>
            <a:off x="3724281" y="13373109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Straight Arrow Connector 156">
            <a:extLst>
              <a:ext uri="{FF2B5EF4-FFF2-40B4-BE49-F238E27FC236}">
                <a16:creationId xmlns:a16="http://schemas.microsoft.com/office/drawing/2014/main" id="{5D0DA9E3-4978-473E-85E8-C808A5A75A72}"/>
              </a:ext>
            </a:extLst>
          </xdr:cNvPr>
          <xdr:cNvCxnSpPr/>
        </xdr:nvCxnSpPr>
        <xdr:spPr>
          <a:xfrm>
            <a:off x="3886208" y="1337311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654F3DE8-7D9C-4989-E5CB-208CDE74541B}"/>
              </a:ext>
            </a:extLst>
          </xdr:cNvPr>
          <xdr:cNvCxnSpPr/>
        </xdr:nvCxnSpPr>
        <xdr:spPr>
          <a:xfrm>
            <a:off x="1947863" y="13373099"/>
            <a:ext cx="19383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395</xdr:row>
      <xdr:rowOff>23813</xdr:rowOff>
    </xdr:from>
    <xdr:to>
      <xdr:col>21</xdr:col>
      <xdr:colOff>23811</xdr:colOff>
      <xdr:row>399</xdr:row>
      <xdr:rowOff>71437</xdr:rowOff>
    </xdr:to>
    <xdr:grpSp>
      <xdr:nvGrpSpPr>
        <xdr:cNvPr id="338" name="Group 337">
          <a:extLst>
            <a:ext uri="{FF2B5EF4-FFF2-40B4-BE49-F238E27FC236}">
              <a16:creationId xmlns:a16="http://schemas.microsoft.com/office/drawing/2014/main" id="{C87DFFA9-9482-DC0B-F887-C2C0B82EB5CA}"/>
            </a:ext>
          </a:extLst>
        </xdr:cNvPr>
        <xdr:cNvGrpSpPr/>
      </xdr:nvGrpSpPr>
      <xdr:grpSpPr>
        <a:xfrm>
          <a:off x="819150" y="58888313"/>
          <a:ext cx="2605086" cy="619124"/>
          <a:chOff x="1628775" y="14311313"/>
          <a:chExt cx="2605086" cy="619124"/>
        </a:xfrm>
      </xdr:grpSpPr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34398044-8E2B-45E4-A32A-66AE6ACD618A}"/>
              </a:ext>
            </a:extLst>
          </xdr:cNvPr>
          <xdr:cNvSpPr/>
        </xdr:nvSpPr>
        <xdr:spPr>
          <a:xfrm rot="16200000">
            <a:off x="1700213" y="14644687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6" name="Straight Connector 165">
            <a:extLst>
              <a:ext uri="{FF2B5EF4-FFF2-40B4-BE49-F238E27FC236}">
                <a16:creationId xmlns:a16="http://schemas.microsoft.com/office/drawing/2014/main" id="{86081956-AB68-4EEE-82C6-C3F82ADC7F59}"/>
              </a:ext>
            </a:extLst>
          </xdr:cNvPr>
          <xdr:cNvCxnSpPr/>
        </xdr:nvCxnSpPr>
        <xdr:spPr>
          <a:xfrm rot="16200000">
            <a:off x="1781176" y="14725647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2DC98ECC-9B2F-42D9-A161-A2385B81E27B}"/>
              </a:ext>
            </a:extLst>
          </xdr:cNvPr>
          <xdr:cNvSpPr/>
        </xdr:nvSpPr>
        <xdr:spPr>
          <a:xfrm rot="16200000">
            <a:off x="3819525" y="14635162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68" name="Straight Connector 167">
            <a:extLst>
              <a:ext uri="{FF2B5EF4-FFF2-40B4-BE49-F238E27FC236}">
                <a16:creationId xmlns:a16="http://schemas.microsoft.com/office/drawing/2014/main" id="{AB4F07D9-E1D9-4A25-8897-90169C2A3442}"/>
              </a:ext>
            </a:extLst>
          </xdr:cNvPr>
          <xdr:cNvCxnSpPr/>
        </xdr:nvCxnSpPr>
        <xdr:spPr>
          <a:xfrm rot="16200000">
            <a:off x="3733800" y="14720885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9" name="Arc 168">
            <a:extLst>
              <a:ext uri="{FF2B5EF4-FFF2-40B4-BE49-F238E27FC236}">
                <a16:creationId xmlns:a16="http://schemas.microsoft.com/office/drawing/2014/main" id="{0977673B-EAE0-4A31-9BE4-959AF1351FCA}"/>
              </a:ext>
            </a:extLst>
          </xdr:cNvPr>
          <xdr:cNvSpPr/>
        </xdr:nvSpPr>
        <xdr:spPr>
          <a:xfrm rot="1508362">
            <a:off x="3824287" y="14520863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70" name="Arc 169">
            <a:extLst>
              <a:ext uri="{FF2B5EF4-FFF2-40B4-BE49-F238E27FC236}">
                <a16:creationId xmlns:a16="http://schemas.microsoft.com/office/drawing/2014/main" id="{3DB5184F-4DA4-4C78-BB55-4171585E56F8}"/>
              </a:ext>
            </a:extLst>
          </xdr:cNvPr>
          <xdr:cNvSpPr/>
        </xdr:nvSpPr>
        <xdr:spPr>
          <a:xfrm rot="13026901">
            <a:off x="1628775" y="14516100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1" name="Straight Connector 170">
            <a:extLst>
              <a:ext uri="{FF2B5EF4-FFF2-40B4-BE49-F238E27FC236}">
                <a16:creationId xmlns:a16="http://schemas.microsoft.com/office/drawing/2014/main" id="{96B44261-B601-4730-B382-BC050FA800A7}"/>
              </a:ext>
            </a:extLst>
          </xdr:cNvPr>
          <xdr:cNvCxnSpPr/>
        </xdr:nvCxnSpPr>
        <xdr:spPr>
          <a:xfrm>
            <a:off x="1938338" y="14716125"/>
            <a:ext cx="19573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Arrow Connector 175">
            <a:extLst>
              <a:ext uri="{FF2B5EF4-FFF2-40B4-BE49-F238E27FC236}">
                <a16:creationId xmlns:a16="http://schemas.microsoft.com/office/drawing/2014/main" id="{F169317C-AC18-432C-9BCC-AC5454902D87}"/>
              </a:ext>
            </a:extLst>
          </xdr:cNvPr>
          <xdr:cNvCxnSpPr/>
        </xdr:nvCxnSpPr>
        <xdr:spPr>
          <a:xfrm>
            <a:off x="2590800" y="14311313"/>
            <a:ext cx="0" cy="395301"/>
          </a:xfrm>
          <a:prstGeom prst="straightConnector1">
            <a:avLst/>
          </a:prstGeom>
          <a:ln w="127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Straight Connector 187">
            <a:extLst>
              <a:ext uri="{FF2B5EF4-FFF2-40B4-BE49-F238E27FC236}">
                <a16:creationId xmlns:a16="http://schemas.microsoft.com/office/drawing/2014/main" id="{8275EC90-B90A-1519-DDAE-E4ECAC19F0A3}"/>
              </a:ext>
            </a:extLst>
          </xdr:cNvPr>
          <xdr:cNvCxnSpPr/>
        </xdr:nvCxnSpPr>
        <xdr:spPr>
          <a:xfrm>
            <a:off x="1943100" y="14363700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0" name="Straight Connector 189">
            <a:extLst>
              <a:ext uri="{FF2B5EF4-FFF2-40B4-BE49-F238E27FC236}">
                <a16:creationId xmlns:a16="http://schemas.microsoft.com/office/drawing/2014/main" id="{7F1D9F78-7099-3E74-2D00-01338469FF32}"/>
              </a:ext>
            </a:extLst>
          </xdr:cNvPr>
          <xdr:cNvCxnSpPr/>
        </xdr:nvCxnSpPr>
        <xdr:spPr>
          <a:xfrm>
            <a:off x="1876423" y="14430375"/>
            <a:ext cx="77152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Connector 191">
            <a:extLst>
              <a:ext uri="{FF2B5EF4-FFF2-40B4-BE49-F238E27FC236}">
                <a16:creationId xmlns:a16="http://schemas.microsoft.com/office/drawing/2014/main" id="{06E0392D-1F83-361A-1B53-0A79D8CF97A0}"/>
              </a:ext>
            </a:extLst>
          </xdr:cNvPr>
          <xdr:cNvCxnSpPr/>
        </xdr:nvCxnSpPr>
        <xdr:spPr>
          <a:xfrm flipH="1">
            <a:off x="1905000" y="1439703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Connector 193">
            <a:extLst>
              <a:ext uri="{FF2B5EF4-FFF2-40B4-BE49-F238E27FC236}">
                <a16:creationId xmlns:a16="http://schemas.microsoft.com/office/drawing/2014/main" id="{E63B0D92-E287-4D2C-952C-BAE794EB6631}"/>
              </a:ext>
            </a:extLst>
          </xdr:cNvPr>
          <xdr:cNvCxnSpPr/>
        </xdr:nvCxnSpPr>
        <xdr:spPr>
          <a:xfrm flipH="1">
            <a:off x="2552706" y="14397034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95246</xdr:colOff>
      <xdr:row>411</xdr:row>
      <xdr:rowOff>0</xdr:rowOff>
    </xdr:from>
    <xdr:to>
      <xdr:col>28</xdr:col>
      <xdr:colOff>71438</xdr:colOff>
      <xdr:row>420</xdr:row>
      <xdr:rowOff>61913</xdr:rowOff>
    </xdr:to>
    <xdr:grpSp>
      <xdr:nvGrpSpPr>
        <xdr:cNvPr id="172" name="Group 171">
          <a:extLst>
            <a:ext uri="{FF2B5EF4-FFF2-40B4-BE49-F238E27FC236}">
              <a16:creationId xmlns:a16="http://schemas.microsoft.com/office/drawing/2014/main" id="{6A5CA828-66F4-0892-BA5C-4D764AA8F429}"/>
            </a:ext>
          </a:extLst>
        </xdr:cNvPr>
        <xdr:cNvGrpSpPr/>
      </xdr:nvGrpSpPr>
      <xdr:grpSpPr>
        <a:xfrm>
          <a:off x="581021" y="61874400"/>
          <a:ext cx="4024317" cy="1347788"/>
          <a:chOff x="9001121" y="714375"/>
          <a:chExt cx="4024317" cy="1347788"/>
        </a:xfrm>
      </xdr:grpSpPr>
      <xdr:sp macro="" textlink="">
        <xdr:nvSpPr>
          <xdr:cNvPr id="66" name="Freeform: Shape 65">
            <a:extLst>
              <a:ext uri="{FF2B5EF4-FFF2-40B4-BE49-F238E27FC236}">
                <a16:creationId xmlns:a16="http://schemas.microsoft.com/office/drawing/2014/main" id="{AF00BFA7-4E71-0AE9-9FF3-CB71D2205342}"/>
              </a:ext>
            </a:extLst>
          </xdr:cNvPr>
          <xdr:cNvSpPr/>
        </xdr:nvSpPr>
        <xdr:spPr>
          <a:xfrm>
            <a:off x="9072562" y="714375"/>
            <a:ext cx="3881437" cy="709613"/>
          </a:xfrm>
          <a:custGeom>
            <a:avLst/>
            <a:gdLst>
              <a:gd name="connsiteX0" fmla="*/ 0 w 3881437"/>
              <a:gd name="connsiteY0" fmla="*/ 709613 h 709613"/>
              <a:gd name="connsiteX1" fmla="*/ 0 w 3881437"/>
              <a:gd name="connsiteY1" fmla="*/ 0 h 709613"/>
              <a:gd name="connsiteX2" fmla="*/ 3881437 w 3881437"/>
              <a:gd name="connsiteY2" fmla="*/ 0 h 709613"/>
              <a:gd name="connsiteX3" fmla="*/ 3881437 w 3881437"/>
              <a:gd name="connsiteY3" fmla="*/ 433388 h 709613"/>
              <a:gd name="connsiteX4" fmla="*/ 809625 w 3881437"/>
              <a:gd name="connsiteY4" fmla="*/ 433388 h 709613"/>
              <a:gd name="connsiteX5" fmla="*/ 0 w 3881437"/>
              <a:gd name="connsiteY5" fmla="*/ 709613 h 7096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881437" h="709613">
                <a:moveTo>
                  <a:pt x="0" y="709613"/>
                </a:moveTo>
                <a:lnTo>
                  <a:pt x="0" y="0"/>
                </a:lnTo>
                <a:lnTo>
                  <a:pt x="3881437" y="0"/>
                </a:lnTo>
                <a:lnTo>
                  <a:pt x="3881437" y="433388"/>
                </a:lnTo>
                <a:lnTo>
                  <a:pt x="809625" y="433388"/>
                </a:lnTo>
                <a:lnTo>
                  <a:pt x="0" y="709613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4C28BC56-1D94-463F-8301-EBAE9E9C4B26}"/>
              </a:ext>
            </a:extLst>
          </xdr:cNvPr>
          <xdr:cNvCxnSpPr/>
        </xdr:nvCxnSpPr>
        <xdr:spPr>
          <a:xfrm>
            <a:off x="9067800" y="1500188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86F469FA-72EC-4723-B1BB-B720374490E1}"/>
              </a:ext>
            </a:extLst>
          </xdr:cNvPr>
          <xdr:cNvCxnSpPr/>
        </xdr:nvCxnSpPr>
        <xdr:spPr>
          <a:xfrm>
            <a:off x="9001125" y="1714502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id="{ECA3AAC9-CFAF-4A50-A6B0-941F583F8295}"/>
              </a:ext>
            </a:extLst>
          </xdr:cNvPr>
          <xdr:cNvCxnSpPr/>
        </xdr:nvCxnSpPr>
        <xdr:spPr>
          <a:xfrm flipH="1">
            <a:off x="9029701" y="16811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BDED7589-3BEA-4DFB-8A48-3EF8C0B6BE40}"/>
              </a:ext>
            </a:extLst>
          </xdr:cNvPr>
          <xdr:cNvCxnSpPr/>
        </xdr:nvCxnSpPr>
        <xdr:spPr>
          <a:xfrm>
            <a:off x="9001121" y="2000254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BADE625B-4BF9-4210-81D1-B3C57E45E4E0}"/>
              </a:ext>
            </a:extLst>
          </xdr:cNvPr>
          <xdr:cNvCxnSpPr/>
        </xdr:nvCxnSpPr>
        <xdr:spPr>
          <a:xfrm flipH="1">
            <a:off x="9029697" y="196691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A477C40F-6703-4FA0-90DC-B8150F06E3C7}"/>
              </a:ext>
            </a:extLst>
          </xdr:cNvPr>
          <xdr:cNvCxnSpPr/>
        </xdr:nvCxnSpPr>
        <xdr:spPr>
          <a:xfrm>
            <a:off x="12954000" y="1285875"/>
            <a:ext cx="0" cy="77628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2BC198B8-223F-4E91-84A1-D21DC72DB79A}"/>
              </a:ext>
            </a:extLst>
          </xdr:cNvPr>
          <xdr:cNvCxnSpPr/>
        </xdr:nvCxnSpPr>
        <xdr:spPr>
          <a:xfrm flipH="1">
            <a:off x="12915900" y="16811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D19D1A0F-4278-407F-9F23-A5AB61ED2DB6}"/>
              </a:ext>
            </a:extLst>
          </xdr:cNvPr>
          <xdr:cNvCxnSpPr/>
        </xdr:nvCxnSpPr>
        <xdr:spPr>
          <a:xfrm flipH="1">
            <a:off x="12915897" y="196691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Connector 159">
            <a:extLst>
              <a:ext uri="{FF2B5EF4-FFF2-40B4-BE49-F238E27FC236}">
                <a16:creationId xmlns:a16="http://schemas.microsoft.com/office/drawing/2014/main" id="{AEB61FE6-806A-4DEE-A9BC-01F0BBA4AA66}"/>
              </a:ext>
            </a:extLst>
          </xdr:cNvPr>
          <xdr:cNvCxnSpPr/>
        </xdr:nvCxnSpPr>
        <xdr:spPr>
          <a:xfrm>
            <a:off x="9877430" y="1214439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FF942B8E-738B-4952-A88C-472C67692B2A}"/>
              </a:ext>
            </a:extLst>
          </xdr:cNvPr>
          <xdr:cNvCxnSpPr/>
        </xdr:nvCxnSpPr>
        <xdr:spPr>
          <a:xfrm flipH="1">
            <a:off x="9839327" y="1681166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100013</xdr:colOff>
      <xdr:row>421</xdr:row>
      <xdr:rowOff>80963</xdr:rowOff>
    </xdr:from>
    <xdr:to>
      <xdr:col>9</xdr:col>
      <xdr:colOff>80962</xdr:colOff>
      <xdr:row>427</xdr:row>
      <xdr:rowOff>71435</xdr:rowOff>
    </xdr:to>
    <xdr:grpSp>
      <xdr:nvGrpSpPr>
        <xdr:cNvPr id="328" name="Group 327">
          <a:extLst>
            <a:ext uri="{FF2B5EF4-FFF2-40B4-BE49-F238E27FC236}">
              <a16:creationId xmlns:a16="http://schemas.microsoft.com/office/drawing/2014/main" id="{7D6F4027-03F1-5CCB-38BE-9806554324BF}"/>
            </a:ext>
          </a:extLst>
        </xdr:cNvPr>
        <xdr:cNvGrpSpPr/>
      </xdr:nvGrpSpPr>
      <xdr:grpSpPr>
        <a:xfrm>
          <a:off x="747713" y="63384113"/>
          <a:ext cx="790574" cy="847722"/>
          <a:chOff x="9167813" y="2224088"/>
          <a:chExt cx="790574" cy="847722"/>
        </a:xfrm>
      </xdr:grpSpPr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DF5D850E-7EA3-4EED-838A-171251AC3710}"/>
              </a:ext>
            </a:extLst>
          </xdr:cNvPr>
          <xdr:cNvSpPr/>
        </xdr:nvSpPr>
        <xdr:spPr>
          <a:xfrm>
            <a:off x="9234488" y="2286000"/>
            <a:ext cx="319087" cy="428625"/>
          </a:xfrm>
          <a:prstGeom prst="rect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74" name="Straight Connector 173">
            <a:extLst>
              <a:ext uri="{FF2B5EF4-FFF2-40B4-BE49-F238E27FC236}">
                <a16:creationId xmlns:a16="http://schemas.microsoft.com/office/drawing/2014/main" id="{BA783F24-BE1D-480E-B41F-8799046D2C21}"/>
              </a:ext>
            </a:extLst>
          </xdr:cNvPr>
          <xdr:cNvCxnSpPr/>
        </xdr:nvCxnSpPr>
        <xdr:spPr>
          <a:xfrm>
            <a:off x="9229725" y="278606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Connector 174">
            <a:extLst>
              <a:ext uri="{FF2B5EF4-FFF2-40B4-BE49-F238E27FC236}">
                <a16:creationId xmlns:a16="http://schemas.microsoft.com/office/drawing/2014/main" id="{763A33B9-C8F3-42A7-8B30-EDE1197CBD49}"/>
              </a:ext>
            </a:extLst>
          </xdr:cNvPr>
          <xdr:cNvCxnSpPr/>
        </xdr:nvCxnSpPr>
        <xdr:spPr>
          <a:xfrm>
            <a:off x="9167813" y="3000375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Connector 176">
            <a:extLst>
              <a:ext uri="{FF2B5EF4-FFF2-40B4-BE49-F238E27FC236}">
                <a16:creationId xmlns:a16="http://schemas.microsoft.com/office/drawing/2014/main" id="{167A9AFF-DCE8-4EC6-B788-C0EC5F920494}"/>
              </a:ext>
            </a:extLst>
          </xdr:cNvPr>
          <xdr:cNvCxnSpPr/>
        </xdr:nvCxnSpPr>
        <xdr:spPr>
          <a:xfrm flipH="1">
            <a:off x="9191624" y="296704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Connector 177">
            <a:extLst>
              <a:ext uri="{FF2B5EF4-FFF2-40B4-BE49-F238E27FC236}">
                <a16:creationId xmlns:a16="http://schemas.microsoft.com/office/drawing/2014/main" id="{C1CAB6ED-BB6D-4BEE-AC00-580E1002007D}"/>
              </a:ext>
            </a:extLst>
          </xdr:cNvPr>
          <xdr:cNvCxnSpPr/>
        </xdr:nvCxnSpPr>
        <xdr:spPr>
          <a:xfrm>
            <a:off x="9553575" y="278606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8CC951A1-5FD3-4EAC-B15C-845A58A2AE69}"/>
              </a:ext>
            </a:extLst>
          </xdr:cNvPr>
          <xdr:cNvCxnSpPr/>
        </xdr:nvCxnSpPr>
        <xdr:spPr>
          <a:xfrm flipH="1">
            <a:off x="9515474" y="296704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A72DADC7-C65F-45AA-B8B8-7A5FFD9A9AD1}"/>
              </a:ext>
            </a:extLst>
          </xdr:cNvPr>
          <xdr:cNvCxnSpPr/>
        </xdr:nvCxnSpPr>
        <xdr:spPr>
          <a:xfrm>
            <a:off x="9615487" y="2286000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B298BD9E-79A3-4D4C-878C-7F8E966E4757}"/>
              </a:ext>
            </a:extLst>
          </xdr:cNvPr>
          <xdr:cNvCxnSpPr/>
        </xdr:nvCxnSpPr>
        <xdr:spPr>
          <a:xfrm>
            <a:off x="9877425" y="2224088"/>
            <a:ext cx="0" cy="5572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Straight Connector 181">
            <a:extLst>
              <a:ext uri="{FF2B5EF4-FFF2-40B4-BE49-F238E27FC236}">
                <a16:creationId xmlns:a16="http://schemas.microsoft.com/office/drawing/2014/main" id="{9DA35E8B-A78B-4AFF-B026-0B335EF866BA}"/>
              </a:ext>
            </a:extLst>
          </xdr:cNvPr>
          <xdr:cNvCxnSpPr/>
        </xdr:nvCxnSpPr>
        <xdr:spPr>
          <a:xfrm flipH="1">
            <a:off x="9839327" y="22526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Connector 182">
            <a:extLst>
              <a:ext uri="{FF2B5EF4-FFF2-40B4-BE49-F238E27FC236}">
                <a16:creationId xmlns:a16="http://schemas.microsoft.com/office/drawing/2014/main" id="{54E94401-613E-4B40-A32D-500F13978360}"/>
              </a:ext>
            </a:extLst>
          </xdr:cNvPr>
          <xdr:cNvCxnSpPr/>
        </xdr:nvCxnSpPr>
        <xdr:spPr>
          <a:xfrm>
            <a:off x="9615487" y="2714625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" name="Straight Connector 183">
            <a:extLst>
              <a:ext uri="{FF2B5EF4-FFF2-40B4-BE49-F238E27FC236}">
                <a16:creationId xmlns:a16="http://schemas.microsoft.com/office/drawing/2014/main" id="{83D9A423-77B5-48C2-8AF0-73839D3BDEB8}"/>
              </a:ext>
            </a:extLst>
          </xdr:cNvPr>
          <xdr:cNvCxnSpPr/>
        </xdr:nvCxnSpPr>
        <xdr:spPr>
          <a:xfrm flipH="1">
            <a:off x="9839327" y="268128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100013</xdr:colOff>
      <xdr:row>421</xdr:row>
      <xdr:rowOff>80963</xdr:rowOff>
    </xdr:from>
    <xdr:to>
      <xdr:col>16</xdr:col>
      <xdr:colOff>80962</xdr:colOff>
      <xdr:row>429</xdr:row>
      <xdr:rowOff>71435</xdr:rowOff>
    </xdr:to>
    <xdr:grpSp>
      <xdr:nvGrpSpPr>
        <xdr:cNvPr id="329" name="Group 328">
          <a:extLst>
            <a:ext uri="{FF2B5EF4-FFF2-40B4-BE49-F238E27FC236}">
              <a16:creationId xmlns:a16="http://schemas.microsoft.com/office/drawing/2014/main" id="{44A6BD48-99F2-9DE1-D3BB-C342F4DBB588}"/>
            </a:ext>
          </a:extLst>
        </xdr:cNvPr>
        <xdr:cNvGrpSpPr/>
      </xdr:nvGrpSpPr>
      <xdr:grpSpPr>
        <a:xfrm>
          <a:off x="1881188" y="63384113"/>
          <a:ext cx="790574" cy="1133472"/>
          <a:chOff x="10301288" y="2224088"/>
          <a:chExt cx="790574" cy="1133472"/>
        </a:xfrm>
      </xdr:grpSpPr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85437A0D-D579-4F87-B9AF-1E6470FB92AD}"/>
              </a:ext>
            </a:extLst>
          </xdr:cNvPr>
          <xdr:cNvSpPr/>
        </xdr:nvSpPr>
        <xdr:spPr>
          <a:xfrm>
            <a:off x="10367963" y="2286000"/>
            <a:ext cx="319087" cy="714375"/>
          </a:xfrm>
          <a:prstGeom prst="rect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86" name="Straight Connector 185">
            <a:extLst>
              <a:ext uri="{FF2B5EF4-FFF2-40B4-BE49-F238E27FC236}">
                <a16:creationId xmlns:a16="http://schemas.microsoft.com/office/drawing/2014/main" id="{EB58ED49-A1A0-4932-91FA-B2902EBEEF78}"/>
              </a:ext>
            </a:extLst>
          </xdr:cNvPr>
          <xdr:cNvCxnSpPr/>
        </xdr:nvCxnSpPr>
        <xdr:spPr>
          <a:xfrm>
            <a:off x="10363200" y="307181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0E4B1EDD-A4C9-4816-9944-792E5C84483E}"/>
              </a:ext>
            </a:extLst>
          </xdr:cNvPr>
          <xdr:cNvCxnSpPr/>
        </xdr:nvCxnSpPr>
        <xdr:spPr>
          <a:xfrm>
            <a:off x="10301288" y="3286125"/>
            <a:ext cx="447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Connector 188">
            <a:extLst>
              <a:ext uri="{FF2B5EF4-FFF2-40B4-BE49-F238E27FC236}">
                <a16:creationId xmlns:a16="http://schemas.microsoft.com/office/drawing/2014/main" id="{09ABB45E-40D9-4349-86C7-BBB0F8B8E6CE}"/>
              </a:ext>
            </a:extLst>
          </xdr:cNvPr>
          <xdr:cNvCxnSpPr/>
        </xdr:nvCxnSpPr>
        <xdr:spPr>
          <a:xfrm flipH="1">
            <a:off x="10325099" y="325279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Connector 190">
            <a:extLst>
              <a:ext uri="{FF2B5EF4-FFF2-40B4-BE49-F238E27FC236}">
                <a16:creationId xmlns:a16="http://schemas.microsoft.com/office/drawing/2014/main" id="{D9FDFABE-654D-46B5-B3E4-3413CB0BEE7D}"/>
              </a:ext>
            </a:extLst>
          </xdr:cNvPr>
          <xdr:cNvCxnSpPr/>
        </xdr:nvCxnSpPr>
        <xdr:spPr>
          <a:xfrm>
            <a:off x="10687050" y="3071810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Connector 192">
            <a:extLst>
              <a:ext uri="{FF2B5EF4-FFF2-40B4-BE49-F238E27FC236}">
                <a16:creationId xmlns:a16="http://schemas.microsoft.com/office/drawing/2014/main" id="{16B5F752-EF37-4DEC-8003-DFF3A33F38C7}"/>
              </a:ext>
            </a:extLst>
          </xdr:cNvPr>
          <xdr:cNvCxnSpPr/>
        </xdr:nvCxnSpPr>
        <xdr:spPr>
          <a:xfrm flipH="1">
            <a:off x="10648949" y="325279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Straight Connector 194">
            <a:extLst>
              <a:ext uri="{FF2B5EF4-FFF2-40B4-BE49-F238E27FC236}">
                <a16:creationId xmlns:a16="http://schemas.microsoft.com/office/drawing/2014/main" id="{57AA9791-824C-453E-8D38-8B0B2D12060C}"/>
              </a:ext>
            </a:extLst>
          </xdr:cNvPr>
          <xdr:cNvCxnSpPr/>
        </xdr:nvCxnSpPr>
        <xdr:spPr>
          <a:xfrm>
            <a:off x="10748962" y="2286000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Connector 195">
            <a:extLst>
              <a:ext uri="{FF2B5EF4-FFF2-40B4-BE49-F238E27FC236}">
                <a16:creationId xmlns:a16="http://schemas.microsoft.com/office/drawing/2014/main" id="{13554B96-12B2-4D96-9DD1-45CE4BA6DD01}"/>
              </a:ext>
            </a:extLst>
          </xdr:cNvPr>
          <xdr:cNvCxnSpPr/>
        </xdr:nvCxnSpPr>
        <xdr:spPr>
          <a:xfrm>
            <a:off x="11010900" y="2224088"/>
            <a:ext cx="0" cy="847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Straight Connector 196">
            <a:extLst>
              <a:ext uri="{FF2B5EF4-FFF2-40B4-BE49-F238E27FC236}">
                <a16:creationId xmlns:a16="http://schemas.microsoft.com/office/drawing/2014/main" id="{E4B22426-25AE-4D2D-8C4A-3C113712966E}"/>
              </a:ext>
            </a:extLst>
          </xdr:cNvPr>
          <xdr:cNvCxnSpPr/>
        </xdr:nvCxnSpPr>
        <xdr:spPr>
          <a:xfrm flipH="1">
            <a:off x="10972802" y="2252657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" name="Straight Connector 197">
            <a:extLst>
              <a:ext uri="{FF2B5EF4-FFF2-40B4-BE49-F238E27FC236}">
                <a16:creationId xmlns:a16="http://schemas.microsoft.com/office/drawing/2014/main" id="{22B8B53A-822E-45FF-A504-EEB85B489D3D}"/>
              </a:ext>
            </a:extLst>
          </xdr:cNvPr>
          <xdr:cNvCxnSpPr/>
        </xdr:nvCxnSpPr>
        <xdr:spPr>
          <a:xfrm>
            <a:off x="10748962" y="3000381"/>
            <a:ext cx="3429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Straight Connector 198">
            <a:extLst>
              <a:ext uri="{FF2B5EF4-FFF2-40B4-BE49-F238E27FC236}">
                <a16:creationId xmlns:a16="http://schemas.microsoft.com/office/drawing/2014/main" id="{D0F3B5BF-69B7-4F86-919A-7649E497CE07}"/>
              </a:ext>
            </a:extLst>
          </xdr:cNvPr>
          <xdr:cNvCxnSpPr/>
        </xdr:nvCxnSpPr>
        <xdr:spPr>
          <a:xfrm flipH="1">
            <a:off x="10972802" y="2967044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66676</xdr:colOff>
      <xdr:row>437</xdr:row>
      <xdr:rowOff>9526</xdr:rowOff>
    </xdr:from>
    <xdr:to>
      <xdr:col>20</xdr:col>
      <xdr:colOff>0</xdr:colOff>
      <xdr:row>440</xdr:row>
      <xdr:rowOff>1</xdr:rowOff>
    </xdr:to>
    <xdr:grpSp>
      <xdr:nvGrpSpPr>
        <xdr:cNvPr id="345" name="Group 344">
          <a:extLst>
            <a:ext uri="{FF2B5EF4-FFF2-40B4-BE49-F238E27FC236}">
              <a16:creationId xmlns:a16="http://schemas.microsoft.com/office/drawing/2014/main" id="{C7F07E9C-B2C5-DC5D-28E1-6992656B0FDC}"/>
            </a:ext>
          </a:extLst>
        </xdr:cNvPr>
        <xdr:cNvGrpSpPr/>
      </xdr:nvGrpSpPr>
      <xdr:grpSpPr>
        <a:xfrm>
          <a:off x="714376" y="65598676"/>
          <a:ext cx="2524124" cy="419100"/>
          <a:chOff x="9134476" y="4438651"/>
          <a:chExt cx="2524124" cy="419100"/>
        </a:xfrm>
      </xdr:grpSpPr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2C26102C-465D-47CB-92ED-2DD09AEECE8F}"/>
              </a:ext>
            </a:extLst>
          </xdr:cNvPr>
          <xdr:cNvSpPr/>
        </xdr:nvSpPr>
        <xdr:spPr>
          <a:xfrm>
            <a:off x="9229725" y="469106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1" name="Isosceles Triangle 200">
            <a:extLst>
              <a:ext uri="{FF2B5EF4-FFF2-40B4-BE49-F238E27FC236}">
                <a16:creationId xmlns:a16="http://schemas.microsoft.com/office/drawing/2014/main" id="{D73B5C7C-301A-4494-8ACB-4F1BD921790B}"/>
              </a:ext>
            </a:extLst>
          </xdr:cNvPr>
          <xdr:cNvSpPr/>
        </xdr:nvSpPr>
        <xdr:spPr>
          <a:xfrm>
            <a:off x="9330881" y="4576762"/>
            <a:ext cx="121540" cy="104776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2" name="Straight Connector 201">
            <a:extLst>
              <a:ext uri="{FF2B5EF4-FFF2-40B4-BE49-F238E27FC236}">
                <a16:creationId xmlns:a16="http://schemas.microsoft.com/office/drawing/2014/main" id="{A47D8139-803E-4121-A74D-76998A4B135F}"/>
              </a:ext>
            </a:extLst>
          </xdr:cNvPr>
          <xdr:cNvCxnSpPr/>
        </xdr:nvCxnSpPr>
        <xdr:spPr>
          <a:xfrm>
            <a:off x="9234487" y="468153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Straight Connector 202">
            <a:extLst>
              <a:ext uri="{FF2B5EF4-FFF2-40B4-BE49-F238E27FC236}">
                <a16:creationId xmlns:a16="http://schemas.microsoft.com/office/drawing/2014/main" id="{F56F4717-3459-4DAD-BCE8-E18FE3D4925F}"/>
              </a:ext>
            </a:extLst>
          </xdr:cNvPr>
          <xdr:cNvCxnSpPr/>
        </xdr:nvCxnSpPr>
        <xdr:spPr>
          <a:xfrm>
            <a:off x="9391650" y="4572001"/>
            <a:ext cx="2109788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3E4A360F-D935-4AB8-9582-2C3B6D4AB6DA}"/>
              </a:ext>
            </a:extLst>
          </xdr:cNvPr>
          <xdr:cNvSpPr/>
        </xdr:nvSpPr>
        <xdr:spPr>
          <a:xfrm>
            <a:off x="11334750" y="469106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5" name="Isosceles Triangle 204">
            <a:extLst>
              <a:ext uri="{FF2B5EF4-FFF2-40B4-BE49-F238E27FC236}">
                <a16:creationId xmlns:a16="http://schemas.microsoft.com/office/drawing/2014/main" id="{77C2DAA6-D587-462B-AD33-7A422EE37C78}"/>
              </a:ext>
            </a:extLst>
          </xdr:cNvPr>
          <xdr:cNvSpPr/>
        </xdr:nvSpPr>
        <xdr:spPr>
          <a:xfrm>
            <a:off x="11444289" y="4564938"/>
            <a:ext cx="104774" cy="90322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6" name="Straight Connector 205">
            <a:extLst>
              <a:ext uri="{FF2B5EF4-FFF2-40B4-BE49-F238E27FC236}">
                <a16:creationId xmlns:a16="http://schemas.microsoft.com/office/drawing/2014/main" id="{017AC99D-87A9-4BEA-AA80-192F55B34FAB}"/>
              </a:ext>
            </a:extLst>
          </xdr:cNvPr>
          <xdr:cNvCxnSpPr/>
        </xdr:nvCxnSpPr>
        <xdr:spPr>
          <a:xfrm>
            <a:off x="11339512" y="468153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095254E5-29F3-4D80-A55E-7DC429B01500}"/>
              </a:ext>
            </a:extLst>
          </xdr:cNvPr>
          <xdr:cNvCxnSpPr/>
        </xdr:nvCxnSpPr>
        <xdr:spPr>
          <a:xfrm>
            <a:off x="11339512" y="465296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8" name="Freeform: Shape 207">
            <a:extLst>
              <a:ext uri="{FF2B5EF4-FFF2-40B4-BE49-F238E27FC236}">
                <a16:creationId xmlns:a16="http://schemas.microsoft.com/office/drawing/2014/main" id="{7723C78C-B75C-405E-A502-53F2C336EC46}"/>
              </a:ext>
            </a:extLst>
          </xdr:cNvPr>
          <xdr:cNvSpPr/>
        </xdr:nvSpPr>
        <xdr:spPr>
          <a:xfrm>
            <a:off x="9396413" y="4572000"/>
            <a:ext cx="2105025" cy="152400"/>
          </a:xfrm>
          <a:custGeom>
            <a:avLst/>
            <a:gdLst>
              <a:gd name="connsiteX0" fmla="*/ 0 w 2105025"/>
              <a:gd name="connsiteY0" fmla="*/ 0 h 152400"/>
              <a:gd name="connsiteX1" fmla="*/ 1047750 w 2105025"/>
              <a:gd name="connsiteY1" fmla="*/ 152400 h 152400"/>
              <a:gd name="connsiteX2" fmla="*/ 2105025 w 2105025"/>
              <a:gd name="connsiteY2" fmla="*/ 0 h 152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105025" h="152400">
                <a:moveTo>
                  <a:pt x="0" y="0"/>
                </a:moveTo>
                <a:cubicBezTo>
                  <a:pt x="348456" y="76200"/>
                  <a:pt x="696913" y="152400"/>
                  <a:pt x="1047750" y="152400"/>
                </a:cubicBezTo>
                <a:cubicBezTo>
                  <a:pt x="1398587" y="152400"/>
                  <a:pt x="1751806" y="76200"/>
                  <a:pt x="2105025" y="0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09" name="Straight Connector 208">
            <a:extLst>
              <a:ext uri="{FF2B5EF4-FFF2-40B4-BE49-F238E27FC236}">
                <a16:creationId xmlns:a16="http://schemas.microsoft.com/office/drawing/2014/main" id="{BC5B573E-5F04-4558-9A0E-E4922C93D18A}"/>
              </a:ext>
            </a:extLst>
          </xdr:cNvPr>
          <xdr:cNvCxnSpPr>
            <a:stCxn id="201" idx="0"/>
          </xdr:cNvCxnSpPr>
        </xdr:nvCxnSpPr>
        <xdr:spPr>
          <a:xfrm>
            <a:off x="9391651" y="4576762"/>
            <a:ext cx="742949" cy="1666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BCBCA069-67D2-4BBC-AF72-4BA1F9EBDB20}"/>
              </a:ext>
            </a:extLst>
          </xdr:cNvPr>
          <xdr:cNvCxnSpPr>
            <a:stCxn id="208" idx="2"/>
          </xdr:cNvCxnSpPr>
        </xdr:nvCxnSpPr>
        <xdr:spPr>
          <a:xfrm flipH="1">
            <a:off x="10829925" y="4572000"/>
            <a:ext cx="671513" cy="1714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1" name="Arc 210">
            <a:extLst>
              <a:ext uri="{FF2B5EF4-FFF2-40B4-BE49-F238E27FC236}">
                <a16:creationId xmlns:a16="http://schemas.microsoft.com/office/drawing/2014/main" id="{B294AA5E-4443-466F-B554-22B60E28A8CF}"/>
              </a:ext>
            </a:extLst>
          </xdr:cNvPr>
          <xdr:cNvSpPr/>
        </xdr:nvSpPr>
        <xdr:spPr>
          <a:xfrm rot="2732899">
            <a:off x="9710736" y="4543423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2" name="Arc 211">
            <a:extLst>
              <a:ext uri="{FF2B5EF4-FFF2-40B4-BE49-F238E27FC236}">
                <a16:creationId xmlns:a16="http://schemas.microsoft.com/office/drawing/2014/main" id="{6DB8E0A7-C31B-47ED-8B08-362958CA03B1}"/>
              </a:ext>
            </a:extLst>
          </xdr:cNvPr>
          <xdr:cNvSpPr/>
        </xdr:nvSpPr>
        <xdr:spPr>
          <a:xfrm rot="12990771">
            <a:off x="11087099" y="4533897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3" name="Arc 212">
            <a:extLst>
              <a:ext uri="{FF2B5EF4-FFF2-40B4-BE49-F238E27FC236}">
                <a16:creationId xmlns:a16="http://schemas.microsoft.com/office/drawing/2014/main" id="{D2E41E8B-183C-4408-82D0-B0AE70A41A0A}"/>
              </a:ext>
            </a:extLst>
          </xdr:cNvPr>
          <xdr:cNvSpPr/>
        </xdr:nvSpPr>
        <xdr:spPr>
          <a:xfrm rot="13026901">
            <a:off x="9134476" y="4438651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25</xdr:col>
      <xdr:colOff>0</xdr:colOff>
      <xdr:row>436</xdr:row>
      <xdr:rowOff>123825</xdr:rowOff>
    </xdr:from>
    <xdr:to>
      <xdr:col>40</xdr:col>
      <xdr:colOff>147638</xdr:colOff>
      <xdr:row>440</xdr:row>
      <xdr:rowOff>1</xdr:rowOff>
    </xdr:to>
    <xdr:grpSp>
      <xdr:nvGrpSpPr>
        <xdr:cNvPr id="346" name="Group 345">
          <a:extLst>
            <a:ext uri="{FF2B5EF4-FFF2-40B4-BE49-F238E27FC236}">
              <a16:creationId xmlns:a16="http://schemas.microsoft.com/office/drawing/2014/main" id="{F02026EF-D5A4-1F62-8A41-25D893974DE1}"/>
            </a:ext>
          </a:extLst>
        </xdr:cNvPr>
        <xdr:cNvGrpSpPr/>
      </xdr:nvGrpSpPr>
      <xdr:grpSpPr>
        <a:xfrm>
          <a:off x="4048125" y="65570100"/>
          <a:ext cx="2576513" cy="447676"/>
          <a:chOff x="12468225" y="4410075"/>
          <a:chExt cx="2576513" cy="447676"/>
        </a:xfrm>
      </xdr:grpSpPr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D539D60B-1B4D-48B6-84FE-759F6C8F059B}"/>
              </a:ext>
            </a:extLst>
          </xdr:cNvPr>
          <xdr:cNvSpPr/>
        </xdr:nvSpPr>
        <xdr:spPr>
          <a:xfrm>
            <a:off x="12468225" y="469106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5" name="Isosceles Triangle 214">
            <a:extLst>
              <a:ext uri="{FF2B5EF4-FFF2-40B4-BE49-F238E27FC236}">
                <a16:creationId xmlns:a16="http://schemas.microsoft.com/office/drawing/2014/main" id="{F9B530FF-64CD-4B94-90CC-019AB88D15B0}"/>
              </a:ext>
            </a:extLst>
          </xdr:cNvPr>
          <xdr:cNvSpPr/>
        </xdr:nvSpPr>
        <xdr:spPr>
          <a:xfrm>
            <a:off x="12569381" y="4576762"/>
            <a:ext cx="121540" cy="104776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16" name="Straight Connector 215">
            <a:extLst>
              <a:ext uri="{FF2B5EF4-FFF2-40B4-BE49-F238E27FC236}">
                <a16:creationId xmlns:a16="http://schemas.microsoft.com/office/drawing/2014/main" id="{A8BD3111-0EEF-4E0B-8745-7B786BEC6407}"/>
              </a:ext>
            </a:extLst>
          </xdr:cNvPr>
          <xdr:cNvCxnSpPr/>
        </xdr:nvCxnSpPr>
        <xdr:spPr>
          <a:xfrm>
            <a:off x="12472987" y="468153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Straight Connector 216">
            <a:extLst>
              <a:ext uri="{FF2B5EF4-FFF2-40B4-BE49-F238E27FC236}">
                <a16:creationId xmlns:a16="http://schemas.microsoft.com/office/drawing/2014/main" id="{179D10A3-131F-4C77-93A9-89E21262E2C3}"/>
              </a:ext>
            </a:extLst>
          </xdr:cNvPr>
          <xdr:cNvCxnSpPr/>
        </xdr:nvCxnSpPr>
        <xdr:spPr>
          <a:xfrm>
            <a:off x="12630150" y="4572001"/>
            <a:ext cx="2109788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5A4571EC-5C0D-4C8F-9C1F-638BDEF7EA24}"/>
              </a:ext>
            </a:extLst>
          </xdr:cNvPr>
          <xdr:cNvSpPr/>
        </xdr:nvSpPr>
        <xdr:spPr>
          <a:xfrm>
            <a:off x="14573250" y="469106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9" name="Isosceles Triangle 218">
            <a:extLst>
              <a:ext uri="{FF2B5EF4-FFF2-40B4-BE49-F238E27FC236}">
                <a16:creationId xmlns:a16="http://schemas.microsoft.com/office/drawing/2014/main" id="{7105E44D-AE23-45B2-ACB3-CCAF488E7491}"/>
              </a:ext>
            </a:extLst>
          </xdr:cNvPr>
          <xdr:cNvSpPr/>
        </xdr:nvSpPr>
        <xdr:spPr>
          <a:xfrm>
            <a:off x="14682789" y="4564938"/>
            <a:ext cx="104774" cy="90322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0" name="Straight Connector 219">
            <a:extLst>
              <a:ext uri="{FF2B5EF4-FFF2-40B4-BE49-F238E27FC236}">
                <a16:creationId xmlns:a16="http://schemas.microsoft.com/office/drawing/2014/main" id="{7742AC9C-9A36-4ADC-B03C-649A04DFBEFF}"/>
              </a:ext>
            </a:extLst>
          </xdr:cNvPr>
          <xdr:cNvCxnSpPr/>
        </xdr:nvCxnSpPr>
        <xdr:spPr>
          <a:xfrm>
            <a:off x="14578012" y="468153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" name="Straight Connector 220">
            <a:extLst>
              <a:ext uri="{FF2B5EF4-FFF2-40B4-BE49-F238E27FC236}">
                <a16:creationId xmlns:a16="http://schemas.microsoft.com/office/drawing/2014/main" id="{412EF9F9-573A-445D-8299-D2BDE7CAA394}"/>
              </a:ext>
            </a:extLst>
          </xdr:cNvPr>
          <xdr:cNvCxnSpPr/>
        </xdr:nvCxnSpPr>
        <xdr:spPr>
          <a:xfrm>
            <a:off x="14578012" y="465296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2" name="Freeform: Shape 221">
            <a:extLst>
              <a:ext uri="{FF2B5EF4-FFF2-40B4-BE49-F238E27FC236}">
                <a16:creationId xmlns:a16="http://schemas.microsoft.com/office/drawing/2014/main" id="{D0CC466B-03B7-4B0F-AFFD-C2E71E025931}"/>
              </a:ext>
            </a:extLst>
          </xdr:cNvPr>
          <xdr:cNvSpPr/>
        </xdr:nvSpPr>
        <xdr:spPr>
          <a:xfrm>
            <a:off x="12634913" y="4572000"/>
            <a:ext cx="2105025" cy="152400"/>
          </a:xfrm>
          <a:custGeom>
            <a:avLst/>
            <a:gdLst>
              <a:gd name="connsiteX0" fmla="*/ 0 w 2105025"/>
              <a:gd name="connsiteY0" fmla="*/ 0 h 152400"/>
              <a:gd name="connsiteX1" fmla="*/ 1047750 w 2105025"/>
              <a:gd name="connsiteY1" fmla="*/ 152400 h 152400"/>
              <a:gd name="connsiteX2" fmla="*/ 2105025 w 2105025"/>
              <a:gd name="connsiteY2" fmla="*/ 0 h 152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105025" h="152400">
                <a:moveTo>
                  <a:pt x="0" y="0"/>
                </a:moveTo>
                <a:cubicBezTo>
                  <a:pt x="348456" y="76200"/>
                  <a:pt x="696913" y="152400"/>
                  <a:pt x="1047750" y="152400"/>
                </a:cubicBezTo>
                <a:cubicBezTo>
                  <a:pt x="1398587" y="152400"/>
                  <a:pt x="1751806" y="76200"/>
                  <a:pt x="2105025" y="0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3" name="Straight Connector 222">
            <a:extLst>
              <a:ext uri="{FF2B5EF4-FFF2-40B4-BE49-F238E27FC236}">
                <a16:creationId xmlns:a16="http://schemas.microsoft.com/office/drawing/2014/main" id="{43D0C709-D08B-42A8-9F41-8BDA1F60EDB3}"/>
              </a:ext>
            </a:extLst>
          </xdr:cNvPr>
          <xdr:cNvCxnSpPr>
            <a:stCxn id="215" idx="0"/>
          </xdr:cNvCxnSpPr>
        </xdr:nvCxnSpPr>
        <xdr:spPr>
          <a:xfrm>
            <a:off x="12630151" y="4576762"/>
            <a:ext cx="742949" cy="1666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256C1D39-3932-4CC6-AEB0-B155CBDEB3C3}"/>
              </a:ext>
            </a:extLst>
          </xdr:cNvPr>
          <xdr:cNvCxnSpPr>
            <a:stCxn id="222" idx="2"/>
          </xdr:cNvCxnSpPr>
        </xdr:nvCxnSpPr>
        <xdr:spPr>
          <a:xfrm flipH="1">
            <a:off x="14068425" y="4572000"/>
            <a:ext cx="671513" cy="1714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5" name="Arc 224">
            <a:extLst>
              <a:ext uri="{FF2B5EF4-FFF2-40B4-BE49-F238E27FC236}">
                <a16:creationId xmlns:a16="http://schemas.microsoft.com/office/drawing/2014/main" id="{E0C3B581-0E26-40FB-9FFF-D44584419532}"/>
              </a:ext>
            </a:extLst>
          </xdr:cNvPr>
          <xdr:cNvSpPr/>
        </xdr:nvSpPr>
        <xdr:spPr>
          <a:xfrm rot="2732899">
            <a:off x="12949236" y="4543423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6" name="Arc 225">
            <a:extLst>
              <a:ext uri="{FF2B5EF4-FFF2-40B4-BE49-F238E27FC236}">
                <a16:creationId xmlns:a16="http://schemas.microsoft.com/office/drawing/2014/main" id="{02AA260F-B9AB-4A8C-866A-4F668DB2487B}"/>
              </a:ext>
            </a:extLst>
          </xdr:cNvPr>
          <xdr:cNvSpPr/>
        </xdr:nvSpPr>
        <xdr:spPr>
          <a:xfrm rot="12990771">
            <a:off x="14325599" y="4533897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8" name="Arc 227">
            <a:extLst>
              <a:ext uri="{FF2B5EF4-FFF2-40B4-BE49-F238E27FC236}">
                <a16:creationId xmlns:a16="http://schemas.microsoft.com/office/drawing/2014/main" id="{534CCBDB-8C71-4216-BCAA-A4C15105D565}"/>
              </a:ext>
            </a:extLst>
          </xdr:cNvPr>
          <xdr:cNvSpPr/>
        </xdr:nvSpPr>
        <xdr:spPr>
          <a:xfrm rot="1647657">
            <a:off x="14635164" y="4410075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6</xdr:col>
      <xdr:colOff>0</xdr:colOff>
      <xdr:row>449</xdr:row>
      <xdr:rowOff>95245</xdr:rowOff>
    </xdr:from>
    <xdr:to>
      <xdr:col>21</xdr:col>
      <xdr:colOff>0</xdr:colOff>
      <xdr:row>454</xdr:row>
      <xdr:rowOff>1</xdr:rowOff>
    </xdr:to>
    <xdr:grpSp>
      <xdr:nvGrpSpPr>
        <xdr:cNvPr id="344" name="Group 343">
          <a:extLst>
            <a:ext uri="{FF2B5EF4-FFF2-40B4-BE49-F238E27FC236}">
              <a16:creationId xmlns:a16="http://schemas.microsoft.com/office/drawing/2014/main" id="{4C8382A3-D9B2-669F-9CA7-58944717B97B}"/>
            </a:ext>
          </a:extLst>
        </xdr:cNvPr>
        <xdr:cNvGrpSpPr/>
      </xdr:nvGrpSpPr>
      <xdr:grpSpPr>
        <a:xfrm>
          <a:off x="971550" y="67398895"/>
          <a:ext cx="2428875" cy="619131"/>
          <a:chOff x="9391650" y="6238870"/>
          <a:chExt cx="2428875" cy="619131"/>
        </a:xfrm>
      </xdr:grpSpPr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E70D542A-5FA5-4757-8041-385A8FB0C962}"/>
              </a:ext>
            </a:extLst>
          </xdr:cNvPr>
          <xdr:cNvSpPr/>
        </xdr:nvSpPr>
        <xdr:spPr>
          <a:xfrm>
            <a:off x="9391650" y="669131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0" name="Isosceles Triangle 229">
            <a:extLst>
              <a:ext uri="{FF2B5EF4-FFF2-40B4-BE49-F238E27FC236}">
                <a16:creationId xmlns:a16="http://schemas.microsoft.com/office/drawing/2014/main" id="{4CB6CEF7-3662-455B-8803-E79060332C4C}"/>
              </a:ext>
            </a:extLst>
          </xdr:cNvPr>
          <xdr:cNvSpPr/>
        </xdr:nvSpPr>
        <xdr:spPr>
          <a:xfrm>
            <a:off x="9492806" y="6577012"/>
            <a:ext cx="121540" cy="104776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1" name="Straight Connector 230">
            <a:extLst>
              <a:ext uri="{FF2B5EF4-FFF2-40B4-BE49-F238E27FC236}">
                <a16:creationId xmlns:a16="http://schemas.microsoft.com/office/drawing/2014/main" id="{CFF28F15-2215-45C3-950D-EAEE43C9094A}"/>
              </a:ext>
            </a:extLst>
          </xdr:cNvPr>
          <xdr:cNvCxnSpPr/>
        </xdr:nvCxnSpPr>
        <xdr:spPr>
          <a:xfrm>
            <a:off x="9396412" y="668178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Connector 231">
            <a:extLst>
              <a:ext uri="{FF2B5EF4-FFF2-40B4-BE49-F238E27FC236}">
                <a16:creationId xmlns:a16="http://schemas.microsoft.com/office/drawing/2014/main" id="{13717C04-E449-4A52-B3BC-1983F65E1456}"/>
              </a:ext>
            </a:extLst>
          </xdr:cNvPr>
          <xdr:cNvCxnSpPr/>
        </xdr:nvCxnSpPr>
        <xdr:spPr>
          <a:xfrm>
            <a:off x="9553575" y="6572251"/>
            <a:ext cx="2109788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B9F3FA0C-7542-4E2D-9AAF-B8EC62AF6F72}"/>
              </a:ext>
            </a:extLst>
          </xdr:cNvPr>
          <xdr:cNvSpPr/>
        </xdr:nvSpPr>
        <xdr:spPr>
          <a:xfrm>
            <a:off x="11496675" y="6691313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34" name="Isosceles Triangle 233">
            <a:extLst>
              <a:ext uri="{FF2B5EF4-FFF2-40B4-BE49-F238E27FC236}">
                <a16:creationId xmlns:a16="http://schemas.microsoft.com/office/drawing/2014/main" id="{2DBF9F34-15C3-47C0-81EF-F139DFD83786}"/>
              </a:ext>
            </a:extLst>
          </xdr:cNvPr>
          <xdr:cNvSpPr/>
        </xdr:nvSpPr>
        <xdr:spPr>
          <a:xfrm>
            <a:off x="11606214" y="6565188"/>
            <a:ext cx="104774" cy="90322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922E53B0-5E5D-4AC8-BD84-059E8828469B}"/>
              </a:ext>
            </a:extLst>
          </xdr:cNvPr>
          <xdr:cNvCxnSpPr/>
        </xdr:nvCxnSpPr>
        <xdr:spPr>
          <a:xfrm>
            <a:off x="11501437" y="668178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B9653D78-CCC5-45CF-93CA-BEB788083CC2}"/>
              </a:ext>
            </a:extLst>
          </xdr:cNvPr>
          <xdr:cNvCxnSpPr/>
        </xdr:nvCxnSpPr>
        <xdr:spPr>
          <a:xfrm>
            <a:off x="11501437" y="665321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7" name="Freeform: Shape 236">
            <a:extLst>
              <a:ext uri="{FF2B5EF4-FFF2-40B4-BE49-F238E27FC236}">
                <a16:creationId xmlns:a16="http://schemas.microsoft.com/office/drawing/2014/main" id="{E17637D8-D8D8-4EFC-B8B7-37ABA6A70B3C}"/>
              </a:ext>
            </a:extLst>
          </xdr:cNvPr>
          <xdr:cNvSpPr/>
        </xdr:nvSpPr>
        <xdr:spPr>
          <a:xfrm>
            <a:off x="9558338" y="6572250"/>
            <a:ext cx="2105025" cy="152400"/>
          </a:xfrm>
          <a:custGeom>
            <a:avLst/>
            <a:gdLst>
              <a:gd name="connsiteX0" fmla="*/ 0 w 2105025"/>
              <a:gd name="connsiteY0" fmla="*/ 0 h 152400"/>
              <a:gd name="connsiteX1" fmla="*/ 1047750 w 2105025"/>
              <a:gd name="connsiteY1" fmla="*/ 152400 h 152400"/>
              <a:gd name="connsiteX2" fmla="*/ 2105025 w 2105025"/>
              <a:gd name="connsiteY2" fmla="*/ 0 h 152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105025" h="152400">
                <a:moveTo>
                  <a:pt x="0" y="0"/>
                </a:moveTo>
                <a:cubicBezTo>
                  <a:pt x="348456" y="76200"/>
                  <a:pt x="696913" y="152400"/>
                  <a:pt x="1047750" y="152400"/>
                </a:cubicBezTo>
                <a:cubicBezTo>
                  <a:pt x="1398587" y="152400"/>
                  <a:pt x="1751806" y="76200"/>
                  <a:pt x="2105025" y="0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38" name="Straight Connector 237">
            <a:extLst>
              <a:ext uri="{FF2B5EF4-FFF2-40B4-BE49-F238E27FC236}">
                <a16:creationId xmlns:a16="http://schemas.microsoft.com/office/drawing/2014/main" id="{255F29FF-46A8-460B-AFB3-D94EFB9BF737}"/>
              </a:ext>
            </a:extLst>
          </xdr:cNvPr>
          <xdr:cNvCxnSpPr>
            <a:stCxn id="230" idx="0"/>
          </xdr:cNvCxnSpPr>
        </xdr:nvCxnSpPr>
        <xdr:spPr>
          <a:xfrm>
            <a:off x="9553576" y="6577012"/>
            <a:ext cx="742949" cy="1666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7C825C93-C7DE-4C89-8CC4-481550C3251A}"/>
              </a:ext>
            </a:extLst>
          </xdr:cNvPr>
          <xdr:cNvCxnSpPr>
            <a:stCxn id="237" idx="2"/>
          </xdr:cNvCxnSpPr>
        </xdr:nvCxnSpPr>
        <xdr:spPr>
          <a:xfrm flipH="1">
            <a:off x="10991850" y="6572250"/>
            <a:ext cx="671513" cy="1714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0" name="Arc 239">
            <a:extLst>
              <a:ext uri="{FF2B5EF4-FFF2-40B4-BE49-F238E27FC236}">
                <a16:creationId xmlns:a16="http://schemas.microsoft.com/office/drawing/2014/main" id="{778144A6-E072-4F9F-95C7-E0F307911E12}"/>
              </a:ext>
            </a:extLst>
          </xdr:cNvPr>
          <xdr:cNvSpPr/>
        </xdr:nvSpPr>
        <xdr:spPr>
          <a:xfrm rot="2732899">
            <a:off x="9872661" y="6543673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1" name="Arc 240">
            <a:extLst>
              <a:ext uri="{FF2B5EF4-FFF2-40B4-BE49-F238E27FC236}">
                <a16:creationId xmlns:a16="http://schemas.microsoft.com/office/drawing/2014/main" id="{F862C3A1-A263-45A5-AB89-19E64DB64E03}"/>
              </a:ext>
            </a:extLst>
          </xdr:cNvPr>
          <xdr:cNvSpPr/>
        </xdr:nvSpPr>
        <xdr:spPr>
          <a:xfrm rot="12990771">
            <a:off x="11249024" y="6534147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2" name="Straight Arrow Connector 241">
            <a:extLst>
              <a:ext uri="{FF2B5EF4-FFF2-40B4-BE49-F238E27FC236}">
                <a16:creationId xmlns:a16="http://schemas.microsoft.com/office/drawing/2014/main" id="{A54AD3A0-0D9E-4C5A-9D1A-C1D08C92F414}"/>
              </a:ext>
            </a:extLst>
          </xdr:cNvPr>
          <xdr:cNvCxnSpPr/>
        </xdr:nvCxnSpPr>
        <xdr:spPr>
          <a:xfrm>
            <a:off x="9553575" y="6243637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3" name="Straight Arrow Connector 242">
            <a:extLst>
              <a:ext uri="{FF2B5EF4-FFF2-40B4-BE49-F238E27FC236}">
                <a16:creationId xmlns:a16="http://schemas.microsoft.com/office/drawing/2014/main" id="{10D60DCA-3FD2-423F-8B1E-6EF2B10F330B}"/>
              </a:ext>
            </a:extLst>
          </xdr:cNvPr>
          <xdr:cNvCxnSpPr/>
        </xdr:nvCxnSpPr>
        <xdr:spPr>
          <a:xfrm>
            <a:off x="9715500" y="6243637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Arrow Connector 243">
            <a:extLst>
              <a:ext uri="{FF2B5EF4-FFF2-40B4-BE49-F238E27FC236}">
                <a16:creationId xmlns:a16="http://schemas.microsoft.com/office/drawing/2014/main" id="{51AF40C3-AA7D-423A-B54D-0D6C2956AB88}"/>
              </a:ext>
            </a:extLst>
          </xdr:cNvPr>
          <xdr:cNvCxnSpPr/>
        </xdr:nvCxnSpPr>
        <xdr:spPr>
          <a:xfrm>
            <a:off x="9877424" y="624363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Straight Arrow Connector 244">
            <a:extLst>
              <a:ext uri="{FF2B5EF4-FFF2-40B4-BE49-F238E27FC236}">
                <a16:creationId xmlns:a16="http://schemas.microsoft.com/office/drawing/2014/main" id="{AA4E350B-5235-4F13-A799-E85C3D5582F6}"/>
              </a:ext>
            </a:extLst>
          </xdr:cNvPr>
          <xdr:cNvCxnSpPr/>
        </xdr:nvCxnSpPr>
        <xdr:spPr>
          <a:xfrm>
            <a:off x="10039349" y="624363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Straight Arrow Connector 245">
            <a:extLst>
              <a:ext uri="{FF2B5EF4-FFF2-40B4-BE49-F238E27FC236}">
                <a16:creationId xmlns:a16="http://schemas.microsoft.com/office/drawing/2014/main" id="{EC8E3B96-BEAF-4D2A-940A-D45F16406E5A}"/>
              </a:ext>
            </a:extLst>
          </xdr:cNvPr>
          <xdr:cNvCxnSpPr/>
        </xdr:nvCxnSpPr>
        <xdr:spPr>
          <a:xfrm>
            <a:off x="10201276" y="6243637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Arrow Connector 246">
            <a:extLst>
              <a:ext uri="{FF2B5EF4-FFF2-40B4-BE49-F238E27FC236}">
                <a16:creationId xmlns:a16="http://schemas.microsoft.com/office/drawing/2014/main" id="{5546E689-9B03-430D-A4FA-85A5F0E970A1}"/>
              </a:ext>
            </a:extLst>
          </xdr:cNvPr>
          <xdr:cNvCxnSpPr/>
        </xdr:nvCxnSpPr>
        <xdr:spPr>
          <a:xfrm>
            <a:off x="10363201" y="6243637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Arrow Connector 247">
            <a:extLst>
              <a:ext uri="{FF2B5EF4-FFF2-40B4-BE49-F238E27FC236}">
                <a16:creationId xmlns:a16="http://schemas.microsoft.com/office/drawing/2014/main" id="{105DA606-784E-4F6C-83F3-C66D4DC42360}"/>
              </a:ext>
            </a:extLst>
          </xdr:cNvPr>
          <xdr:cNvCxnSpPr/>
        </xdr:nvCxnSpPr>
        <xdr:spPr>
          <a:xfrm>
            <a:off x="10525125" y="624363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Arrow Connector 248">
            <a:extLst>
              <a:ext uri="{FF2B5EF4-FFF2-40B4-BE49-F238E27FC236}">
                <a16:creationId xmlns:a16="http://schemas.microsoft.com/office/drawing/2014/main" id="{7A4F5BAD-9C92-48E9-916C-3E2FD4BA900F}"/>
              </a:ext>
            </a:extLst>
          </xdr:cNvPr>
          <xdr:cNvCxnSpPr/>
        </xdr:nvCxnSpPr>
        <xdr:spPr>
          <a:xfrm>
            <a:off x="10687050" y="624363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Straight Arrow Connector 249">
            <a:extLst>
              <a:ext uri="{FF2B5EF4-FFF2-40B4-BE49-F238E27FC236}">
                <a16:creationId xmlns:a16="http://schemas.microsoft.com/office/drawing/2014/main" id="{974B1665-A01B-4B48-8AEA-B731EA5D8C2C}"/>
              </a:ext>
            </a:extLst>
          </xdr:cNvPr>
          <xdr:cNvCxnSpPr/>
        </xdr:nvCxnSpPr>
        <xdr:spPr>
          <a:xfrm>
            <a:off x="10848983" y="6238871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Straight Arrow Connector 250">
            <a:extLst>
              <a:ext uri="{FF2B5EF4-FFF2-40B4-BE49-F238E27FC236}">
                <a16:creationId xmlns:a16="http://schemas.microsoft.com/office/drawing/2014/main" id="{6AD17C4D-CBB4-4A71-BFAF-4855FF3EA834}"/>
              </a:ext>
            </a:extLst>
          </xdr:cNvPr>
          <xdr:cNvCxnSpPr/>
        </xdr:nvCxnSpPr>
        <xdr:spPr>
          <a:xfrm>
            <a:off x="11010908" y="6238871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Arrow Connector 251">
            <a:extLst>
              <a:ext uri="{FF2B5EF4-FFF2-40B4-BE49-F238E27FC236}">
                <a16:creationId xmlns:a16="http://schemas.microsoft.com/office/drawing/2014/main" id="{0F12E526-1E8E-478E-80F1-B65A2BBA6B66}"/>
              </a:ext>
            </a:extLst>
          </xdr:cNvPr>
          <xdr:cNvCxnSpPr/>
        </xdr:nvCxnSpPr>
        <xdr:spPr>
          <a:xfrm>
            <a:off x="11172832" y="623887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Arrow Connector 252">
            <a:extLst>
              <a:ext uri="{FF2B5EF4-FFF2-40B4-BE49-F238E27FC236}">
                <a16:creationId xmlns:a16="http://schemas.microsoft.com/office/drawing/2014/main" id="{4C240354-34A8-4AA7-9B58-D7D8229F8B75}"/>
              </a:ext>
            </a:extLst>
          </xdr:cNvPr>
          <xdr:cNvCxnSpPr/>
        </xdr:nvCxnSpPr>
        <xdr:spPr>
          <a:xfrm>
            <a:off x="11334757" y="623887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Arrow Connector 253">
            <a:extLst>
              <a:ext uri="{FF2B5EF4-FFF2-40B4-BE49-F238E27FC236}">
                <a16:creationId xmlns:a16="http://schemas.microsoft.com/office/drawing/2014/main" id="{C7C9A340-3A0A-4C9F-9395-C700E300E3CF}"/>
              </a:ext>
            </a:extLst>
          </xdr:cNvPr>
          <xdr:cNvCxnSpPr/>
        </xdr:nvCxnSpPr>
        <xdr:spPr>
          <a:xfrm>
            <a:off x="11496684" y="6238871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Arrow Connector 254">
            <a:extLst>
              <a:ext uri="{FF2B5EF4-FFF2-40B4-BE49-F238E27FC236}">
                <a16:creationId xmlns:a16="http://schemas.microsoft.com/office/drawing/2014/main" id="{C8AB9345-9D4A-4BF9-9423-8B450CC1BE1C}"/>
              </a:ext>
            </a:extLst>
          </xdr:cNvPr>
          <xdr:cNvCxnSpPr/>
        </xdr:nvCxnSpPr>
        <xdr:spPr>
          <a:xfrm>
            <a:off x="11658609" y="6238871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2D422507-BA65-4CB9-81F9-B8335713583F}"/>
              </a:ext>
            </a:extLst>
          </xdr:cNvPr>
          <xdr:cNvCxnSpPr/>
        </xdr:nvCxnSpPr>
        <xdr:spPr>
          <a:xfrm>
            <a:off x="9548813" y="6429375"/>
            <a:ext cx="2114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2378A351-9A3E-43D0-A330-6CB1A137C98D}"/>
              </a:ext>
            </a:extLst>
          </xdr:cNvPr>
          <xdr:cNvCxnSpPr/>
        </xdr:nvCxnSpPr>
        <xdr:spPr>
          <a:xfrm>
            <a:off x="9553575" y="6238874"/>
            <a:ext cx="21145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0</xdr:colOff>
      <xdr:row>471</xdr:row>
      <xdr:rowOff>138113</xdr:rowOff>
    </xdr:from>
    <xdr:to>
      <xdr:col>21</xdr:col>
      <xdr:colOff>0</xdr:colOff>
      <xdr:row>477</xdr:row>
      <xdr:rowOff>1</xdr:rowOff>
    </xdr:to>
    <xdr:grpSp>
      <xdr:nvGrpSpPr>
        <xdr:cNvPr id="343" name="Group 342">
          <a:extLst>
            <a:ext uri="{FF2B5EF4-FFF2-40B4-BE49-F238E27FC236}">
              <a16:creationId xmlns:a16="http://schemas.microsoft.com/office/drawing/2014/main" id="{82363055-C7F3-68C1-980B-A572E7D88C94}"/>
            </a:ext>
          </a:extLst>
        </xdr:cNvPr>
        <xdr:cNvGrpSpPr/>
      </xdr:nvGrpSpPr>
      <xdr:grpSpPr>
        <a:xfrm>
          <a:off x="971550" y="70585013"/>
          <a:ext cx="2428875" cy="719138"/>
          <a:chOff x="9391650" y="9424988"/>
          <a:chExt cx="2428875" cy="719138"/>
        </a:xfrm>
      </xdr:grpSpPr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B20EC9E1-1CA5-4F96-BC5D-9F43D9889415}"/>
              </a:ext>
            </a:extLst>
          </xdr:cNvPr>
          <xdr:cNvSpPr/>
        </xdr:nvSpPr>
        <xdr:spPr>
          <a:xfrm>
            <a:off x="9391650" y="9977438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59" name="Isosceles Triangle 258">
            <a:extLst>
              <a:ext uri="{FF2B5EF4-FFF2-40B4-BE49-F238E27FC236}">
                <a16:creationId xmlns:a16="http://schemas.microsoft.com/office/drawing/2014/main" id="{2A243C89-1F1F-4AD2-ABA4-190BEFF4565F}"/>
              </a:ext>
            </a:extLst>
          </xdr:cNvPr>
          <xdr:cNvSpPr/>
        </xdr:nvSpPr>
        <xdr:spPr>
          <a:xfrm>
            <a:off x="9492806" y="9863137"/>
            <a:ext cx="121540" cy="104776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BE8F8876-7768-4D3F-BF8C-EFECADA50CF9}"/>
              </a:ext>
            </a:extLst>
          </xdr:cNvPr>
          <xdr:cNvCxnSpPr/>
        </xdr:nvCxnSpPr>
        <xdr:spPr>
          <a:xfrm>
            <a:off x="9396412" y="996791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Connector 260">
            <a:extLst>
              <a:ext uri="{FF2B5EF4-FFF2-40B4-BE49-F238E27FC236}">
                <a16:creationId xmlns:a16="http://schemas.microsoft.com/office/drawing/2014/main" id="{3123BC85-9F2B-4558-B3DD-630897386DCF}"/>
              </a:ext>
            </a:extLst>
          </xdr:cNvPr>
          <xdr:cNvCxnSpPr/>
        </xdr:nvCxnSpPr>
        <xdr:spPr>
          <a:xfrm>
            <a:off x="9553575" y="9858376"/>
            <a:ext cx="2109788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4C5F123F-EDB3-41DC-B59C-B806DC36CD11}"/>
              </a:ext>
            </a:extLst>
          </xdr:cNvPr>
          <xdr:cNvSpPr/>
        </xdr:nvSpPr>
        <xdr:spPr>
          <a:xfrm>
            <a:off x="11496675" y="9977438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63" name="Isosceles Triangle 262">
            <a:extLst>
              <a:ext uri="{FF2B5EF4-FFF2-40B4-BE49-F238E27FC236}">
                <a16:creationId xmlns:a16="http://schemas.microsoft.com/office/drawing/2014/main" id="{22EF120B-736F-4C03-8B3D-959911DA7C51}"/>
              </a:ext>
            </a:extLst>
          </xdr:cNvPr>
          <xdr:cNvSpPr/>
        </xdr:nvSpPr>
        <xdr:spPr>
          <a:xfrm>
            <a:off x="11606214" y="9851313"/>
            <a:ext cx="104774" cy="90322"/>
          </a:xfrm>
          <a:prstGeom prst="triangle">
            <a:avLst/>
          </a:pr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F940D2BD-148C-4AA2-9F1F-78080C09F334}"/>
              </a:ext>
            </a:extLst>
          </xdr:cNvPr>
          <xdr:cNvCxnSpPr/>
        </xdr:nvCxnSpPr>
        <xdr:spPr>
          <a:xfrm>
            <a:off x="11501437" y="9967913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Connector 264">
            <a:extLst>
              <a:ext uri="{FF2B5EF4-FFF2-40B4-BE49-F238E27FC236}">
                <a16:creationId xmlns:a16="http://schemas.microsoft.com/office/drawing/2014/main" id="{6CEF1E29-32AA-47B3-B552-98D4C6117E04}"/>
              </a:ext>
            </a:extLst>
          </xdr:cNvPr>
          <xdr:cNvCxnSpPr/>
        </xdr:nvCxnSpPr>
        <xdr:spPr>
          <a:xfrm>
            <a:off x="11501437" y="9939338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6" name="Freeform: Shape 265">
            <a:extLst>
              <a:ext uri="{FF2B5EF4-FFF2-40B4-BE49-F238E27FC236}">
                <a16:creationId xmlns:a16="http://schemas.microsoft.com/office/drawing/2014/main" id="{08E9F65E-0BEF-45D6-9BF6-36ABFAB15177}"/>
              </a:ext>
            </a:extLst>
          </xdr:cNvPr>
          <xdr:cNvSpPr/>
        </xdr:nvSpPr>
        <xdr:spPr>
          <a:xfrm>
            <a:off x="9558338" y="9858375"/>
            <a:ext cx="2105025" cy="152400"/>
          </a:xfrm>
          <a:custGeom>
            <a:avLst/>
            <a:gdLst>
              <a:gd name="connsiteX0" fmla="*/ 0 w 2105025"/>
              <a:gd name="connsiteY0" fmla="*/ 0 h 152400"/>
              <a:gd name="connsiteX1" fmla="*/ 1047750 w 2105025"/>
              <a:gd name="connsiteY1" fmla="*/ 152400 h 152400"/>
              <a:gd name="connsiteX2" fmla="*/ 2105025 w 2105025"/>
              <a:gd name="connsiteY2" fmla="*/ 0 h 152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105025" h="152400">
                <a:moveTo>
                  <a:pt x="0" y="0"/>
                </a:moveTo>
                <a:cubicBezTo>
                  <a:pt x="348456" y="76200"/>
                  <a:pt x="696913" y="152400"/>
                  <a:pt x="1047750" y="152400"/>
                </a:cubicBezTo>
                <a:cubicBezTo>
                  <a:pt x="1398587" y="152400"/>
                  <a:pt x="1751806" y="76200"/>
                  <a:pt x="2105025" y="0"/>
                </a:cubicBezTo>
              </a:path>
            </a:pathLst>
          </a:cu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67" name="Straight Connector 266">
            <a:extLst>
              <a:ext uri="{FF2B5EF4-FFF2-40B4-BE49-F238E27FC236}">
                <a16:creationId xmlns:a16="http://schemas.microsoft.com/office/drawing/2014/main" id="{4DE8161D-B9F4-4CA4-AA59-48964FE2F37E}"/>
              </a:ext>
            </a:extLst>
          </xdr:cNvPr>
          <xdr:cNvCxnSpPr>
            <a:stCxn id="259" idx="0"/>
          </xdr:cNvCxnSpPr>
        </xdr:nvCxnSpPr>
        <xdr:spPr>
          <a:xfrm>
            <a:off x="9553576" y="9863137"/>
            <a:ext cx="742949" cy="1666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Connector 267">
            <a:extLst>
              <a:ext uri="{FF2B5EF4-FFF2-40B4-BE49-F238E27FC236}">
                <a16:creationId xmlns:a16="http://schemas.microsoft.com/office/drawing/2014/main" id="{291AA19B-D183-4B66-8488-6AE0CCD8580B}"/>
              </a:ext>
            </a:extLst>
          </xdr:cNvPr>
          <xdr:cNvCxnSpPr>
            <a:stCxn id="266" idx="2"/>
          </xdr:cNvCxnSpPr>
        </xdr:nvCxnSpPr>
        <xdr:spPr>
          <a:xfrm flipH="1">
            <a:off x="10991850" y="9858375"/>
            <a:ext cx="671513" cy="1714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9" name="Arc 268">
            <a:extLst>
              <a:ext uri="{FF2B5EF4-FFF2-40B4-BE49-F238E27FC236}">
                <a16:creationId xmlns:a16="http://schemas.microsoft.com/office/drawing/2014/main" id="{C5D143EF-6036-48C4-A188-EF2D256077F5}"/>
              </a:ext>
            </a:extLst>
          </xdr:cNvPr>
          <xdr:cNvSpPr/>
        </xdr:nvSpPr>
        <xdr:spPr>
          <a:xfrm rot="2732899">
            <a:off x="9872661" y="9829798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70" name="Arc 269">
            <a:extLst>
              <a:ext uri="{FF2B5EF4-FFF2-40B4-BE49-F238E27FC236}">
                <a16:creationId xmlns:a16="http://schemas.microsoft.com/office/drawing/2014/main" id="{E1E71EC1-F15A-4DDD-B5D1-78ACFD20E98C}"/>
              </a:ext>
            </a:extLst>
          </xdr:cNvPr>
          <xdr:cNvSpPr/>
        </xdr:nvSpPr>
        <xdr:spPr>
          <a:xfrm rot="12990771">
            <a:off x="11249024" y="9820272"/>
            <a:ext cx="161926" cy="161926"/>
          </a:xfrm>
          <a:prstGeom prst="arc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71" name="Straight Arrow Connector 270">
            <a:extLst>
              <a:ext uri="{FF2B5EF4-FFF2-40B4-BE49-F238E27FC236}">
                <a16:creationId xmlns:a16="http://schemas.microsoft.com/office/drawing/2014/main" id="{1AE509A6-54DB-4A49-B37D-238202FD29E9}"/>
              </a:ext>
            </a:extLst>
          </xdr:cNvPr>
          <xdr:cNvCxnSpPr/>
        </xdr:nvCxnSpPr>
        <xdr:spPr>
          <a:xfrm>
            <a:off x="10206037" y="9424988"/>
            <a:ext cx="0" cy="419101"/>
          </a:xfrm>
          <a:prstGeom prst="straightConnector1">
            <a:avLst/>
          </a:prstGeom>
          <a:ln w="127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>
            <a:extLst>
              <a:ext uri="{FF2B5EF4-FFF2-40B4-BE49-F238E27FC236}">
                <a16:creationId xmlns:a16="http://schemas.microsoft.com/office/drawing/2014/main" id="{B9CF1ADA-0041-4383-ACD9-C116911F4B44}"/>
              </a:ext>
            </a:extLst>
          </xdr:cNvPr>
          <xdr:cNvCxnSpPr/>
        </xdr:nvCxnSpPr>
        <xdr:spPr>
          <a:xfrm>
            <a:off x="9553575" y="9482138"/>
            <a:ext cx="0" cy="2381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0A19230F-4A32-4C60-8F60-9B1784E0AB32}"/>
              </a:ext>
            </a:extLst>
          </xdr:cNvPr>
          <xdr:cNvCxnSpPr/>
        </xdr:nvCxnSpPr>
        <xdr:spPr>
          <a:xfrm>
            <a:off x="9496425" y="9572625"/>
            <a:ext cx="7620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33E4E912-BFA6-423F-9699-22E3B15B5018}"/>
              </a:ext>
            </a:extLst>
          </xdr:cNvPr>
          <xdr:cNvCxnSpPr/>
        </xdr:nvCxnSpPr>
        <xdr:spPr>
          <a:xfrm flipH="1">
            <a:off x="9520237" y="9544051"/>
            <a:ext cx="61913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BEC7EE1B-2ADD-408E-A58B-B5827581FBB1}"/>
              </a:ext>
            </a:extLst>
          </xdr:cNvPr>
          <xdr:cNvCxnSpPr/>
        </xdr:nvCxnSpPr>
        <xdr:spPr>
          <a:xfrm flipH="1">
            <a:off x="10177462" y="9539286"/>
            <a:ext cx="61913" cy="61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104401</xdr:colOff>
      <xdr:row>482</xdr:row>
      <xdr:rowOff>23436</xdr:rowOff>
    </xdr:from>
    <xdr:to>
      <xdr:col>21</xdr:col>
      <xdr:colOff>23811</xdr:colOff>
      <xdr:row>491</xdr:row>
      <xdr:rowOff>5135</xdr:rowOff>
    </xdr:to>
    <xdr:grpSp>
      <xdr:nvGrpSpPr>
        <xdr:cNvPr id="341" name="Group 340">
          <a:extLst>
            <a:ext uri="{FF2B5EF4-FFF2-40B4-BE49-F238E27FC236}">
              <a16:creationId xmlns:a16="http://schemas.microsoft.com/office/drawing/2014/main" id="{CCF15C34-A60A-7DA2-FF16-18728B0E2AD4}"/>
            </a:ext>
          </a:extLst>
        </xdr:cNvPr>
        <xdr:cNvGrpSpPr/>
      </xdr:nvGrpSpPr>
      <xdr:grpSpPr>
        <a:xfrm>
          <a:off x="752101" y="72041961"/>
          <a:ext cx="2672135" cy="1267574"/>
          <a:chOff x="9172201" y="10881936"/>
          <a:chExt cx="2672135" cy="1267574"/>
        </a:xfrm>
      </xdr:grpSpPr>
      <xdr:sp macro="" textlink="">
        <xdr:nvSpPr>
          <xdr:cNvPr id="276" name="Freeform: Shape 275">
            <a:extLst>
              <a:ext uri="{FF2B5EF4-FFF2-40B4-BE49-F238E27FC236}">
                <a16:creationId xmlns:a16="http://schemas.microsoft.com/office/drawing/2014/main" id="{AD89DE4B-60D3-4C99-B936-D883F3473AD7}"/>
              </a:ext>
            </a:extLst>
          </xdr:cNvPr>
          <xdr:cNvSpPr/>
        </xdr:nvSpPr>
        <xdr:spPr>
          <a:xfrm>
            <a:off x="9553575" y="11139475"/>
            <a:ext cx="1947863" cy="295288"/>
          </a:xfrm>
          <a:custGeom>
            <a:avLst/>
            <a:gdLst>
              <a:gd name="connsiteX0" fmla="*/ 0 w 1947863"/>
              <a:gd name="connsiteY0" fmla="*/ 285763 h 295288"/>
              <a:gd name="connsiteX1" fmla="*/ 585788 w 1947863"/>
              <a:gd name="connsiteY1" fmla="*/ 13 h 295288"/>
              <a:gd name="connsiteX2" fmla="*/ 1947863 w 1947863"/>
              <a:gd name="connsiteY2" fmla="*/ 295288 h 2952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3" h="295288">
                <a:moveTo>
                  <a:pt x="0" y="285763"/>
                </a:moveTo>
                <a:cubicBezTo>
                  <a:pt x="130572" y="142094"/>
                  <a:pt x="261144" y="-1574"/>
                  <a:pt x="585788" y="13"/>
                </a:cubicBezTo>
                <a:cubicBezTo>
                  <a:pt x="910432" y="1600"/>
                  <a:pt x="1429147" y="148444"/>
                  <a:pt x="1947863" y="295288"/>
                </a:cubicBezTo>
              </a:path>
            </a:pathLst>
          </a:cu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B89C56E8-6FE7-44E6-B891-93EE055764C6}"/>
              </a:ext>
            </a:extLst>
          </xdr:cNvPr>
          <xdr:cNvSpPr/>
        </xdr:nvSpPr>
        <xdr:spPr>
          <a:xfrm rot="3294139">
            <a:off x="9315451" y="11401425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8885DDAD-184C-48D6-8DD8-630533EB721C}"/>
              </a:ext>
            </a:extLst>
          </xdr:cNvPr>
          <xdr:cNvCxnSpPr/>
        </xdr:nvCxnSpPr>
        <xdr:spPr>
          <a:xfrm rot="3294139">
            <a:off x="9396413" y="11429999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2DE20021-1F87-404E-A1ED-66DEA3953CCB}"/>
              </a:ext>
            </a:extLst>
          </xdr:cNvPr>
          <xdr:cNvSpPr/>
        </xdr:nvSpPr>
        <xdr:spPr>
          <a:xfrm rot="16200000">
            <a:off x="11430000" y="11349037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80" name="Straight Connector 279">
            <a:extLst>
              <a:ext uri="{FF2B5EF4-FFF2-40B4-BE49-F238E27FC236}">
                <a16:creationId xmlns:a16="http://schemas.microsoft.com/office/drawing/2014/main" id="{F7B7CC6A-1803-4841-8631-E78F7B0AC625}"/>
              </a:ext>
            </a:extLst>
          </xdr:cNvPr>
          <xdr:cNvCxnSpPr/>
        </xdr:nvCxnSpPr>
        <xdr:spPr>
          <a:xfrm rot="16200000">
            <a:off x="11344275" y="11434760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Connector 280">
            <a:extLst>
              <a:ext uri="{FF2B5EF4-FFF2-40B4-BE49-F238E27FC236}">
                <a16:creationId xmlns:a16="http://schemas.microsoft.com/office/drawing/2014/main" id="{26BB281A-37AF-4C23-BF13-3BC87C7752DB}"/>
              </a:ext>
            </a:extLst>
          </xdr:cNvPr>
          <xdr:cNvCxnSpPr/>
        </xdr:nvCxnSpPr>
        <xdr:spPr>
          <a:xfrm rot="3294139">
            <a:off x="9196387" y="11144250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2" name="Arc 281">
            <a:extLst>
              <a:ext uri="{FF2B5EF4-FFF2-40B4-BE49-F238E27FC236}">
                <a16:creationId xmlns:a16="http://schemas.microsoft.com/office/drawing/2014/main" id="{8FB91F76-6228-4BCC-8421-6BBA70AA5733}"/>
              </a:ext>
            </a:extLst>
          </xdr:cNvPr>
          <xdr:cNvSpPr/>
        </xdr:nvSpPr>
        <xdr:spPr>
          <a:xfrm rot="18629070">
            <a:off x="9172201" y="10881936"/>
            <a:ext cx="1267574" cy="1267574"/>
          </a:xfrm>
          <a:prstGeom prst="arc">
            <a:avLst>
              <a:gd name="adj1" fmla="val 16200000"/>
              <a:gd name="adj2" fmla="val 18009144"/>
            </a:avLst>
          </a:prstGeom>
          <a:ln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3" name="Arc 282">
            <a:extLst>
              <a:ext uri="{FF2B5EF4-FFF2-40B4-BE49-F238E27FC236}">
                <a16:creationId xmlns:a16="http://schemas.microsoft.com/office/drawing/2014/main" id="{CCE7CDD9-DFDB-4F09-9EB5-A47DE5879005}"/>
              </a:ext>
            </a:extLst>
          </xdr:cNvPr>
          <xdr:cNvSpPr/>
        </xdr:nvSpPr>
        <xdr:spPr>
          <a:xfrm rot="13026901">
            <a:off x="9191625" y="11239501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84" name="Arc 283">
            <a:extLst>
              <a:ext uri="{FF2B5EF4-FFF2-40B4-BE49-F238E27FC236}">
                <a16:creationId xmlns:a16="http://schemas.microsoft.com/office/drawing/2014/main" id="{27B91398-27B5-4DC9-B08C-6A65684AE860}"/>
              </a:ext>
            </a:extLst>
          </xdr:cNvPr>
          <xdr:cNvSpPr/>
        </xdr:nvSpPr>
        <xdr:spPr>
          <a:xfrm rot="1508362">
            <a:off x="11434762" y="11234738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</xdr:grpSp>
    <xdr:clientData/>
  </xdr:twoCellAnchor>
  <xdr:twoCellAnchor>
    <xdr:from>
      <xdr:col>4</xdr:col>
      <xdr:colOff>123825</xdr:colOff>
      <xdr:row>490</xdr:row>
      <xdr:rowOff>42862</xdr:rowOff>
    </xdr:from>
    <xdr:to>
      <xdr:col>24</xdr:col>
      <xdr:colOff>91237</xdr:colOff>
      <xdr:row>499</xdr:row>
      <xdr:rowOff>24561</xdr:rowOff>
    </xdr:to>
    <xdr:grpSp>
      <xdr:nvGrpSpPr>
        <xdr:cNvPr id="342" name="Group 341">
          <a:extLst>
            <a:ext uri="{FF2B5EF4-FFF2-40B4-BE49-F238E27FC236}">
              <a16:creationId xmlns:a16="http://schemas.microsoft.com/office/drawing/2014/main" id="{9E4B88BB-7E8D-16FA-896F-6E0FC97B5C05}"/>
            </a:ext>
          </a:extLst>
        </xdr:cNvPr>
        <xdr:cNvGrpSpPr/>
      </xdr:nvGrpSpPr>
      <xdr:grpSpPr>
        <a:xfrm>
          <a:off x="771525" y="73204387"/>
          <a:ext cx="3205912" cy="1267574"/>
          <a:chOff x="9191625" y="12044362"/>
          <a:chExt cx="3205912" cy="1267574"/>
        </a:xfrm>
      </xdr:grpSpPr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2E359117-CD53-4698-A89C-8E03A8355F7D}"/>
              </a:ext>
            </a:extLst>
          </xdr:cNvPr>
          <xdr:cNvSpPr/>
        </xdr:nvSpPr>
        <xdr:spPr>
          <a:xfrm rot="3294139">
            <a:off x="11391902" y="12425362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86" name="Straight Connector 285">
            <a:extLst>
              <a:ext uri="{FF2B5EF4-FFF2-40B4-BE49-F238E27FC236}">
                <a16:creationId xmlns:a16="http://schemas.microsoft.com/office/drawing/2014/main" id="{52D90F1D-DBFC-470C-A75A-64D4B32107F6}"/>
              </a:ext>
            </a:extLst>
          </xdr:cNvPr>
          <xdr:cNvCxnSpPr/>
        </xdr:nvCxnSpPr>
        <xdr:spPr>
          <a:xfrm rot="3294139">
            <a:off x="11325227" y="12553949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15FC7A9C-1575-4F72-AECB-FB1E3BE1D4D5}"/>
              </a:ext>
            </a:extLst>
          </xdr:cNvPr>
          <xdr:cNvSpPr/>
        </xdr:nvSpPr>
        <xdr:spPr>
          <a:xfrm rot="16200000">
            <a:off x="9310688" y="12501562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88" name="Straight Connector 287">
            <a:extLst>
              <a:ext uri="{FF2B5EF4-FFF2-40B4-BE49-F238E27FC236}">
                <a16:creationId xmlns:a16="http://schemas.microsoft.com/office/drawing/2014/main" id="{D5442AB6-44D8-414F-BE67-ECE7E6D8A85F}"/>
              </a:ext>
            </a:extLst>
          </xdr:cNvPr>
          <xdr:cNvCxnSpPr/>
        </xdr:nvCxnSpPr>
        <xdr:spPr>
          <a:xfrm rot="16200000">
            <a:off x="9391651" y="12582522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Connector 288">
            <a:extLst>
              <a:ext uri="{FF2B5EF4-FFF2-40B4-BE49-F238E27FC236}">
                <a16:creationId xmlns:a16="http://schemas.microsoft.com/office/drawing/2014/main" id="{1493C508-3B47-4E29-B927-208FA00078CE}"/>
              </a:ext>
            </a:extLst>
          </xdr:cNvPr>
          <xdr:cNvCxnSpPr/>
        </xdr:nvCxnSpPr>
        <xdr:spPr>
          <a:xfrm rot="3294139">
            <a:off x="11125199" y="12272962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0" name="Arc 289">
            <a:extLst>
              <a:ext uri="{FF2B5EF4-FFF2-40B4-BE49-F238E27FC236}">
                <a16:creationId xmlns:a16="http://schemas.microsoft.com/office/drawing/2014/main" id="{40744DEF-7E91-446D-B23F-5C68E112D69F}"/>
              </a:ext>
            </a:extLst>
          </xdr:cNvPr>
          <xdr:cNvSpPr/>
        </xdr:nvSpPr>
        <xdr:spPr>
          <a:xfrm rot="13026901">
            <a:off x="9191625" y="12382501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91" name="Arc 290">
            <a:extLst>
              <a:ext uri="{FF2B5EF4-FFF2-40B4-BE49-F238E27FC236}">
                <a16:creationId xmlns:a16="http://schemas.microsoft.com/office/drawing/2014/main" id="{7392B796-1D95-4D61-A205-658522343149}"/>
              </a:ext>
            </a:extLst>
          </xdr:cNvPr>
          <xdr:cNvSpPr/>
        </xdr:nvSpPr>
        <xdr:spPr>
          <a:xfrm rot="1508362">
            <a:off x="11434762" y="12377738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92" name="Arc 291">
            <a:extLst>
              <a:ext uri="{FF2B5EF4-FFF2-40B4-BE49-F238E27FC236}">
                <a16:creationId xmlns:a16="http://schemas.microsoft.com/office/drawing/2014/main" id="{C23B9338-1164-4943-B96C-21E028EB27F1}"/>
              </a:ext>
            </a:extLst>
          </xdr:cNvPr>
          <xdr:cNvSpPr/>
        </xdr:nvSpPr>
        <xdr:spPr>
          <a:xfrm rot="18629070">
            <a:off x="11129963" y="12044362"/>
            <a:ext cx="1267574" cy="1267574"/>
          </a:xfrm>
          <a:prstGeom prst="arc">
            <a:avLst>
              <a:gd name="adj1" fmla="val 16200000"/>
              <a:gd name="adj2" fmla="val 18009144"/>
            </a:avLst>
          </a:prstGeom>
          <a:ln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93" name="Freeform: Shape 292">
            <a:extLst>
              <a:ext uri="{FF2B5EF4-FFF2-40B4-BE49-F238E27FC236}">
                <a16:creationId xmlns:a16="http://schemas.microsoft.com/office/drawing/2014/main" id="{EEE4C291-E986-4A72-BDF7-49C1AFBB907C}"/>
              </a:ext>
            </a:extLst>
          </xdr:cNvPr>
          <xdr:cNvSpPr/>
        </xdr:nvSpPr>
        <xdr:spPr>
          <a:xfrm>
            <a:off x="9548813" y="12568238"/>
            <a:ext cx="1947862" cy="276228"/>
          </a:xfrm>
          <a:custGeom>
            <a:avLst/>
            <a:gdLst>
              <a:gd name="connsiteX0" fmla="*/ 1947862 w 1947862"/>
              <a:gd name="connsiteY0" fmla="*/ 4762 h 276228"/>
              <a:gd name="connsiteX1" fmla="*/ 1452562 w 1947862"/>
              <a:gd name="connsiteY1" fmla="*/ 276225 h 276228"/>
              <a:gd name="connsiteX2" fmla="*/ 0 w 1947862"/>
              <a:gd name="connsiteY2" fmla="*/ 0 h 27622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47862" h="276228">
                <a:moveTo>
                  <a:pt x="1947862" y="4762"/>
                </a:moveTo>
                <a:cubicBezTo>
                  <a:pt x="1862534" y="140890"/>
                  <a:pt x="1777206" y="277019"/>
                  <a:pt x="1452562" y="276225"/>
                </a:cubicBezTo>
                <a:cubicBezTo>
                  <a:pt x="1127918" y="275431"/>
                  <a:pt x="563959" y="137715"/>
                  <a:pt x="0" y="0"/>
                </a:cubicBezTo>
              </a:path>
            </a:pathLst>
          </a:cu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5</xdr:col>
      <xdr:colOff>9525</xdr:colOff>
      <xdr:row>504</xdr:row>
      <xdr:rowOff>85724</xdr:rowOff>
    </xdr:from>
    <xdr:to>
      <xdr:col>21</xdr:col>
      <xdr:colOff>23811</xdr:colOff>
      <xdr:row>507</xdr:row>
      <xdr:rowOff>71437</xdr:rowOff>
    </xdr:to>
    <xdr:grpSp>
      <xdr:nvGrpSpPr>
        <xdr:cNvPr id="340" name="Group 339">
          <a:extLst>
            <a:ext uri="{FF2B5EF4-FFF2-40B4-BE49-F238E27FC236}">
              <a16:creationId xmlns:a16="http://schemas.microsoft.com/office/drawing/2014/main" id="{F4AEF241-04C2-FA7A-7470-1348B06F7135}"/>
            </a:ext>
          </a:extLst>
        </xdr:cNvPr>
        <xdr:cNvGrpSpPr/>
      </xdr:nvGrpSpPr>
      <xdr:grpSpPr>
        <a:xfrm>
          <a:off x="819150" y="75247499"/>
          <a:ext cx="2605086" cy="414338"/>
          <a:chOff x="9239250" y="13944599"/>
          <a:chExt cx="2605086" cy="414338"/>
        </a:xfrm>
      </xdr:grpSpPr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A1EB30FB-4BD5-4296-B7D0-3F8C5E7422D2}"/>
              </a:ext>
            </a:extLst>
          </xdr:cNvPr>
          <xdr:cNvSpPr/>
        </xdr:nvSpPr>
        <xdr:spPr>
          <a:xfrm rot="16200000">
            <a:off x="9310688" y="14073187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95" name="Straight Connector 294">
            <a:extLst>
              <a:ext uri="{FF2B5EF4-FFF2-40B4-BE49-F238E27FC236}">
                <a16:creationId xmlns:a16="http://schemas.microsoft.com/office/drawing/2014/main" id="{6116D4DF-DC9A-47D2-8D72-09FFB493580D}"/>
              </a:ext>
            </a:extLst>
          </xdr:cNvPr>
          <xdr:cNvCxnSpPr/>
        </xdr:nvCxnSpPr>
        <xdr:spPr>
          <a:xfrm rot="16200000">
            <a:off x="9391651" y="14154147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E997CFCE-269F-4DC2-A4AD-6E126C24E9F1}"/>
              </a:ext>
            </a:extLst>
          </xdr:cNvPr>
          <xdr:cNvSpPr/>
        </xdr:nvSpPr>
        <xdr:spPr>
          <a:xfrm rot="16200000">
            <a:off x="11430000" y="14063662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708AADE3-089D-4B4E-AC00-F0F90E0136FD}"/>
              </a:ext>
            </a:extLst>
          </xdr:cNvPr>
          <xdr:cNvCxnSpPr/>
        </xdr:nvCxnSpPr>
        <xdr:spPr>
          <a:xfrm rot="16200000">
            <a:off x="11344275" y="14149385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8" name="Arc 297">
            <a:extLst>
              <a:ext uri="{FF2B5EF4-FFF2-40B4-BE49-F238E27FC236}">
                <a16:creationId xmlns:a16="http://schemas.microsoft.com/office/drawing/2014/main" id="{0B7A01E3-D51F-4894-AEAB-36B7865C5036}"/>
              </a:ext>
            </a:extLst>
          </xdr:cNvPr>
          <xdr:cNvSpPr/>
        </xdr:nvSpPr>
        <xdr:spPr>
          <a:xfrm rot="1508362">
            <a:off x="11434762" y="13949363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99" name="Arc 298">
            <a:extLst>
              <a:ext uri="{FF2B5EF4-FFF2-40B4-BE49-F238E27FC236}">
                <a16:creationId xmlns:a16="http://schemas.microsoft.com/office/drawing/2014/main" id="{4C354C7D-7F49-444F-937E-730630D3CADE}"/>
              </a:ext>
            </a:extLst>
          </xdr:cNvPr>
          <xdr:cNvSpPr/>
        </xdr:nvSpPr>
        <xdr:spPr>
          <a:xfrm rot="13026901">
            <a:off x="9239250" y="13944600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00" name="Straight Connector 299">
            <a:extLst>
              <a:ext uri="{FF2B5EF4-FFF2-40B4-BE49-F238E27FC236}">
                <a16:creationId xmlns:a16="http://schemas.microsoft.com/office/drawing/2014/main" id="{8B41A681-8A96-41CA-B2D9-665B0E784330}"/>
              </a:ext>
            </a:extLst>
          </xdr:cNvPr>
          <xdr:cNvCxnSpPr/>
        </xdr:nvCxnSpPr>
        <xdr:spPr>
          <a:xfrm>
            <a:off x="9548813" y="14144625"/>
            <a:ext cx="19573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Arrow Connector 300">
            <a:extLst>
              <a:ext uri="{FF2B5EF4-FFF2-40B4-BE49-F238E27FC236}">
                <a16:creationId xmlns:a16="http://schemas.microsoft.com/office/drawing/2014/main" id="{11867C9E-622D-470B-97A8-9E80D83CE9BC}"/>
              </a:ext>
            </a:extLst>
          </xdr:cNvPr>
          <xdr:cNvCxnSpPr/>
        </xdr:nvCxnSpPr>
        <xdr:spPr>
          <a:xfrm>
            <a:off x="9553574" y="1394937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" name="Straight Arrow Connector 301">
            <a:extLst>
              <a:ext uri="{FF2B5EF4-FFF2-40B4-BE49-F238E27FC236}">
                <a16:creationId xmlns:a16="http://schemas.microsoft.com/office/drawing/2014/main" id="{1AD6172D-AC66-4617-958B-D9BDA2C8A62B}"/>
              </a:ext>
            </a:extLst>
          </xdr:cNvPr>
          <xdr:cNvCxnSpPr/>
        </xdr:nvCxnSpPr>
        <xdr:spPr>
          <a:xfrm>
            <a:off x="9715499" y="1394937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Arrow Connector 302">
            <a:extLst>
              <a:ext uri="{FF2B5EF4-FFF2-40B4-BE49-F238E27FC236}">
                <a16:creationId xmlns:a16="http://schemas.microsoft.com/office/drawing/2014/main" id="{E390B9B3-C2E4-45F2-83FC-44EB20699E1F}"/>
              </a:ext>
            </a:extLst>
          </xdr:cNvPr>
          <xdr:cNvCxnSpPr/>
        </xdr:nvCxnSpPr>
        <xdr:spPr>
          <a:xfrm>
            <a:off x="9877423" y="1394937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Arrow Connector 303">
            <a:extLst>
              <a:ext uri="{FF2B5EF4-FFF2-40B4-BE49-F238E27FC236}">
                <a16:creationId xmlns:a16="http://schemas.microsoft.com/office/drawing/2014/main" id="{5ADFE6BF-BDD4-43B0-8E74-62A7434915DB}"/>
              </a:ext>
            </a:extLst>
          </xdr:cNvPr>
          <xdr:cNvCxnSpPr/>
        </xdr:nvCxnSpPr>
        <xdr:spPr>
          <a:xfrm>
            <a:off x="10039348" y="1394937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Arrow Connector 304">
            <a:extLst>
              <a:ext uri="{FF2B5EF4-FFF2-40B4-BE49-F238E27FC236}">
                <a16:creationId xmlns:a16="http://schemas.microsoft.com/office/drawing/2014/main" id="{3F973D3F-D811-49BE-96A7-CCC79F594ED5}"/>
              </a:ext>
            </a:extLst>
          </xdr:cNvPr>
          <xdr:cNvCxnSpPr/>
        </xdr:nvCxnSpPr>
        <xdr:spPr>
          <a:xfrm>
            <a:off x="10201275" y="1394937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Arrow Connector 305">
            <a:extLst>
              <a:ext uri="{FF2B5EF4-FFF2-40B4-BE49-F238E27FC236}">
                <a16:creationId xmlns:a16="http://schemas.microsoft.com/office/drawing/2014/main" id="{2417BE62-EE68-4D78-8742-15FE3F8BF05D}"/>
              </a:ext>
            </a:extLst>
          </xdr:cNvPr>
          <xdr:cNvCxnSpPr/>
        </xdr:nvCxnSpPr>
        <xdr:spPr>
          <a:xfrm>
            <a:off x="10363200" y="13949376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Arrow Connector 306">
            <a:extLst>
              <a:ext uri="{FF2B5EF4-FFF2-40B4-BE49-F238E27FC236}">
                <a16:creationId xmlns:a16="http://schemas.microsoft.com/office/drawing/2014/main" id="{365C051C-8529-427D-B98D-E314F54FFE65}"/>
              </a:ext>
            </a:extLst>
          </xdr:cNvPr>
          <xdr:cNvCxnSpPr/>
        </xdr:nvCxnSpPr>
        <xdr:spPr>
          <a:xfrm>
            <a:off x="10525124" y="1394937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Arrow Connector 307">
            <a:extLst>
              <a:ext uri="{FF2B5EF4-FFF2-40B4-BE49-F238E27FC236}">
                <a16:creationId xmlns:a16="http://schemas.microsoft.com/office/drawing/2014/main" id="{3AD28274-4F14-4B84-B94F-C93198381EA5}"/>
              </a:ext>
            </a:extLst>
          </xdr:cNvPr>
          <xdr:cNvCxnSpPr/>
        </xdr:nvCxnSpPr>
        <xdr:spPr>
          <a:xfrm>
            <a:off x="10687049" y="13949375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Arrow Connector 308">
            <a:extLst>
              <a:ext uri="{FF2B5EF4-FFF2-40B4-BE49-F238E27FC236}">
                <a16:creationId xmlns:a16="http://schemas.microsoft.com/office/drawing/2014/main" id="{B92BC4E6-6E03-44E8-9EFA-FA127CE7276E}"/>
              </a:ext>
            </a:extLst>
          </xdr:cNvPr>
          <xdr:cNvCxnSpPr/>
        </xdr:nvCxnSpPr>
        <xdr:spPr>
          <a:xfrm>
            <a:off x="10848982" y="1394461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Arrow Connector 309">
            <a:extLst>
              <a:ext uri="{FF2B5EF4-FFF2-40B4-BE49-F238E27FC236}">
                <a16:creationId xmlns:a16="http://schemas.microsoft.com/office/drawing/2014/main" id="{F1B0BD34-8D06-42C6-A747-242A5B767388}"/>
              </a:ext>
            </a:extLst>
          </xdr:cNvPr>
          <xdr:cNvCxnSpPr/>
        </xdr:nvCxnSpPr>
        <xdr:spPr>
          <a:xfrm>
            <a:off x="11010907" y="1394461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Straight Arrow Connector 310">
            <a:extLst>
              <a:ext uri="{FF2B5EF4-FFF2-40B4-BE49-F238E27FC236}">
                <a16:creationId xmlns:a16="http://schemas.microsoft.com/office/drawing/2014/main" id="{CC5CD2DC-74B9-4D3B-8B0C-4279DC04528A}"/>
              </a:ext>
            </a:extLst>
          </xdr:cNvPr>
          <xdr:cNvCxnSpPr/>
        </xdr:nvCxnSpPr>
        <xdr:spPr>
          <a:xfrm>
            <a:off x="11172831" y="13944609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" name="Straight Arrow Connector 311">
            <a:extLst>
              <a:ext uri="{FF2B5EF4-FFF2-40B4-BE49-F238E27FC236}">
                <a16:creationId xmlns:a16="http://schemas.microsoft.com/office/drawing/2014/main" id="{8FA39FB6-FE1F-4ECD-8146-2CD7D42D0914}"/>
              </a:ext>
            </a:extLst>
          </xdr:cNvPr>
          <xdr:cNvCxnSpPr/>
        </xdr:nvCxnSpPr>
        <xdr:spPr>
          <a:xfrm>
            <a:off x="11334756" y="13944609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Straight Arrow Connector 312">
            <a:extLst>
              <a:ext uri="{FF2B5EF4-FFF2-40B4-BE49-F238E27FC236}">
                <a16:creationId xmlns:a16="http://schemas.microsoft.com/office/drawing/2014/main" id="{04A53105-95D1-4BF8-A764-43D73DFAEC57}"/>
              </a:ext>
            </a:extLst>
          </xdr:cNvPr>
          <xdr:cNvCxnSpPr/>
        </xdr:nvCxnSpPr>
        <xdr:spPr>
          <a:xfrm>
            <a:off x="11496683" y="13944610"/>
            <a:ext cx="0" cy="18573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" name="Straight Connector 313">
            <a:extLst>
              <a:ext uri="{FF2B5EF4-FFF2-40B4-BE49-F238E27FC236}">
                <a16:creationId xmlns:a16="http://schemas.microsoft.com/office/drawing/2014/main" id="{85883B84-F63F-4076-9CAD-E29CCBC99A80}"/>
              </a:ext>
            </a:extLst>
          </xdr:cNvPr>
          <xdr:cNvCxnSpPr/>
        </xdr:nvCxnSpPr>
        <xdr:spPr>
          <a:xfrm>
            <a:off x="9558338" y="13944599"/>
            <a:ext cx="19383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9525</xdr:colOff>
      <xdr:row>516</xdr:row>
      <xdr:rowOff>28575</xdr:rowOff>
    </xdr:from>
    <xdr:to>
      <xdr:col>21</xdr:col>
      <xdr:colOff>23811</xdr:colOff>
      <xdr:row>520</xdr:row>
      <xdr:rowOff>71437</xdr:rowOff>
    </xdr:to>
    <xdr:grpSp>
      <xdr:nvGrpSpPr>
        <xdr:cNvPr id="339" name="Group 338">
          <a:extLst>
            <a:ext uri="{FF2B5EF4-FFF2-40B4-BE49-F238E27FC236}">
              <a16:creationId xmlns:a16="http://schemas.microsoft.com/office/drawing/2014/main" id="{6E9E9DE1-BAEC-84D5-8462-671ECB5D1B32}"/>
            </a:ext>
          </a:extLst>
        </xdr:cNvPr>
        <xdr:cNvGrpSpPr/>
      </xdr:nvGrpSpPr>
      <xdr:grpSpPr>
        <a:xfrm>
          <a:off x="819150" y="76904850"/>
          <a:ext cx="2605086" cy="614362"/>
          <a:chOff x="9239250" y="14887575"/>
          <a:chExt cx="2605086" cy="614362"/>
        </a:xfrm>
      </xdr:grpSpPr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AD76B443-1DCC-4DEC-88DF-55D00037ADE9}"/>
              </a:ext>
            </a:extLst>
          </xdr:cNvPr>
          <xdr:cNvSpPr/>
        </xdr:nvSpPr>
        <xdr:spPr>
          <a:xfrm rot="16200000">
            <a:off x="9310688" y="15216187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id="{4A7DD5A2-B861-4EA0-81F2-CF55FCF8F1C7}"/>
              </a:ext>
            </a:extLst>
          </xdr:cNvPr>
          <xdr:cNvCxnSpPr/>
        </xdr:nvCxnSpPr>
        <xdr:spPr>
          <a:xfrm rot="16200000">
            <a:off x="9391651" y="15297147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2F3C6FA1-7436-45E4-837C-E67D2E923410}"/>
              </a:ext>
            </a:extLst>
          </xdr:cNvPr>
          <xdr:cNvSpPr/>
        </xdr:nvSpPr>
        <xdr:spPr>
          <a:xfrm rot="16200000">
            <a:off x="11430000" y="15206662"/>
            <a:ext cx="323850" cy="166688"/>
          </a:xfrm>
          <a:prstGeom prst="rect">
            <a:avLst/>
          </a:prstGeom>
          <a:pattFill prst="ltUpDiag">
            <a:fgClr>
              <a:schemeClr val="tx1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18" name="Straight Connector 317">
            <a:extLst>
              <a:ext uri="{FF2B5EF4-FFF2-40B4-BE49-F238E27FC236}">
                <a16:creationId xmlns:a16="http://schemas.microsoft.com/office/drawing/2014/main" id="{A9E7CFD1-D848-44AB-984F-39FF48ABE3D9}"/>
              </a:ext>
            </a:extLst>
          </xdr:cNvPr>
          <xdr:cNvCxnSpPr/>
        </xdr:nvCxnSpPr>
        <xdr:spPr>
          <a:xfrm rot="16200000">
            <a:off x="11344275" y="15292385"/>
            <a:ext cx="3143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Arc 318">
            <a:extLst>
              <a:ext uri="{FF2B5EF4-FFF2-40B4-BE49-F238E27FC236}">
                <a16:creationId xmlns:a16="http://schemas.microsoft.com/office/drawing/2014/main" id="{6C3175DA-EDDE-43E2-9AD6-1507EF2C7597}"/>
              </a:ext>
            </a:extLst>
          </xdr:cNvPr>
          <xdr:cNvSpPr/>
        </xdr:nvSpPr>
        <xdr:spPr>
          <a:xfrm rot="1508362">
            <a:off x="11434762" y="15092363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320" name="Arc 319">
            <a:extLst>
              <a:ext uri="{FF2B5EF4-FFF2-40B4-BE49-F238E27FC236}">
                <a16:creationId xmlns:a16="http://schemas.microsoft.com/office/drawing/2014/main" id="{76774839-EBC9-4F42-8B88-280FFF0122DD}"/>
              </a:ext>
            </a:extLst>
          </xdr:cNvPr>
          <xdr:cNvSpPr/>
        </xdr:nvSpPr>
        <xdr:spPr>
          <a:xfrm rot="13026901">
            <a:off x="9239250" y="15087600"/>
            <a:ext cx="409574" cy="409574"/>
          </a:xfrm>
          <a:prstGeom prst="arc">
            <a:avLst>
              <a:gd name="adj1" fmla="val 16200000"/>
              <a:gd name="adj2" fmla="val 1515581"/>
            </a:avLst>
          </a:prstGeom>
          <a:ln w="9525">
            <a:solidFill>
              <a:schemeClr val="tx1"/>
            </a:solidFill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21" name="Straight Connector 320">
            <a:extLst>
              <a:ext uri="{FF2B5EF4-FFF2-40B4-BE49-F238E27FC236}">
                <a16:creationId xmlns:a16="http://schemas.microsoft.com/office/drawing/2014/main" id="{F7DCFA1A-7461-4936-9D0C-D9F995853B0D}"/>
              </a:ext>
            </a:extLst>
          </xdr:cNvPr>
          <xdr:cNvCxnSpPr/>
        </xdr:nvCxnSpPr>
        <xdr:spPr>
          <a:xfrm>
            <a:off x="9548813" y="15287625"/>
            <a:ext cx="1957387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Straight Arrow Connector 321">
            <a:extLst>
              <a:ext uri="{FF2B5EF4-FFF2-40B4-BE49-F238E27FC236}">
                <a16:creationId xmlns:a16="http://schemas.microsoft.com/office/drawing/2014/main" id="{58A92551-E088-4942-9F55-B542156B70B1}"/>
              </a:ext>
            </a:extLst>
          </xdr:cNvPr>
          <xdr:cNvCxnSpPr/>
        </xdr:nvCxnSpPr>
        <xdr:spPr>
          <a:xfrm>
            <a:off x="10201275" y="14887575"/>
            <a:ext cx="0" cy="390539"/>
          </a:xfrm>
          <a:prstGeom prst="straightConnector1">
            <a:avLst/>
          </a:prstGeom>
          <a:ln w="127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4E0CD95D-4C76-464A-91D1-647B209409C5}"/>
              </a:ext>
            </a:extLst>
          </xdr:cNvPr>
          <xdr:cNvCxnSpPr/>
        </xdr:nvCxnSpPr>
        <xdr:spPr>
          <a:xfrm>
            <a:off x="9553575" y="14935200"/>
            <a:ext cx="0" cy="1857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AA0996D8-7310-441A-A5F4-2B3202A0C78A}"/>
              </a:ext>
            </a:extLst>
          </xdr:cNvPr>
          <xdr:cNvCxnSpPr/>
        </xdr:nvCxnSpPr>
        <xdr:spPr>
          <a:xfrm>
            <a:off x="9486898" y="15001875"/>
            <a:ext cx="78105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Connector 324">
            <a:extLst>
              <a:ext uri="{FF2B5EF4-FFF2-40B4-BE49-F238E27FC236}">
                <a16:creationId xmlns:a16="http://schemas.microsoft.com/office/drawing/2014/main" id="{49D5667E-797D-4081-B196-1C0C37087305}"/>
              </a:ext>
            </a:extLst>
          </xdr:cNvPr>
          <xdr:cNvCxnSpPr/>
        </xdr:nvCxnSpPr>
        <xdr:spPr>
          <a:xfrm flipH="1">
            <a:off x="9515475" y="1496853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id="{F09BFADD-E637-46C6-8409-47BBCC23ADB1}"/>
              </a:ext>
            </a:extLst>
          </xdr:cNvPr>
          <xdr:cNvCxnSpPr/>
        </xdr:nvCxnSpPr>
        <xdr:spPr>
          <a:xfrm flipH="1">
            <a:off x="10163181" y="14968534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95246</xdr:colOff>
      <xdr:row>230</xdr:row>
      <xdr:rowOff>71436</xdr:rowOff>
    </xdr:from>
    <xdr:to>
      <xdr:col>28</xdr:col>
      <xdr:colOff>71438</xdr:colOff>
      <xdr:row>241</xdr:row>
      <xdr:rowOff>61913</xdr:rowOff>
    </xdr:to>
    <xdr:grpSp>
      <xdr:nvGrpSpPr>
        <xdr:cNvPr id="471" name="Group 470">
          <a:extLst>
            <a:ext uri="{FF2B5EF4-FFF2-40B4-BE49-F238E27FC236}">
              <a16:creationId xmlns:a16="http://schemas.microsoft.com/office/drawing/2014/main" id="{4CE6E10F-8C86-A515-9453-087E41767DF7}"/>
            </a:ext>
          </a:extLst>
        </xdr:cNvPr>
        <xdr:cNvGrpSpPr/>
      </xdr:nvGrpSpPr>
      <xdr:grpSpPr>
        <a:xfrm>
          <a:off x="581021" y="33123186"/>
          <a:ext cx="4024317" cy="1562102"/>
          <a:chOff x="581021" y="6710361"/>
          <a:chExt cx="4024317" cy="1562102"/>
        </a:xfrm>
      </xdr:grpSpPr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9CF765AF-BAFA-914B-029B-FE8FA3D61BA6}"/>
              </a:ext>
            </a:extLst>
          </xdr:cNvPr>
          <xdr:cNvCxnSpPr/>
        </xdr:nvCxnSpPr>
        <xdr:spPr>
          <a:xfrm>
            <a:off x="647700" y="7710488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A3A51AA1-5D17-ECE9-D359-0164998F596C}"/>
              </a:ext>
            </a:extLst>
          </xdr:cNvPr>
          <xdr:cNvCxnSpPr/>
        </xdr:nvCxnSpPr>
        <xdr:spPr>
          <a:xfrm>
            <a:off x="581025" y="7924802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7" name="Straight Connector 346">
            <a:extLst>
              <a:ext uri="{FF2B5EF4-FFF2-40B4-BE49-F238E27FC236}">
                <a16:creationId xmlns:a16="http://schemas.microsoft.com/office/drawing/2014/main" id="{21A6547D-E207-BA93-4DA5-C039A493B656}"/>
              </a:ext>
            </a:extLst>
          </xdr:cNvPr>
          <xdr:cNvCxnSpPr/>
        </xdr:nvCxnSpPr>
        <xdr:spPr>
          <a:xfrm flipH="1">
            <a:off x="609601" y="78914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8" name="Straight Connector 347">
            <a:extLst>
              <a:ext uri="{FF2B5EF4-FFF2-40B4-BE49-F238E27FC236}">
                <a16:creationId xmlns:a16="http://schemas.microsoft.com/office/drawing/2014/main" id="{393B60B4-D3BE-A3B8-CD7F-F67EDC293342}"/>
              </a:ext>
            </a:extLst>
          </xdr:cNvPr>
          <xdr:cNvCxnSpPr/>
        </xdr:nvCxnSpPr>
        <xdr:spPr>
          <a:xfrm>
            <a:off x="581021" y="8210554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9" name="Straight Connector 348">
            <a:extLst>
              <a:ext uri="{FF2B5EF4-FFF2-40B4-BE49-F238E27FC236}">
                <a16:creationId xmlns:a16="http://schemas.microsoft.com/office/drawing/2014/main" id="{8F1F832E-35A4-584C-89D7-1396AC3EC945}"/>
              </a:ext>
            </a:extLst>
          </xdr:cNvPr>
          <xdr:cNvCxnSpPr/>
        </xdr:nvCxnSpPr>
        <xdr:spPr>
          <a:xfrm flipH="1">
            <a:off x="609597" y="817721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0" name="Straight Connector 349">
            <a:extLst>
              <a:ext uri="{FF2B5EF4-FFF2-40B4-BE49-F238E27FC236}">
                <a16:creationId xmlns:a16="http://schemas.microsoft.com/office/drawing/2014/main" id="{457BC9A0-E001-40CD-F3AC-FB6A56863B62}"/>
              </a:ext>
            </a:extLst>
          </xdr:cNvPr>
          <xdr:cNvCxnSpPr/>
        </xdr:nvCxnSpPr>
        <xdr:spPr>
          <a:xfrm>
            <a:off x="4533900" y="7710488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1" name="Straight Connector 350">
            <a:extLst>
              <a:ext uri="{FF2B5EF4-FFF2-40B4-BE49-F238E27FC236}">
                <a16:creationId xmlns:a16="http://schemas.microsoft.com/office/drawing/2014/main" id="{24C87040-0809-8C01-A3A7-F3C2200E0818}"/>
              </a:ext>
            </a:extLst>
          </xdr:cNvPr>
          <xdr:cNvCxnSpPr/>
        </xdr:nvCxnSpPr>
        <xdr:spPr>
          <a:xfrm flipH="1">
            <a:off x="4495800" y="78914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2" name="Straight Connector 351">
            <a:extLst>
              <a:ext uri="{FF2B5EF4-FFF2-40B4-BE49-F238E27FC236}">
                <a16:creationId xmlns:a16="http://schemas.microsoft.com/office/drawing/2014/main" id="{D21DB5D6-CFAF-DDB7-EC85-32F4516FB79D}"/>
              </a:ext>
            </a:extLst>
          </xdr:cNvPr>
          <xdr:cNvCxnSpPr/>
        </xdr:nvCxnSpPr>
        <xdr:spPr>
          <a:xfrm flipH="1">
            <a:off x="4495797" y="817721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3" name="Straight Connector 352">
            <a:extLst>
              <a:ext uri="{FF2B5EF4-FFF2-40B4-BE49-F238E27FC236}">
                <a16:creationId xmlns:a16="http://schemas.microsoft.com/office/drawing/2014/main" id="{4552AFFC-02EF-F433-D759-0BE17128FCFD}"/>
              </a:ext>
            </a:extLst>
          </xdr:cNvPr>
          <xdr:cNvCxnSpPr/>
        </xdr:nvCxnSpPr>
        <xdr:spPr>
          <a:xfrm>
            <a:off x="1457330" y="7424739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F3F84606-CE07-C29D-9D2F-A8AD2F75A9A7}"/>
              </a:ext>
            </a:extLst>
          </xdr:cNvPr>
          <xdr:cNvCxnSpPr/>
        </xdr:nvCxnSpPr>
        <xdr:spPr>
          <a:xfrm flipH="1">
            <a:off x="1419227" y="7891466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Connector 354">
            <a:extLst>
              <a:ext uri="{FF2B5EF4-FFF2-40B4-BE49-F238E27FC236}">
                <a16:creationId xmlns:a16="http://schemas.microsoft.com/office/drawing/2014/main" id="{7E2A1F20-E59F-1DE1-C3D3-3CCE07CE2FF2}"/>
              </a:ext>
            </a:extLst>
          </xdr:cNvPr>
          <xdr:cNvCxnSpPr/>
        </xdr:nvCxnSpPr>
        <xdr:spPr>
          <a:xfrm>
            <a:off x="3724262" y="7424740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027EE220-A0FC-4F58-DD36-96E74BD564E2}"/>
              </a:ext>
            </a:extLst>
          </xdr:cNvPr>
          <xdr:cNvCxnSpPr/>
        </xdr:nvCxnSpPr>
        <xdr:spPr>
          <a:xfrm flipH="1">
            <a:off x="3686159" y="7891467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7" name="Freeform: Shape 356">
            <a:extLst>
              <a:ext uri="{FF2B5EF4-FFF2-40B4-BE49-F238E27FC236}">
                <a16:creationId xmlns:a16="http://schemas.microsoft.com/office/drawing/2014/main" id="{9E105046-309E-54D7-0F1E-590F25520BD5}"/>
              </a:ext>
            </a:extLst>
          </xdr:cNvPr>
          <xdr:cNvSpPr/>
        </xdr:nvSpPr>
        <xdr:spPr>
          <a:xfrm>
            <a:off x="647701" y="6924676"/>
            <a:ext cx="3881438" cy="714375"/>
          </a:xfrm>
          <a:custGeom>
            <a:avLst/>
            <a:gdLst>
              <a:gd name="connsiteX0" fmla="*/ 800100 w 3881438"/>
              <a:gd name="connsiteY0" fmla="*/ 423862 h 714375"/>
              <a:gd name="connsiteX1" fmla="*/ 3067050 w 3881438"/>
              <a:gd name="connsiteY1" fmla="*/ 423862 h 714375"/>
              <a:gd name="connsiteX2" fmla="*/ 3881438 w 3881438"/>
              <a:gd name="connsiteY2" fmla="*/ 709612 h 714375"/>
              <a:gd name="connsiteX3" fmla="*/ 3881438 w 3881438"/>
              <a:gd name="connsiteY3" fmla="*/ 0 h 714375"/>
              <a:gd name="connsiteX4" fmla="*/ 0 w 3881438"/>
              <a:gd name="connsiteY4" fmla="*/ 0 h 714375"/>
              <a:gd name="connsiteX5" fmla="*/ 0 w 3881438"/>
              <a:gd name="connsiteY5" fmla="*/ 714375 h 714375"/>
              <a:gd name="connsiteX6" fmla="*/ 800100 w 3881438"/>
              <a:gd name="connsiteY6" fmla="*/ 423862 h 714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3881438" h="714375">
                <a:moveTo>
                  <a:pt x="800100" y="423862"/>
                </a:moveTo>
                <a:lnTo>
                  <a:pt x="3067050" y="423862"/>
                </a:lnTo>
                <a:lnTo>
                  <a:pt x="3881438" y="709612"/>
                </a:lnTo>
                <a:lnTo>
                  <a:pt x="3881438" y="0"/>
                </a:lnTo>
                <a:lnTo>
                  <a:pt x="0" y="0"/>
                </a:lnTo>
                <a:lnTo>
                  <a:pt x="0" y="714375"/>
                </a:lnTo>
                <a:lnTo>
                  <a:pt x="800100" y="423862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443" name="Straight Arrow Connector 442">
            <a:extLst>
              <a:ext uri="{FF2B5EF4-FFF2-40B4-BE49-F238E27FC236}">
                <a16:creationId xmlns:a16="http://schemas.microsoft.com/office/drawing/2014/main" id="{BE2F0AC4-5701-088C-3FF2-1943E8999F7E}"/>
              </a:ext>
            </a:extLst>
          </xdr:cNvPr>
          <xdr:cNvCxnSpPr/>
        </xdr:nvCxnSpPr>
        <xdr:spPr>
          <a:xfrm>
            <a:off x="647701" y="671512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4" name="Straight Arrow Connector 443">
            <a:extLst>
              <a:ext uri="{FF2B5EF4-FFF2-40B4-BE49-F238E27FC236}">
                <a16:creationId xmlns:a16="http://schemas.microsoft.com/office/drawing/2014/main" id="{A86D883A-CDB6-4119-8906-715157CCDC01}"/>
              </a:ext>
            </a:extLst>
          </xdr:cNvPr>
          <xdr:cNvCxnSpPr/>
        </xdr:nvCxnSpPr>
        <xdr:spPr>
          <a:xfrm>
            <a:off x="809627" y="6710363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Straight Arrow Connector 444">
            <a:extLst>
              <a:ext uri="{FF2B5EF4-FFF2-40B4-BE49-F238E27FC236}">
                <a16:creationId xmlns:a16="http://schemas.microsoft.com/office/drawing/2014/main" id="{A39C2531-8190-4F67-9853-00F1F0BABB79}"/>
              </a:ext>
            </a:extLst>
          </xdr:cNvPr>
          <xdr:cNvCxnSpPr/>
        </xdr:nvCxnSpPr>
        <xdr:spPr>
          <a:xfrm>
            <a:off x="971552" y="671512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Straight Arrow Connector 445">
            <a:extLst>
              <a:ext uri="{FF2B5EF4-FFF2-40B4-BE49-F238E27FC236}">
                <a16:creationId xmlns:a16="http://schemas.microsoft.com/office/drawing/2014/main" id="{92852093-9381-4D69-ADB5-BB803EF1202A}"/>
              </a:ext>
            </a:extLst>
          </xdr:cNvPr>
          <xdr:cNvCxnSpPr/>
        </xdr:nvCxnSpPr>
        <xdr:spPr>
          <a:xfrm>
            <a:off x="1133478" y="671512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Straight Arrow Connector 446">
            <a:extLst>
              <a:ext uri="{FF2B5EF4-FFF2-40B4-BE49-F238E27FC236}">
                <a16:creationId xmlns:a16="http://schemas.microsoft.com/office/drawing/2014/main" id="{C3F26A7D-02D6-4A4E-B66B-E875BAF9559B}"/>
              </a:ext>
            </a:extLst>
          </xdr:cNvPr>
          <xdr:cNvCxnSpPr/>
        </xdr:nvCxnSpPr>
        <xdr:spPr>
          <a:xfrm>
            <a:off x="1295401" y="671036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Straight Arrow Connector 447">
            <a:extLst>
              <a:ext uri="{FF2B5EF4-FFF2-40B4-BE49-F238E27FC236}">
                <a16:creationId xmlns:a16="http://schemas.microsoft.com/office/drawing/2014/main" id="{4D5861F9-5C60-45B5-AB10-36CD7846631D}"/>
              </a:ext>
            </a:extLst>
          </xdr:cNvPr>
          <xdr:cNvCxnSpPr/>
        </xdr:nvCxnSpPr>
        <xdr:spPr>
          <a:xfrm>
            <a:off x="1457327" y="671036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" name="Straight Arrow Connector 448">
            <a:extLst>
              <a:ext uri="{FF2B5EF4-FFF2-40B4-BE49-F238E27FC236}">
                <a16:creationId xmlns:a16="http://schemas.microsoft.com/office/drawing/2014/main" id="{A866F6B4-3CD9-4D2A-9713-AFB72F679706}"/>
              </a:ext>
            </a:extLst>
          </xdr:cNvPr>
          <xdr:cNvCxnSpPr/>
        </xdr:nvCxnSpPr>
        <xdr:spPr>
          <a:xfrm>
            <a:off x="1619252" y="671036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0" name="Straight Arrow Connector 449">
            <a:extLst>
              <a:ext uri="{FF2B5EF4-FFF2-40B4-BE49-F238E27FC236}">
                <a16:creationId xmlns:a16="http://schemas.microsoft.com/office/drawing/2014/main" id="{3708EFEB-286E-4E45-9244-F957D067B53B}"/>
              </a:ext>
            </a:extLst>
          </xdr:cNvPr>
          <xdr:cNvCxnSpPr/>
        </xdr:nvCxnSpPr>
        <xdr:spPr>
          <a:xfrm>
            <a:off x="1781178" y="671036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Straight Arrow Connector 450">
            <a:extLst>
              <a:ext uri="{FF2B5EF4-FFF2-40B4-BE49-F238E27FC236}">
                <a16:creationId xmlns:a16="http://schemas.microsoft.com/office/drawing/2014/main" id="{241D5F0F-75EC-4E6B-B023-4669C543F8E3}"/>
              </a:ext>
            </a:extLst>
          </xdr:cNvPr>
          <xdr:cNvCxnSpPr/>
        </xdr:nvCxnSpPr>
        <xdr:spPr>
          <a:xfrm>
            <a:off x="1943099" y="671512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2" name="Straight Arrow Connector 451">
            <a:extLst>
              <a:ext uri="{FF2B5EF4-FFF2-40B4-BE49-F238E27FC236}">
                <a16:creationId xmlns:a16="http://schemas.microsoft.com/office/drawing/2014/main" id="{004548D2-E27B-4235-A747-24AB1D4FE947}"/>
              </a:ext>
            </a:extLst>
          </xdr:cNvPr>
          <xdr:cNvCxnSpPr/>
        </xdr:nvCxnSpPr>
        <xdr:spPr>
          <a:xfrm>
            <a:off x="2105025" y="671036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Straight Arrow Connector 452">
            <a:extLst>
              <a:ext uri="{FF2B5EF4-FFF2-40B4-BE49-F238E27FC236}">
                <a16:creationId xmlns:a16="http://schemas.microsoft.com/office/drawing/2014/main" id="{3803E78D-024C-4741-9CFE-B201BCF11702}"/>
              </a:ext>
            </a:extLst>
          </xdr:cNvPr>
          <xdr:cNvCxnSpPr/>
        </xdr:nvCxnSpPr>
        <xdr:spPr>
          <a:xfrm>
            <a:off x="2266950" y="671512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Straight Arrow Connector 453">
            <a:extLst>
              <a:ext uri="{FF2B5EF4-FFF2-40B4-BE49-F238E27FC236}">
                <a16:creationId xmlns:a16="http://schemas.microsoft.com/office/drawing/2014/main" id="{AE31BECE-AAF1-4E13-A3FC-58D062B92807}"/>
              </a:ext>
            </a:extLst>
          </xdr:cNvPr>
          <xdr:cNvCxnSpPr/>
        </xdr:nvCxnSpPr>
        <xdr:spPr>
          <a:xfrm>
            <a:off x="2428876" y="671512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Straight Arrow Connector 454">
            <a:extLst>
              <a:ext uri="{FF2B5EF4-FFF2-40B4-BE49-F238E27FC236}">
                <a16:creationId xmlns:a16="http://schemas.microsoft.com/office/drawing/2014/main" id="{596EC123-6004-43F9-80BE-DC5E841E3879}"/>
              </a:ext>
            </a:extLst>
          </xdr:cNvPr>
          <xdr:cNvCxnSpPr/>
        </xdr:nvCxnSpPr>
        <xdr:spPr>
          <a:xfrm>
            <a:off x="2590799" y="671036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Straight Arrow Connector 455">
            <a:extLst>
              <a:ext uri="{FF2B5EF4-FFF2-40B4-BE49-F238E27FC236}">
                <a16:creationId xmlns:a16="http://schemas.microsoft.com/office/drawing/2014/main" id="{99FE2BD5-8A45-42CB-9527-2E843838DB8E}"/>
              </a:ext>
            </a:extLst>
          </xdr:cNvPr>
          <xdr:cNvCxnSpPr/>
        </xdr:nvCxnSpPr>
        <xdr:spPr>
          <a:xfrm>
            <a:off x="2752725" y="671036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Straight Arrow Connector 456">
            <a:extLst>
              <a:ext uri="{FF2B5EF4-FFF2-40B4-BE49-F238E27FC236}">
                <a16:creationId xmlns:a16="http://schemas.microsoft.com/office/drawing/2014/main" id="{59562232-E3A7-448D-A886-0A29E42B5286}"/>
              </a:ext>
            </a:extLst>
          </xdr:cNvPr>
          <xdr:cNvCxnSpPr/>
        </xdr:nvCxnSpPr>
        <xdr:spPr>
          <a:xfrm>
            <a:off x="2914650" y="671036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8" name="Straight Arrow Connector 457">
            <a:extLst>
              <a:ext uri="{FF2B5EF4-FFF2-40B4-BE49-F238E27FC236}">
                <a16:creationId xmlns:a16="http://schemas.microsoft.com/office/drawing/2014/main" id="{C59374C8-057F-4802-91B7-7CA866DBBAF8}"/>
              </a:ext>
            </a:extLst>
          </xdr:cNvPr>
          <xdr:cNvCxnSpPr/>
        </xdr:nvCxnSpPr>
        <xdr:spPr>
          <a:xfrm>
            <a:off x="3076576" y="671036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Straight Arrow Connector 458">
            <a:extLst>
              <a:ext uri="{FF2B5EF4-FFF2-40B4-BE49-F238E27FC236}">
                <a16:creationId xmlns:a16="http://schemas.microsoft.com/office/drawing/2014/main" id="{38352D95-83B5-4451-A739-4760256B0D6B}"/>
              </a:ext>
            </a:extLst>
          </xdr:cNvPr>
          <xdr:cNvCxnSpPr/>
        </xdr:nvCxnSpPr>
        <xdr:spPr>
          <a:xfrm>
            <a:off x="3238500" y="671512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Straight Arrow Connector 459">
            <a:extLst>
              <a:ext uri="{FF2B5EF4-FFF2-40B4-BE49-F238E27FC236}">
                <a16:creationId xmlns:a16="http://schemas.microsoft.com/office/drawing/2014/main" id="{09D32BCC-7E59-4386-857A-9C66E0FD63DB}"/>
              </a:ext>
            </a:extLst>
          </xdr:cNvPr>
          <xdr:cNvCxnSpPr/>
        </xdr:nvCxnSpPr>
        <xdr:spPr>
          <a:xfrm>
            <a:off x="3400425" y="671512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Straight Arrow Connector 460">
            <a:extLst>
              <a:ext uri="{FF2B5EF4-FFF2-40B4-BE49-F238E27FC236}">
                <a16:creationId xmlns:a16="http://schemas.microsoft.com/office/drawing/2014/main" id="{A9B33484-9F00-4BE7-8BA3-F8D552D7285F}"/>
              </a:ext>
            </a:extLst>
          </xdr:cNvPr>
          <xdr:cNvCxnSpPr/>
        </xdr:nvCxnSpPr>
        <xdr:spPr>
          <a:xfrm>
            <a:off x="3562351" y="671512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Straight Arrow Connector 461">
            <a:extLst>
              <a:ext uri="{FF2B5EF4-FFF2-40B4-BE49-F238E27FC236}">
                <a16:creationId xmlns:a16="http://schemas.microsoft.com/office/drawing/2014/main" id="{6385A66E-7DCF-4794-A80D-7F0DF2E0E04B}"/>
              </a:ext>
            </a:extLst>
          </xdr:cNvPr>
          <xdr:cNvCxnSpPr/>
        </xdr:nvCxnSpPr>
        <xdr:spPr>
          <a:xfrm>
            <a:off x="3724274" y="671512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Straight Arrow Connector 462">
            <a:extLst>
              <a:ext uri="{FF2B5EF4-FFF2-40B4-BE49-F238E27FC236}">
                <a16:creationId xmlns:a16="http://schemas.microsoft.com/office/drawing/2014/main" id="{7D577BDB-A7B5-4C1D-BE13-BE6665E14E3D}"/>
              </a:ext>
            </a:extLst>
          </xdr:cNvPr>
          <xdr:cNvCxnSpPr/>
        </xdr:nvCxnSpPr>
        <xdr:spPr>
          <a:xfrm>
            <a:off x="3886200" y="671512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Straight Arrow Connector 463">
            <a:extLst>
              <a:ext uri="{FF2B5EF4-FFF2-40B4-BE49-F238E27FC236}">
                <a16:creationId xmlns:a16="http://schemas.microsoft.com/office/drawing/2014/main" id="{CE8F35B9-1E54-421F-8191-EC35D1A0BA6B}"/>
              </a:ext>
            </a:extLst>
          </xdr:cNvPr>
          <xdr:cNvCxnSpPr/>
        </xdr:nvCxnSpPr>
        <xdr:spPr>
          <a:xfrm>
            <a:off x="4048125" y="671512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Straight Arrow Connector 464">
            <a:extLst>
              <a:ext uri="{FF2B5EF4-FFF2-40B4-BE49-F238E27FC236}">
                <a16:creationId xmlns:a16="http://schemas.microsoft.com/office/drawing/2014/main" id="{6EC3FDB7-56FA-4083-8E77-5988DB487C76}"/>
              </a:ext>
            </a:extLst>
          </xdr:cNvPr>
          <xdr:cNvCxnSpPr/>
        </xdr:nvCxnSpPr>
        <xdr:spPr>
          <a:xfrm>
            <a:off x="4210051" y="671512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Straight Arrow Connector 465">
            <a:extLst>
              <a:ext uri="{FF2B5EF4-FFF2-40B4-BE49-F238E27FC236}">
                <a16:creationId xmlns:a16="http://schemas.microsoft.com/office/drawing/2014/main" id="{1E9FF832-C64E-4C49-9B50-238D712ABF4B}"/>
              </a:ext>
            </a:extLst>
          </xdr:cNvPr>
          <xdr:cNvCxnSpPr/>
        </xdr:nvCxnSpPr>
        <xdr:spPr>
          <a:xfrm>
            <a:off x="4371978" y="671512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Straight Arrow Connector 466">
            <a:extLst>
              <a:ext uri="{FF2B5EF4-FFF2-40B4-BE49-F238E27FC236}">
                <a16:creationId xmlns:a16="http://schemas.microsoft.com/office/drawing/2014/main" id="{E8F9CCCB-B73C-4271-BDD6-7B5FD0093BC9}"/>
              </a:ext>
            </a:extLst>
          </xdr:cNvPr>
          <xdr:cNvCxnSpPr/>
        </xdr:nvCxnSpPr>
        <xdr:spPr>
          <a:xfrm>
            <a:off x="4533904" y="671512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9" name="Straight Connector 468">
            <a:extLst>
              <a:ext uri="{FF2B5EF4-FFF2-40B4-BE49-F238E27FC236}">
                <a16:creationId xmlns:a16="http://schemas.microsoft.com/office/drawing/2014/main" id="{B3838F45-E7BE-BF4D-1A12-75AFFFEA2509}"/>
              </a:ext>
            </a:extLst>
          </xdr:cNvPr>
          <xdr:cNvCxnSpPr/>
        </xdr:nvCxnSpPr>
        <xdr:spPr>
          <a:xfrm>
            <a:off x="647700" y="6710361"/>
            <a:ext cx="38909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95246</xdr:colOff>
      <xdr:row>245</xdr:row>
      <xdr:rowOff>33338</xdr:rowOff>
    </xdr:from>
    <xdr:to>
      <xdr:col>28</xdr:col>
      <xdr:colOff>71438</xdr:colOff>
      <xdr:row>257</xdr:row>
      <xdr:rowOff>61913</xdr:rowOff>
    </xdr:to>
    <xdr:grpSp>
      <xdr:nvGrpSpPr>
        <xdr:cNvPr id="380" name="Group 379">
          <a:extLst>
            <a:ext uri="{FF2B5EF4-FFF2-40B4-BE49-F238E27FC236}">
              <a16:creationId xmlns:a16="http://schemas.microsoft.com/office/drawing/2014/main" id="{E6B3627E-AB99-27EE-E527-D3E81D6A5501}"/>
            </a:ext>
          </a:extLst>
        </xdr:cNvPr>
        <xdr:cNvGrpSpPr/>
      </xdr:nvGrpSpPr>
      <xdr:grpSpPr>
        <a:xfrm>
          <a:off x="581021" y="35733038"/>
          <a:ext cx="4024317" cy="1743075"/>
          <a:chOff x="581021" y="14263688"/>
          <a:chExt cx="4024317" cy="1743075"/>
        </a:xfrm>
      </xdr:grpSpPr>
      <xdr:cxnSp macro="">
        <xdr:nvCxnSpPr>
          <xdr:cNvPr id="472" name="Straight Connector 471">
            <a:extLst>
              <a:ext uri="{FF2B5EF4-FFF2-40B4-BE49-F238E27FC236}">
                <a16:creationId xmlns:a16="http://schemas.microsoft.com/office/drawing/2014/main" id="{748B127D-7B2E-E261-1724-C50E33E69C69}"/>
              </a:ext>
            </a:extLst>
          </xdr:cNvPr>
          <xdr:cNvCxnSpPr/>
        </xdr:nvCxnSpPr>
        <xdr:spPr>
          <a:xfrm>
            <a:off x="647700" y="15444788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Straight Connector 472">
            <a:extLst>
              <a:ext uri="{FF2B5EF4-FFF2-40B4-BE49-F238E27FC236}">
                <a16:creationId xmlns:a16="http://schemas.microsoft.com/office/drawing/2014/main" id="{215BA3E0-6DF5-7727-D1DF-BEDF4AB178E4}"/>
              </a:ext>
            </a:extLst>
          </xdr:cNvPr>
          <xdr:cNvCxnSpPr/>
        </xdr:nvCxnSpPr>
        <xdr:spPr>
          <a:xfrm>
            <a:off x="581025" y="15659102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Straight Connector 473">
            <a:extLst>
              <a:ext uri="{FF2B5EF4-FFF2-40B4-BE49-F238E27FC236}">
                <a16:creationId xmlns:a16="http://schemas.microsoft.com/office/drawing/2014/main" id="{2ACDFBEC-E3FA-3878-7319-879B13757729}"/>
              </a:ext>
            </a:extLst>
          </xdr:cNvPr>
          <xdr:cNvCxnSpPr/>
        </xdr:nvCxnSpPr>
        <xdr:spPr>
          <a:xfrm flipH="1">
            <a:off x="609601" y="156257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Straight Connector 474">
            <a:extLst>
              <a:ext uri="{FF2B5EF4-FFF2-40B4-BE49-F238E27FC236}">
                <a16:creationId xmlns:a16="http://schemas.microsoft.com/office/drawing/2014/main" id="{1E189CA4-3F9F-5A1B-B24D-57A1DF728183}"/>
              </a:ext>
            </a:extLst>
          </xdr:cNvPr>
          <xdr:cNvCxnSpPr/>
        </xdr:nvCxnSpPr>
        <xdr:spPr>
          <a:xfrm>
            <a:off x="581021" y="15944854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Straight Connector 475">
            <a:extLst>
              <a:ext uri="{FF2B5EF4-FFF2-40B4-BE49-F238E27FC236}">
                <a16:creationId xmlns:a16="http://schemas.microsoft.com/office/drawing/2014/main" id="{8CE9E6F6-2CE1-E625-CBC9-55C05C6E30A8}"/>
              </a:ext>
            </a:extLst>
          </xdr:cNvPr>
          <xdr:cNvCxnSpPr/>
        </xdr:nvCxnSpPr>
        <xdr:spPr>
          <a:xfrm flipH="1">
            <a:off x="609597" y="1591151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7" name="Straight Connector 476">
            <a:extLst>
              <a:ext uri="{FF2B5EF4-FFF2-40B4-BE49-F238E27FC236}">
                <a16:creationId xmlns:a16="http://schemas.microsoft.com/office/drawing/2014/main" id="{1A98B66F-0662-41B5-1CB2-57F8A6779690}"/>
              </a:ext>
            </a:extLst>
          </xdr:cNvPr>
          <xdr:cNvCxnSpPr/>
        </xdr:nvCxnSpPr>
        <xdr:spPr>
          <a:xfrm>
            <a:off x="4533900" y="15444788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Straight Connector 477">
            <a:extLst>
              <a:ext uri="{FF2B5EF4-FFF2-40B4-BE49-F238E27FC236}">
                <a16:creationId xmlns:a16="http://schemas.microsoft.com/office/drawing/2014/main" id="{AF652BFD-66CE-0366-8194-D12A7E4FB6A2}"/>
              </a:ext>
            </a:extLst>
          </xdr:cNvPr>
          <xdr:cNvCxnSpPr/>
        </xdr:nvCxnSpPr>
        <xdr:spPr>
          <a:xfrm flipH="1">
            <a:off x="4495800" y="1562576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9" name="Straight Connector 478">
            <a:extLst>
              <a:ext uri="{FF2B5EF4-FFF2-40B4-BE49-F238E27FC236}">
                <a16:creationId xmlns:a16="http://schemas.microsoft.com/office/drawing/2014/main" id="{001FC924-DACC-6921-F7D1-04D6C8A6E5B5}"/>
              </a:ext>
            </a:extLst>
          </xdr:cNvPr>
          <xdr:cNvCxnSpPr/>
        </xdr:nvCxnSpPr>
        <xdr:spPr>
          <a:xfrm flipH="1">
            <a:off x="4495797" y="1591151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Straight Connector 479">
            <a:extLst>
              <a:ext uri="{FF2B5EF4-FFF2-40B4-BE49-F238E27FC236}">
                <a16:creationId xmlns:a16="http://schemas.microsoft.com/office/drawing/2014/main" id="{1DA46281-96D4-03D4-D8D6-4A257F638743}"/>
              </a:ext>
            </a:extLst>
          </xdr:cNvPr>
          <xdr:cNvCxnSpPr/>
        </xdr:nvCxnSpPr>
        <xdr:spPr>
          <a:xfrm>
            <a:off x="1457330" y="15159039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1" name="Straight Connector 480">
            <a:extLst>
              <a:ext uri="{FF2B5EF4-FFF2-40B4-BE49-F238E27FC236}">
                <a16:creationId xmlns:a16="http://schemas.microsoft.com/office/drawing/2014/main" id="{2F68763A-473E-5D58-201B-7CBA3B92807E}"/>
              </a:ext>
            </a:extLst>
          </xdr:cNvPr>
          <xdr:cNvCxnSpPr/>
        </xdr:nvCxnSpPr>
        <xdr:spPr>
          <a:xfrm flipH="1">
            <a:off x="1419227" y="15625766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2" name="Straight Connector 481">
            <a:extLst>
              <a:ext uri="{FF2B5EF4-FFF2-40B4-BE49-F238E27FC236}">
                <a16:creationId xmlns:a16="http://schemas.microsoft.com/office/drawing/2014/main" id="{6C114541-5B39-286D-2B4B-36F4480C09DB}"/>
              </a:ext>
            </a:extLst>
          </xdr:cNvPr>
          <xdr:cNvCxnSpPr/>
        </xdr:nvCxnSpPr>
        <xdr:spPr>
          <a:xfrm>
            <a:off x="3724262" y="15159040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3" name="Straight Connector 482">
            <a:extLst>
              <a:ext uri="{FF2B5EF4-FFF2-40B4-BE49-F238E27FC236}">
                <a16:creationId xmlns:a16="http://schemas.microsoft.com/office/drawing/2014/main" id="{9B7C52F9-E9DF-20A3-CC6A-AFD3AD7909B3}"/>
              </a:ext>
            </a:extLst>
          </xdr:cNvPr>
          <xdr:cNvCxnSpPr/>
        </xdr:nvCxnSpPr>
        <xdr:spPr>
          <a:xfrm flipH="1">
            <a:off x="3686159" y="15625767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4" name="Freeform: Shape 483">
            <a:extLst>
              <a:ext uri="{FF2B5EF4-FFF2-40B4-BE49-F238E27FC236}">
                <a16:creationId xmlns:a16="http://schemas.microsoft.com/office/drawing/2014/main" id="{373B146F-76AE-6EDD-CCDD-0075028D4EDF}"/>
              </a:ext>
            </a:extLst>
          </xdr:cNvPr>
          <xdr:cNvSpPr/>
        </xdr:nvSpPr>
        <xdr:spPr>
          <a:xfrm>
            <a:off x="647701" y="14658976"/>
            <a:ext cx="3881438" cy="714375"/>
          </a:xfrm>
          <a:custGeom>
            <a:avLst/>
            <a:gdLst>
              <a:gd name="connsiteX0" fmla="*/ 800100 w 3881438"/>
              <a:gd name="connsiteY0" fmla="*/ 423862 h 714375"/>
              <a:gd name="connsiteX1" fmla="*/ 3067050 w 3881438"/>
              <a:gd name="connsiteY1" fmla="*/ 423862 h 714375"/>
              <a:gd name="connsiteX2" fmla="*/ 3881438 w 3881438"/>
              <a:gd name="connsiteY2" fmla="*/ 709612 h 714375"/>
              <a:gd name="connsiteX3" fmla="*/ 3881438 w 3881438"/>
              <a:gd name="connsiteY3" fmla="*/ 0 h 714375"/>
              <a:gd name="connsiteX4" fmla="*/ 0 w 3881438"/>
              <a:gd name="connsiteY4" fmla="*/ 0 h 714375"/>
              <a:gd name="connsiteX5" fmla="*/ 0 w 3881438"/>
              <a:gd name="connsiteY5" fmla="*/ 714375 h 714375"/>
              <a:gd name="connsiteX6" fmla="*/ 800100 w 3881438"/>
              <a:gd name="connsiteY6" fmla="*/ 423862 h 714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3881438" h="714375">
                <a:moveTo>
                  <a:pt x="800100" y="423862"/>
                </a:moveTo>
                <a:lnTo>
                  <a:pt x="3067050" y="423862"/>
                </a:lnTo>
                <a:lnTo>
                  <a:pt x="3881438" y="709612"/>
                </a:lnTo>
                <a:lnTo>
                  <a:pt x="3881438" y="0"/>
                </a:lnTo>
                <a:lnTo>
                  <a:pt x="0" y="0"/>
                </a:lnTo>
                <a:lnTo>
                  <a:pt x="0" y="714375"/>
                </a:lnTo>
                <a:lnTo>
                  <a:pt x="800100" y="423862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486" name="Straight Arrow Connector 485">
            <a:extLst>
              <a:ext uri="{FF2B5EF4-FFF2-40B4-BE49-F238E27FC236}">
                <a16:creationId xmlns:a16="http://schemas.microsoft.com/office/drawing/2014/main" id="{46E9F3D6-9399-4673-B2D7-4B097D13D482}"/>
              </a:ext>
            </a:extLst>
          </xdr:cNvPr>
          <xdr:cNvCxnSpPr/>
        </xdr:nvCxnSpPr>
        <xdr:spPr>
          <a:xfrm>
            <a:off x="2590802" y="14263688"/>
            <a:ext cx="0" cy="385764"/>
          </a:xfrm>
          <a:prstGeom prst="straightConnector1">
            <a:avLst/>
          </a:prstGeom>
          <a:ln w="127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" name="Straight Connector 512">
            <a:extLst>
              <a:ext uri="{FF2B5EF4-FFF2-40B4-BE49-F238E27FC236}">
                <a16:creationId xmlns:a16="http://schemas.microsoft.com/office/drawing/2014/main" id="{72792306-AEB4-E051-389D-935B0F95490F}"/>
              </a:ext>
            </a:extLst>
          </xdr:cNvPr>
          <xdr:cNvCxnSpPr/>
        </xdr:nvCxnSpPr>
        <xdr:spPr>
          <a:xfrm>
            <a:off x="647700" y="14297025"/>
            <a:ext cx="0" cy="3190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6" name="Straight Connector 515">
            <a:extLst>
              <a:ext uri="{FF2B5EF4-FFF2-40B4-BE49-F238E27FC236}">
                <a16:creationId xmlns:a16="http://schemas.microsoft.com/office/drawing/2014/main" id="{A3B9A2E0-24B1-1E35-B0CE-D27225E2AD17}"/>
              </a:ext>
            </a:extLst>
          </xdr:cNvPr>
          <xdr:cNvCxnSpPr/>
        </xdr:nvCxnSpPr>
        <xdr:spPr>
          <a:xfrm>
            <a:off x="581028" y="14373226"/>
            <a:ext cx="20669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8" name="Straight Connector 517">
            <a:extLst>
              <a:ext uri="{FF2B5EF4-FFF2-40B4-BE49-F238E27FC236}">
                <a16:creationId xmlns:a16="http://schemas.microsoft.com/office/drawing/2014/main" id="{599F96A2-0671-523B-79FA-8C1CF9CC638D}"/>
              </a:ext>
            </a:extLst>
          </xdr:cNvPr>
          <xdr:cNvCxnSpPr/>
        </xdr:nvCxnSpPr>
        <xdr:spPr>
          <a:xfrm flipH="1">
            <a:off x="604837" y="1433512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9" name="Straight Connector 518">
            <a:extLst>
              <a:ext uri="{FF2B5EF4-FFF2-40B4-BE49-F238E27FC236}">
                <a16:creationId xmlns:a16="http://schemas.microsoft.com/office/drawing/2014/main" id="{BA023086-D6DD-461C-90E7-6351010B4369}"/>
              </a:ext>
            </a:extLst>
          </xdr:cNvPr>
          <xdr:cNvCxnSpPr/>
        </xdr:nvCxnSpPr>
        <xdr:spPr>
          <a:xfrm flipH="1">
            <a:off x="2547936" y="14335125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95246</xdr:colOff>
      <xdr:row>262</xdr:row>
      <xdr:rowOff>71436</xdr:rowOff>
    </xdr:from>
    <xdr:to>
      <xdr:col>28</xdr:col>
      <xdr:colOff>71438</xdr:colOff>
      <xdr:row>273</xdr:row>
      <xdr:rowOff>61913</xdr:rowOff>
    </xdr:to>
    <xdr:grpSp>
      <xdr:nvGrpSpPr>
        <xdr:cNvPr id="583" name="Group 582">
          <a:extLst>
            <a:ext uri="{FF2B5EF4-FFF2-40B4-BE49-F238E27FC236}">
              <a16:creationId xmlns:a16="http://schemas.microsoft.com/office/drawing/2014/main" id="{8E498718-F732-5DD1-180C-5AA7C9C5B5F9}"/>
            </a:ext>
          </a:extLst>
        </xdr:cNvPr>
        <xdr:cNvGrpSpPr/>
      </xdr:nvGrpSpPr>
      <xdr:grpSpPr>
        <a:xfrm>
          <a:off x="581021" y="38704836"/>
          <a:ext cx="4024317" cy="1562102"/>
          <a:chOff x="581021" y="24445911"/>
          <a:chExt cx="4024317" cy="1562102"/>
        </a:xfrm>
      </xdr:grpSpPr>
      <xdr:cxnSp macro="">
        <xdr:nvCxnSpPr>
          <xdr:cNvPr id="522" name="Straight Connector 521">
            <a:extLst>
              <a:ext uri="{FF2B5EF4-FFF2-40B4-BE49-F238E27FC236}">
                <a16:creationId xmlns:a16="http://schemas.microsoft.com/office/drawing/2014/main" id="{BF7E773F-BEFB-62D6-2B97-504E57184BD6}"/>
              </a:ext>
            </a:extLst>
          </xdr:cNvPr>
          <xdr:cNvCxnSpPr/>
        </xdr:nvCxnSpPr>
        <xdr:spPr>
          <a:xfrm>
            <a:off x="647700" y="25446038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Straight Connector 522">
            <a:extLst>
              <a:ext uri="{FF2B5EF4-FFF2-40B4-BE49-F238E27FC236}">
                <a16:creationId xmlns:a16="http://schemas.microsoft.com/office/drawing/2014/main" id="{4D5D1A55-7E5C-C4E5-89F4-E98F087406CA}"/>
              </a:ext>
            </a:extLst>
          </xdr:cNvPr>
          <xdr:cNvCxnSpPr/>
        </xdr:nvCxnSpPr>
        <xdr:spPr>
          <a:xfrm>
            <a:off x="581025" y="25660352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4" name="Straight Connector 523">
            <a:extLst>
              <a:ext uri="{FF2B5EF4-FFF2-40B4-BE49-F238E27FC236}">
                <a16:creationId xmlns:a16="http://schemas.microsoft.com/office/drawing/2014/main" id="{AC46399F-8FD3-A39F-F329-A5904DBF5C3B}"/>
              </a:ext>
            </a:extLst>
          </xdr:cNvPr>
          <xdr:cNvCxnSpPr/>
        </xdr:nvCxnSpPr>
        <xdr:spPr>
          <a:xfrm flipH="1">
            <a:off x="609601" y="2562701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Straight Connector 524">
            <a:extLst>
              <a:ext uri="{FF2B5EF4-FFF2-40B4-BE49-F238E27FC236}">
                <a16:creationId xmlns:a16="http://schemas.microsoft.com/office/drawing/2014/main" id="{0D7B7AB7-9AC8-EE80-CEF7-21E67F7C72EA}"/>
              </a:ext>
            </a:extLst>
          </xdr:cNvPr>
          <xdr:cNvCxnSpPr/>
        </xdr:nvCxnSpPr>
        <xdr:spPr>
          <a:xfrm>
            <a:off x="581021" y="25946104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6" name="Straight Connector 525">
            <a:extLst>
              <a:ext uri="{FF2B5EF4-FFF2-40B4-BE49-F238E27FC236}">
                <a16:creationId xmlns:a16="http://schemas.microsoft.com/office/drawing/2014/main" id="{AEEA7136-724A-AD25-E533-741F9A82C82A}"/>
              </a:ext>
            </a:extLst>
          </xdr:cNvPr>
          <xdr:cNvCxnSpPr/>
        </xdr:nvCxnSpPr>
        <xdr:spPr>
          <a:xfrm flipH="1">
            <a:off x="609597" y="2591276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7" name="Straight Connector 526">
            <a:extLst>
              <a:ext uri="{FF2B5EF4-FFF2-40B4-BE49-F238E27FC236}">
                <a16:creationId xmlns:a16="http://schemas.microsoft.com/office/drawing/2014/main" id="{E2724D9F-7054-9DE2-8CAD-2E527CDFC19E}"/>
              </a:ext>
            </a:extLst>
          </xdr:cNvPr>
          <xdr:cNvCxnSpPr/>
        </xdr:nvCxnSpPr>
        <xdr:spPr>
          <a:xfrm>
            <a:off x="4533900" y="25203150"/>
            <a:ext cx="0" cy="8048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8" name="Straight Connector 527">
            <a:extLst>
              <a:ext uri="{FF2B5EF4-FFF2-40B4-BE49-F238E27FC236}">
                <a16:creationId xmlns:a16="http://schemas.microsoft.com/office/drawing/2014/main" id="{42C2B991-551C-C1A0-0D69-F25269D4E90F}"/>
              </a:ext>
            </a:extLst>
          </xdr:cNvPr>
          <xdr:cNvCxnSpPr/>
        </xdr:nvCxnSpPr>
        <xdr:spPr>
          <a:xfrm flipH="1">
            <a:off x="4495800" y="25627013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Straight Connector 528">
            <a:extLst>
              <a:ext uri="{FF2B5EF4-FFF2-40B4-BE49-F238E27FC236}">
                <a16:creationId xmlns:a16="http://schemas.microsoft.com/office/drawing/2014/main" id="{BBBC19EB-998F-9A88-52ED-4E5E6ECBA23A}"/>
              </a:ext>
            </a:extLst>
          </xdr:cNvPr>
          <xdr:cNvCxnSpPr/>
        </xdr:nvCxnSpPr>
        <xdr:spPr>
          <a:xfrm flipH="1">
            <a:off x="4495797" y="2591276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Straight Connector 529">
            <a:extLst>
              <a:ext uri="{FF2B5EF4-FFF2-40B4-BE49-F238E27FC236}">
                <a16:creationId xmlns:a16="http://schemas.microsoft.com/office/drawing/2014/main" id="{9EF78201-9BFC-CA56-A2CF-D452EE0D59BA}"/>
              </a:ext>
            </a:extLst>
          </xdr:cNvPr>
          <xdr:cNvCxnSpPr/>
        </xdr:nvCxnSpPr>
        <xdr:spPr>
          <a:xfrm>
            <a:off x="1457330" y="25160289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1" name="Straight Connector 530">
            <a:extLst>
              <a:ext uri="{FF2B5EF4-FFF2-40B4-BE49-F238E27FC236}">
                <a16:creationId xmlns:a16="http://schemas.microsoft.com/office/drawing/2014/main" id="{6F9694E5-08DD-A48D-20EA-402411BA3910}"/>
              </a:ext>
            </a:extLst>
          </xdr:cNvPr>
          <xdr:cNvCxnSpPr/>
        </xdr:nvCxnSpPr>
        <xdr:spPr>
          <a:xfrm flipH="1">
            <a:off x="1419227" y="25627016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Straight Arrow Connector 534">
            <a:extLst>
              <a:ext uri="{FF2B5EF4-FFF2-40B4-BE49-F238E27FC236}">
                <a16:creationId xmlns:a16="http://schemas.microsoft.com/office/drawing/2014/main" id="{8EAF1D15-142B-41E0-A2B4-803B6CD6AAA3}"/>
              </a:ext>
            </a:extLst>
          </xdr:cNvPr>
          <xdr:cNvCxnSpPr/>
        </xdr:nvCxnSpPr>
        <xdr:spPr>
          <a:xfrm>
            <a:off x="647701" y="2445067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Straight Arrow Connector 535">
            <a:extLst>
              <a:ext uri="{FF2B5EF4-FFF2-40B4-BE49-F238E27FC236}">
                <a16:creationId xmlns:a16="http://schemas.microsoft.com/office/drawing/2014/main" id="{2C509F62-A99C-4F21-833B-06EB69ACBDFB}"/>
              </a:ext>
            </a:extLst>
          </xdr:cNvPr>
          <xdr:cNvCxnSpPr/>
        </xdr:nvCxnSpPr>
        <xdr:spPr>
          <a:xfrm>
            <a:off x="809627" y="24445913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Straight Arrow Connector 536">
            <a:extLst>
              <a:ext uri="{FF2B5EF4-FFF2-40B4-BE49-F238E27FC236}">
                <a16:creationId xmlns:a16="http://schemas.microsoft.com/office/drawing/2014/main" id="{D40A6785-60B1-4F99-8A07-05006DAA97A5}"/>
              </a:ext>
            </a:extLst>
          </xdr:cNvPr>
          <xdr:cNvCxnSpPr/>
        </xdr:nvCxnSpPr>
        <xdr:spPr>
          <a:xfrm>
            <a:off x="971552" y="2445067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8" name="Straight Arrow Connector 537">
            <a:extLst>
              <a:ext uri="{FF2B5EF4-FFF2-40B4-BE49-F238E27FC236}">
                <a16:creationId xmlns:a16="http://schemas.microsoft.com/office/drawing/2014/main" id="{FD375E12-9965-4DFC-9FA9-C4BD9E8D78E2}"/>
              </a:ext>
            </a:extLst>
          </xdr:cNvPr>
          <xdr:cNvCxnSpPr/>
        </xdr:nvCxnSpPr>
        <xdr:spPr>
          <a:xfrm>
            <a:off x="1133478" y="2445067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Straight Arrow Connector 538">
            <a:extLst>
              <a:ext uri="{FF2B5EF4-FFF2-40B4-BE49-F238E27FC236}">
                <a16:creationId xmlns:a16="http://schemas.microsoft.com/office/drawing/2014/main" id="{2FE40DDE-E5E1-4991-89D5-3B744B9A0CAB}"/>
              </a:ext>
            </a:extLst>
          </xdr:cNvPr>
          <xdr:cNvCxnSpPr/>
        </xdr:nvCxnSpPr>
        <xdr:spPr>
          <a:xfrm>
            <a:off x="1295401" y="2444591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Straight Arrow Connector 539">
            <a:extLst>
              <a:ext uri="{FF2B5EF4-FFF2-40B4-BE49-F238E27FC236}">
                <a16:creationId xmlns:a16="http://schemas.microsoft.com/office/drawing/2014/main" id="{D46DF100-704A-4F10-A8A2-91A2F3A7293D}"/>
              </a:ext>
            </a:extLst>
          </xdr:cNvPr>
          <xdr:cNvCxnSpPr/>
        </xdr:nvCxnSpPr>
        <xdr:spPr>
          <a:xfrm>
            <a:off x="1457327" y="2444591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Straight Arrow Connector 540">
            <a:extLst>
              <a:ext uri="{FF2B5EF4-FFF2-40B4-BE49-F238E27FC236}">
                <a16:creationId xmlns:a16="http://schemas.microsoft.com/office/drawing/2014/main" id="{14A22A70-FB5B-47EB-B355-FFCF9DEA993E}"/>
              </a:ext>
            </a:extLst>
          </xdr:cNvPr>
          <xdr:cNvCxnSpPr/>
        </xdr:nvCxnSpPr>
        <xdr:spPr>
          <a:xfrm>
            <a:off x="1619252" y="2444591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2" name="Straight Arrow Connector 541">
            <a:extLst>
              <a:ext uri="{FF2B5EF4-FFF2-40B4-BE49-F238E27FC236}">
                <a16:creationId xmlns:a16="http://schemas.microsoft.com/office/drawing/2014/main" id="{38995FEB-4BD4-4997-91CD-7D0A603240A0}"/>
              </a:ext>
            </a:extLst>
          </xdr:cNvPr>
          <xdr:cNvCxnSpPr/>
        </xdr:nvCxnSpPr>
        <xdr:spPr>
          <a:xfrm>
            <a:off x="1781178" y="2444591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3" name="Straight Arrow Connector 542">
            <a:extLst>
              <a:ext uri="{FF2B5EF4-FFF2-40B4-BE49-F238E27FC236}">
                <a16:creationId xmlns:a16="http://schemas.microsoft.com/office/drawing/2014/main" id="{40104BDF-8DBF-42C6-98B1-9E0593146C88}"/>
              </a:ext>
            </a:extLst>
          </xdr:cNvPr>
          <xdr:cNvCxnSpPr/>
        </xdr:nvCxnSpPr>
        <xdr:spPr>
          <a:xfrm>
            <a:off x="1943099" y="2445067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Straight Arrow Connector 543">
            <a:extLst>
              <a:ext uri="{FF2B5EF4-FFF2-40B4-BE49-F238E27FC236}">
                <a16:creationId xmlns:a16="http://schemas.microsoft.com/office/drawing/2014/main" id="{C8C71DF2-FDCB-4555-9AF6-B8A030E3FDA4}"/>
              </a:ext>
            </a:extLst>
          </xdr:cNvPr>
          <xdr:cNvCxnSpPr/>
        </xdr:nvCxnSpPr>
        <xdr:spPr>
          <a:xfrm>
            <a:off x="2105025" y="24445914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5" name="Straight Arrow Connector 544">
            <a:extLst>
              <a:ext uri="{FF2B5EF4-FFF2-40B4-BE49-F238E27FC236}">
                <a16:creationId xmlns:a16="http://schemas.microsoft.com/office/drawing/2014/main" id="{5399DD67-BE07-4F9B-B948-A36945693D34}"/>
              </a:ext>
            </a:extLst>
          </xdr:cNvPr>
          <xdr:cNvCxnSpPr/>
        </xdr:nvCxnSpPr>
        <xdr:spPr>
          <a:xfrm>
            <a:off x="2266950" y="2445067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6" name="Straight Arrow Connector 545">
            <a:extLst>
              <a:ext uri="{FF2B5EF4-FFF2-40B4-BE49-F238E27FC236}">
                <a16:creationId xmlns:a16="http://schemas.microsoft.com/office/drawing/2014/main" id="{53192419-DE47-400A-AFCC-8BA0511441A6}"/>
              </a:ext>
            </a:extLst>
          </xdr:cNvPr>
          <xdr:cNvCxnSpPr/>
        </xdr:nvCxnSpPr>
        <xdr:spPr>
          <a:xfrm>
            <a:off x="2428876" y="2445067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7" name="Straight Arrow Connector 546">
            <a:extLst>
              <a:ext uri="{FF2B5EF4-FFF2-40B4-BE49-F238E27FC236}">
                <a16:creationId xmlns:a16="http://schemas.microsoft.com/office/drawing/2014/main" id="{090BD7B7-4E28-4A96-81DF-2AA79C1A31C3}"/>
              </a:ext>
            </a:extLst>
          </xdr:cNvPr>
          <xdr:cNvCxnSpPr/>
        </xdr:nvCxnSpPr>
        <xdr:spPr>
          <a:xfrm>
            <a:off x="2590799" y="2444591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8" name="Straight Arrow Connector 547">
            <a:extLst>
              <a:ext uri="{FF2B5EF4-FFF2-40B4-BE49-F238E27FC236}">
                <a16:creationId xmlns:a16="http://schemas.microsoft.com/office/drawing/2014/main" id="{AF50392E-2337-417B-BBF5-E737BF442231}"/>
              </a:ext>
            </a:extLst>
          </xdr:cNvPr>
          <xdr:cNvCxnSpPr/>
        </xdr:nvCxnSpPr>
        <xdr:spPr>
          <a:xfrm>
            <a:off x="2752725" y="2444591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9" name="Straight Arrow Connector 548">
            <a:extLst>
              <a:ext uri="{FF2B5EF4-FFF2-40B4-BE49-F238E27FC236}">
                <a16:creationId xmlns:a16="http://schemas.microsoft.com/office/drawing/2014/main" id="{42D4D8D3-0044-41EF-BB42-CC349EDC3F94}"/>
              </a:ext>
            </a:extLst>
          </xdr:cNvPr>
          <xdr:cNvCxnSpPr/>
        </xdr:nvCxnSpPr>
        <xdr:spPr>
          <a:xfrm>
            <a:off x="2914650" y="2444591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0" name="Straight Arrow Connector 549">
            <a:extLst>
              <a:ext uri="{FF2B5EF4-FFF2-40B4-BE49-F238E27FC236}">
                <a16:creationId xmlns:a16="http://schemas.microsoft.com/office/drawing/2014/main" id="{72F66696-10E9-4D1D-A0AA-8EE15BA3CA7E}"/>
              </a:ext>
            </a:extLst>
          </xdr:cNvPr>
          <xdr:cNvCxnSpPr/>
        </xdr:nvCxnSpPr>
        <xdr:spPr>
          <a:xfrm>
            <a:off x="3076576" y="2444591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" name="Straight Arrow Connector 550">
            <a:extLst>
              <a:ext uri="{FF2B5EF4-FFF2-40B4-BE49-F238E27FC236}">
                <a16:creationId xmlns:a16="http://schemas.microsoft.com/office/drawing/2014/main" id="{CFE2F6B3-3192-4A7D-AE5F-4D323BB05FC3}"/>
              </a:ext>
            </a:extLst>
          </xdr:cNvPr>
          <xdr:cNvCxnSpPr/>
        </xdr:nvCxnSpPr>
        <xdr:spPr>
          <a:xfrm>
            <a:off x="3238500" y="2445067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2" name="Straight Arrow Connector 551">
            <a:extLst>
              <a:ext uri="{FF2B5EF4-FFF2-40B4-BE49-F238E27FC236}">
                <a16:creationId xmlns:a16="http://schemas.microsoft.com/office/drawing/2014/main" id="{8651C7EB-970B-4DF6-8005-8B62CDFE2865}"/>
              </a:ext>
            </a:extLst>
          </xdr:cNvPr>
          <xdr:cNvCxnSpPr/>
        </xdr:nvCxnSpPr>
        <xdr:spPr>
          <a:xfrm>
            <a:off x="3400425" y="2445067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3" name="Straight Arrow Connector 552">
            <a:extLst>
              <a:ext uri="{FF2B5EF4-FFF2-40B4-BE49-F238E27FC236}">
                <a16:creationId xmlns:a16="http://schemas.microsoft.com/office/drawing/2014/main" id="{3540A49C-DDA7-4154-AAA5-F50ACC5D4231}"/>
              </a:ext>
            </a:extLst>
          </xdr:cNvPr>
          <xdr:cNvCxnSpPr/>
        </xdr:nvCxnSpPr>
        <xdr:spPr>
          <a:xfrm>
            <a:off x="3562351" y="2445067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Straight Arrow Connector 553">
            <a:extLst>
              <a:ext uri="{FF2B5EF4-FFF2-40B4-BE49-F238E27FC236}">
                <a16:creationId xmlns:a16="http://schemas.microsoft.com/office/drawing/2014/main" id="{6D201EA0-46E1-4D68-BF03-6971711F3F27}"/>
              </a:ext>
            </a:extLst>
          </xdr:cNvPr>
          <xdr:cNvCxnSpPr/>
        </xdr:nvCxnSpPr>
        <xdr:spPr>
          <a:xfrm>
            <a:off x="3724274" y="2445067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5" name="Straight Arrow Connector 554">
            <a:extLst>
              <a:ext uri="{FF2B5EF4-FFF2-40B4-BE49-F238E27FC236}">
                <a16:creationId xmlns:a16="http://schemas.microsoft.com/office/drawing/2014/main" id="{5033CCCD-91E2-42FF-AEFD-7FD7EC9F0833}"/>
              </a:ext>
            </a:extLst>
          </xdr:cNvPr>
          <xdr:cNvCxnSpPr/>
        </xdr:nvCxnSpPr>
        <xdr:spPr>
          <a:xfrm>
            <a:off x="3886200" y="2445067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6" name="Straight Arrow Connector 555">
            <a:extLst>
              <a:ext uri="{FF2B5EF4-FFF2-40B4-BE49-F238E27FC236}">
                <a16:creationId xmlns:a16="http://schemas.microsoft.com/office/drawing/2014/main" id="{2365145E-9B45-4FF9-A11E-2537B5D2564D}"/>
              </a:ext>
            </a:extLst>
          </xdr:cNvPr>
          <xdr:cNvCxnSpPr/>
        </xdr:nvCxnSpPr>
        <xdr:spPr>
          <a:xfrm>
            <a:off x="4048125" y="2445067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7" name="Straight Arrow Connector 556">
            <a:extLst>
              <a:ext uri="{FF2B5EF4-FFF2-40B4-BE49-F238E27FC236}">
                <a16:creationId xmlns:a16="http://schemas.microsoft.com/office/drawing/2014/main" id="{2B41054F-DEAA-43DA-ABC1-462AF146F302}"/>
              </a:ext>
            </a:extLst>
          </xdr:cNvPr>
          <xdr:cNvCxnSpPr/>
        </xdr:nvCxnSpPr>
        <xdr:spPr>
          <a:xfrm>
            <a:off x="4210051" y="2445067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8" name="Straight Arrow Connector 557">
            <a:extLst>
              <a:ext uri="{FF2B5EF4-FFF2-40B4-BE49-F238E27FC236}">
                <a16:creationId xmlns:a16="http://schemas.microsoft.com/office/drawing/2014/main" id="{D96DC8C0-DA6D-4AE9-8C45-DCBD33D48BBF}"/>
              </a:ext>
            </a:extLst>
          </xdr:cNvPr>
          <xdr:cNvCxnSpPr/>
        </xdr:nvCxnSpPr>
        <xdr:spPr>
          <a:xfrm>
            <a:off x="4371978" y="2445067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9" name="Straight Arrow Connector 558">
            <a:extLst>
              <a:ext uri="{FF2B5EF4-FFF2-40B4-BE49-F238E27FC236}">
                <a16:creationId xmlns:a16="http://schemas.microsoft.com/office/drawing/2014/main" id="{918BBE3B-AC55-4FEB-B014-1F870D9386A6}"/>
              </a:ext>
            </a:extLst>
          </xdr:cNvPr>
          <xdr:cNvCxnSpPr/>
        </xdr:nvCxnSpPr>
        <xdr:spPr>
          <a:xfrm>
            <a:off x="4533904" y="2445067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0" name="Straight Connector 559">
            <a:extLst>
              <a:ext uri="{FF2B5EF4-FFF2-40B4-BE49-F238E27FC236}">
                <a16:creationId xmlns:a16="http://schemas.microsoft.com/office/drawing/2014/main" id="{E8A0401A-1875-4F53-9720-F94D5AB126DE}"/>
              </a:ext>
            </a:extLst>
          </xdr:cNvPr>
          <xdr:cNvCxnSpPr/>
        </xdr:nvCxnSpPr>
        <xdr:spPr>
          <a:xfrm>
            <a:off x="647700" y="24445911"/>
            <a:ext cx="38909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1" name="Freeform: Shape 560">
            <a:extLst>
              <a:ext uri="{FF2B5EF4-FFF2-40B4-BE49-F238E27FC236}">
                <a16:creationId xmlns:a16="http://schemas.microsoft.com/office/drawing/2014/main" id="{0CF00030-F4D6-458B-92B1-5B8B54AFD07F}"/>
              </a:ext>
            </a:extLst>
          </xdr:cNvPr>
          <xdr:cNvSpPr/>
        </xdr:nvSpPr>
        <xdr:spPr>
          <a:xfrm>
            <a:off x="657225" y="24660225"/>
            <a:ext cx="3881437" cy="709613"/>
          </a:xfrm>
          <a:custGeom>
            <a:avLst/>
            <a:gdLst>
              <a:gd name="connsiteX0" fmla="*/ 0 w 3881437"/>
              <a:gd name="connsiteY0" fmla="*/ 709613 h 709613"/>
              <a:gd name="connsiteX1" fmla="*/ 0 w 3881437"/>
              <a:gd name="connsiteY1" fmla="*/ 0 h 709613"/>
              <a:gd name="connsiteX2" fmla="*/ 3881437 w 3881437"/>
              <a:gd name="connsiteY2" fmla="*/ 0 h 709613"/>
              <a:gd name="connsiteX3" fmla="*/ 3881437 w 3881437"/>
              <a:gd name="connsiteY3" fmla="*/ 433388 h 709613"/>
              <a:gd name="connsiteX4" fmla="*/ 809625 w 3881437"/>
              <a:gd name="connsiteY4" fmla="*/ 433388 h 709613"/>
              <a:gd name="connsiteX5" fmla="*/ 0 w 3881437"/>
              <a:gd name="connsiteY5" fmla="*/ 709613 h 7096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881437" h="709613">
                <a:moveTo>
                  <a:pt x="0" y="709613"/>
                </a:moveTo>
                <a:lnTo>
                  <a:pt x="0" y="0"/>
                </a:lnTo>
                <a:lnTo>
                  <a:pt x="3881437" y="0"/>
                </a:lnTo>
                <a:lnTo>
                  <a:pt x="3881437" y="433388"/>
                </a:lnTo>
                <a:lnTo>
                  <a:pt x="809625" y="433388"/>
                </a:lnTo>
                <a:lnTo>
                  <a:pt x="0" y="709613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</xdr:col>
      <xdr:colOff>95246</xdr:colOff>
      <xdr:row>277</xdr:row>
      <xdr:rowOff>33338</xdr:rowOff>
    </xdr:from>
    <xdr:to>
      <xdr:col>28</xdr:col>
      <xdr:colOff>71438</xdr:colOff>
      <xdr:row>289</xdr:row>
      <xdr:rowOff>61913</xdr:rowOff>
    </xdr:to>
    <xdr:grpSp>
      <xdr:nvGrpSpPr>
        <xdr:cNvPr id="582" name="Group 581">
          <a:extLst>
            <a:ext uri="{FF2B5EF4-FFF2-40B4-BE49-F238E27FC236}">
              <a16:creationId xmlns:a16="http://schemas.microsoft.com/office/drawing/2014/main" id="{F166E8F4-F55A-E00A-7862-9E331D54864F}"/>
            </a:ext>
          </a:extLst>
        </xdr:cNvPr>
        <xdr:cNvGrpSpPr/>
      </xdr:nvGrpSpPr>
      <xdr:grpSpPr>
        <a:xfrm>
          <a:off x="581021" y="41314688"/>
          <a:ext cx="4024317" cy="1743075"/>
          <a:chOff x="581021" y="27055763"/>
          <a:chExt cx="4024317" cy="1743075"/>
        </a:xfrm>
      </xdr:grpSpPr>
      <xdr:cxnSp macro="">
        <xdr:nvCxnSpPr>
          <xdr:cNvPr id="563" name="Straight Connector 562">
            <a:extLst>
              <a:ext uri="{FF2B5EF4-FFF2-40B4-BE49-F238E27FC236}">
                <a16:creationId xmlns:a16="http://schemas.microsoft.com/office/drawing/2014/main" id="{56284664-5682-6BEC-BFBB-107F6629E028}"/>
              </a:ext>
            </a:extLst>
          </xdr:cNvPr>
          <xdr:cNvCxnSpPr/>
        </xdr:nvCxnSpPr>
        <xdr:spPr>
          <a:xfrm>
            <a:off x="647700" y="28236863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4" name="Straight Connector 563">
            <a:extLst>
              <a:ext uri="{FF2B5EF4-FFF2-40B4-BE49-F238E27FC236}">
                <a16:creationId xmlns:a16="http://schemas.microsoft.com/office/drawing/2014/main" id="{D94566D6-CB4B-CC21-29F6-C9154FAB6BA4}"/>
              </a:ext>
            </a:extLst>
          </xdr:cNvPr>
          <xdr:cNvCxnSpPr/>
        </xdr:nvCxnSpPr>
        <xdr:spPr>
          <a:xfrm>
            <a:off x="581025" y="28451177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5" name="Straight Connector 564">
            <a:extLst>
              <a:ext uri="{FF2B5EF4-FFF2-40B4-BE49-F238E27FC236}">
                <a16:creationId xmlns:a16="http://schemas.microsoft.com/office/drawing/2014/main" id="{94F7E572-493F-2A60-1EB4-075F59E183B6}"/>
              </a:ext>
            </a:extLst>
          </xdr:cNvPr>
          <xdr:cNvCxnSpPr/>
        </xdr:nvCxnSpPr>
        <xdr:spPr>
          <a:xfrm flipH="1">
            <a:off x="609601" y="2841783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6" name="Straight Connector 565">
            <a:extLst>
              <a:ext uri="{FF2B5EF4-FFF2-40B4-BE49-F238E27FC236}">
                <a16:creationId xmlns:a16="http://schemas.microsoft.com/office/drawing/2014/main" id="{4E407BC0-0D54-08E1-9E6F-E9CA8A5FDFD9}"/>
              </a:ext>
            </a:extLst>
          </xdr:cNvPr>
          <xdr:cNvCxnSpPr/>
        </xdr:nvCxnSpPr>
        <xdr:spPr>
          <a:xfrm>
            <a:off x="581021" y="28736929"/>
            <a:ext cx="402431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7" name="Straight Connector 566">
            <a:extLst>
              <a:ext uri="{FF2B5EF4-FFF2-40B4-BE49-F238E27FC236}">
                <a16:creationId xmlns:a16="http://schemas.microsoft.com/office/drawing/2014/main" id="{66E2B0B2-6D67-8516-E2E7-EA2109B8F033}"/>
              </a:ext>
            </a:extLst>
          </xdr:cNvPr>
          <xdr:cNvCxnSpPr/>
        </xdr:nvCxnSpPr>
        <xdr:spPr>
          <a:xfrm flipH="1">
            <a:off x="609597" y="2870359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8" name="Straight Connector 567">
            <a:extLst>
              <a:ext uri="{FF2B5EF4-FFF2-40B4-BE49-F238E27FC236}">
                <a16:creationId xmlns:a16="http://schemas.microsoft.com/office/drawing/2014/main" id="{C9B5BDBE-9624-67B8-8FBB-DBCE0602B40B}"/>
              </a:ext>
            </a:extLst>
          </xdr:cNvPr>
          <xdr:cNvCxnSpPr/>
        </xdr:nvCxnSpPr>
        <xdr:spPr>
          <a:xfrm>
            <a:off x="4533900" y="27974925"/>
            <a:ext cx="0" cy="82391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9" name="Straight Connector 568">
            <a:extLst>
              <a:ext uri="{FF2B5EF4-FFF2-40B4-BE49-F238E27FC236}">
                <a16:creationId xmlns:a16="http://schemas.microsoft.com/office/drawing/2014/main" id="{A8BC4688-3E58-237F-DEC2-4254ECBCFD8C}"/>
              </a:ext>
            </a:extLst>
          </xdr:cNvPr>
          <xdr:cNvCxnSpPr/>
        </xdr:nvCxnSpPr>
        <xdr:spPr>
          <a:xfrm flipH="1">
            <a:off x="4495800" y="2841783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0" name="Straight Connector 569">
            <a:extLst>
              <a:ext uri="{FF2B5EF4-FFF2-40B4-BE49-F238E27FC236}">
                <a16:creationId xmlns:a16="http://schemas.microsoft.com/office/drawing/2014/main" id="{95530FFE-CEB2-83E3-FCC1-EDD02AF0007F}"/>
              </a:ext>
            </a:extLst>
          </xdr:cNvPr>
          <xdr:cNvCxnSpPr/>
        </xdr:nvCxnSpPr>
        <xdr:spPr>
          <a:xfrm flipH="1">
            <a:off x="4495797" y="2870359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1" name="Straight Connector 570">
            <a:extLst>
              <a:ext uri="{FF2B5EF4-FFF2-40B4-BE49-F238E27FC236}">
                <a16:creationId xmlns:a16="http://schemas.microsoft.com/office/drawing/2014/main" id="{20BCA828-DC04-E473-568A-CD61B08867AB}"/>
              </a:ext>
            </a:extLst>
          </xdr:cNvPr>
          <xdr:cNvCxnSpPr/>
        </xdr:nvCxnSpPr>
        <xdr:spPr>
          <a:xfrm>
            <a:off x="1457330" y="27951114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2" name="Straight Connector 571">
            <a:extLst>
              <a:ext uri="{FF2B5EF4-FFF2-40B4-BE49-F238E27FC236}">
                <a16:creationId xmlns:a16="http://schemas.microsoft.com/office/drawing/2014/main" id="{38B27BA5-CF8C-8522-5BFE-1331A73C00FE}"/>
              </a:ext>
            </a:extLst>
          </xdr:cNvPr>
          <xdr:cNvCxnSpPr/>
        </xdr:nvCxnSpPr>
        <xdr:spPr>
          <a:xfrm flipH="1">
            <a:off x="1419227" y="28417841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6" name="Straight Arrow Connector 575">
            <a:extLst>
              <a:ext uri="{FF2B5EF4-FFF2-40B4-BE49-F238E27FC236}">
                <a16:creationId xmlns:a16="http://schemas.microsoft.com/office/drawing/2014/main" id="{1981891A-16AA-4DA6-BDC1-2EE7D578904F}"/>
              </a:ext>
            </a:extLst>
          </xdr:cNvPr>
          <xdr:cNvCxnSpPr/>
        </xdr:nvCxnSpPr>
        <xdr:spPr>
          <a:xfrm>
            <a:off x="2590802" y="27055763"/>
            <a:ext cx="0" cy="385764"/>
          </a:xfrm>
          <a:prstGeom prst="straightConnector1">
            <a:avLst/>
          </a:prstGeom>
          <a:ln w="127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Straight Connector 576">
            <a:extLst>
              <a:ext uri="{FF2B5EF4-FFF2-40B4-BE49-F238E27FC236}">
                <a16:creationId xmlns:a16="http://schemas.microsoft.com/office/drawing/2014/main" id="{A1CF3BB2-D6EA-406B-8407-B96579D132EB}"/>
              </a:ext>
            </a:extLst>
          </xdr:cNvPr>
          <xdr:cNvCxnSpPr/>
        </xdr:nvCxnSpPr>
        <xdr:spPr>
          <a:xfrm>
            <a:off x="647700" y="27089100"/>
            <a:ext cx="0" cy="3190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8" name="Straight Connector 577">
            <a:extLst>
              <a:ext uri="{FF2B5EF4-FFF2-40B4-BE49-F238E27FC236}">
                <a16:creationId xmlns:a16="http://schemas.microsoft.com/office/drawing/2014/main" id="{84D9C95F-6FD1-4C57-80EB-6448A89D6191}"/>
              </a:ext>
            </a:extLst>
          </xdr:cNvPr>
          <xdr:cNvCxnSpPr/>
        </xdr:nvCxnSpPr>
        <xdr:spPr>
          <a:xfrm>
            <a:off x="581028" y="27165301"/>
            <a:ext cx="20669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9" name="Straight Connector 578">
            <a:extLst>
              <a:ext uri="{FF2B5EF4-FFF2-40B4-BE49-F238E27FC236}">
                <a16:creationId xmlns:a16="http://schemas.microsoft.com/office/drawing/2014/main" id="{23D3B510-BD76-45AB-8A27-5376DDBD8EC0}"/>
              </a:ext>
            </a:extLst>
          </xdr:cNvPr>
          <xdr:cNvCxnSpPr/>
        </xdr:nvCxnSpPr>
        <xdr:spPr>
          <a:xfrm flipH="1">
            <a:off x="604837" y="271272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Straight Connector 579">
            <a:extLst>
              <a:ext uri="{FF2B5EF4-FFF2-40B4-BE49-F238E27FC236}">
                <a16:creationId xmlns:a16="http://schemas.microsoft.com/office/drawing/2014/main" id="{1A0097F5-813C-430A-AE52-CD518B4AEDCA}"/>
              </a:ext>
            </a:extLst>
          </xdr:cNvPr>
          <xdr:cNvCxnSpPr/>
        </xdr:nvCxnSpPr>
        <xdr:spPr>
          <a:xfrm flipH="1">
            <a:off x="2547936" y="271272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1" name="Freeform: Shape 580">
            <a:extLst>
              <a:ext uri="{FF2B5EF4-FFF2-40B4-BE49-F238E27FC236}">
                <a16:creationId xmlns:a16="http://schemas.microsoft.com/office/drawing/2014/main" id="{A59055C7-55C0-47F9-82D5-00436DACE158}"/>
              </a:ext>
            </a:extLst>
          </xdr:cNvPr>
          <xdr:cNvSpPr/>
        </xdr:nvSpPr>
        <xdr:spPr>
          <a:xfrm>
            <a:off x="657225" y="27441525"/>
            <a:ext cx="3881437" cy="709613"/>
          </a:xfrm>
          <a:custGeom>
            <a:avLst/>
            <a:gdLst>
              <a:gd name="connsiteX0" fmla="*/ 0 w 3881437"/>
              <a:gd name="connsiteY0" fmla="*/ 709613 h 709613"/>
              <a:gd name="connsiteX1" fmla="*/ 0 w 3881437"/>
              <a:gd name="connsiteY1" fmla="*/ 0 h 709613"/>
              <a:gd name="connsiteX2" fmla="*/ 3881437 w 3881437"/>
              <a:gd name="connsiteY2" fmla="*/ 0 h 709613"/>
              <a:gd name="connsiteX3" fmla="*/ 3881437 w 3881437"/>
              <a:gd name="connsiteY3" fmla="*/ 433388 h 709613"/>
              <a:gd name="connsiteX4" fmla="*/ 809625 w 3881437"/>
              <a:gd name="connsiteY4" fmla="*/ 433388 h 709613"/>
              <a:gd name="connsiteX5" fmla="*/ 0 w 3881437"/>
              <a:gd name="connsiteY5" fmla="*/ 709613 h 7096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881437" h="709613">
                <a:moveTo>
                  <a:pt x="0" y="709613"/>
                </a:moveTo>
                <a:lnTo>
                  <a:pt x="0" y="0"/>
                </a:lnTo>
                <a:lnTo>
                  <a:pt x="3881437" y="0"/>
                </a:lnTo>
                <a:lnTo>
                  <a:pt x="3881437" y="433388"/>
                </a:lnTo>
                <a:lnTo>
                  <a:pt x="809625" y="433388"/>
                </a:lnTo>
                <a:lnTo>
                  <a:pt x="0" y="709613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3</xdr:col>
      <xdr:colOff>101600</xdr:colOff>
      <xdr:row>4</xdr:row>
      <xdr:rowOff>71439</xdr:rowOff>
    </xdr:from>
    <xdr:to>
      <xdr:col>28</xdr:col>
      <xdr:colOff>57150</xdr:colOff>
      <xdr:row>16</xdr:row>
      <xdr:rowOff>60325</xdr:rowOff>
    </xdr:to>
    <xdr:grpSp>
      <xdr:nvGrpSpPr>
        <xdr:cNvPr id="589" name="Group 588">
          <a:extLst>
            <a:ext uri="{FF2B5EF4-FFF2-40B4-BE49-F238E27FC236}">
              <a16:creationId xmlns:a16="http://schemas.microsoft.com/office/drawing/2014/main" id="{99CCEE6F-EE61-679C-6747-5C0AC834463F}"/>
            </a:ext>
          </a:extLst>
        </xdr:cNvPr>
        <xdr:cNvGrpSpPr/>
      </xdr:nvGrpSpPr>
      <xdr:grpSpPr>
        <a:xfrm>
          <a:off x="587375" y="1138239"/>
          <a:ext cx="4003675" cy="1703386"/>
          <a:chOff x="587375" y="47115414"/>
          <a:chExt cx="4003675" cy="1703386"/>
        </a:xfrm>
      </xdr:grpSpPr>
      <xdr:sp macro="" textlink="">
        <xdr:nvSpPr>
          <xdr:cNvPr id="485" name="Freeform: Shape 484">
            <a:extLst>
              <a:ext uri="{FF2B5EF4-FFF2-40B4-BE49-F238E27FC236}">
                <a16:creationId xmlns:a16="http://schemas.microsoft.com/office/drawing/2014/main" id="{948CED6D-189A-E59D-0430-2AF1C57B253F}"/>
              </a:ext>
            </a:extLst>
          </xdr:cNvPr>
          <xdr:cNvSpPr/>
        </xdr:nvSpPr>
        <xdr:spPr>
          <a:xfrm>
            <a:off x="647700" y="47472600"/>
            <a:ext cx="3886200" cy="714375"/>
          </a:xfrm>
          <a:custGeom>
            <a:avLst/>
            <a:gdLst>
              <a:gd name="connsiteX0" fmla="*/ 1943100 w 3886200"/>
              <a:gd name="connsiteY0" fmla="*/ 0 h 714375"/>
              <a:gd name="connsiteX1" fmla="*/ 0 w 3886200"/>
              <a:gd name="connsiteY1" fmla="*/ 365125 h 714375"/>
              <a:gd name="connsiteX2" fmla="*/ 0 w 3886200"/>
              <a:gd name="connsiteY2" fmla="*/ 714375 h 714375"/>
              <a:gd name="connsiteX3" fmla="*/ 3886200 w 3886200"/>
              <a:gd name="connsiteY3" fmla="*/ 714375 h 714375"/>
              <a:gd name="connsiteX4" fmla="*/ 3886200 w 3886200"/>
              <a:gd name="connsiteY4" fmla="*/ 365125 h 714375"/>
              <a:gd name="connsiteX5" fmla="*/ 1943100 w 3886200"/>
              <a:gd name="connsiteY5" fmla="*/ 0 h 714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886200" h="714375">
                <a:moveTo>
                  <a:pt x="1943100" y="0"/>
                </a:moveTo>
                <a:lnTo>
                  <a:pt x="0" y="365125"/>
                </a:lnTo>
                <a:lnTo>
                  <a:pt x="0" y="714375"/>
                </a:lnTo>
                <a:lnTo>
                  <a:pt x="3886200" y="714375"/>
                </a:lnTo>
                <a:lnTo>
                  <a:pt x="3886200" y="365125"/>
                </a:lnTo>
                <a:lnTo>
                  <a:pt x="1943100" y="0"/>
                </a:ln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488" name="Straight Connector 487">
            <a:extLst>
              <a:ext uri="{FF2B5EF4-FFF2-40B4-BE49-F238E27FC236}">
                <a16:creationId xmlns:a16="http://schemas.microsoft.com/office/drawing/2014/main" id="{E9D2BBD9-1563-23A0-E04F-72FDF44D117B}"/>
              </a:ext>
            </a:extLst>
          </xdr:cNvPr>
          <xdr:cNvCxnSpPr/>
        </xdr:nvCxnSpPr>
        <xdr:spPr>
          <a:xfrm>
            <a:off x="647700" y="48269525"/>
            <a:ext cx="0" cy="549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0" name="Straight Connector 489">
            <a:extLst>
              <a:ext uri="{FF2B5EF4-FFF2-40B4-BE49-F238E27FC236}">
                <a16:creationId xmlns:a16="http://schemas.microsoft.com/office/drawing/2014/main" id="{7D540524-C454-5144-76D3-85D504C43174}"/>
              </a:ext>
            </a:extLst>
          </xdr:cNvPr>
          <xdr:cNvCxnSpPr/>
        </xdr:nvCxnSpPr>
        <xdr:spPr>
          <a:xfrm>
            <a:off x="587375" y="48758475"/>
            <a:ext cx="40036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Straight Connector 491">
            <a:extLst>
              <a:ext uri="{FF2B5EF4-FFF2-40B4-BE49-F238E27FC236}">
                <a16:creationId xmlns:a16="http://schemas.microsoft.com/office/drawing/2014/main" id="{11557C32-163B-FED6-865B-339EB11D84BB}"/>
              </a:ext>
            </a:extLst>
          </xdr:cNvPr>
          <xdr:cNvCxnSpPr/>
        </xdr:nvCxnSpPr>
        <xdr:spPr>
          <a:xfrm flipH="1">
            <a:off x="612775" y="48729900"/>
            <a:ext cx="63500" cy="63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3" name="Straight Connector 492">
            <a:extLst>
              <a:ext uri="{FF2B5EF4-FFF2-40B4-BE49-F238E27FC236}">
                <a16:creationId xmlns:a16="http://schemas.microsoft.com/office/drawing/2014/main" id="{6DF30060-3AE4-45AF-B008-E4C529AC5583}"/>
              </a:ext>
            </a:extLst>
          </xdr:cNvPr>
          <xdr:cNvCxnSpPr/>
        </xdr:nvCxnSpPr>
        <xdr:spPr>
          <a:xfrm>
            <a:off x="4533900" y="48269525"/>
            <a:ext cx="0" cy="549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4" name="Straight Connector 493">
            <a:extLst>
              <a:ext uri="{FF2B5EF4-FFF2-40B4-BE49-F238E27FC236}">
                <a16:creationId xmlns:a16="http://schemas.microsoft.com/office/drawing/2014/main" id="{E4FF2783-54B6-45AA-AEB4-54A5C3EF7D3E}"/>
              </a:ext>
            </a:extLst>
          </xdr:cNvPr>
          <xdr:cNvCxnSpPr/>
        </xdr:nvCxnSpPr>
        <xdr:spPr>
          <a:xfrm flipH="1">
            <a:off x="4498975" y="48729900"/>
            <a:ext cx="63500" cy="63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5" name="Straight Connector 494">
            <a:extLst>
              <a:ext uri="{FF2B5EF4-FFF2-40B4-BE49-F238E27FC236}">
                <a16:creationId xmlns:a16="http://schemas.microsoft.com/office/drawing/2014/main" id="{57F009B9-765E-4762-BFAF-4E83D3AB22E1}"/>
              </a:ext>
            </a:extLst>
          </xdr:cNvPr>
          <xdr:cNvCxnSpPr/>
        </xdr:nvCxnSpPr>
        <xdr:spPr>
          <a:xfrm>
            <a:off x="590550" y="48471138"/>
            <a:ext cx="40005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6" name="Straight Connector 495">
            <a:extLst>
              <a:ext uri="{FF2B5EF4-FFF2-40B4-BE49-F238E27FC236}">
                <a16:creationId xmlns:a16="http://schemas.microsoft.com/office/drawing/2014/main" id="{9573CBFB-3BA6-48C7-9126-8EF44D2EB3E6}"/>
              </a:ext>
            </a:extLst>
          </xdr:cNvPr>
          <xdr:cNvCxnSpPr/>
        </xdr:nvCxnSpPr>
        <xdr:spPr>
          <a:xfrm flipH="1">
            <a:off x="615950" y="48442563"/>
            <a:ext cx="63500" cy="63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7" name="Straight Connector 496">
            <a:extLst>
              <a:ext uri="{FF2B5EF4-FFF2-40B4-BE49-F238E27FC236}">
                <a16:creationId xmlns:a16="http://schemas.microsoft.com/office/drawing/2014/main" id="{1EB23E48-294E-4DDC-B8E2-2E5CA78FB7E0}"/>
              </a:ext>
            </a:extLst>
          </xdr:cNvPr>
          <xdr:cNvCxnSpPr/>
        </xdr:nvCxnSpPr>
        <xdr:spPr>
          <a:xfrm>
            <a:off x="2589201" y="47977425"/>
            <a:ext cx="0" cy="5492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8" name="Straight Connector 497">
            <a:extLst>
              <a:ext uri="{FF2B5EF4-FFF2-40B4-BE49-F238E27FC236}">
                <a16:creationId xmlns:a16="http://schemas.microsoft.com/office/drawing/2014/main" id="{A9503DBC-0027-4548-A6C3-6F6B6CFF027E}"/>
              </a:ext>
            </a:extLst>
          </xdr:cNvPr>
          <xdr:cNvCxnSpPr/>
        </xdr:nvCxnSpPr>
        <xdr:spPr>
          <a:xfrm flipH="1">
            <a:off x="2559039" y="48442563"/>
            <a:ext cx="63500" cy="63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9" name="Straight Arrow Connector 498">
            <a:extLst>
              <a:ext uri="{FF2B5EF4-FFF2-40B4-BE49-F238E27FC236}">
                <a16:creationId xmlns:a16="http://schemas.microsoft.com/office/drawing/2014/main" id="{48335E76-A29B-415F-A685-F835258262F0}"/>
              </a:ext>
            </a:extLst>
          </xdr:cNvPr>
          <xdr:cNvCxnSpPr/>
        </xdr:nvCxnSpPr>
        <xdr:spPr>
          <a:xfrm>
            <a:off x="647701" y="471201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0" name="Straight Arrow Connector 499">
            <a:extLst>
              <a:ext uri="{FF2B5EF4-FFF2-40B4-BE49-F238E27FC236}">
                <a16:creationId xmlns:a16="http://schemas.microsoft.com/office/drawing/2014/main" id="{95D6E0A8-8D67-458B-B527-81675552F507}"/>
              </a:ext>
            </a:extLst>
          </xdr:cNvPr>
          <xdr:cNvCxnSpPr/>
        </xdr:nvCxnSpPr>
        <xdr:spPr>
          <a:xfrm>
            <a:off x="809627" y="4711541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1" name="Straight Arrow Connector 500">
            <a:extLst>
              <a:ext uri="{FF2B5EF4-FFF2-40B4-BE49-F238E27FC236}">
                <a16:creationId xmlns:a16="http://schemas.microsoft.com/office/drawing/2014/main" id="{25B22223-2436-4807-BE88-8160093A95BB}"/>
              </a:ext>
            </a:extLst>
          </xdr:cNvPr>
          <xdr:cNvCxnSpPr/>
        </xdr:nvCxnSpPr>
        <xdr:spPr>
          <a:xfrm>
            <a:off x="971552" y="471201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2" name="Straight Arrow Connector 501">
            <a:extLst>
              <a:ext uri="{FF2B5EF4-FFF2-40B4-BE49-F238E27FC236}">
                <a16:creationId xmlns:a16="http://schemas.microsoft.com/office/drawing/2014/main" id="{F25D724A-EDE3-4597-BF36-3606C654209C}"/>
              </a:ext>
            </a:extLst>
          </xdr:cNvPr>
          <xdr:cNvCxnSpPr/>
        </xdr:nvCxnSpPr>
        <xdr:spPr>
          <a:xfrm>
            <a:off x="1133478" y="471201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3" name="Straight Arrow Connector 502">
            <a:extLst>
              <a:ext uri="{FF2B5EF4-FFF2-40B4-BE49-F238E27FC236}">
                <a16:creationId xmlns:a16="http://schemas.microsoft.com/office/drawing/2014/main" id="{3F1BCF0C-D215-4995-92E8-5DC8F6633FAC}"/>
              </a:ext>
            </a:extLst>
          </xdr:cNvPr>
          <xdr:cNvCxnSpPr/>
        </xdr:nvCxnSpPr>
        <xdr:spPr>
          <a:xfrm>
            <a:off x="1295401" y="4711541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Arrow Connector 503">
            <a:extLst>
              <a:ext uri="{FF2B5EF4-FFF2-40B4-BE49-F238E27FC236}">
                <a16:creationId xmlns:a16="http://schemas.microsoft.com/office/drawing/2014/main" id="{6F368300-13B3-463E-AF48-6CA8CA04F8C9}"/>
              </a:ext>
            </a:extLst>
          </xdr:cNvPr>
          <xdr:cNvCxnSpPr/>
        </xdr:nvCxnSpPr>
        <xdr:spPr>
          <a:xfrm>
            <a:off x="1457327" y="4711541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5" name="Straight Arrow Connector 504">
            <a:extLst>
              <a:ext uri="{FF2B5EF4-FFF2-40B4-BE49-F238E27FC236}">
                <a16:creationId xmlns:a16="http://schemas.microsoft.com/office/drawing/2014/main" id="{8DD739D8-2D84-4258-944B-2B804CDD5B82}"/>
              </a:ext>
            </a:extLst>
          </xdr:cNvPr>
          <xdr:cNvCxnSpPr/>
        </xdr:nvCxnSpPr>
        <xdr:spPr>
          <a:xfrm>
            <a:off x="1619252" y="4711541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6" name="Straight Arrow Connector 505">
            <a:extLst>
              <a:ext uri="{FF2B5EF4-FFF2-40B4-BE49-F238E27FC236}">
                <a16:creationId xmlns:a16="http://schemas.microsoft.com/office/drawing/2014/main" id="{560D59AA-FB3C-4FF6-8B40-02C38F65A96E}"/>
              </a:ext>
            </a:extLst>
          </xdr:cNvPr>
          <xdr:cNvCxnSpPr/>
        </xdr:nvCxnSpPr>
        <xdr:spPr>
          <a:xfrm>
            <a:off x="1781178" y="4711541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7" name="Straight Arrow Connector 506">
            <a:extLst>
              <a:ext uri="{FF2B5EF4-FFF2-40B4-BE49-F238E27FC236}">
                <a16:creationId xmlns:a16="http://schemas.microsoft.com/office/drawing/2014/main" id="{5AA2634A-DCBF-4E1C-BF78-5B7F135CBA37}"/>
              </a:ext>
            </a:extLst>
          </xdr:cNvPr>
          <xdr:cNvCxnSpPr/>
        </xdr:nvCxnSpPr>
        <xdr:spPr>
          <a:xfrm>
            <a:off x="1943099" y="4712018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8" name="Straight Arrow Connector 507">
            <a:extLst>
              <a:ext uri="{FF2B5EF4-FFF2-40B4-BE49-F238E27FC236}">
                <a16:creationId xmlns:a16="http://schemas.microsoft.com/office/drawing/2014/main" id="{C7501B43-5996-450E-92C1-ACD78B6FF8F6}"/>
              </a:ext>
            </a:extLst>
          </xdr:cNvPr>
          <xdr:cNvCxnSpPr/>
        </xdr:nvCxnSpPr>
        <xdr:spPr>
          <a:xfrm>
            <a:off x="2105025" y="4711541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9" name="Straight Arrow Connector 508">
            <a:extLst>
              <a:ext uri="{FF2B5EF4-FFF2-40B4-BE49-F238E27FC236}">
                <a16:creationId xmlns:a16="http://schemas.microsoft.com/office/drawing/2014/main" id="{288B673D-6A2E-4F9E-8FB7-17C34BFD3280}"/>
              </a:ext>
            </a:extLst>
          </xdr:cNvPr>
          <xdr:cNvCxnSpPr/>
        </xdr:nvCxnSpPr>
        <xdr:spPr>
          <a:xfrm>
            <a:off x="2266950" y="4712018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0" name="Straight Arrow Connector 509">
            <a:extLst>
              <a:ext uri="{FF2B5EF4-FFF2-40B4-BE49-F238E27FC236}">
                <a16:creationId xmlns:a16="http://schemas.microsoft.com/office/drawing/2014/main" id="{C59DCAE4-A883-4361-B658-E9372E16081E}"/>
              </a:ext>
            </a:extLst>
          </xdr:cNvPr>
          <xdr:cNvCxnSpPr/>
        </xdr:nvCxnSpPr>
        <xdr:spPr>
          <a:xfrm>
            <a:off x="2428876" y="4712018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1" name="Straight Arrow Connector 510">
            <a:extLst>
              <a:ext uri="{FF2B5EF4-FFF2-40B4-BE49-F238E27FC236}">
                <a16:creationId xmlns:a16="http://schemas.microsoft.com/office/drawing/2014/main" id="{4660EF6D-936B-46AA-B5F2-35F38438B9BD}"/>
              </a:ext>
            </a:extLst>
          </xdr:cNvPr>
          <xdr:cNvCxnSpPr/>
        </xdr:nvCxnSpPr>
        <xdr:spPr>
          <a:xfrm>
            <a:off x="2590799" y="4711541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32BE8651-BFA2-4B54-A10B-43EB5B0CEE26}"/>
              </a:ext>
            </a:extLst>
          </xdr:cNvPr>
          <xdr:cNvCxnSpPr/>
        </xdr:nvCxnSpPr>
        <xdr:spPr>
          <a:xfrm>
            <a:off x="2752725" y="4711541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2" name="Straight Arrow Connector 511">
            <a:extLst>
              <a:ext uri="{FF2B5EF4-FFF2-40B4-BE49-F238E27FC236}">
                <a16:creationId xmlns:a16="http://schemas.microsoft.com/office/drawing/2014/main" id="{2FD0524A-62C8-4AA5-9ABC-4408E4C6C487}"/>
              </a:ext>
            </a:extLst>
          </xdr:cNvPr>
          <xdr:cNvCxnSpPr/>
        </xdr:nvCxnSpPr>
        <xdr:spPr>
          <a:xfrm>
            <a:off x="2914650" y="4711541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4" name="Straight Arrow Connector 513">
            <a:extLst>
              <a:ext uri="{FF2B5EF4-FFF2-40B4-BE49-F238E27FC236}">
                <a16:creationId xmlns:a16="http://schemas.microsoft.com/office/drawing/2014/main" id="{C6AC3610-F409-4116-8FF0-97FF1C8DB422}"/>
              </a:ext>
            </a:extLst>
          </xdr:cNvPr>
          <xdr:cNvCxnSpPr/>
        </xdr:nvCxnSpPr>
        <xdr:spPr>
          <a:xfrm>
            <a:off x="3076576" y="4711541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5" name="Straight Arrow Connector 514">
            <a:extLst>
              <a:ext uri="{FF2B5EF4-FFF2-40B4-BE49-F238E27FC236}">
                <a16:creationId xmlns:a16="http://schemas.microsoft.com/office/drawing/2014/main" id="{134CBD52-65C7-42C3-B885-0A8AAF2D1CFD}"/>
              </a:ext>
            </a:extLst>
          </xdr:cNvPr>
          <xdr:cNvCxnSpPr/>
        </xdr:nvCxnSpPr>
        <xdr:spPr>
          <a:xfrm>
            <a:off x="3238500" y="471201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7" name="Straight Arrow Connector 516">
            <a:extLst>
              <a:ext uri="{FF2B5EF4-FFF2-40B4-BE49-F238E27FC236}">
                <a16:creationId xmlns:a16="http://schemas.microsoft.com/office/drawing/2014/main" id="{BE510E37-09C3-44CF-8AD4-61B2EA9A9029}"/>
              </a:ext>
            </a:extLst>
          </xdr:cNvPr>
          <xdr:cNvCxnSpPr/>
        </xdr:nvCxnSpPr>
        <xdr:spPr>
          <a:xfrm>
            <a:off x="3400425" y="471201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Straight Arrow Connector 519">
            <a:extLst>
              <a:ext uri="{FF2B5EF4-FFF2-40B4-BE49-F238E27FC236}">
                <a16:creationId xmlns:a16="http://schemas.microsoft.com/office/drawing/2014/main" id="{F5AC3BB7-11FF-406D-A42F-2BC5E4AC85AD}"/>
              </a:ext>
            </a:extLst>
          </xdr:cNvPr>
          <xdr:cNvCxnSpPr/>
        </xdr:nvCxnSpPr>
        <xdr:spPr>
          <a:xfrm>
            <a:off x="3562351" y="471201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1" name="Straight Arrow Connector 520">
            <a:extLst>
              <a:ext uri="{FF2B5EF4-FFF2-40B4-BE49-F238E27FC236}">
                <a16:creationId xmlns:a16="http://schemas.microsoft.com/office/drawing/2014/main" id="{66118259-C273-4DFA-9256-AF0A7995EDB0}"/>
              </a:ext>
            </a:extLst>
          </xdr:cNvPr>
          <xdr:cNvCxnSpPr/>
        </xdr:nvCxnSpPr>
        <xdr:spPr>
          <a:xfrm>
            <a:off x="3724274" y="4712018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Straight Arrow Connector 531">
            <a:extLst>
              <a:ext uri="{FF2B5EF4-FFF2-40B4-BE49-F238E27FC236}">
                <a16:creationId xmlns:a16="http://schemas.microsoft.com/office/drawing/2014/main" id="{06022D9F-6FAD-4E69-A551-0FE90631E4B3}"/>
              </a:ext>
            </a:extLst>
          </xdr:cNvPr>
          <xdr:cNvCxnSpPr/>
        </xdr:nvCxnSpPr>
        <xdr:spPr>
          <a:xfrm>
            <a:off x="3886200" y="4712018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3" name="Straight Arrow Connector 532">
            <a:extLst>
              <a:ext uri="{FF2B5EF4-FFF2-40B4-BE49-F238E27FC236}">
                <a16:creationId xmlns:a16="http://schemas.microsoft.com/office/drawing/2014/main" id="{6D68ABAE-EAD6-4618-9039-C9A7A233EBE9}"/>
              </a:ext>
            </a:extLst>
          </xdr:cNvPr>
          <xdr:cNvCxnSpPr/>
        </xdr:nvCxnSpPr>
        <xdr:spPr>
          <a:xfrm>
            <a:off x="4048125" y="4712018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Straight Arrow Connector 533">
            <a:extLst>
              <a:ext uri="{FF2B5EF4-FFF2-40B4-BE49-F238E27FC236}">
                <a16:creationId xmlns:a16="http://schemas.microsoft.com/office/drawing/2014/main" id="{E68F3987-B604-43B9-96DD-1DE4C7265724}"/>
              </a:ext>
            </a:extLst>
          </xdr:cNvPr>
          <xdr:cNvCxnSpPr/>
        </xdr:nvCxnSpPr>
        <xdr:spPr>
          <a:xfrm>
            <a:off x="4210051" y="4712018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2" name="Straight Arrow Connector 561">
            <a:extLst>
              <a:ext uri="{FF2B5EF4-FFF2-40B4-BE49-F238E27FC236}">
                <a16:creationId xmlns:a16="http://schemas.microsoft.com/office/drawing/2014/main" id="{5A729055-2277-44B2-BAD9-DD7D752A665D}"/>
              </a:ext>
            </a:extLst>
          </xdr:cNvPr>
          <xdr:cNvCxnSpPr/>
        </xdr:nvCxnSpPr>
        <xdr:spPr>
          <a:xfrm>
            <a:off x="4371978" y="4712017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3" name="Straight Arrow Connector 572">
            <a:extLst>
              <a:ext uri="{FF2B5EF4-FFF2-40B4-BE49-F238E27FC236}">
                <a16:creationId xmlns:a16="http://schemas.microsoft.com/office/drawing/2014/main" id="{C0254836-A7B6-483A-8FED-CE5E2BF5E28B}"/>
              </a:ext>
            </a:extLst>
          </xdr:cNvPr>
          <xdr:cNvCxnSpPr/>
        </xdr:nvCxnSpPr>
        <xdr:spPr>
          <a:xfrm>
            <a:off x="4533904" y="47120175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4" name="Straight Connector 573">
            <a:extLst>
              <a:ext uri="{FF2B5EF4-FFF2-40B4-BE49-F238E27FC236}">
                <a16:creationId xmlns:a16="http://schemas.microsoft.com/office/drawing/2014/main" id="{E8626285-ED60-485A-885F-68C0E1481C30}"/>
              </a:ext>
            </a:extLst>
          </xdr:cNvPr>
          <xdr:cNvCxnSpPr/>
        </xdr:nvCxnSpPr>
        <xdr:spPr>
          <a:xfrm>
            <a:off x="647700" y="47115414"/>
            <a:ext cx="38909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5" name="Straight Connector 574">
            <a:extLst>
              <a:ext uri="{FF2B5EF4-FFF2-40B4-BE49-F238E27FC236}">
                <a16:creationId xmlns:a16="http://schemas.microsoft.com/office/drawing/2014/main" id="{74B17AD9-459D-48E5-A3DF-8B4FE6D98BAB}"/>
              </a:ext>
            </a:extLst>
          </xdr:cNvPr>
          <xdr:cNvCxnSpPr/>
        </xdr:nvCxnSpPr>
        <xdr:spPr>
          <a:xfrm>
            <a:off x="642933" y="47329729"/>
            <a:ext cx="38909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6" name="Straight Connector 585">
            <a:extLst>
              <a:ext uri="{FF2B5EF4-FFF2-40B4-BE49-F238E27FC236}">
                <a16:creationId xmlns:a16="http://schemas.microsoft.com/office/drawing/2014/main" id="{0E657571-5A82-4C1B-AA75-C7E5D203FA8F}"/>
              </a:ext>
            </a:extLst>
          </xdr:cNvPr>
          <xdr:cNvCxnSpPr/>
        </xdr:nvCxnSpPr>
        <xdr:spPr>
          <a:xfrm flipH="1">
            <a:off x="4500561" y="48444150"/>
            <a:ext cx="63500" cy="635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90494</xdr:colOff>
      <xdr:row>198</xdr:row>
      <xdr:rowOff>76206</xdr:rowOff>
    </xdr:from>
    <xdr:to>
      <xdr:col>28</xdr:col>
      <xdr:colOff>57150</xdr:colOff>
      <xdr:row>209</xdr:row>
      <xdr:rowOff>61913</xdr:rowOff>
    </xdr:to>
    <xdr:grpSp>
      <xdr:nvGrpSpPr>
        <xdr:cNvPr id="358" name="Group 357">
          <a:extLst>
            <a:ext uri="{FF2B5EF4-FFF2-40B4-BE49-F238E27FC236}">
              <a16:creationId xmlns:a16="http://schemas.microsoft.com/office/drawing/2014/main" id="{57923D30-3419-8714-A568-6AD83674B7A9}"/>
            </a:ext>
          </a:extLst>
        </xdr:cNvPr>
        <xdr:cNvGrpSpPr/>
      </xdr:nvGrpSpPr>
      <xdr:grpSpPr>
        <a:xfrm>
          <a:off x="576269" y="27546306"/>
          <a:ext cx="4014781" cy="1557332"/>
          <a:chOff x="576269" y="49758606"/>
          <a:chExt cx="4014781" cy="1557332"/>
        </a:xfrm>
      </xdr:grpSpPr>
      <xdr:cxnSp macro="">
        <xdr:nvCxnSpPr>
          <xdr:cNvPr id="602" name="Straight Connector 601">
            <a:extLst>
              <a:ext uri="{FF2B5EF4-FFF2-40B4-BE49-F238E27FC236}">
                <a16:creationId xmlns:a16="http://schemas.microsoft.com/office/drawing/2014/main" id="{8EEA4F16-44F9-4EEB-A5D1-86F395BB8BA0}"/>
              </a:ext>
            </a:extLst>
          </xdr:cNvPr>
          <xdr:cNvCxnSpPr/>
        </xdr:nvCxnSpPr>
        <xdr:spPr>
          <a:xfrm>
            <a:off x="581033" y="51254026"/>
            <a:ext cx="401001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5" name="Freeform: Shape 594">
            <a:extLst>
              <a:ext uri="{FF2B5EF4-FFF2-40B4-BE49-F238E27FC236}">
                <a16:creationId xmlns:a16="http://schemas.microsoft.com/office/drawing/2014/main" id="{20AEC635-028A-CC5B-EB2C-B8CB4BFAAC65}"/>
              </a:ext>
            </a:extLst>
          </xdr:cNvPr>
          <xdr:cNvSpPr/>
        </xdr:nvSpPr>
        <xdr:spPr>
          <a:xfrm>
            <a:off x="652463" y="49968150"/>
            <a:ext cx="3881437" cy="714375"/>
          </a:xfrm>
          <a:custGeom>
            <a:avLst/>
            <a:gdLst>
              <a:gd name="connsiteX0" fmla="*/ 804862 w 3881437"/>
              <a:gd name="connsiteY0" fmla="*/ 714375 h 714375"/>
              <a:gd name="connsiteX1" fmla="*/ 0 w 3881437"/>
              <a:gd name="connsiteY1" fmla="*/ 714375 h 714375"/>
              <a:gd name="connsiteX2" fmla="*/ 0 w 3881437"/>
              <a:gd name="connsiteY2" fmla="*/ 0 h 714375"/>
              <a:gd name="connsiteX3" fmla="*/ 3881437 w 3881437"/>
              <a:gd name="connsiteY3" fmla="*/ 0 h 714375"/>
              <a:gd name="connsiteX4" fmla="*/ 3881437 w 3881437"/>
              <a:gd name="connsiteY4" fmla="*/ 423862 h 714375"/>
              <a:gd name="connsiteX5" fmla="*/ 804862 w 3881437"/>
              <a:gd name="connsiteY5" fmla="*/ 423862 h 714375"/>
              <a:gd name="connsiteX6" fmla="*/ 804862 w 3881437"/>
              <a:gd name="connsiteY6" fmla="*/ 714375 h 714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3881437" h="714375">
                <a:moveTo>
                  <a:pt x="804862" y="714375"/>
                </a:moveTo>
                <a:lnTo>
                  <a:pt x="0" y="714375"/>
                </a:lnTo>
                <a:lnTo>
                  <a:pt x="0" y="0"/>
                </a:lnTo>
                <a:lnTo>
                  <a:pt x="3881437" y="0"/>
                </a:lnTo>
                <a:lnTo>
                  <a:pt x="3881437" y="423862"/>
                </a:lnTo>
                <a:lnTo>
                  <a:pt x="804862" y="423862"/>
                </a:lnTo>
                <a:cubicBezTo>
                  <a:pt x="803275" y="520700"/>
                  <a:pt x="801687" y="617537"/>
                  <a:pt x="804862" y="714375"/>
                </a:cubicBezTo>
                <a:close/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596" name="Straight Connector 595">
            <a:extLst>
              <a:ext uri="{FF2B5EF4-FFF2-40B4-BE49-F238E27FC236}">
                <a16:creationId xmlns:a16="http://schemas.microsoft.com/office/drawing/2014/main" id="{95A443FC-6836-4713-AAC9-8ABA4E16D421}"/>
              </a:ext>
            </a:extLst>
          </xdr:cNvPr>
          <xdr:cNvCxnSpPr/>
        </xdr:nvCxnSpPr>
        <xdr:spPr>
          <a:xfrm>
            <a:off x="647700" y="50753963"/>
            <a:ext cx="0" cy="5619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7" name="Straight Connector 596">
            <a:extLst>
              <a:ext uri="{FF2B5EF4-FFF2-40B4-BE49-F238E27FC236}">
                <a16:creationId xmlns:a16="http://schemas.microsoft.com/office/drawing/2014/main" id="{5068D06F-0198-4948-94B4-A7F88C3DD4C2}"/>
              </a:ext>
            </a:extLst>
          </xdr:cNvPr>
          <xdr:cNvCxnSpPr/>
        </xdr:nvCxnSpPr>
        <xdr:spPr>
          <a:xfrm flipH="1">
            <a:off x="609601" y="5093493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8" name="Straight Connector 597">
            <a:extLst>
              <a:ext uri="{FF2B5EF4-FFF2-40B4-BE49-F238E27FC236}">
                <a16:creationId xmlns:a16="http://schemas.microsoft.com/office/drawing/2014/main" id="{39FECF0F-35BD-4A9E-96BE-915330CB588C}"/>
              </a:ext>
            </a:extLst>
          </xdr:cNvPr>
          <xdr:cNvCxnSpPr/>
        </xdr:nvCxnSpPr>
        <xdr:spPr>
          <a:xfrm flipH="1">
            <a:off x="609597" y="5122069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9" name="Straight Connector 598">
            <a:extLst>
              <a:ext uri="{FF2B5EF4-FFF2-40B4-BE49-F238E27FC236}">
                <a16:creationId xmlns:a16="http://schemas.microsoft.com/office/drawing/2014/main" id="{60F47E25-9D7C-4653-B908-CDE97577E33A}"/>
              </a:ext>
            </a:extLst>
          </xdr:cNvPr>
          <xdr:cNvCxnSpPr/>
        </xdr:nvCxnSpPr>
        <xdr:spPr>
          <a:xfrm flipH="1">
            <a:off x="1419227" y="50934941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1" name="Straight Connector 600">
            <a:extLst>
              <a:ext uri="{FF2B5EF4-FFF2-40B4-BE49-F238E27FC236}">
                <a16:creationId xmlns:a16="http://schemas.microsoft.com/office/drawing/2014/main" id="{980C6CBB-970A-368D-D89B-116D2D75F2F3}"/>
              </a:ext>
            </a:extLst>
          </xdr:cNvPr>
          <xdr:cNvCxnSpPr/>
        </xdr:nvCxnSpPr>
        <xdr:spPr>
          <a:xfrm>
            <a:off x="576269" y="50968276"/>
            <a:ext cx="401478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4" name="Straight Connector 603">
            <a:extLst>
              <a:ext uri="{FF2B5EF4-FFF2-40B4-BE49-F238E27FC236}">
                <a16:creationId xmlns:a16="http://schemas.microsoft.com/office/drawing/2014/main" id="{4723603E-2250-456C-9BFB-84D17F738EAA}"/>
              </a:ext>
            </a:extLst>
          </xdr:cNvPr>
          <xdr:cNvCxnSpPr/>
        </xdr:nvCxnSpPr>
        <xdr:spPr>
          <a:xfrm>
            <a:off x="1457325" y="50744438"/>
            <a:ext cx="0" cy="30003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" name="Straight Connector 607">
            <a:extLst>
              <a:ext uri="{FF2B5EF4-FFF2-40B4-BE49-F238E27FC236}">
                <a16:creationId xmlns:a16="http://schemas.microsoft.com/office/drawing/2014/main" id="{93A7C537-61D9-432B-9208-615C5E9C62D7}"/>
              </a:ext>
            </a:extLst>
          </xdr:cNvPr>
          <xdr:cNvCxnSpPr/>
        </xdr:nvCxnSpPr>
        <xdr:spPr>
          <a:xfrm>
            <a:off x="4533902" y="50472975"/>
            <a:ext cx="0" cy="842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9" name="Straight Connector 608">
            <a:extLst>
              <a:ext uri="{FF2B5EF4-FFF2-40B4-BE49-F238E27FC236}">
                <a16:creationId xmlns:a16="http://schemas.microsoft.com/office/drawing/2014/main" id="{DD9135DD-50E0-4C2C-87BB-CDCBE0550F77}"/>
              </a:ext>
            </a:extLst>
          </xdr:cNvPr>
          <xdr:cNvCxnSpPr/>
        </xdr:nvCxnSpPr>
        <xdr:spPr>
          <a:xfrm flipH="1">
            <a:off x="4495799" y="51220689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3" name="Straight Connector 612">
            <a:extLst>
              <a:ext uri="{FF2B5EF4-FFF2-40B4-BE49-F238E27FC236}">
                <a16:creationId xmlns:a16="http://schemas.microsoft.com/office/drawing/2014/main" id="{C2A714DF-4B12-4159-BF51-B5E807463EAC}"/>
              </a:ext>
            </a:extLst>
          </xdr:cNvPr>
          <xdr:cNvCxnSpPr/>
        </xdr:nvCxnSpPr>
        <xdr:spPr>
          <a:xfrm flipH="1">
            <a:off x="4495798" y="5093494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4" name="Straight Arrow Connector 613">
            <a:extLst>
              <a:ext uri="{FF2B5EF4-FFF2-40B4-BE49-F238E27FC236}">
                <a16:creationId xmlns:a16="http://schemas.microsoft.com/office/drawing/2014/main" id="{F44C0E4C-2E8D-4BDF-BDC5-0F9268064594}"/>
              </a:ext>
            </a:extLst>
          </xdr:cNvPr>
          <xdr:cNvCxnSpPr/>
        </xdr:nvCxnSpPr>
        <xdr:spPr>
          <a:xfrm>
            <a:off x="647701" y="4976337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" name="Straight Arrow Connector 614">
            <a:extLst>
              <a:ext uri="{FF2B5EF4-FFF2-40B4-BE49-F238E27FC236}">
                <a16:creationId xmlns:a16="http://schemas.microsoft.com/office/drawing/2014/main" id="{B5B00319-D15A-4478-9557-1ED96C2C0070}"/>
              </a:ext>
            </a:extLst>
          </xdr:cNvPr>
          <xdr:cNvCxnSpPr/>
        </xdr:nvCxnSpPr>
        <xdr:spPr>
          <a:xfrm>
            <a:off x="809627" y="4975860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6" name="Straight Arrow Connector 615">
            <a:extLst>
              <a:ext uri="{FF2B5EF4-FFF2-40B4-BE49-F238E27FC236}">
                <a16:creationId xmlns:a16="http://schemas.microsoft.com/office/drawing/2014/main" id="{B90CD9B3-59C1-4983-8664-4F97F81AB4CA}"/>
              </a:ext>
            </a:extLst>
          </xdr:cNvPr>
          <xdr:cNvCxnSpPr/>
        </xdr:nvCxnSpPr>
        <xdr:spPr>
          <a:xfrm>
            <a:off x="971552" y="4976337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7" name="Straight Arrow Connector 616">
            <a:extLst>
              <a:ext uri="{FF2B5EF4-FFF2-40B4-BE49-F238E27FC236}">
                <a16:creationId xmlns:a16="http://schemas.microsoft.com/office/drawing/2014/main" id="{159DCFD8-EDCA-4544-8E18-1A5401B6F81D}"/>
              </a:ext>
            </a:extLst>
          </xdr:cNvPr>
          <xdr:cNvCxnSpPr/>
        </xdr:nvCxnSpPr>
        <xdr:spPr>
          <a:xfrm>
            <a:off x="1133478" y="4976337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8" name="Straight Arrow Connector 617">
            <a:extLst>
              <a:ext uri="{FF2B5EF4-FFF2-40B4-BE49-F238E27FC236}">
                <a16:creationId xmlns:a16="http://schemas.microsoft.com/office/drawing/2014/main" id="{AD9D8917-0448-4AC4-9FAB-63B554BD6273}"/>
              </a:ext>
            </a:extLst>
          </xdr:cNvPr>
          <xdr:cNvCxnSpPr/>
        </xdr:nvCxnSpPr>
        <xdr:spPr>
          <a:xfrm>
            <a:off x="1295401" y="4975860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9" name="Straight Arrow Connector 618">
            <a:extLst>
              <a:ext uri="{FF2B5EF4-FFF2-40B4-BE49-F238E27FC236}">
                <a16:creationId xmlns:a16="http://schemas.microsoft.com/office/drawing/2014/main" id="{E39E46C2-61BA-4630-8093-86AB1670E5C5}"/>
              </a:ext>
            </a:extLst>
          </xdr:cNvPr>
          <xdr:cNvCxnSpPr/>
        </xdr:nvCxnSpPr>
        <xdr:spPr>
          <a:xfrm>
            <a:off x="1457327" y="4975860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0" name="Straight Arrow Connector 619">
            <a:extLst>
              <a:ext uri="{FF2B5EF4-FFF2-40B4-BE49-F238E27FC236}">
                <a16:creationId xmlns:a16="http://schemas.microsoft.com/office/drawing/2014/main" id="{0B546ADD-05CE-4179-92C9-F5C9CE29A538}"/>
              </a:ext>
            </a:extLst>
          </xdr:cNvPr>
          <xdr:cNvCxnSpPr/>
        </xdr:nvCxnSpPr>
        <xdr:spPr>
          <a:xfrm>
            <a:off x="1619252" y="4975860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1" name="Straight Arrow Connector 620">
            <a:extLst>
              <a:ext uri="{FF2B5EF4-FFF2-40B4-BE49-F238E27FC236}">
                <a16:creationId xmlns:a16="http://schemas.microsoft.com/office/drawing/2014/main" id="{E82E6EFF-22E1-4478-8CD3-4315502A4DD6}"/>
              </a:ext>
            </a:extLst>
          </xdr:cNvPr>
          <xdr:cNvCxnSpPr/>
        </xdr:nvCxnSpPr>
        <xdr:spPr>
          <a:xfrm>
            <a:off x="1781178" y="4975860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2" name="Straight Arrow Connector 621">
            <a:extLst>
              <a:ext uri="{FF2B5EF4-FFF2-40B4-BE49-F238E27FC236}">
                <a16:creationId xmlns:a16="http://schemas.microsoft.com/office/drawing/2014/main" id="{23B50D29-1D0E-4913-B59A-DA4E9BC1CB6E}"/>
              </a:ext>
            </a:extLst>
          </xdr:cNvPr>
          <xdr:cNvCxnSpPr/>
        </xdr:nvCxnSpPr>
        <xdr:spPr>
          <a:xfrm>
            <a:off x="1943099" y="4976337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3" name="Straight Arrow Connector 622">
            <a:extLst>
              <a:ext uri="{FF2B5EF4-FFF2-40B4-BE49-F238E27FC236}">
                <a16:creationId xmlns:a16="http://schemas.microsoft.com/office/drawing/2014/main" id="{D25C7495-578E-4B82-B034-E6948D4FD47E}"/>
              </a:ext>
            </a:extLst>
          </xdr:cNvPr>
          <xdr:cNvCxnSpPr/>
        </xdr:nvCxnSpPr>
        <xdr:spPr>
          <a:xfrm>
            <a:off x="2105025" y="4975860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4" name="Straight Arrow Connector 623">
            <a:extLst>
              <a:ext uri="{FF2B5EF4-FFF2-40B4-BE49-F238E27FC236}">
                <a16:creationId xmlns:a16="http://schemas.microsoft.com/office/drawing/2014/main" id="{D1BA7C4A-F865-4A27-BCAD-8EE24BD6CD18}"/>
              </a:ext>
            </a:extLst>
          </xdr:cNvPr>
          <xdr:cNvCxnSpPr/>
        </xdr:nvCxnSpPr>
        <xdr:spPr>
          <a:xfrm>
            <a:off x="2266950" y="4976337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5" name="Straight Arrow Connector 624">
            <a:extLst>
              <a:ext uri="{FF2B5EF4-FFF2-40B4-BE49-F238E27FC236}">
                <a16:creationId xmlns:a16="http://schemas.microsoft.com/office/drawing/2014/main" id="{E7179C1C-BA6E-497E-8295-52072828D86F}"/>
              </a:ext>
            </a:extLst>
          </xdr:cNvPr>
          <xdr:cNvCxnSpPr/>
        </xdr:nvCxnSpPr>
        <xdr:spPr>
          <a:xfrm>
            <a:off x="2428876" y="4976337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6" name="Straight Arrow Connector 625">
            <a:extLst>
              <a:ext uri="{FF2B5EF4-FFF2-40B4-BE49-F238E27FC236}">
                <a16:creationId xmlns:a16="http://schemas.microsoft.com/office/drawing/2014/main" id="{FB0D76E5-360F-4FFA-9F57-D9A3FCD90C78}"/>
              </a:ext>
            </a:extLst>
          </xdr:cNvPr>
          <xdr:cNvCxnSpPr/>
        </xdr:nvCxnSpPr>
        <xdr:spPr>
          <a:xfrm>
            <a:off x="2590799" y="4975861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" name="Straight Arrow Connector 626">
            <a:extLst>
              <a:ext uri="{FF2B5EF4-FFF2-40B4-BE49-F238E27FC236}">
                <a16:creationId xmlns:a16="http://schemas.microsoft.com/office/drawing/2014/main" id="{DC9071DF-BE1E-4EAC-A616-4A14848F241B}"/>
              </a:ext>
            </a:extLst>
          </xdr:cNvPr>
          <xdr:cNvCxnSpPr/>
        </xdr:nvCxnSpPr>
        <xdr:spPr>
          <a:xfrm>
            <a:off x="2752725" y="4975861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8" name="Straight Arrow Connector 627">
            <a:extLst>
              <a:ext uri="{FF2B5EF4-FFF2-40B4-BE49-F238E27FC236}">
                <a16:creationId xmlns:a16="http://schemas.microsoft.com/office/drawing/2014/main" id="{D432F819-58F1-40DC-8E61-78604EE7E812}"/>
              </a:ext>
            </a:extLst>
          </xdr:cNvPr>
          <xdr:cNvCxnSpPr/>
        </xdr:nvCxnSpPr>
        <xdr:spPr>
          <a:xfrm>
            <a:off x="2914650" y="4975861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9" name="Straight Arrow Connector 628">
            <a:extLst>
              <a:ext uri="{FF2B5EF4-FFF2-40B4-BE49-F238E27FC236}">
                <a16:creationId xmlns:a16="http://schemas.microsoft.com/office/drawing/2014/main" id="{16D0CA8E-1837-4156-9F2F-771B868BEAE7}"/>
              </a:ext>
            </a:extLst>
          </xdr:cNvPr>
          <xdr:cNvCxnSpPr/>
        </xdr:nvCxnSpPr>
        <xdr:spPr>
          <a:xfrm>
            <a:off x="3076576" y="4975861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" name="Straight Arrow Connector 629">
            <a:extLst>
              <a:ext uri="{FF2B5EF4-FFF2-40B4-BE49-F238E27FC236}">
                <a16:creationId xmlns:a16="http://schemas.microsoft.com/office/drawing/2014/main" id="{EDF9A9FC-599D-40EB-9C39-C086E5E572BE}"/>
              </a:ext>
            </a:extLst>
          </xdr:cNvPr>
          <xdr:cNvCxnSpPr/>
        </xdr:nvCxnSpPr>
        <xdr:spPr>
          <a:xfrm>
            <a:off x="3238500" y="4976337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1" name="Straight Arrow Connector 630">
            <a:extLst>
              <a:ext uri="{FF2B5EF4-FFF2-40B4-BE49-F238E27FC236}">
                <a16:creationId xmlns:a16="http://schemas.microsoft.com/office/drawing/2014/main" id="{9F8ADCF9-EBC9-4C2E-A828-D0D5D9965737}"/>
              </a:ext>
            </a:extLst>
          </xdr:cNvPr>
          <xdr:cNvCxnSpPr/>
        </xdr:nvCxnSpPr>
        <xdr:spPr>
          <a:xfrm>
            <a:off x="3400425" y="4976337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2" name="Straight Arrow Connector 631">
            <a:extLst>
              <a:ext uri="{FF2B5EF4-FFF2-40B4-BE49-F238E27FC236}">
                <a16:creationId xmlns:a16="http://schemas.microsoft.com/office/drawing/2014/main" id="{5CC1DEDF-E942-4F39-89CA-DCE26533E6E6}"/>
              </a:ext>
            </a:extLst>
          </xdr:cNvPr>
          <xdr:cNvCxnSpPr/>
        </xdr:nvCxnSpPr>
        <xdr:spPr>
          <a:xfrm>
            <a:off x="3562351" y="4976337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3" name="Straight Arrow Connector 632">
            <a:extLst>
              <a:ext uri="{FF2B5EF4-FFF2-40B4-BE49-F238E27FC236}">
                <a16:creationId xmlns:a16="http://schemas.microsoft.com/office/drawing/2014/main" id="{02E78E21-7E67-4696-B134-7B190816D827}"/>
              </a:ext>
            </a:extLst>
          </xdr:cNvPr>
          <xdr:cNvCxnSpPr/>
        </xdr:nvCxnSpPr>
        <xdr:spPr>
          <a:xfrm>
            <a:off x="3724274" y="4976337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4" name="Straight Arrow Connector 633">
            <a:extLst>
              <a:ext uri="{FF2B5EF4-FFF2-40B4-BE49-F238E27FC236}">
                <a16:creationId xmlns:a16="http://schemas.microsoft.com/office/drawing/2014/main" id="{99B2E98A-7920-4F33-8951-FAC81524D557}"/>
              </a:ext>
            </a:extLst>
          </xdr:cNvPr>
          <xdr:cNvCxnSpPr/>
        </xdr:nvCxnSpPr>
        <xdr:spPr>
          <a:xfrm>
            <a:off x="3886200" y="4976337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5" name="Straight Arrow Connector 634">
            <a:extLst>
              <a:ext uri="{FF2B5EF4-FFF2-40B4-BE49-F238E27FC236}">
                <a16:creationId xmlns:a16="http://schemas.microsoft.com/office/drawing/2014/main" id="{D1AA8796-C653-4C12-977E-20F4B222F8A9}"/>
              </a:ext>
            </a:extLst>
          </xdr:cNvPr>
          <xdr:cNvCxnSpPr/>
        </xdr:nvCxnSpPr>
        <xdr:spPr>
          <a:xfrm>
            <a:off x="4048125" y="4976337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Straight Arrow Connector 635">
            <a:extLst>
              <a:ext uri="{FF2B5EF4-FFF2-40B4-BE49-F238E27FC236}">
                <a16:creationId xmlns:a16="http://schemas.microsoft.com/office/drawing/2014/main" id="{68EF1ECB-9036-4B0F-BB6E-2BEB189546A6}"/>
              </a:ext>
            </a:extLst>
          </xdr:cNvPr>
          <xdr:cNvCxnSpPr/>
        </xdr:nvCxnSpPr>
        <xdr:spPr>
          <a:xfrm>
            <a:off x="4210051" y="49763372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7" name="Straight Arrow Connector 636">
            <a:extLst>
              <a:ext uri="{FF2B5EF4-FFF2-40B4-BE49-F238E27FC236}">
                <a16:creationId xmlns:a16="http://schemas.microsoft.com/office/drawing/2014/main" id="{0BA6BB62-44E0-4ED8-97F0-06C38D93320E}"/>
              </a:ext>
            </a:extLst>
          </xdr:cNvPr>
          <xdr:cNvCxnSpPr/>
        </xdr:nvCxnSpPr>
        <xdr:spPr>
          <a:xfrm>
            <a:off x="4371978" y="4976336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8" name="Straight Arrow Connector 637">
            <a:extLst>
              <a:ext uri="{FF2B5EF4-FFF2-40B4-BE49-F238E27FC236}">
                <a16:creationId xmlns:a16="http://schemas.microsoft.com/office/drawing/2014/main" id="{01CD90AD-F25A-4896-AD61-1F20B40DF861}"/>
              </a:ext>
            </a:extLst>
          </xdr:cNvPr>
          <xdr:cNvCxnSpPr/>
        </xdr:nvCxnSpPr>
        <xdr:spPr>
          <a:xfrm>
            <a:off x="4533904" y="4976336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9" name="Straight Connector 638">
            <a:extLst>
              <a:ext uri="{FF2B5EF4-FFF2-40B4-BE49-F238E27FC236}">
                <a16:creationId xmlns:a16="http://schemas.microsoft.com/office/drawing/2014/main" id="{F9B15460-1B21-412A-9EC5-1581720DE143}"/>
              </a:ext>
            </a:extLst>
          </xdr:cNvPr>
          <xdr:cNvCxnSpPr/>
        </xdr:nvCxnSpPr>
        <xdr:spPr>
          <a:xfrm>
            <a:off x="647700" y="49758606"/>
            <a:ext cx="38909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95258</xdr:colOff>
      <xdr:row>225</xdr:row>
      <xdr:rowOff>1</xdr:rowOff>
    </xdr:from>
    <xdr:to>
      <xdr:col>28</xdr:col>
      <xdr:colOff>57150</xdr:colOff>
      <xdr:row>225</xdr:row>
      <xdr:rowOff>1</xdr:rowOff>
    </xdr:to>
    <xdr:cxnSp macro="">
      <xdr:nvCxnSpPr>
        <xdr:cNvPr id="470" name="Straight Connector 469">
          <a:extLst>
            <a:ext uri="{FF2B5EF4-FFF2-40B4-BE49-F238E27FC236}">
              <a16:creationId xmlns:a16="http://schemas.microsoft.com/office/drawing/2014/main" id="{C477C350-31E2-B9DA-B3A8-ACA650B43C4A}"/>
            </a:ext>
          </a:extLst>
        </xdr:cNvPr>
        <xdr:cNvCxnSpPr/>
      </xdr:nvCxnSpPr>
      <xdr:spPr>
        <a:xfrm>
          <a:off x="581033" y="16087726"/>
          <a:ext cx="401001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4763</xdr:colOff>
      <xdr:row>216</xdr:row>
      <xdr:rowOff>0</xdr:rowOff>
    </xdr:from>
    <xdr:to>
      <xdr:col>28</xdr:col>
      <xdr:colOff>0</xdr:colOff>
      <xdr:row>221</xdr:row>
      <xdr:rowOff>0</xdr:rowOff>
    </xdr:to>
    <xdr:sp macro="" textlink="">
      <xdr:nvSpPr>
        <xdr:cNvPr id="487" name="Freeform: Shape 486">
          <a:extLst>
            <a:ext uri="{FF2B5EF4-FFF2-40B4-BE49-F238E27FC236}">
              <a16:creationId xmlns:a16="http://schemas.microsoft.com/office/drawing/2014/main" id="{59F58B98-2FBE-24AC-D050-7035EB055EAC}"/>
            </a:ext>
          </a:extLst>
        </xdr:cNvPr>
        <xdr:cNvSpPr/>
      </xdr:nvSpPr>
      <xdr:spPr>
        <a:xfrm>
          <a:off x="652463" y="14801850"/>
          <a:ext cx="3881437" cy="714375"/>
        </a:xfrm>
        <a:custGeom>
          <a:avLst/>
          <a:gdLst>
            <a:gd name="connsiteX0" fmla="*/ 804862 w 3881437"/>
            <a:gd name="connsiteY0" fmla="*/ 714375 h 714375"/>
            <a:gd name="connsiteX1" fmla="*/ 0 w 3881437"/>
            <a:gd name="connsiteY1" fmla="*/ 714375 h 714375"/>
            <a:gd name="connsiteX2" fmla="*/ 0 w 3881437"/>
            <a:gd name="connsiteY2" fmla="*/ 0 h 714375"/>
            <a:gd name="connsiteX3" fmla="*/ 3881437 w 3881437"/>
            <a:gd name="connsiteY3" fmla="*/ 0 h 714375"/>
            <a:gd name="connsiteX4" fmla="*/ 3881437 w 3881437"/>
            <a:gd name="connsiteY4" fmla="*/ 423862 h 714375"/>
            <a:gd name="connsiteX5" fmla="*/ 804862 w 3881437"/>
            <a:gd name="connsiteY5" fmla="*/ 423862 h 714375"/>
            <a:gd name="connsiteX6" fmla="*/ 804862 w 3881437"/>
            <a:gd name="connsiteY6" fmla="*/ 714375 h 7143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81437" h="714375">
              <a:moveTo>
                <a:pt x="804862" y="714375"/>
              </a:moveTo>
              <a:lnTo>
                <a:pt x="0" y="714375"/>
              </a:lnTo>
              <a:lnTo>
                <a:pt x="0" y="0"/>
              </a:lnTo>
              <a:lnTo>
                <a:pt x="3881437" y="0"/>
              </a:lnTo>
              <a:lnTo>
                <a:pt x="3881437" y="423862"/>
              </a:lnTo>
              <a:lnTo>
                <a:pt x="804862" y="423862"/>
              </a:lnTo>
              <a:cubicBezTo>
                <a:pt x="803275" y="520700"/>
                <a:pt x="801687" y="617537"/>
                <a:pt x="804862" y="714375"/>
              </a:cubicBezTo>
              <a:close/>
            </a:path>
          </a:pathLst>
        </a:custGeom>
        <a:solidFill>
          <a:schemeClr val="bg1">
            <a:lumMod val="9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tr-T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221</xdr:row>
      <xdr:rowOff>71438</xdr:rowOff>
    </xdr:from>
    <xdr:to>
      <xdr:col>4</xdr:col>
      <xdr:colOff>0</xdr:colOff>
      <xdr:row>225</xdr:row>
      <xdr:rowOff>61913</xdr:rowOff>
    </xdr:to>
    <xdr:cxnSp macro="">
      <xdr:nvCxnSpPr>
        <xdr:cNvPr id="489" name="Straight Connector 488">
          <a:extLst>
            <a:ext uri="{FF2B5EF4-FFF2-40B4-BE49-F238E27FC236}">
              <a16:creationId xmlns:a16="http://schemas.microsoft.com/office/drawing/2014/main" id="{00C8E105-2F59-B1A9-7151-C01FEDDD07FC}"/>
            </a:ext>
          </a:extLst>
        </xdr:cNvPr>
        <xdr:cNvCxnSpPr/>
      </xdr:nvCxnSpPr>
      <xdr:spPr>
        <a:xfrm>
          <a:off x="647700" y="15587663"/>
          <a:ext cx="0" cy="561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123826</xdr:colOff>
      <xdr:row>222</xdr:row>
      <xdr:rowOff>109538</xdr:rowOff>
    </xdr:from>
    <xdr:to>
      <xdr:col>4</xdr:col>
      <xdr:colOff>33338</xdr:colOff>
      <xdr:row>223</xdr:row>
      <xdr:rowOff>38100</xdr:rowOff>
    </xdr:to>
    <xdr:cxnSp macro="">
      <xdr:nvCxnSpPr>
        <xdr:cNvPr id="491" name="Straight Connector 490">
          <a:extLst>
            <a:ext uri="{FF2B5EF4-FFF2-40B4-BE49-F238E27FC236}">
              <a16:creationId xmlns:a16="http://schemas.microsoft.com/office/drawing/2014/main" id="{80107682-F43B-95E2-069A-0B454943A2D5}"/>
            </a:ext>
          </a:extLst>
        </xdr:cNvPr>
        <xdr:cNvCxnSpPr/>
      </xdr:nvCxnSpPr>
      <xdr:spPr>
        <a:xfrm flipH="1">
          <a:off x="609601" y="15768638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123822</xdr:colOff>
      <xdr:row>224</xdr:row>
      <xdr:rowOff>109540</xdr:rowOff>
    </xdr:from>
    <xdr:to>
      <xdr:col>4</xdr:col>
      <xdr:colOff>33334</xdr:colOff>
      <xdr:row>225</xdr:row>
      <xdr:rowOff>38102</xdr:rowOff>
    </xdr:to>
    <xdr:cxnSp macro="">
      <xdr:nvCxnSpPr>
        <xdr:cNvPr id="584" name="Straight Connector 583">
          <a:extLst>
            <a:ext uri="{FF2B5EF4-FFF2-40B4-BE49-F238E27FC236}">
              <a16:creationId xmlns:a16="http://schemas.microsoft.com/office/drawing/2014/main" id="{E088D6AA-BEA6-63E6-0BB9-578703701772}"/>
            </a:ext>
          </a:extLst>
        </xdr:cNvPr>
        <xdr:cNvCxnSpPr/>
      </xdr:nvCxnSpPr>
      <xdr:spPr>
        <a:xfrm flipH="1">
          <a:off x="609597" y="16054390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123827</xdr:colOff>
      <xdr:row>222</xdr:row>
      <xdr:rowOff>109541</xdr:rowOff>
    </xdr:from>
    <xdr:to>
      <xdr:col>9</xdr:col>
      <xdr:colOff>33339</xdr:colOff>
      <xdr:row>223</xdr:row>
      <xdr:rowOff>38103</xdr:rowOff>
    </xdr:to>
    <xdr:cxnSp macro="">
      <xdr:nvCxnSpPr>
        <xdr:cNvPr id="585" name="Straight Connector 584">
          <a:extLst>
            <a:ext uri="{FF2B5EF4-FFF2-40B4-BE49-F238E27FC236}">
              <a16:creationId xmlns:a16="http://schemas.microsoft.com/office/drawing/2014/main" id="{E486A441-263E-C1D4-8C0D-48974E1EB3DD}"/>
            </a:ext>
          </a:extLst>
        </xdr:cNvPr>
        <xdr:cNvCxnSpPr/>
      </xdr:nvCxnSpPr>
      <xdr:spPr>
        <a:xfrm flipH="1">
          <a:off x="1419227" y="15768641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90494</xdr:colOff>
      <xdr:row>223</xdr:row>
      <xdr:rowOff>1</xdr:rowOff>
    </xdr:from>
    <xdr:to>
      <xdr:col>28</xdr:col>
      <xdr:colOff>57150</xdr:colOff>
      <xdr:row>223</xdr:row>
      <xdr:rowOff>1</xdr:rowOff>
    </xdr:to>
    <xdr:cxnSp macro="">
      <xdr:nvCxnSpPr>
        <xdr:cNvPr id="587" name="Straight Connector 586">
          <a:extLst>
            <a:ext uri="{FF2B5EF4-FFF2-40B4-BE49-F238E27FC236}">
              <a16:creationId xmlns:a16="http://schemas.microsoft.com/office/drawing/2014/main" id="{27647062-DB98-EBB4-2E53-A0D60897BA75}"/>
            </a:ext>
          </a:extLst>
        </xdr:cNvPr>
        <xdr:cNvCxnSpPr/>
      </xdr:nvCxnSpPr>
      <xdr:spPr>
        <a:xfrm>
          <a:off x="576269" y="15801976"/>
          <a:ext cx="40147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221</xdr:row>
      <xdr:rowOff>61913</xdr:rowOff>
    </xdr:from>
    <xdr:to>
      <xdr:col>9</xdr:col>
      <xdr:colOff>0</xdr:colOff>
      <xdr:row>223</xdr:row>
      <xdr:rowOff>76198</xdr:rowOff>
    </xdr:to>
    <xdr:cxnSp macro="">
      <xdr:nvCxnSpPr>
        <xdr:cNvPr id="588" name="Straight Connector 587">
          <a:extLst>
            <a:ext uri="{FF2B5EF4-FFF2-40B4-BE49-F238E27FC236}">
              <a16:creationId xmlns:a16="http://schemas.microsoft.com/office/drawing/2014/main" id="{468629B1-5648-0798-C7C4-5A2EABFA8CAC}"/>
            </a:ext>
          </a:extLst>
        </xdr:cNvPr>
        <xdr:cNvCxnSpPr/>
      </xdr:nvCxnSpPr>
      <xdr:spPr>
        <a:xfrm>
          <a:off x="1457325" y="15578138"/>
          <a:ext cx="0" cy="3000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</xdr:colOff>
      <xdr:row>219</xdr:row>
      <xdr:rowOff>76200</xdr:rowOff>
    </xdr:from>
    <xdr:to>
      <xdr:col>28</xdr:col>
      <xdr:colOff>2</xdr:colOff>
      <xdr:row>225</xdr:row>
      <xdr:rowOff>61912</xdr:rowOff>
    </xdr:to>
    <xdr:cxnSp macro="">
      <xdr:nvCxnSpPr>
        <xdr:cNvPr id="590" name="Straight Connector 589">
          <a:extLst>
            <a:ext uri="{FF2B5EF4-FFF2-40B4-BE49-F238E27FC236}">
              <a16:creationId xmlns:a16="http://schemas.microsoft.com/office/drawing/2014/main" id="{5C92CA74-707C-3D5B-E2CD-B8540275B962}"/>
            </a:ext>
          </a:extLst>
        </xdr:cNvPr>
        <xdr:cNvCxnSpPr/>
      </xdr:nvCxnSpPr>
      <xdr:spPr>
        <a:xfrm>
          <a:off x="4533902" y="15306675"/>
          <a:ext cx="0" cy="842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123824</xdr:colOff>
      <xdr:row>224</xdr:row>
      <xdr:rowOff>109539</xdr:rowOff>
    </xdr:from>
    <xdr:to>
      <xdr:col>28</xdr:col>
      <xdr:colOff>33336</xdr:colOff>
      <xdr:row>225</xdr:row>
      <xdr:rowOff>38101</xdr:rowOff>
    </xdr:to>
    <xdr:cxnSp macro="">
      <xdr:nvCxnSpPr>
        <xdr:cNvPr id="591" name="Straight Connector 590">
          <a:extLst>
            <a:ext uri="{FF2B5EF4-FFF2-40B4-BE49-F238E27FC236}">
              <a16:creationId xmlns:a16="http://schemas.microsoft.com/office/drawing/2014/main" id="{77C512E5-AE07-FF42-C517-635D724104D5}"/>
            </a:ext>
          </a:extLst>
        </xdr:cNvPr>
        <xdr:cNvCxnSpPr/>
      </xdr:nvCxnSpPr>
      <xdr:spPr>
        <a:xfrm flipH="1">
          <a:off x="4495799" y="16054389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123823</xdr:colOff>
      <xdr:row>222</xdr:row>
      <xdr:rowOff>109540</xdr:rowOff>
    </xdr:from>
    <xdr:to>
      <xdr:col>28</xdr:col>
      <xdr:colOff>33335</xdr:colOff>
      <xdr:row>223</xdr:row>
      <xdr:rowOff>38102</xdr:rowOff>
    </xdr:to>
    <xdr:cxnSp macro="">
      <xdr:nvCxnSpPr>
        <xdr:cNvPr id="592" name="Straight Connector 591">
          <a:extLst>
            <a:ext uri="{FF2B5EF4-FFF2-40B4-BE49-F238E27FC236}">
              <a16:creationId xmlns:a16="http://schemas.microsoft.com/office/drawing/2014/main" id="{BBB31323-B235-BCB0-2EAD-2A5C95850373}"/>
            </a:ext>
          </a:extLst>
        </xdr:cNvPr>
        <xdr:cNvCxnSpPr/>
      </xdr:nvCxnSpPr>
      <xdr:spPr>
        <a:xfrm flipH="1">
          <a:off x="4495798" y="15768640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</xdr:colOff>
      <xdr:row>213</xdr:row>
      <xdr:rowOff>33338</xdr:rowOff>
    </xdr:from>
    <xdr:to>
      <xdr:col>16</xdr:col>
      <xdr:colOff>2</xdr:colOff>
      <xdr:row>215</xdr:row>
      <xdr:rowOff>133352</xdr:rowOff>
    </xdr:to>
    <xdr:cxnSp macro="">
      <xdr:nvCxnSpPr>
        <xdr:cNvPr id="375" name="Straight Arrow Connector 374">
          <a:extLst>
            <a:ext uri="{FF2B5EF4-FFF2-40B4-BE49-F238E27FC236}">
              <a16:creationId xmlns:a16="http://schemas.microsoft.com/office/drawing/2014/main" id="{4FA14BC0-1D7C-457C-A0AF-9207EB333226}"/>
            </a:ext>
          </a:extLst>
        </xdr:cNvPr>
        <xdr:cNvCxnSpPr/>
      </xdr:nvCxnSpPr>
      <xdr:spPr>
        <a:xfrm>
          <a:off x="2590802" y="14406563"/>
          <a:ext cx="0" cy="385764"/>
        </a:xfrm>
        <a:prstGeom prst="straightConnector1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213</xdr:row>
      <xdr:rowOff>66675</xdr:rowOff>
    </xdr:from>
    <xdr:to>
      <xdr:col>4</xdr:col>
      <xdr:colOff>0</xdr:colOff>
      <xdr:row>215</xdr:row>
      <xdr:rowOff>100014</xdr:rowOff>
    </xdr:to>
    <xdr:cxnSp macro="">
      <xdr:nvCxnSpPr>
        <xdr:cNvPr id="376" name="Straight Connector 375">
          <a:extLst>
            <a:ext uri="{FF2B5EF4-FFF2-40B4-BE49-F238E27FC236}">
              <a16:creationId xmlns:a16="http://schemas.microsoft.com/office/drawing/2014/main" id="{79D27733-55EE-44F4-A63B-960102EB8AB6}"/>
            </a:ext>
          </a:extLst>
        </xdr:cNvPr>
        <xdr:cNvCxnSpPr/>
      </xdr:nvCxnSpPr>
      <xdr:spPr>
        <a:xfrm>
          <a:off x="647700" y="14439900"/>
          <a:ext cx="0" cy="3190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95253</xdr:colOff>
      <xdr:row>214</xdr:row>
      <xdr:rowOff>1</xdr:rowOff>
    </xdr:from>
    <xdr:to>
      <xdr:col>16</xdr:col>
      <xdr:colOff>57150</xdr:colOff>
      <xdr:row>214</xdr:row>
      <xdr:rowOff>1</xdr:rowOff>
    </xdr:to>
    <xdr:cxnSp macro="">
      <xdr:nvCxnSpPr>
        <xdr:cNvPr id="377" name="Straight Connector 376">
          <a:extLst>
            <a:ext uri="{FF2B5EF4-FFF2-40B4-BE49-F238E27FC236}">
              <a16:creationId xmlns:a16="http://schemas.microsoft.com/office/drawing/2014/main" id="{096E631B-39B9-4936-B30C-191D944D891F}"/>
            </a:ext>
          </a:extLst>
        </xdr:cNvPr>
        <xdr:cNvCxnSpPr/>
      </xdr:nvCxnSpPr>
      <xdr:spPr>
        <a:xfrm>
          <a:off x="581028" y="14516101"/>
          <a:ext cx="20669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119062</xdr:colOff>
      <xdr:row>213</xdr:row>
      <xdr:rowOff>104775</xdr:rowOff>
    </xdr:from>
    <xdr:to>
      <xdr:col>4</xdr:col>
      <xdr:colOff>38099</xdr:colOff>
      <xdr:row>214</xdr:row>
      <xdr:rowOff>42862</xdr:rowOff>
    </xdr:to>
    <xdr:cxnSp macro="">
      <xdr:nvCxnSpPr>
        <xdr:cNvPr id="378" name="Straight Connector 377">
          <a:extLst>
            <a:ext uri="{FF2B5EF4-FFF2-40B4-BE49-F238E27FC236}">
              <a16:creationId xmlns:a16="http://schemas.microsoft.com/office/drawing/2014/main" id="{16F3A1A0-3FEC-4210-BB4B-A710001E1D19}"/>
            </a:ext>
          </a:extLst>
        </xdr:cNvPr>
        <xdr:cNvCxnSpPr/>
      </xdr:nvCxnSpPr>
      <xdr:spPr>
        <a:xfrm flipH="1">
          <a:off x="604837" y="1447800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119061</xdr:colOff>
      <xdr:row>213</xdr:row>
      <xdr:rowOff>104775</xdr:rowOff>
    </xdr:from>
    <xdr:to>
      <xdr:col>16</xdr:col>
      <xdr:colOff>38098</xdr:colOff>
      <xdr:row>214</xdr:row>
      <xdr:rowOff>42862</xdr:rowOff>
    </xdr:to>
    <xdr:cxnSp macro="">
      <xdr:nvCxnSpPr>
        <xdr:cNvPr id="379" name="Straight Connector 378">
          <a:extLst>
            <a:ext uri="{FF2B5EF4-FFF2-40B4-BE49-F238E27FC236}">
              <a16:creationId xmlns:a16="http://schemas.microsoft.com/office/drawing/2014/main" id="{D3357B02-3E87-485C-B8C5-C0C984080926}"/>
            </a:ext>
          </a:extLst>
        </xdr:cNvPr>
        <xdr:cNvCxnSpPr/>
      </xdr:nvCxnSpPr>
      <xdr:spPr>
        <a:xfrm flipH="1">
          <a:off x="2547936" y="1447800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90491</xdr:colOff>
      <xdr:row>21</xdr:row>
      <xdr:rowOff>57150</xdr:rowOff>
    </xdr:from>
    <xdr:to>
      <xdr:col>28</xdr:col>
      <xdr:colOff>57150</xdr:colOff>
      <xdr:row>33</xdr:row>
      <xdr:rowOff>71439</xdr:rowOff>
    </xdr:to>
    <xdr:grpSp>
      <xdr:nvGrpSpPr>
        <xdr:cNvPr id="468" name="Group 467">
          <a:extLst>
            <a:ext uri="{FF2B5EF4-FFF2-40B4-BE49-F238E27FC236}">
              <a16:creationId xmlns:a16="http://schemas.microsoft.com/office/drawing/2014/main" id="{715A7953-F531-43A4-9E47-DFCFE4F2CE37}"/>
            </a:ext>
          </a:extLst>
        </xdr:cNvPr>
        <xdr:cNvGrpSpPr/>
      </xdr:nvGrpSpPr>
      <xdr:grpSpPr>
        <a:xfrm>
          <a:off x="576266" y="4057650"/>
          <a:ext cx="4014784" cy="1728789"/>
          <a:chOff x="738191" y="485775"/>
          <a:chExt cx="4014784" cy="1728789"/>
        </a:xfrm>
      </xdr:grpSpPr>
      <xdr:cxnSp macro="">
        <xdr:nvCxnSpPr>
          <xdr:cNvPr id="593" name="Straight Connector 592">
            <a:extLst>
              <a:ext uri="{FF2B5EF4-FFF2-40B4-BE49-F238E27FC236}">
                <a16:creationId xmlns:a16="http://schemas.microsoft.com/office/drawing/2014/main" id="{9B7B183B-870E-4B47-8783-BABC4A40534E}"/>
              </a:ext>
            </a:extLst>
          </xdr:cNvPr>
          <xdr:cNvCxnSpPr/>
        </xdr:nvCxnSpPr>
        <xdr:spPr>
          <a:xfrm>
            <a:off x="809625" y="1647820"/>
            <a:ext cx="0" cy="56674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4" name="Straight Connector 593">
            <a:extLst>
              <a:ext uri="{FF2B5EF4-FFF2-40B4-BE49-F238E27FC236}">
                <a16:creationId xmlns:a16="http://schemas.microsoft.com/office/drawing/2014/main" id="{B69975E1-49FE-4BBF-0A34-D4C4B6C49CB2}"/>
              </a:ext>
            </a:extLst>
          </xdr:cNvPr>
          <xdr:cNvCxnSpPr/>
        </xdr:nvCxnSpPr>
        <xdr:spPr>
          <a:xfrm>
            <a:off x="738191" y="1857378"/>
            <a:ext cx="40100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0" name="Straight Connector 599">
            <a:extLst>
              <a:ext uri="{FF2B5EF4-FFF2-40B4-BE49-F238E27FC236}">
                <a16:creationId xmlns:a16="http://schemas.microsoft.com/office/drawing/2014/main" id="{D857CDD6-629C-FA96-53A6-08E5EDE7ED01}"/>
              </a:ext>
            </a:extLst>
          </xdr:cNvPr>
          <xdr:cNvCxnSpPr/>
        </xdr:nvCxnSpPr>
        <xdr:spPr>
          <a:xfrm>
            <a:off x="1619251" y="1181099"/>
            <a:ext cx="0" cy="7381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3" name="Straight Connector 602">
            <a:extLst>
              <a:ext uri="{FF2B5EF4-FFF2-40B4-BE49-F238E27FC236}">
                <a16:creationId xmlns:a16="http://schemas.microsoft.com/office/drawing/2014/main" id="{FC4ACDBD-3EE6-492E-19AF-0A382E68CF60}"/>
              </a:ext>
            </a:extLst>
          </xdr:cNvPr>
          <xdr:cNvCxnSpPr/>
        </xdr:nvCxnSpPr>
        <xdr:spPr>
          <a:xfrm flipH="1">
            <a:off x="771524" y="182403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5" name="Straight Connector 604">
            <a:extLst>
              <a:ext uri="{FF2B5EF4-FFF2-40B4-BE49-F238E27FC236}">
                <a16:creationId xmlns:a16="http://schemas.microsoft.com/office/drawing/2014/main" id="{17F0170A-F552-7FA1-3470-F1829B44B19B}"/>
              </a:ext>
            </a:extLst>
          </xdr:cNvPr>
          <xdr:cNvCxnSpPr/>
        </xdr:nvCxnSpPr>
        <xdr:spPr>
          <a:xfrm flipH="1">
            <a:off x="1581158" y="1824035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6" name="Straight Connector 605">
            <a:extLst>
              <a:ext uri="{FF2B5EF4-FFF2-40B4-BE49-F238E27FC236}">
                <a16:creationId xmlns:a16="http://schemas.microsoft.com/office/drawing/2014/main" id="{28D43695-B0F2-D974-10AA-EAEC6352CDD0}"/>
              </a:ext>
            </a:extLst>
          </xdr:cNvPr>
          <xdr:cNvCxnSpPr/>
        </xdr:nvCxnSpPr>
        <xdr:spPr>
          <a:xfrm>
            <a:off x="738191" y="2143128"/>
            <a:ext cx="401478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7" name="Straight Connector 606">
            <a:extLst>
              <a:ext uri="{FF2B5EF4-FFF2-40B4-BE49-F238E27FC236}">
                <a16:creationId xmlns:a16="http://schemas.microsoft.com/office/drawing/2014/main" id="{9D865822-30A8-5D01-D6CF-6755597A2890}"/>
              </a:ext>
            </a:extLst>
          </xdr:cNvPr>
          <xdr:cNvCxnSpPr/>
        </xdr:nvCxnSpPr>
        <xdr:spPr>
          <a:xfrm flipH="1">
            <a:off x="771524" y="2109788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0" name="Straight Connector 609">
            <a:extLst>
              <a:ext uri="{FF2B5EF4-FFF2-40B4-BE49-F238E27FC236}">
                <a16:creationId xmlns:a16="http://schemas.microsoft.com/office/drawing/2014/main" id="{5BD6F75B-1A62-2D0B-10FD-9DB02E74A314}"/>
              </a:ext>
            </a:extLst>
          </xdr:cNvPr>
          <xdr:cNvCxnSpPr/>
        </xdr:nvCxnSpPr>
        <xdr:spPr>
          <a:xfrm>
            <a:off x="4695829" y="1257300"/>
            <a:ext cx="0" cy="95726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1" name="Straight Connector 610">
            <a:extLst>
              <a:ext uri="{FF2B5EF4-FFF2-40B4-BE49-F238E27FC236}">
                <a16:creationId xmlns:a16="http://schemas.microsoft.com/office/drawing/2014/main" id="{A54EB0DC-0B42-A3EE-D31E-23F353995A95}"/>
              </a:ext>
            </a:extLst>
          </xdr:cNvPr>
          <xdr:cNvCxnSpPr/>
        </xdr:nvCxnSpPr>
        <xdr:spPr>
          <a:xfrm flipH="1">
            <a:off x="4657728" y="182404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2" name="Straight Connector 611">
            <a:extLst>
              <a:ext uri="{FF2B5EF4-FFF2-40B4-BE49-F238E27FC236}">
                <a16:creationId xmlns:a16="http://schemas.microsoft.com/office/drawing/2014/main" id="{239D6C04-5725-A1EA-74E2-DD75C6978324}"/>
              </a:ext>
            </a:extLst>
          </xdr:cNvPr>
          <xdr:cNvCxnSpPr/>
        </xdr:nvCxnSpPr>
        <xdr:spPr>
          <a:xfrm flipH="1">
            <a:off x="4657728" y="2109790"/>
            <a:ext cx="71437" cy="714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Arrow Connector 358">
            <a:extLst>
              <a:ext uri="{FF2B5EF4-FFF2-40B4-BE49-F238E27FC236}">
                <a16:creationId xmlns:a16="http://schemas.microsoft.com/office/drawing/2014/main" id="{04AD46A7-04AC-FF1D-657E-C3F47B2054C3}"/>
              </a:ext>
            </a:extLst>
          </xdr:cNvPr>
          <xdr:cNvCxnSpPr/>
        </xdr:nvCxnSpPr>
        <xdr:spPr>
          <a:xfrm>
            <a:off x="809626" y="490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Arrow Connector 359">
            <a:extLst>
              <a:ext uri="{FF2B5EF4-FFF2-40B4-BE49-F238E27FC236}">
                <a16:creationId xmlns:a16="http://schemas.microsoft.com/office/drawing/2014/main" id="{829FA2D8-71A8-CDC6-61E5-9BAF11FD621E}"/>
              </a:ext>
            </a:extLst>
          </xdr:cNvPr>
          <xdr:cNvCxnSpPr/>
        </xdr:nvCxnSpPr>
        <xdr:spPr>
          <a:xfrm>
            <a:off x="971552" y="48577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Straight Arrow Connector 360">
            <a:extLst>
              <a:ext uri="{FF2B5EF4-FFF2-40B4-BE49-F238E27FC236}">
                <a16:creationId xmlns:a16="http://schemas.microsoft.com/office/drawing/2014/main" id="{97A34C11-7923-FF10-D1C5-B37AC04A7EC7}"/>
              </a:ext>
            </a:extLst>
          </xdr:cNvPr>
          <xdr:cNvCxnSpPr/>
        </xdr:nvCxnSpPr>
        <xdr:spPr>
          <a:xfrm>
            <a:off x="1133477" y="490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Arrow Connector 361">
            <a:extLst>
              <a:ext uri="{FF2B5EF4-FFF2-40B4-BE49-F238E27FC236}">
                <a16:creationId xmlns:a16="http://schemas.microsoft.com/office/drawing/2014/main" id="{4F2FE869-0BB2-4A57-E1E4-0F3C6B084494}"/>
              </a:ext>
            </a:extLst>
          </xdr:cNvPr>
          <xdr:cNvCxnSpPr/>
        </xdr:nvCxnSpPr>
        <xdr:spPr>
          <a:xfrm>
            <a:off x="1295403" y="490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Arrow Connector 362">
            <a:extLst>
              <a:ext uri="{FF2B5EF4-FFF2-40B4-BE49-F238E27FC236}">
                <a16:creationId xmlns:a16="http://schemas.microsoft.com/office/drawing/2014/main" id="{A500F4FB-9BA6-FA22-8020-89EC59F4399D}"/>
              </a:ext>
            </a:extLst>
          </xdr:cNvPr>
          <xdr:cNvCxnSpPr/>
        </xdr:nvCxnSpPr>
        <xdr:spPr>
          <a:xfrm>
            <a:off x="1457326" y="485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Straight Arrow Connector 363">
            <a:extLst>
              <a:ext uri="{FF2B5EF4-FFF2-40B4-BE49-F238E27FC236}">
                <a16:creationId xmlns:a16="http://schemas.microsoft.com/office/drawing/2014/main" id="{7B03A84F-D2B6-1366-F9DC-10674B175DF5}"/>
              </a:ext>
            </a:extLst>
          </xdr:cNvPr>
          <xdr:cNvCxnSpPr/>
        </xdr:nvCxnSpPr>
        <xdr:spPr>
          <a:xfrm>
            <a:off x="1619252" y="485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Straight Arrow Connector 364">
            <a:extLst>
              <a:ext uri="{FF2B5EF4-FFF2-40B4-BE49-F238E27FC236}">
                <a16:creationId xmlns:a16="http://schemas.microsoft.com/office/drawing/2014/main" id="{1923FBB3-52DD-2E13-9B10-9EF549AA80BB}"/>
              </a:ext>
            </a:extLst>
          </xdr:cNvPr>
          <xdr:cNvCxnSpPr/>
        </xdr:nvCxnSpPr>
        <xdr:spPr>
          <a:xfrm>
            <a:off x="1781177" y="485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Straight Arrow Connector 365">
            <a:extLst>
              <a:ext uri="{FF2B5EF4-FFF2-40B4-BE49-F238E27FC236}">
                <a16:creationId xmlns:a16="http://schemas.microsoft.com/office/drawing/2014/main" id="{770CAF4C-2E61-9550-F954-CC51C095BEF1}"/>
              </a:ext>
            </a:extLst>
          </xdr:cNvPr>
          <xdr:cNvCxnSpPr/>
        </xdr:nvCxnSpPr>
        <xdr:spPr>
          <a:xfrm>
            <a:off x="1943103" y="485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Straight Arrow Connector 366">
            <a:extLst>
              <a:ext uri="{FF2B5EF4-FFF2-40B4-BE49-F238E27FC236}">
                <a16:creationId xmlns:a16="http://schemas.microsoft.com/office/drawing/2014/main" id="{4EDBB6AA-00AB-9413-C9F1-4E69CA88EB16}"/>
              </a:ext>
            </a:extLst>
          </xdr:cNvPr>
          <xdr:cNvCxnSpPr/>
        </xdr:nvCxnSpPr>
        <xdr:spPr>
          <a:xfrm>
            <a:off x="2105024" y="490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" name="Straight Arrow Connector 367">
            <a:extLst>
              <a:ext uri="{FF2B5EF4-FFF2-40B4-BE49-F238E27FC236}">
                <a16:creationId xmlns:a16="http://schemas.microsoft.com/office/drawing/2014/main" id="{86028DEA-F2BC-C54F-1965-A740B0636A9F}"/>
              </a:ext>
            </a:extLst>
          </xdr:cNvPr>
          <xdr:cNvCxnSpPr/>
        </xdr:nvCxnSpPr>
        <xdr:spPr>
          <a:xfrm>
            <a:off x="2266950" y="485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" name="Straight Arrow Connector 368">
            <a:extLst>
              <a:ext uri="{FF2B5EF4-FFF2-40B4-BE49-F238E27FC236}">
                <a16:creationId xmlns:a16="http://schemas.microsoft.com/office/drawing/2014/main" id="{A10D2A4F-C5F1-AD63-E00F-DEDFDDA34B09}"/>
              </a:ext>
            </a:extLst>
          </xdr:cNvPr>
          <xdr:cNvCxnSpPr/>
        </xdr:nvCxnSpPr>
        <xdr:spPr>
          <a:xfrm>
            <a:off x="2428875" y="490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0" name="Straight Arrow Connector 369">
            <a:extLst>
              <a:ext uri="{FF2B5EF4-FFF2-40B4-BE49-F238E27FC236}">
                <a16:creationId xmlns:a16="http://schemas.microsoft.com/office/drawing/2014/main" id="{32C1E78C-9E60-9063-8085-0BF4585582A1}"/>
              </a:ext>
            </a:extLst>
          </xdr:cNvPr>
          <xdr:cNvCxnSpPr/>
        </xdr:nvCxnSpPr>
        <xdr:spPr>
          <a:xfrm>
            <a:off x="2590801" y="490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1" name="Straight Arrow Connector 370">
            <a:extLst>
              <a:ext uri="{FF2B5EF4-FFF2-40B4-BE49-F238E27FC236}">
                <a16:creationId xmlns:a16="http://schemas.microsoft.com/office/drawing/2014/main" id="{84D2CD38-DB2A-1D25-2E47-4F81351A1EF3}"/>
              </a:ext>
            </a:extLst>
          </xdr:cNvPr>
          <xdr:cNvCxnSpPr/>
        </xdr:nvCxnSpPr>
        <xdr:spPr>
          <a:xfrm>
            <a:off x="2752724" y="4857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2" name="Straight Arrow Connector 371">
            <a:extLst>
              <a:ext uri="{FF2B5EF4-FFF2-40B4-BE49-F238E27FC236}">
                <a16:creationId xmlns:a16="http://schemas.microsoft.com/office/drawing/2014/main" id="{16B91CDE-FD8A-EDB7-357F-6DFA964CBBDA}"/>
              </a:ext>
            </a:extLst>
          </xdr:cNvPr>
          <xdr:cNvCxnSpPr/>
        </xdr:nvCxnSpPr>
        <xdr:spPr>
          <a:xfrm>
            <a:off x="2914650" y="4857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Straight Arrow Connector 372">
            <a:extLst>
              <a:ext uri="{FF2B5EF4-FFF2-40B4-BE49-F238E27FC236}">
                <a16:creationId xmlns:a16="http://schemas.microsoft.com/office/drawing/2014/main" id="{94BA176E-8225-B88F-45CD-F6ABD475A56A}"/>
              </a:ext>
            </a:extLst>
          </xdr:cNvPr>
          <xdr:cNvCxnSpPr/>
        </xdr:nvCxnSpPr>
        <xdr:spPr>
          <a:xfrm>
            <a:off x="3076575" y="4857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Arrow Connector 373">
            <a:extLst>
              <a:ext uri="{FF2B5EF4-FFF2-40B4-BE49-F238E27FC236}">
                <a16:creationId xmlns:a16="http://schemas.microsoft.com/office/drawing/2014/main" id="{610D1228-781B-66B7-B6B2-EE523256DF95}"/>
              </a:ext>
            </a:extLst>
          </xdr:cNvPr>
          <xdr:cNvCxnSpPr/>
        </xdr:nvCxnSpPr>
        <xdr:spPr>
          <a:xfrm>
            <a:off x="3238501" y="4857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Arrow Connector 381">
            <a:extLst>
              <a:ext uri="{FF2B5EF4-FFF2-40B4-BE49-F238E27FC236}">
                <a16:creationId xmlns:a16="http://schemas.microsoft.com/office/drawing/2014/main" id="{F4387131-B7B2-CBDE-689F-1A6F768A0B72}"/>
              </a:ext>
            </a:extLst>
          </xdr:cNvPr>
          <xdr:cNvCxnSpPr/>
        </xdr:nvCxnSpPr>
        <xdr:spPr>
          <a:xfrm>
            <a:off x="3400425" y="490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Arrow Connector 382">
            <a:extLst>
              <a:ext uri="{FF2B5EF4-FFF2-40B4-BE49-F238E27FC236}">
                <a16:creationId xmlns:a16="http://schemas.microsoft.com/office/drawing/2014/main" id="{A390EC11-F204-A36D-7369-5D5F36ECFB13}"/>
              </a:ext>
            </a:extLst>
          </xdr:cNvPr>
          <xdr:cNvCxnSpPr/>
        </xdr:nvCxnSpPr>
        <xdr:spPr>
          <a:xfrm>
            <a:off x="3562350" y="490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Arrow Connector 383">
            <a:extLst>
              <a:ext uri="{FF2B5EF4-FFF2-40B4-BE49-F238E27FC236}">
                <a16:creationId xmlns:a16="http://schemas.microsoft.com/office/drawing/2014/main" id="{5E34FE91-7B32-D1CD-DD1A-C7F70197070C}"/>
              </a:ext>
            </a:extLst>
          </xdr:cNvPr>
          <xdr:cNvCxnSpPr/>
        </xdr:nvCxnSpPr>
        <xdr:spPr>
          <a:xfrm>
            <a:off x="3724276" y="490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Arrow Connector 384">
            <a:extLst>
              <a:ext uri="{FF2B5EF4-FFF2-40B4-BE49-F238E27FC236}">
                <a16:creationId xmlns:a16="http://schemas.microsoft.com/office/drawing/2014/main" id="{1DFB99C2-6B3E-B508-647F-CE19D7B8FC99}"/>
              </a:ext>
            </a:extLst>
          </xdr:cNvPr>
          <xdr:cNvCxnSpPr/>
        </xdr:nvCxnSpPr>
        <xdr:spPr>
          <a:xfrm>
            <a:off x="3886199" y="490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Arrow Connector 385">
            <a:extLst>
              <a:ext uri="{FF2B5EF4-FFF2-40B4-BE49-F238E27FC236}">
                <a16:creationId xmlns:a16="http://schemas.microsoft.com/office/drawing/2014/main" id="{3D777F73-D7C9-1169-532F-216AF246AFF0}"/>
              </a:ext>
            </a:extLst>
          </xdr:cNvPr>
          <xdr:cNvCxnSpPr/>
        </xdr:nvCxnSpPr>
        <xdr:spPr>
          <a:xfrm>
            <a:off x="4048125" y="490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Arrow Connector 386">
            <a:extLst>
              <a:ext uri="{FF2B5EF4-FFF2-40B4-BE49-F238E27FC236}">
                <a16:creationId xmlns:a16="http://schemas.microsoft.com/office/drawing/2014/main" id="{6394EFF9-A5FC-1705-0905-718ADB648479}"/>
              </a:ext>
            </a:extLst>
          </xdr:cNvPr>
          <xdr:cNvCxnSpPr/>
        </xdr:nvCxnSpPr>
        <xdr:spPr>
          <a:xfrm>
            <a:off x="4210050" y="490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Arrow Connector 387">
            <a:extLst>
              <a:ext uri="{FF2B5EF4-FFF2-40B4-BE49-F238E27FC236}">
                <a16:creationId xmlns:a16="http://schemas.microsoft.com/office/drawing/2014/main" id="{A937B851-C9CC-11CC-0086-E95F22E5B076}"/>
              </a:ext>
            </a:extLst>
          </xdr:cNvPr>
          <xdr:cNvCxnSpPr/>
        </xdr:nvCxnSpPr>
        <xdr:spPr>
          <a:xfrm>
            <a:off x="4371976" y="490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Arrow Connector 388">
            <a:extLst>
              <a:ext uri="{FF2B5EF4-FFF2-40B4-BE49-F238E27FC236}">
                <a16:creationId xmlns:a16="http://schemas.microsoft.com/office/drawing/2014/main" id="{A4C92ECA-15DE-9AE4-631C-4F942ED520D5}"/>
              </a:ext>
            </a:extLst>
          </xdr:cNvPr>
          <xdr:cNvCxnSpPr/>
        </xdr:nvCxnSpPr>
        <xdr:spPr>
          <a:xfrm>
            <a:off x="4533903" y="49053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Straight Arrow Connector 389">
            <a:extLst>
              <a:ext uri="{FF2B5EF4-FFF2-40B4-BE49-F238E27FC236}">
                <a16:creationId xmlns:a16="http://schemas.microsoft.com/office/drawing/2014/main" id="{AA03939C-C44B-DB02-2BDD-B9C456F446C6}"/>
              </a:ext>
            </a:extLst>
          </xdr:cNvPr>
          <xdr:cNvCxnSpPr/>
        </xdr:nvCxnSpPr>
        <xdr:spPr>
          <a:xfrm>
            <a:off x="4695829" y="49053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Connector 390">
            <a:extLst>
              <a:ext uri="{FF2B5EF4-FFF2-40B4-BE49-F238E27FC236}">
                <a16:creationId xmlns:a16="http://schemas.microsoft.com/office/drawing/2014/main" id="{435DD60F-1D23-7CFB-214D-A381AD8008F3}"/>
              </a:ext>
            </a:extLst>
          </xdr:cNvPr>
          <xdr:cNvCxnSpPr/>
        </xdr:nvCxnSpPr>
        <xdr:spPr>
          <a:xfrm>
            <a:off x="809625" y="485775"/>
            <a:ext cx="38909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92" name="Group 391">
            <a:extLst>
              <a:ext uri="{FF2B5EF4-FFF2-40B4-BE49-F238E27FC236}">
                <a16:creationId xmlns:a16="http://schemas.microsoft.com/office/drawing/2014/main" id="{36E32A72-757A-AE00-CD76-E959ABBA526F}"/>
              </a:ext>
            </a:extLst>
          </xdr:cNvPr>
          <xdr:cNvGrpSpPr/>
        </xdr:nvGrpSpPr>
        <xdr:grpSpPr>
          <a:xfrm>
            <a:off x="809624" y="714375"/>
            <a:ext cx="3881438" cy="862012"/>
            <a:chOff x="809624" y="714375"/>
            <a:chExt cx="3881438" cy="862012"/>
          </a:xfrm>
        </xdr:grpSpPr>
        <xdr:sp macro="" textlink="">
          <xdr:nvSpPr>
            <xdr:cNvPr id="394" name="Freeform: Shape 393">
              <a:extLst>
                <a:ext uri="{FF2B5EF4-FFF2-40B4-BE49-F238E27FC236}">
                  <a16:creationId xmlns:a16="http://schemas.microsoft.com/office/drawing/2014/main" id="{33E1115C-C8F0-D037-93AA-E6A111A7E7FD}"/>
                </a:ext>
              </a:extLst>
            </xdr:cNvPr>
            <xdr:cNvSpPr/>
          </xdr:nvSpPr>
          <xdr:spPr>
            <a:xfrm>
              <a:off x="809624" y="714375"/>
              <a:ext cx="3881438" cy="862012"/>
            </a:xfrm>
            <a:custGeom>
              <a:avLst/>
              <a:gdLst>
                <a:gd name="connsiteX0" fmla="*/ 0 w 3881438"/>
                <a:gd name="connsiteY0" fmla="*/ 862012 h 862012"/>
                <a:gd name="connsiteX1" fmla="*/ 0 w 3881438"/>
                <a:gd name="connsiteY1" fmla="*/ 0 h 862012"/>
                <a:gd name="connsiteX2" fmla="*/ 3881438 w 3881438"/>
                <a:gd name="connsiteY2" fmla="*/ 0 h 862012"/>
                <a:gd name="connsiteX3" fmla="*/ 3881438 w 3881438"/>
                <a:gd name="connsiteY3" fmla="*/ 433387 h 862012"/>
                <a:gd name="connsiteX4" fmla="*/ 804863 w 3881438"/>
                <a:gd name="connsiteY4" fmla="*/ 4333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881438" h="862012">
                  <a:moveTo>
                    <a:pt x="0" y="862012"/>
                  </a:moveTo>
                  <a:lnTo>
                    <a:pt x="0" y="0"/>
                  </a:lnTo>
                  <a:lnTo>
                    <a:pt x="3881438" y="0"/>
                  </a:lnTo>
                  <a:lnTo>
                    <a:pt x="3881438" y="433387"/>
                  </a:lnTo>
                  <a:lnTo>
                    <a:pt x="804863" y="433387"/>
                  </a:lnTo>
                </a:path>
              </a:pathLst>
            </a:custGeom>
            <a:solidFill>
              <a:schemeClr val="bg1">
                <a:lumMod val="9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95" name="Freeform: Shape 394">
              <a:extLst>
                <a:ext uri="{FF2B5EF4-FFF2-40B4-BE49-F238E27FC236}">
                  <a16:creationId xmlns:a16="http://schemas.microsoft.com/office/drawing/2014/main" id="{E447A37F-CD41-49BF-FD17-1188E01017A9}"/>
                </a:ext>
              </a:extLst>
            </xdr:cNvPr>
            <xdr:cNvSpPr/>
          </xdr:nvSpPr>
          <xdr:spPr>
            <a:xfrm>
              <a:off x="809625" y="1143000"/>
              <a:ext cx="809625" cy="428625"/>
            </a:xfrm>
            <a:custGeom>
              <a:avLst/>
              <a:gdLst>
                <a:gd name="connsiteX0" fmla="*/ 0 w 809625"/>
                <a:gd name="connsiteY0" fmla="*/ 423862 h 423862"/>
                <a:gd name="connsiteX1" fmla="*/ 261938 w 809625"/>
                <a:gd name="connsiteY1" fmla="*/ 119062 h 423862"/>
                <a:gd name="connsiteX2" fmla="*/ 809625 w 809625"/>
                <a:gd name="connsiteY2" fmla="*/ 0 h 42386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09625" h="423862">
                  <a:moveTo>
                    <a:pt x="0" y="423862"/>
                  </a:moveTo>
                  <a:cubicBezTo>
                    <a:pt x="63500" y="306784"/>
                    <a:pt x="127001" y="189706"/>
                    <a:pt x="261938" y="119062"/>
                  </a:cubicBezTo>
                  <a:cubicBezTo>
                    <a:pt x="396875" y="48418"/>
                    <a:pt x="603250" y="24209"/>
                    <a:pt x="809625" y="0"/>
                  </a:cubicBezTo>
                </a:path>
              </a:pathLst>
            </a:cu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396" name="TextBox 395">
              <a:extLst>
                <a:ext uri="{FF2B5EF4-FFF2-40B4-BE49-F238E27FC236}">
                  <a16:creationId xmlns:a16="http://schemas.microsoft.com/office/drawing/2014/main" id="{7793D893-919D-6DD7-EB53-33AD51C3C303}"/>
                </a:ext>
              </a:extLst>
            </xdr:cNvPr>
            <xdr:cNvSpPr txBox="1"/>
          </xdr:nvSpPr>
          <xdr:spPr>
            <a:xfrm>
              <a:off x="2405063" y="1057275"/>
              <a:ext cx="547687" cy="3714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 anchorCtr="1"/>
            <a:lstStyle/>
            <a:p>
              <a:r>
                <a:rPr lang="tr-TR" sz="800">
                  <a:latin typeface="Symbol" panose="05050102010706020507" pitchFamily="18" charset="2"/>
                </a:rPr>
                <a:t>I</a:t>
              </a:r>
              <a:r>
                <a:rPr lang="tr-TR" sz="800"/>
                <a:t>o</a:t>
              </a:r>
            </a:p>
          </xdr:txBody>
        </xdr:sp>
      </xdr:grpSp>
      <xdr:sp macro="" textlink="">
        <xdr:nvSpPr>
          <xdr:cNvPr id="393" name="TextBox 392">
            <a:extLst>
              <a:ext uri="{FF2B5EF4-FFF2-40B4-BE49-F238E27FC236}">
                <a16:creationId xmlns:a16="http://schemas.microsoft.com/office/drawing/2014/main" id="{524F75BB-D60F-0E87-160E-7C6613B52C24}"/>
              </a:ext>
            </a:extLst>
          </xdr:cNvPr>
          <xdr:cNvSpPr txBox="1"/>
        </xdr:nvSpPr>
        <xdr:spPr>
          <a:xfrm>
            <a:off x="809625" y="1219200"/>
            <a:ext cx="90487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2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 </a:t>
            </a:r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parabol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 </a:t>
            </a:r>
            <a:endParaRPr lang="tr-TR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0</xdr:colOff>
      <xdr:row>63</xdr:row>
      <xdr:rowOff>76195</xdr:rowOff>
    </xdr:from>
    <xdr:to>
      <xdr:col>4</xdr:col>
      <xdr:colOff>0</xdr:colOff>
      <xdr:row>67</xdr:row>
      <xdr:rowOff>71437</xdr:rowOff>
    </xdr:to>
    <xdr:cxnSp macro="">
      <xdr:nvCxnSpPr>
        <xdr:cNvPr id="640" name="Straight Connector 639">
          <a:extLst>
            <a:ext uri="{FF2B5EF4-FFF2-40B4-BE49-F238E27FC236}">
              <a16:creationId xmlns:a16="http://schemas.microsoft.com/office/drawing/2014/main" id="{F69F3466-CB3F-4196-8617-A4B2ABB86994}"/>
            </a:ext>
          </a:extLst>
        </xdr:cNvPr>
        <xdr:cNvCxnSpPr/>
      </xdr:nvCxnSpPr>
      <xdr:spPr>
        <a:xfrm>
          <a:off x="809625" y="7505695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90491</xdr:colOff>
      <xdr:row>65</xdr:row>
      <xdr:rowOff>3</xdr:rowOff>
    </xdr:from>
    <xdr:to>
      <xdr:col>28</xdr:col>
      <xdr:colOff>52388</xdr:colOff>
      <xdr:row>65</xdr:row>
      <xdr:rowOff>3</xdr:rowOff>
    </xdr:to>
    <xdr:cxnSp macro="">
      <xdr:nvCxnSpPr>
        <xdr:cNvPr id="662" name="Straight Connector 661">
          <a:extLst>
            <a:ext uri="{FF2B5EF4-FFF2-40B4-BE49-F238E27FC236}">
              <a16:creationId xmlns:a16="http://schemas.microsoft.com/office/drawing/2014/main" id="{BC5BDD1A-8033-4A84-9B3F-7D00E28E63B5}"/>
            </a:ext>
          </a:extLst>
        </xdr:cNvPr>
        <xdr:cNvCxnSpPr/>
      </xdr:nvCxnSpPr>
      <xdr:spPr>
        <a:xfrm>
          <a:off x="738191" y="7715253"/>
          <a:ext cx="40100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60</xdr:row>
      <xdr:rowOff>38099</xdr:rowOff>
    </xdr:from>
    <xdr:to>
      <xdr:col>9</xdr:col>
      <xdr:colOff>1</xdr:colOff>
      <xdr:row>65</xdr:row>
      <xdr:rowOff>61913</xdr:rowOff>
    </xdr:to>
    <xdr:cxnSp macro="">
      <xdr:nvCxnSpPr>
        <xdr:cNvPr id="663" name="Straight Connector 662">
          <a:extLst>
            <a:ext uri="{FF2B5EF4-FFF2-40B4-BE49-F238E27FC236}">
              <a16:creationId xmlns:a16="http://schemas.microsoft.com/office/drawing/2014/main" id="{A13322AD-336F-4CE7-9046-B5D3AF1E50FC}"/>
            </a:ext>
          </a:extLst>
        </xdr:cNvPr>
        <xdr:cNvCxnSpPr/>
      </xdr:nvCxnSpPr>
      <xdr:spPr>
        <a:xfrm>
          <a:off x="1619251" y="7038974"/>
          <a:ext cx="0" cy="7381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64</xdr:row>
      <xdr:rowOff>109538</xdr:rowOff>
    </xdr:from>
    <xdr:to>
      <xdr:col>4</xdr:col>
      <xdr:colOff>33336</xdr:colOff>
      <xdr:row>65</xdr:row>
      <xdr:rowOff>38100</xdr:rowOff>
    </xdr:to>
    <xdr:cxnSp macro="">
      <xdr:nvCxnSpPr>
        <xdr:cNvPr id="664" name="Straight Connector 663">
          <a:extLst>
            <a:ext uri="{FF2B5EF4-FFF2-40B4-BE49-F238E27FC236}">
              <a16:creationId xmlns:a16="http://schemas.microsoft.com/office/drawing/2014/main" id="{824F2DB6-102B-4790-AC72-6BE7241F222B}"/>
            </a:ext>
          </a:extLst>
        </xdr:cNvPr>
        <xdr:cNvCxnSpPr/>
      </xdr:nvCxnSpPr>
      <xdr:spPr>
        <a:xfrm flipH="1">
          <a:off x="771524" y="768191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123833</xdr:colOff>
      <xdr:row>64</xdr:row>
      <xdr:rowOff>109535</xdr:rowOff>
    </xdr:from>
    <xdr:to>
      <xdr:col>9</xdr:col>
      <xdr:colOff>33345</xdr:colOff>
      <xdr:row>65</xdr:row>
      <xdr:rowOff>38097</xdr:rowOff>
    </xdr:to>
    <xdr:cxnSp macro="">
      <xdr:nvCxnSpPr>
        <xdr:cNvPr id="665" name="Straight Connector 664">
          <a:extLst>
            <a:ext uri="{FF2B5EF4-FFF2-40B4-BE49-F238E27FC236}">
              <a16:creationId xmlns:a16="http://schemas.microsoft.com/office/drawing/2014/main" id="{0AF27BF6-F643-4F3F-8A56-BFCDEE2345B5}"/>
            </a:ext>
          </a:extLst>
        </xdr:cNvPr>
        <xdr:cNvCxnSpPr/>
      </xdr:nvCxnSpPr>
      <xdr:spPr>
        <a:xfrm flipH="1">
          <a:off x="1581158" y="7681910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</xdr:colOff>
      <xdr:row>60</xdr:row>
      <xdr:rowOff>38093</xdr:rowOff>
    </xdr:from>
    <xdr:to>
      <xdr:col>23</xdr:col>
      <xdr:colOff>10</xdr:colOff>
      <xdr:row>65</xdr:row>
      <xdr:rowOff>61907</xdr:rowOff>
    </xdr:to>
    <xdr:cxnSp macro="">
      <xdr:nvCxnSpPr>
        <xdr:cNvPr id="666" name="Straight Connector 665">
          <a:extLst>
            <a:ext uri="{FF2B5EF4-FFF2-40B4-BE49-F238E27FC236}">
              <a16:creationId xmlns:a16="http://schemas.microsoft.com/office/drawing/2014/main" id="{B3EF1ECD-B86B-4359-8D57-FE36CC9D1DA0}"/>
            </a:ext>
          </a:extLst>
        </xdr:cNvPr>
        <xdr:cNvCxnSpPr/>
      </xdr:nvCxnSpPr>
      <xdr:spPr>
        <a:xfrm>
          <a:off x="3886210" y="7038968"/>
          <a:ext cx="0" cy="7381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123839</xdr:colOff>
      <xdr:row>64</xdr:row>
      <xdr:rowOff>109529</xdr:rowOff>
    </xdr:from>
    <xdr:to>
      <xdr:col>23</xdr:col>
      <xdr:colOff>33351</xdr:colOff>
      <xdr:row>65</xdr:row>
      <xdr:rowOff>38091</xdr:rowOff>
    </xdr:to>
    <xdr:cxnSp macro="">
      <xdr:nvCxnSpPr>
        <xdr:cNvPr id="667" name="Straight Connector 666">
          <a:extLst>
            <a:ext uri="{FF2B5EF4-FFF2-40B4-BE49-F238E27FC236}">
              <a16:creationId xmlns:a16="http://schemas.microsoft.com/office/drawing/2014/main" id="{C355DF2A-B2C3-400A-857A-6BC8258F1F11}"/>
            </a:ext>
          </a:extLst>
        </xdr:cNvPr>
        <xdr:cNvCxnSpPr/>
      </xdr:nvCxnSpPr>
      <xdr:spPr>
        <a:xfrm flipH="1">
          <a:off x="3848114" y="7681904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90491</xdr:colOff>
      <xdr:row>67</xdr:row>
      <xdr:rowOff>3</xdr:rowOff>
    </xdr:from>
    <xdr:to>
      <xdr:col>28</xdr:col>
      <xdr:colOff>57150</xdr:colOff>
      <xdr:row>67</xdr:row>
      <xdr:rowOff>3</xdr:rowOff>
    </xdr:to>
    <xdr:cxnSp macro="">
      <xdr:nvCxnSpPr>
        <xdr:cNvPr id="668" name="Straight Connector 667">
          <a:extLst>
            <a:ext uri="{FF2B5EF4-FFF2-40B4-BE49-F238E27FC236}">
              <a16:creationId xmlns:a16="http://schemas.microsoft.com/office/drawing/2014/main" id="{82133922-8BBF-427A-AA73-96CBE83CE3EA}"/>
            </a:ext>
          </a:extLst>
        </xdr:cNvPr>
        <xdr:cNvCxnSpPr/>
      </xdr:nvCxnSpPr>
      <xdr:spPr>
        <a:xfrm>
          <a:off x="738191" y="8001003"/>
          <a:ext cx="401478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66</xdr:row>
      <xdr:rowOff>109538</xdr:rowOff>
    </xdr:from>
    <xdr:to>
      <xdr:col>4</xdr:col>
      <xdr:colOff>33336</xdr:colOff>
      <xdr:row>67</xdr:row>
      <xdr:rowOff>38100</xdr:rowOff>
    </xdr:to>
    <xdr:cxnSp macro="">
      <xdr:nvCxnSpPr>
        <xdr:cNvPr id="669" name="Straight Connector 668">
          <a:extLst>
            <a:ext uri="{FF2B5EF4-FFF2-40B4-BE49-F238E27FC236}">
              <a16:creationId xmlns:a16="http://schemas.microsoft.com/office/drawing/2014/main" id="{568F0820-D327-4072-8088-58EF91882CDE}"/>
            </a:ext>
          </a:extLst>
        </xdr:cNvPr>
        <xdr:cNvCxnSpPr/>
      </xdr:nvCxnSpPr>
      <xdr:spPr>
        <a:xfrm flipH="1">
          <a:off x="771524" y="796766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</xdr:colOff>
      <xdr:row>63</xdr:row>
      <xdr:rowOff>76197</xdr:rowOff>
    </xdr:from>
    <xdr:to>
      <xdr:col>28</xdr:col>
      <xdr:colOff>4</xdr:colOff>
      <xdr:row>67</xdr:row>
      <xdr:rowOff>71439</xdr:rowOff>
    </xdr:to>
    <xdr:cxnSp macro="">
      <xdr:nvCxnSpPr>
        <xdr:cNvPr id="670" name="Straight Connector 669">
          <a:extLst>
            <a:ext uri="{FF2B5EF4-FFF2-40B4-BE49-F238E27FC236}">
              <a16:creationId xmlns:a16="http://schemas.microsoft.com/office/drawing/2014/main" id="{DFDADE1E-BABD-4AE5-8315-F43372F98F2B}"/>
            </a:ext>
          </a:extLst>
        </xdr:cNvPr>
        <xdr:cNvCxnSpPr/>
      </xdr:nvCxnSpPr>
      <xdr:spPr>
        <a:xfrm>
          <a:off x="4695829" y="7505697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64</xdr:row>
      <xdr:rowOff>109540</xdr:rowOff>
    </xdr:from>
    <xdr:to>
      <xdr:col>28</xdr:col>
      <xdr:colOff>33340</xdr:colOff>
      <xdr:row>65</xdr:row>
      <xdr:rowOff>38102</xdr:rowOff>
    </xdr:to>
    <xdr:cxnSp macro="">
      <xdr:nvCxnSpPr>
        <xdr:cNvPr id="671" name="Straight Connector 670">
          <a:extLst>
            <a:ext uri="{FF2B5EF4-FFF2-40B4-BE49-F238E27FC236}">
              <a16:creationId xmlns:a16="http://schemas.microsoft.com/office/drawing/2014/main" id="{D857385B-8D21-4966-93C7-BFCD26A36F43}"/>
            </a:ext>
          </a:extLst>
        </xdr:cNvPr>
        <xdr:cNvCxnSpPr/>
      </xdr:nvCxnSpPr>
      <xdr:spPr>
        <a:xfrm flipH="1">
          <a:off x="4657728" y="768191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66</xdr:row>
      <xdr:rowOff>109540</xdr:rowOff>
    </xdr:from>
    <xdr:to>
      <xdr:col>28</xdr:col>
      <xdr:colOff>33340</xdr:colOff>
      <xdr:row>67</xdr:row>
      <xdr:rowOff>38102</xdr:rowOff>
    </xdr:to>
    <xdr:cxnSp macro="">
      <xdr:nvCxnSpPr>
        <xdr:cNvPr id="672" name="Straight Connector 671">
          <a:extLst>
            <a:ext uri="{FF2B5EF4-FFF2-40B4-BE49-F238E27FC236}">
              <a16:creationId xmlns:a16="http://schemas.microsoft.com/office/drawing/2014/main" id="{4C583AF7-56DA-441B-BAB1-B97CA46FEA24}"/>
            </a:ext>
          </a:extLst>
        </xdr:cNvPr>
        <xdr:cNvCxnSpPr/>
      </xdr:nvCxnSpPr>
      <xdr:spPr>
        <a:xfrm flipH="1">
          <a:off x="4657728" y="796766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</xdr:colOff>
      <xdr:row>55</xdr:row>
      <xdr:rowOff>61915</xdr:rowOff>
    </xdr:from>
    <xdr:to>
      <xdr:col>4</xdr:col>
      <xdr:colOff>1</xdr:colOff>
      <xdr:row>56</xdr:row>
      <xdr:rowOff>128590</xdr:rowOff>
    </xdr:to>
    <xdr:cxnSp macro="">
      <xdr:nvCxnSpPr>
        <xdr:cNvPr id="673" name="Straight Arrow Connector 672">
          <a:extLst>
            <a:ext uri="{FF2B5EF4-FFF2-40B4-BE49-F238E27FC236}">
              <a16:creationId xmlns:a16="http://schemas.microsoft.com/office/drawing/2014/main" id="{870EE330-ECA3-4232-8430-C6EADA5C0839}"/>
            </a:ext>
          </a:extLst>
        </xdr:cNvPr>
        <xdr:cNvCxnSpPr/>
      </xdr:nvCxnSpPr>
      <xdr:spPr>
        <a:xfrm>
          <a:off x="809626" y="634841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</xdr:colOff>
      <xdr:row>55</xdr:row>
      <xdr:rowOff>57152</xdr:rowOff>
    </xdr:from>
    <xdr:to>
      <xdr:col>5</xdr:col>
      <xdr:colOff>2</xdr:colOff>
      <xdr:row>56</xdr:row>
      <xdr:rowOff>123827</xdr:rowOff>
    </xdr:to>
    <xdr:cxnSp macro="">
      <xdr:nvCxnSpPr>
        <xdr:cNvPr id="674" name="Straight Arrow Connector 673">
          <a:extLst>
            <a:ext uri="{FF2B5EF4-FFF2-40B4-BE49-F238E27FC236}">
              <a16:creationId xmlns:a16="http://schemas.microsoft.com/office/drawing/2014/main" id="{D7D9BB5D-9AF3-481D-9F1B-03058AE91CE5}"/>
            </a:ext>
          </a:extLst>
        </xdr:cNvPr>
        <xdr:cNvCxnSpPr/>
      </xdr:nvCxnSpPr>
      <xdr:spPr>
        <a:xfrm>
          <a:off x="971552" y="6343652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</xdr:colOff>
      <xdr:row>55</xdr:row>
      <xdr:rowOff>61915</xdr:rowOff>
    </xdr:from>
    <xdr:to>
      <xdr:col>6</xdr:col>
      <xdr:colOff>2</xdr:colOff>
      <xdr:row>56</xdr:row>
      <xdr:rowOff>128590</xdr:rowOff>
    </xdr:to>
    <xdr:cxnSp macro="">
      <xdr:nvCxnSpPr>
        <xdr:cNvPr id="675" name="Straight Arrow Connector 674">
          <a:extLst>
            <a:ext uri="{FF2B5EF4-FFF2-40B4-BE49-F238E27FC236}">
              <a16:creationId xmlns:a16="http://schemas.microsoft.com/office/drawing/2014/main" id="{AED318F9-0025-4232-B9EC-55F0A7A582C8}"/>
            </a:ext>
          </a:extLst>
        </xdr:cNvPr>
        <xdr:cNvCxnSpPr/>
      </xdr:nvCxnSpPr>
      <xdr:spPr>
        <a:xfrm>
          <a:off x="1133477" y="634841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</xdr:colOff>
      <xdr:row>55</xdr:row>
      <xdr:rowOff>61915</xdr:rowOff>
    </xdr:from>
    <xdr:to>
      <xdr:col>7</xdr:col>
      <xdr:colOff>3</xdr:colOff>
      <xdr:row>56</xdr:row>
      <xdr:rowOff>128590</xdr:rowOff>
    </xdr:to>
    <xdr:cxnSp macro="">
      <xdr:nvCxnSpPr>
        <xdr:cNvPr id="676" name="Straight Arrow Connector 675">
          <a:extLst>
            <a:ext uri="{FF2B5EF4-FFF2-40B4-BE49-F238E27FC236}">
              <a16:creationId xmlns:a16="http://schemas.microsoft.com/office/drawing/2014/main" id="{F5D9E143-ACF4-401C-8AAD-A89ED29EB5C8}"/>
            </a:ext>
          </a:extLst>
        </xdr:cNvPr>
        <xdr:cNvCxnSpPr/>
      </xdr:nvCxnSpPr>
      <xdr:spPr>
        <a:xfrm>
          <a:off x="1295403" y="634841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55</xdr:row>
      <xdr:rowOff>57153</xdr:rowOff>
    </xdr:from>
    <xdr:to>
      <xdr:col>8</xdr:col>
      <xdr:colOff>1</xdr:colOff>
      <xdr:row>56</xdr:row>
      <xdr:rowOff>123828</xdr:rowOff>
    </xdr:to>
    <xdr:cxnSp macro="">
      <xdr:nvCxnSpPr>
        <xdr:cNvPr id="677" name="Straight Arrow Connector 676">
          <a:extLst>
            <a:ext uri="{FF2B5EF4-FFF2-40B4-BE49-F238E27FC236}">
              <a16:creationId xmlns:a16="http://schemas.microsoft.com/office/drawing/2014/main" id="{251E6C5E-7AED-4CA4-96AA-1442C7D7AE95}"/>
            </a:ext>
          </a:extLst>
        </xdr:cNvPr>
        <xdr:cNvCxnSpPr/>
      </xdr:nvCxnSpPr>
      <xdr:spPr>
        <a:xfrm>
          <a:off x="1457326" y="6343653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</xdr:colOff>
      <xdr:row>55</xdr:row>
      <xdr:rowOff>57153</xdr:rowOff>
    </xdr:from>
    <xdr:to>
      <xdr:col>9</xdr:col>
      <xdr:colOff>2</xdr:colOff>
      <xdr:row>56</xdr:row>
      <xdr:rowOff>123828</xdr:rowOff>
    </xdr:to>
    <xdr:cxnSp macro="">
      <xdr:nvCxnSpPr>
        <xdr:cNvPr id="678" name="Straight Arrow Connector 677">
          <a:extLst>
            <a:ext uri="{FF2B5EF4-FFF2-40B4-BE49-F238E27FC236}">
              <a16:creationId xmlns:a16="http://schemas.microsoft.com/office/drawing/2014/main" id="{771E05BC-5B44-464D-9079-982C5F39DFEE}"/>
            </a:ext>
          </a:extLst>
        </xdr:cNvPr>
        <xdr:cNvCxnSpPr/>
      </xdr:nvCxnSpPr>
      <xdr:spPr>
        <a:xfrm>
          <a:off x="1619252" y="6343653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</xdr:colOff>
      <xdr:row>55</xdr:row>
      <xdr:rowOff>57153</xdr:rowOff>
    </xdr:from>
    <xdr:to>
      <xdr:col>10</xdr:col>
      <xdr:colOff>2</xdr:colOff>
      <xdr:row>56</xdr:row>
      <xdr:rowOff>123828</xdr:rowOff>
    </xdr:to>
    <xdr:cxnSp macro="">
      <xdr:nvCxnSpPr>
        <xdr:cNvPr id="679" name="Straight Arrow Connector 678">
          <a:extLst>
            <a:ext uri="{FF2B5EF4-FFF2-40B4-BE49-F238E27FC236}">
              <a16:creationId xmlns:a16="http://schemas.microsoft.com/office/drawing/2014/main" id="{11E77213-CDC3-41C9-BE71-694E311D808F}"/>
            </a:ext>
          </a:extLst>
        </xdr:cNvPr>
        <xdr:cNvCxnSpPr/>
      </xdr:nvCxnSpPr>
      <xdr:spPr>
        <a:xfrm>
          <a:off x="1781177" y="6343653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</xdr:colOff>
      <xdr:row>55</xdr:row>
      <xdr:rowOff>57153</xdr:rowOff>
    </xdr:from>
    <xdr:to>
      <xdr:col>11</xdr:col>
      <xdr:colOff>3</xdr:colOff>
      <xdr:row>56</xdr:row>
      <xdr:rowOff>123828</xdr:rowOff>
    </xdr:to>
    <xdr:cxnSp macro="">
      <xdr:nvCxnSpPr>
        <xdr:cNvPr id="680" name="Straight Arrow Connector 679">
          <a:extLst>
            <a:ext uri="{FF2B5EF4-FFF2-40B4-BE49-F238E27FC236}">
              <a16:creationId xmlns:a16="http://schemas.microsoft.com/office/drawing/2014/main" id="{9B168882-B466-4FE3-8AFE-36108CAA7A30}"/>
            </a:ext>
          </a:extLst>
        </xdr:cNvPr>
        <xdr:cNvCxnSpPr/>
      </xdr:nvCxnSpPr>
      <xdr:spPr>
        <a:xfrm>
          <a:off x="1943103" y="6343653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161924</xdr:colOff>
      <xdr:row>55</xdr:row>
      <xdr:rowOff>61916</xdr:rowOff>
    </xdr:from>
    <xdr:to>
      <xdr:col>11</xdr:col>
      <xdr:colOff>161924</xdr:colOff>
      <xdr:row>56</xdr:row>
      <xdr:rowOff>128591</xdr:rowOff>
    </xdr:to>
    <xdr:cxnSp macro="">
      <xdr:nvCxnSpPr>
        <xdr:cNvPr id="681" name="Straight Arrow Connector 680">
          <a:extLst>
            <a:ext uri="{FF2B5EF4-FFF2-40B4-BE49-F238E27FC236}">
              <a16:creationId xmlns:a16="http://schemas.microsoft.com/office/drawing/2014/main" id="{D55BE6CA-E04D-48C7-A7BF-69BAF02D6882}"/>
            </a:ext>
          </a:extLst>
        </xdr:cNvPr>
        <xdr:cNvCxnSpPr/>
      </xdr:nvCxnSpPr>
      <xdr:spPr>
        <a:xfrm>
          <a:off x="2105024" y="6348416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55</xdr:row>
      <xdr:rowOff>57153</xdr:rowOff>
    </xdr:from>
    <xdr:to>
      <xdr:col>13</xdr:col>
      <xdr:colOff>0</xdr:colOff>
      <xdr:row>56</xdr:row>
      <xdr:rowOff>123828</xdr:rowOff>
    </xdr:to>
    <xdr:cxnSp macro="">
      <xdr:nvCxnSpPr>
        <xdr:cNvPr id="682" name="Straight Arrow Connector 681">
          <a:extLst>
            <a:ext uri="{FF2B5EF4-FFF2-40B4-BE49-F238E27FC236}">
              <a16:creationId xmlns:a16="http://schemas.microsoft.com/office/drawing/2014/main" id="{9952330B-7186-48AD-877D-B3115C70E7F7}"/>
            </a:ext>
          </a:extLst>
        </xdr:cNvPr>
        <xdr:cNvCxnSpPr/>
      </xdr:nvCxnSpPr>
      <xdr:spPr>
        <a:xfrm>
          <a:off x="2266950" y="6343653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55</xdr:row>
      <xdr:rowOff>61916</xdr:rowOff>
    </xdr:from>
    <xdr:to>
      <xdr:col>14</xdr:col>
      <xdr:colOff>0</xdr:colOff>
      <xdr:row>56</xdr:row>
      <xdr:rowOff>128591</xdr:rowOff>
    </xdr:to>
    <xdr:cxnSp macro="">
      <xdr:nvCxnSpPr>
        <xdr:cNvPr id="683" name="Straight Arrow Connector 682">
          <a:extLst>
            <a:ext uri="{FF2B5EF4-FFF2-40B4-BE49-F238E27FC236}">
              <a16:creationId xmlns:a16="http://schemas.microsoft.com/office/drawing/2014/main" id="{4FBE1D7D-23EC-4ED9-95F8-655E4F32BA5A}"/>
            </a:ext>
          </a:extLst>
        </xdr:cNvPr>
        <xdr:cNvCxnSpPr/>
      </xdr:nvCxnSpPr>
      <xdr:spPr>
        <a:xfrm>
          <a:off x="2428875" y="6348416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55</xdr:row>
      <xdr:rowOff>61916</xdr:rowOff>
    </xdr:from>
    <xdr:to>
      <xdr:col>15</xdr:col>
      <xdr:colOff>1</xdr:colOff>
      <xdr:row>56</xdr:row>
      <xdr:rowOff>128591</xdr:rowOff>
    </xdr:to>
    <xdr:cxnSp macro="">
      <xdr:nvCxnSpPr>
        <xdr:cNvPr id="684" name="Straight Arrow Connector 683">
          <a:extLst>
            <a:ext uri="{FF2B5EF4-FFF2-40B4-BE49-F238E27FC236}">
              <a16:creationId xmlns:a16="http://schemas.microsoft.com/office/drawing/2014/main" id="{2E89F7CB-ACD9-40DD-9442-7685FBD90ACE}"/>
            </a:ext>
          </a:extLst>
        </xdr:cNvPr>
        <xdr:cNvCxnSpPr/>
      </xdr:nvCxnSpPr>
      <xdr:spPr>
        <a:xfrm>
          <a:off x="2590801" y="6348416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161924</xdr:colOff>
      <xdr:row>55</xdr:row>
      <xdr:rowOff>57154</xdr:rowOff>
    </xdr:from>
    <xdr:to>
      <xdr:col>15</xdr:col>
      <xdr:colOff>161924</xdr:colOff>
      <xdr:row>56</xdr:row>
      <xdr:rowOff>123829</xdr:rowOff>
    </xdr:to>
    <xdr:cxnSp macro="">
      <xdr:nvCxnSpPr>
        <xdr:cNvPr id="685" name="Straight Arrow Connector 684">
          <a:extLst>
            <a:ext uri="{FF2B5EF4-FFF2-40B4-BE49-F238E27FC236}">
              <a16:creationId xmlns:a16="http://schemas.microsoft.com/office/drawing/2014/main" id="{8A6A55EC-A799-411F-A422-10C7B0D4640C}"/>
            </a:ext>
          </a:extLst>
        </xdr:cNvPr>
        <xdr:cNvCxnSpPr/>
      </xdr:nvCxnSpPr>
      <xdr:spPr>
        <a:xfrm>
          <a:off x="2752724" y="6343654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55</xdr:row>
      <xdr:rowOff>57154</xdr:rowOff>
    </xdr:from>
    <xdr:to>
      <xdr:col>17</xdr:col>
      <xdr:colOff>0</xdr:colOff>
      <xdr:row>56</xdr:row>
      <xdr:rowOff>123829</xdr:rowOff>
    </xdr:to>
    <xdr:cxnSp macro="">
      <xdr:nvCxnSpPr>
        <xdr:cNvPr id="686" name="Straight Arrow Connector 685">
          <a:extLst>
            <a:ext uri="{FF2B5EF4-FFF2-40B4-BE49-F238E27FC236}">
              <a16:creationId xmlns:a16="http://schemas.microsoft.com/office/drawing/2014/main" id="{43D45796-4EAE-4CB5-A566-C32E9AB73AB9}"/>
            </a:ext>
          </a:extLst>
        </xdr:cNvPr>
        <xdr:cNvCxnSpPr/>
      </xdr:nvCxnSpPr>
      <xdr:spPr>
        <a:xfrm>
          <a:off x="2914650" y="6343654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55</xdr:row>
      <xdr:rowOff>57154</xdr:rowOff>
    </xdr:from>
    <xdr:to>
      <xdr:col>18</xdr:col>
      <xdr:colOff>0</xdr:colOff>
      <xdr:row>56</xdr:row>
      <xdr:rowOff>123829</xdr:rowOff>
    </xdr:to>
    <xdr:cxnSp macro="">
      <xdr:nvCxnSpPr>
        <xdr:cNvPr id="687" name="Straight Arrow Connector 686">
          <a:extLst>
            <a:ext uri="{FF2B5EF4-FFF2-40B4-BE49-F238E27FC236}">
              <a16:creationId xmlns:a16="http://schemas.microsoft.com/office/drawing/2014/main" id="{BBB11221-6D4E-4B71-B192-F45F3D223FF8}"/>
            </a:ext>
          </a:extLst>
        </xdr:cNvPr>
        <xdr:cNvCxnSpPr/>
      </xdr:nvCxnSpPr>
      <xdr:spPr>
        <a:xfrm>
          <a:off x="3076575" y="6343654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</xdr:colOff>
      <xdr:row>55</xdr:row>
      <xdr:rowOff>57154</xdr:rowOff>
    </xdr:from>
    <xdr:to>
      <xdr:col>19</xdr:col>
      <xdr:colOff>1</xdr:colOff>
      <xdr:row>56</xdr:row>
      <xdr:rowOff>123829</xdr:rowOff>
    </xdr:to>
    <xdr:cxnSp macro="">
      <xdr:nvCxnSpPr>
        <xdr:cNvPr id="688" name="Straight Arrow Connector 687">
          <a:extLst>
            <a:ext uri="{FF2B5EF4-FFF2-40B4-BE49-F238E27FC236}">
              <a16:creationId xmlns:a16="http://schemas.microsoft.com/office/drawing/2014/main" id="{64087AC2-9C92-4F7F-9ED4-273653BAFA3D}"/>
            </a:ext>
          </a:extLst>
        </xdr:cNvPr>
        <xdr:cNvCxnSpPr/>
      </xdr:nvCxnSpPr>
      <xdr:spPr>
        <a:xfrm>
          <a:off x="3238501" y="6343654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55</xdr:row>
      <xdr:rowOff>61915</xdr:rowOff>
    </xdr:from>
    <xdr:to>
      <xdr:col>20</xdr:col>
      <xdr:colOff>0</xdr:colOff>
      <xdr:row>56</xdr:row>
      <xdr:rowOff>128590</xdr:rowOff>
    </xdr:to>
    <xdr:cxnSp macro="">
      <xdr:nvCxnSpPr>
        <xdr:cNvPr id="689" name="Straight Arrow Connector 688">
          <a:extLst>
            <a:ext uri="{FF2B5EF4-FFF2-40B4-BE49-F238E27FC236}">
              <a16:creationId xmlns:a16="http://schemas.microsoft.com/office/drawing/2014/main" id="{2AECA728-2485-460C-89BF-8A90BC12B6B1}"/>
            </a:ext>
          </a:extLst>
        </xdr:cNvPr>
        <xdr:cNvCxnSpPr/>
      </xdr:nvCxnSpPr>
      <xdr:spPr>
        <a:xfrm>
          <a:off x="3400425" y="634841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55</xdr:row>
      <xdr:rowOff>61915</xdr:rowOff>
    </xdr:from>
    <xdr:to>
      <xdr:col>21</xdr:col>
      <xdr:colOff>0</xdr:colOff>
      <xdr:row>56</xdr:row>
      <xdr:rowOff>128590</xdr:rowOff>
    </xdr:to>
    <xdr:cxnSp macro="">
      <xdr:nvCxnSpPr>
        <xdr:cNvPr id="690" name="Straight Arrow Connector 689">
          <a:extLst>
            <a:ext uri="{FF2B5EF4-FFF2-40B4-BE49-F238E27FC236}">
              <a16:creationId xmlns:a16="http://schemas.microsoft.com/office/drawing/2014/main" id="{7C6E3092-1919-42AD-8F19-EAFBC26D85EB}"/>
            </a:ext>
          </a:extLst>
        </xdr:cNvPr>
        <xdr:cNvCxnSpPr/>
      </xdr:nvCxnSpPr>
      <xdr:spPr>
        <a:xfrm>
          <a:off x="3562350" y="634841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</xdr:colOff>
      <xdr:row>55</xdr:row>
      <xdr:rowOff>61915</xdr:rowOff>
    </xdr:from>
    <xdr:to>
      <xdr:col>22</xdr:col>
      <xdr:colOff>1</xdr:colOff>
      <xdr:row>56</xdr:row>
      <xdr:rowOff>128590</xdr:rowOff>
    </xdr:to>
    <xdr:cxnSp macro="">
      <xdr:nvCxnSpPr>
        <xdr:cNvPr id="691" name="Straight Arrow Connector 690">
          <a:extLst>
            <a:ext uri="{FF2B5EF4-FFF2-40B4-BE49-F238E27FC236}">
              <a16:creationId xmlns:a16="http://schemas.microsoft.com/office/drawing/2014/main" id="{4CAE7FFA-6D4B-4359-BC39-C8A238410204}"/>
            </a:ext>
          </a:extLst>
        </xdr:cNvPr>
        <xdr:cNvCxnSpPr/>
      </xdr:nvCxnSpPr>
      <xdr:spPr>
        <a:xfrm>
          <a:off x="3724276" y="6348415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161924</xdr:colOff>
      <xdr:row>55</xdr:row>
      <xdr:rowOff>61916</xdr:rowOff>
    </xdr:from>
    <xdr:to>
      <xdr:col>22</xdr:col>
      <xdr:colOff>161924</xdr:colOff>
      <xdr:row>56</xdr:row>
      <xdr:rowOff>128591</xdr:rowOff>
    </xdr:to>
    <xdr:cxnSp macro="">
      <xdr:nvCxnSpPr>
        <xdr:cNvPr id="692" name="Straight Arrow Connector 691">
          <a:extLst>
            <a:ext uri="{FF2B5EF4-FFF2-40B4-BE49-F238E27FC236}">
              <a16:creationId xmlns:a16="http://schemas.microsoft.com/office/drawing/2014/main" id="{2EAAA691-1F0F-4597-8FAD-A0A5F69E56B3}"/>
            </a:ext>
          </a:extLst>
        </xdr:cNvPr>
        <xdr:cNvCxnSpPr/>
      </xdr:nvCxnSpPr>
      <xdr:spPr>
        <a:xfrm>
          <a:off x="3886199" y="6348416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55</xdr:row>
      <xdr:rowOff>61916</xdr:rowOff>
    </xdr:from>
    <xdr:to>
      <xdr:col>24</xdr:col>
      <xdr:colOff>0</xdr:colOff>
      <xdr:row>56</xdr:row>
      <xdr:rowOff>128591</xdr:rowOff>
    </xdr:to>
    <xdr:cxnSp macro="">
      <xdr:nvCxnSpPr>
        <xdr:cNvPr id="693" name="Straight Arrow Connector 692">
          <a:extLst>
            <a:ext uri="{FF2B5EF4-FFF2-40B4-BE49-F238E27FC236}">
              <a16:creationId xmlns:a16="http://schemas.microsoft.com/office/drawing/2014/main" id="{7DA137A9-8F06-440A-A3FC-B80770F19717}"/>
            </a:ext>
          </a:extLst>
        </xdr:cNvPr>
        <xdr:cNvCxnSpPr/>
      </xdr:nvCxnSpPr>
      <xdr:spPr>
        <a:xfrm>
          <a:off x="4048125" y="6348416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55</xdr:row>
      <xdr:rowOff>61916</xdr:rowOff>
    </xdr:from>
    <xdr:to>
      <xdr:col>25</xdr:col>
      <xdr:colOff>0</xdr:colOff>
      <xdr:row>56</xdr:row>
      <xdr:rowOff>128591</xdr:rowOff>
    </xdr:to>
    <xdr:cxnSp macro="">
      <xdr:nvCxnSpPr>
        <xdr:cNvPr id="694" name="Straight Arrow Connector 693">
          <a:extLst>
            <a:ext uri="{FF2B5EF4-FFF2-40B4-BE49-F238E27FC236}">
              <a16:creationId xmlns:a16="http://schemas.microsoft.com/office/drawing/2014/main" id="{33F96018-1CB5-4402-9959-4798F10E2333}"/>
            </a:ext>
          </a:extLst>
        </xdr:cNvPr>
        <xdr:cNvCxnSpPr/>
      </xdr:nvCxnSpPr>
      <xdr:spPr>
        <a:xfrm>
          <a:off x="4210050" y="6348416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55</xdr:row>
      <xdr:rowOff>61916</xdr:rowOff>
    </xdr:from>
    <xdr:to>
      <xdr:col>26</xdr:col>
      <xdr:colOff>1</xdr:colOff>
      <xdr:row>56</xdr:row>
      <xdr:rowOff>128591</xdr:rowOff>
    </xdr:to>
    <xdr:cxnSp macro="">
      <xdr:nvCxnSpPr>
        <xdr:cNvPr id="695" name="Straight Arrow Connector 694">
          <a:extLst>
            <a:ext uri="{FF2B5EF4-FFF2-40B4-BE49-F238E27FC236}">
              <a16:creationId xmlns:a16="http://schemas.microsoft.com/office/drawing/2014/main" id="{324A6F4C-24F1-44E1-8D13-217F8C14AA0B}"/>
            </a:ext>
          </a:extLst>
        </xdr:cNvPr>
        <xdr:cNvCxnSpPr/>
      </xdr:nvCxnSpPr>
      <xdr:spPr>
        <a:xfrm>
          <a:off x="4371976" y="6348416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</xdr:colOff>
      <xdr:row>55</xdr:row>
      <xdr:rowOff>61911</xdr:rowOff>
    </xdr:from>
    <xdr:to>
      <xdr:col>27</xdr:col>
      <xdr:colOff>3</xdr:colOff>
      <xdr:row>56</xdr:row>
      <xdr:rowOff>128586</xdr:rowOff>
    </xdr:to>
    <xdr:cxnSp macro="">
      <xdr:nvCxnSpPr>
        <xdr:cNvPr id="696" name="Straight Arrow Connector 695">
          <a:extLst>
            <a:ext uri="{FF2B5EF4-FFF2-40B4-BE49-F238E27FC236}">
              <a16:creationId xmlns:a16="http://schemas.microsoft.com/office/drawing/2014/main" id="{B8FF907A-85A1-4934-8798-3C4DA08A6F0C}"/>
            </a:ext>
          </a:extLst>
        </xdr:cNvPr>
        <xdr:cNvCxnSpPr/>
      </xdr:nvCxnSpPr>
      <xdr:spPr>
        <a:xfrm>
          <a:off x="4533903" y="6348411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</xdr:colOff>
      <xdr:row>55</xdr:row>
      <xdr:rowOff>61911</xdr:rowOff>
    </xdr:from>
    <xdr:to>
      <xdr:col>28</xdr:col>
      <xdr:colOff>4</xdr:colOff>
      <xdr:row>56</xdr:row>
      <xdr:rowOff>128586</xdr:rowOff>
    </xdr:to>
    <xdr:cxnSp macro="">
      <xdr:nvCxnSpPr>
        <xdr:cNvPr id="697" name="Straight Arrow Connector 696">
          <a:extLst>
            <a:ext uri="{FF2B5EF4-FFF2-40B4-BE49-F238E27FC236}">
              <a16:creationId xmlns:a16="http://schemas.microsoft.com/office/drawing/2014/main" id="{9CB7BE15-D5A4-4787-A05C-369B7A98FEE5}"/>
            </a:ext>
          </a:extLst>
        </xdr:cNvPr>
        <xdr:cNvCxnSpPr/>
      </xdr:nvCxnSpPr>
      <xdr:spPr>
        <a:xfrm>
          <a:off x="4695829" y="6348411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55</xdr:row>
      <xdr:rowOff>57150</xdr:rowOff>
    </xdr:from>
    <xdr:to>
      <xdr:col>28</xdr:col>
      <xdr:colOff>4763</xdr:colOff>
      <xdr:row>55</xdr:row>
      <xdr:rowOff>57150</xdr:rowOff>
    </xdr:to>
    <xdr:cxnSp macro="">
      <xdr:nvCxnSpPr>
        <xdr:cNvPr id="698" name="Straight Connector 697">
          <a:extLst>
            <a:ext uri="{FF2B5EF4-FFF2-40B4-BE49-F238E27FC236}">
              <a16:creationId xmlns:a16="http://schemas.microsoft.com/office/drawing/2014/main" id="{C8FE6171-A7E9-4D24-9C3B-5B18827C8F87}"/>
            </a:ext>
          </a:extLst>
        </xdr:cNvPr>
        <xdr:cNvCxnSpPr/>
      </xdr:nvCxnSpPr>
      <xdr:spPr>
        <a:xfrm>
          <a:off x="809625" y="6343650"/>
          <a:ext cx="389096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138113</xdr:colOff>
      <xdr:row>57</xdr:row>
      <xdr:rowOff>0</xdr:rowOff>
    </xdr:from>
    <xdr:to>
      <xdr:col>28</xdr:col>
      <xdr:colOff>52388</xdr:colOff>
      <xdr:row>63</xdr:row>
      <xdr:rowOff>19050</xdr:rowOff>
    </xdr:to>
    <xdr:grpSp>
      <xdr:nvGrpSpPr>
        <xdr:cNvPr id="699" name="Group 698">
          <a:extLst>
            <a:ext uri="{FF2B5EF4-FFF2-40B4-BE49-F238E27FC236}">
              <a16:creationId xmlns:a16="http://schemas.microsoft.com/office/drawing/2014/main" id="{D50C6F0B-DDB1-4C22-8035-03CC5EDDE67F}"/>
            </a:ext>
          </a:extLst>
        </xdr:cNvPr>
        <xdr:cNvGrpSpPr/>
      </xdr:nvGrpSpPr>
      <xdr:grpSpPr>
        <a:xfrm>
          <a:off x="623888" y="10153650"/>
          <a:ext cx="3962400" cy="876300"/>
          <a:chOff x="785813" y="6572250"/>
          <a:chExt cx="3962400" cy="876300"/>
        </a:xfrm>
      </xdr:grpSpPr>
      <xdr:grpSp>
        <xdr:nvGrpSpPr>
          <xdr:cNvPr id="700" name="Group 699">
            <a:extLst>
              <a:ext uri="{FF2B5EF4-FFF2-40B4-BE49-F238E27FC236}">
                <a16:creationId xmlns:a16="http://schemas.microsoft.com/office/drawing/2014/main" id="{41BAB47C-45F5-4EA6-2701-977031E5FC47}"/>
              </a:ext>
            </a:extLst>
          </xdr:cNvPr>
          <xdr:cNvGrpSpPr/>
        </xdr:nvGrpSpPr>
        <xdr:grpSpPr>
          <a:xfrm>
            <a:off x="785813" y="6572250"/>
            <a:ext cx="3962400" cy="876300"/>
            <a:chOff x="785813" y="714375"/>
            <a:chExt cx="3962400" cy="876300"/>
          </a:xfrm>
        </xdr:grpSpPr>
        <xdr:sp macro="" textlink="">
          <xdr:nvSpPr>
            <xdr:cNvPr id="381" name="Freeform: Shape 380">
              <a:extLst>
                <a:ext uri="{FF2B5EF4-FFF2-40B4-BE49-F238E27FC236}">
                  <a16:creationId xmlns:a16="http://schemas.microsoft.com/office/drawing/2014/main" id="{1B7F4A8C-C62E-2987-4EB0-30C2AA53EE52}"/>
                </a:ext>
              </a:extLst>
            </xdr:cNvPr>
            <xdr:cNvSpPr/>
          </xdr:nvSpPr>
          <xdr:spPr>
            <a:xfrm>
              <a:off x="809625" y="714375"/>
              <a:ext cx="3881438" cy="862013"/>
            </a:xfrm>
            <a:custGeom>
              <a:avLst/>
              <a:gdLst>
                <a:gd name="connsiteX0" fmla="*/ 0 w 3729038"/>
                <a:gd name="connsiteY0" fmla="*/ 857250 h 862013"/>
                <a:gd name="connsiteX1" fmla="*/ 0 w 3729038"/>
                <a:gd name="connsiteY1" fmla="*/ 0 h 862013"/>
                <a:gd name="connsiteX2" fmla="*/ 3729038 w 3729038"/>
                <a:gd name="connsiteY2" fmla="*/ 0 h 862013"/>
                <a:gd name="connsiteX3" fmla="*/ 3729038 w 3729038"/>
                <a:gd name="connsiteY3" fmla="*/ 862013 h 86201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3729038" h="862013">
                  <a:moveTo>
                    <a:pt x="0" y="857250"/>
                  </a:moveTo>
                  <a:lnTo>
                    <a:pt x="0" y="0"/>
                  </a:lnTo>
                  <a:lnTo>
                    <a:pt x="3729038" y="0"/>
                  </a:lnTo>
                  <a:lnTo>
                    <a:pt x="3729038" y="862013"/>
                  </a:lnTo>
                </a:path>
              </a:pathLst>
            </a:custGeom>
            <a:solidFill>
              <a:schemeClr val="bg1">
                <a:lumMod val="9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97" name="Trapezoid 396">
              <a:extLst>
                <a:ext uri="{FF2B5EF4-FFF2-40B4-BE49-F238E27FC236}">
                  <a16:creationId xmlns:a16="http://schemas.microsoft.com/office/drawing/2014/main" id="{4A67B8A7-2637-B9B9-0D8F-64F50A6D60B9}"/>
                </a:ext>
              </a:extLst>
            </xdr:cNvPr>
            <xdr:cNvSpPr/>
          </xdr:nvSpPr>
          <xdr:spPr>
            <a:xfrm>
              <a:off x="785813" y="1152525"/>
              <a:ext cx="3962400" cy="438150"/>
            </a:xfrm>
            <a:prstGeom prst="trapezoid">
              <a:avLst>
                <a:gd name="adj" fmla="val 176343"/>
              </a:avLst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cxnSp macro="">
          <xdr:nvCxnSpPr>
            <xdr:cNvPr id="398" name="Straight Connector 397">
              <a:extLst>
                <a:ext uri="{FF2B5EF4-FFF2-40B4-BE49-F238E27FC236}">
                  <a16:creationId xmlns:a16="http://schemas.microsoft.com/office/drawing/2014/main" id="{2786C419-D0A5-0160-A35C-C0043DEE2C61}"/>
                </a:ext>
              </a:extLst>
            </xdr:cNvPr>
            <xdr:cNvCxnSpPr/>
          </xdr:nvCxnSpPr>
          <xdr:spPr>
            <a:xfrm>
              <a:off x="1619250" y="1143001"/>
              <a:ext cx="2281238" cy="0"/>
            </a:xfrm>
            <a:prstGeom prst="line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  <xdr:sp macro="" textlink="">
          <xdr:nvSpPr>
            <xdr:cNvPr id="399" name="Freeform: Shape 398">
              <a:extLst>
                <a:ext uri="{FF2B5EF4-FFF2-40B4-BE49-F238E27FC236}">
                  <a16:creationId xmlns:a16="http://schemas.microsoft.com/office/drawing/2014/main" id="{C3E2CFDA-E8AC-EFE9-9777-56DC7E510562}"/>
                </a:ext>
              </a:extLst>
            </xdr:cNvPr>
            <xdr:cNvSpPr/>
          </xdr:nvSpPr>
          <xdr:spPr>
            <a:xfrm>
              <a:off x="809625" y="1143000"/>
              <a:ext cx="809625" cy="428625"/>
            </a:xfrm>
            <a:custGeom>
              <a:avLst/>
              <a:gdLst>
                <a:gd name="connsiteX0" fmla="*/ 0 w 809625"/>
                <a:gd name="connsiteY0" fmla="*/ 423862 h 423862"/>
                <a:gd name="connsiteX1" fmla="*/ 261938 w 809625"/>
                <a:gd name="connsiteY1" fmla="*/ 119062 h 423862"/>
                <a:gd name="connsiteX2" fmla="*/ 809625 w 809625"/>
                <a:gd name="connsiteY2" fmla="*/ 0 h 42386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09625" h="423862">
                  <a:moveTo>
                    <a:pt x="0" y="423862"/>
                  </a:moveTo>
                  <a:cubicBezTo>
                    <a:pt x="63500" y="306784"/>
                    <a:pt x="127001" y="189706"/>
                    <a:pt x="261938" y="119062"/>
                  </a:cubicBezTo>
                  <a:cubicBezTo>
                    <a:pt x="396875" y="48418"/>
                    <a:pt x="603250" y="24209"/>
                    <a:pt x="809625" y="0"/>
                  </a:cubicBezTo>
                </a:path>
              </a:pathLst>
            </a:cu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400" name="Freeform: Shape 399">
              <a:extLst>
                <a:ext uri="{FF2B5EF4-FFF2-40B4-BE49-F238E27FC236}">
                  <a16:creationId xmlns:a16="http://schemas.microsoft.com/office/drawing/2014/main" id="{FE4235A9-D013-0718-FC72-E665074DDE8B}"/>
                </a:ext>
              </a:extLst>
            </xdr:cNvPr>
            <xdr:cNvSpPr/>
          </xdr:nvSpPr>
          <xdr:spPr>
            <a:xfrm>
              <a:off x="3881443" y="1143000"/>
              <a:ext cx="814388" cy="428625"/>
            </a:xfrm>
            <a:custGeom>
              <a:avLst/>
              <a:gdLst>
                <a:gd name="connsiteX0" fmla="*/ 814388 w 814388"/>
                <a:gd name="connsiteY0" fmla="*/ 423862 h 423862"/>
                <a:gd name="connsiteX1" fmla="*/ 504825 w 814388"/>
                <a:gd name="connsiteY1" fmla="*/ 123825 h 423862"/>
                <a:gd name="connsiteX2" fmla="*/ 0 w 814388"/>
                <a:gd name="connsiteY2" fmla="*/ 0 h 42386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814388" h="423862">
                  <a:moveTo>
                    <a:pt x="814388" y="423862"/>
                  </a:moveTo>
                  <a:cubicBezTo>
                    <a:pt x="727472" y="309165"/>
                    <a:pt x="640556" y="194469"/>
                    <a:pt x="504825" y="123825"/>
                  </a:cubicBezTo>
                  <a:cubicBezTo>
                    <a:pt x="369094" y="53181"/>
                    <a:pt x="184547" y="26590"/>
                    <a:pt x="0" y="0"/>
                  </a:cubicBezTo>
                </a:path>
              </a:pathLst>
            </a:cu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</xdr:grpSp>
      <xdr:sp macro="" textlink="">
        <xdr:nvSpPr>
          <xdr:cNvPr id="701" name="TextBox 700">
            <a:extLst>
              <a:ext uri="{FF2B5EF4-FFF2-40B4-BE49-F238E27FC236}">
                <a16:creationId xmlns:a16="http://schemas.microsoft.com/office/drawing/2014/main" id="{327CE379-D985-8D39-2FF7-9FA22DA7D516}"/>
              </a:ext>
            </a:extLst>
          </xdr:cNvPr>
          <xdr:cNvSpPr txBox="1"/>
        </xdr:nvSpPr>
        <xdr:spPr>
          <a:xfrm>
            <a:off x="2405063" y="6915150"/>
            <a:ext cx="547687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I</a:t>
            </a:r>
            <a:r>
              <a:rPr lang="tr-TR" sz="800"/>
              <a:t>o</a:t>
            </a:r>
          </a:p>
        </xdr:txBody>
      </xdr:sp>
      <xdr:sp macro="" textlink="">
        <xdr:nvSpPr>
          <xdr:cNvPr id="702" name="TextBox 701">
            <a:extLst>
              <a:ext uri="{FF2B5EF4-FFF2-40B4-BE49-F238E27FC236}">
                <a16:creationId xmlns:a16="http://schemas.microsoft.com/office/drawing/2014/main" id="{305D61C4-6D74-C624-FC0B-21FD418B54D4}"/>
              </a:ext>
            </a:extLst>
          </xdr:cNvPr>
          <xdr:cNvSpPr txBox="1"/>
        </xdr:nvSpPr>
        <xdr:spPr>
          <a:xfrm>
            <a:off x="819150" y="7048500"/>
            <a:ext cx="90487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2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 </a:t>
            </a:r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parabol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 </a:t>
            </a:r>
            <a:endParaRPr lang="tr-TR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3" name="TextBox 702">
            <a:extLst>
              <a:ext uri="{FF2B5EF4-FFF2-40B4-BE49-F238E27FC236}">
                <a16:creationId xmlns:a16="http://schemas.microsoft.com/office/drawing/2014/main" id="{9572E190-6439-739D-6849-04B41EAEDF17}"/>
              </a:ext>
            </a:extLst>
          </xdr:cNvPr>
          <xdr:cNvSpPr txBox="1"/>
        </xdr:nvSpPr>
        <xdr:spPr>
          <a:xfrm>
            <a:off x="3771900" y="7096125"/>
            <a:ext cx="90487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2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 </a:t>
            </a:r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parabol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 </a:t>
            </a:r>
            <a:endParaRPr lang="tr-TR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0</xdr:colOff>
      <xdr:row>46</xdr:row>
      <xdr:rowOff>76195</xdr:rowOff>
    </xdr:from>
    <xdr:to>
      <xdr:col>4</xdr:col>
      <xdr:colOff>0</xdr:colOff>
      <xdr:row>50</xdr:row>
      <xdr:rowOff>71437</xdr:rowOff>
    </xdr:to>
    <xdr:cxnSp macro="">
      <xdr:nvCxnSpPr>
        <xdr:cNvPr id="401" name="Straight Connector 400">
          <a:extLst>
            <a:ext uri="{FF2B5EF4-FFF2-40B4-BE49-F238E27FC236}">
              <a16:creationId xmlns:a16="http://schemas.microsoft.com/office/drawing/2014/main" id="{85B0726A-652C-47E2-BE8B-DF0699D6F34A}"/>
            </a:ext>
          </a:extLst>
        </xdr:cNvPr>
        <xdr:cNvCxnSpPr/>
      </xdr:nvCxnSpPr>
      <xdr:spPr>
        <a:xfrm>
          <a:off x="809625" y="1504945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90491</xdr:colOff>
      <xdr:row>48</xdr:row>
      <xdr:rowOff>3</xdr:rowOff>
    </xdr:from>
    <xdr:to>
      <xdr:col>28</xdr:col>
      <xdr:colOff>52388</xdr:colOff>
      <xdr:row>48</xdr:row>
      <xdr:rowOff>3</xdr:rowOff>
    </xdr:to>
    <xdr:cxnSp macro="">
      <xdr:nvCxnSpPr>
        <xdr:cNvPr id="402" name="Straight Connector 401">
          <a:extLst>
            <a:ext uri="{FF2B5EF4-FFF2-40B4-BE49-F238E27FC236}">
              <a16:creationId xmlns:a16="http://schemas.microsoft.com/office/drawing/2014/main" id="{EE6F4EFC-6797-4FF7-8EA6-ECA8AB82EC40}"/>
            </a:ext>
          </a:extLst>
        </xdr:cNvPr>
        <xdr:cNvCxnSpPr/>
      </xdr:nvCxnSpPr>
      <xdr:spPr>
        <a:xfrm>
          <a:off x="738191" y="1714503"/>
          <a:ext cx="40100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43</xdr:row>
      <xdr:rowOff>38099</xdr:rowOff>
    </xdr:from>
    <xdr:to>
      <xdr:col>9</xdr:col>
      <xdr:colOff>1</xdr:colOff>
      <xdr:row>48</xdr:row>
      <xdr:rowOff>61913</xdr:rowOff>
    </xdr:to>
    <xdr:cxnSp macro="">
      <xdr:nvCxnSpPr>
        <xdr:cNvPr id="403" name="Straight Connector 402">
          <a:extLst>
            <a:ext uri="{FF2B5EF4-FFF2-40B4-BE49-F238E27FC236}">
              <a16:creationId xmlns:a16="http://schemas.microsoft.com/office/drawing/2014/main" id="{06A4E3D0-9528-494D-A0EE-91B8755FF365}"/>
            </a:ext>
          </a:extLst>
        </xdr:cNvPr>
        <xdr:cNvCxnSpPr/>
      </xdr:nvCxnSpPr>
      <xdr:spPr>
        <a:xfrm>
          <a:off x="1619251" y="1038224"/>
          <a:ext cx="0" cy="7381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47</xdr:row>
      <xdr:rowOff>109538</xdr:rowOff>
    </xdr:from>
    <xdr:to>
      <xdr:col>4</xdr:col>
      <xdr:colOff>33336</xdr:colOff>
      <xdr:row>48</xdr:row>
      <xdr:rowOff>38100</xdr:rowOff>
    </xdr:to>
    <xdr:cxnSp macro="">
      <xdr:nvCxnSpPr>
        <xdr:cNvPr id="404" name="Straight Connector 403">
          <a:extLst>
            <a:ext uri="{FF2B5EF4-FFF2-40B4-BE49-F238E27FC236}">
              <a16:creationId xmlns:a16="http://schemas.microsoft.com/office/drawing/2014/main" id="{DF4ADDD5-826B-4A8B-8B56-7BEBEEDBF39D}"/>
            </a:ext>
          </a:extLst>
        </xdr:cNvPr>
        <xdr:cNvCxnSpPr/>
      </xdr:nvCxnSpPr>
      <xdr:spPr>
        <a:xfrm flipH="1">
          <a:off x="771524" y="168116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123833</xdr:colOff>
      <xdr:row>47</xdr:row>
      <xdr:rowOff>109535</xdr:rowOff>
    </xdr:from>
    <xdr:to>
      <xdr:col>9</xdr:col>
      <xdr:colOff>33345</xdr:colOff>
      <xdr:row>48</xdr:row>
      <xdr:rowOff>38097</xdr:rowOff>
    </xdr:to>
    <xdr:cxnSp macro="">
      <xdr:nvCxnSpPr>
        <xdr:cNvPr id="405" name="Straight Connector 404">
          <a:extLst>
            <a:ext uri="{FF2B5EF4-FFF2-40B4-BE49-F238E27FC236}">
              <a16:creationId xmlns:a16="http://schemas.microsoft.com/office/drawing/2014/main" id="{560DB6E0-8BBA-42AE-B275-CD1ECFDBDF8B}"/>
            </a:ext>
          </a:extLst>
        </xdr:cNvPr>
        <xdr:cNvCxnSpPr/>
      </xdr:nvCxnSpPr>
      <xdr:spPr>
        <a:xfrm flipH="1">
          <a:off x="1581158" y="1681160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49</xdr:row>
      <xdr:rowOff>109538</xdr:rowOff>
    </xdr:from>
    <xdr:to>
      <xdr:col>4</xdr:col>
      <xdr:colOff>33336</xdr:colOff>
      <xdr:row>50</xdr:row>
      <xdr:rowOff>38100</xdr:rowOff>
    </xdr:to>
    <xdr:cxnSp macro="">
      <xdr:nvCxnSpPr>
        <xdr:cNvPr id="406" name="Straight Connector 405">
          <a:extLst>
            <a:ext uri="{FF2B5EF4-FFF2-40B4-BE49-F238E27FC236}">
              <a16:creationId xmlns:a16="http://schemas.microsoft.com/office/drawing/2014/main" id="{A5E38A57-62C2-4A74-BCD9-B1F1CFEC3FD9}"/>
            </a:ext>
          </a:extLst>
        </xdr:cNvPr>
        <xdr:cNvCxnSpPr/>
      </xdr:nvCxnSpPr>
      <xdr:spPr>
        <a:xfrm flipH="1">
          <a:off x="771524" y="196691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</xdr:colOff>
      <xdr:row>46</xdr:row>
      <xdr:rowOff>76197</xdr:rowOff>
    </xdr:from>
    <xdr:to>
      <xdr:col>28</xdr:col>
      <xdr:colOff>4</xdr:colOff>
      <xdr:row>50</xdr:row>
      <xdr:rowOff>71439</xdr:rowOff>
    </xdr:to>
    <xdr:cxnSp macro="">
      <xdr:nvCxnSpPr>
        <xdr:cNvPr id="407" name="Straight Connector 406">
          <a:extLst>
            <a:ext uri="{FF2B5EF4-FFF2-40B4-BE49-F238E27FC236}">
              <a16:creationId xmlns:a16="http://schemas.microsoft.com/office/drawing/2014/main" id="{857FB5A4-0E73-4F99-8303-4E04EFD622A1}"/>
            </a:ext>
          </a:extLst>
        </xdr:cNvPr>
        <xdr:cNvCxnSpPr/>
      </xdr:nvCxnSpPr>
      <xdr:spPr>
        <a:xfrm>
          <a:off x="4695829" y="1504947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47</xdr:row>
      <xdr:rowOff>109540</xdr:rowOff>
    </xdr:from>
    <xdr:to>
      <xdr:col>28</xdr:col>
      <xdr:colOff>33340</xdr:colOff>
      <xdr:row>48</xdr:row>
      <xdr:rowOff>38102</xdr:rowOff>
    </xdr:to>
    <xdr:cxnSp macro="">
      <xdr:nvCxnSpPr>
        <xdr:cNvPr id="408" name="Straight Connector 407">
          <a:extLst>
            <a:ext uri="{FF2B5EF4-FFF2-40B4-BE49-F238E27FC236}">
              <a16:creationId xmlns:a16="http://schemas.microsoft.com/office/drawing/2014/main" id="{4BF06C2F-907C-4E14-A8F2-C84A48E8A65A}"/>
            </a:ext>
          </a:extLst>
        </xdr:cNvPr>
        <xdr:cNvCxnSpPr/>
      </xdr:nvCxnSpPr>
      <xdr:spPr>
        <a:xfrm flipH="1">
          <a:off x="4657728" y="168116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49</xdr:row>
      <xdr:rowOff>109540</xdr:rowOff>
    </xdr:from>
    <xdr:to>
      <xdr:col>28</xdr:col>
      <xdr:colOff>33340</xdr:colOff>
      <xdr:row>50</xdr:row>
      <xdr:rowOff>38102</xdr:rowOff>
    </xdr:to>
    <xdr:cxnSp macro="">
      <xdr:nvCxnSpPr>
        <xdr:cNvPr id="409" name="Straight Connector 408">
          <a:extLst>
            <a:ext uri="{FF2B5EF4-FFF2-40B4-BE49-F238E27FC236}">
              <a16:creationId xmlns:a16="http://schemas.microsoft.com/office/drawing/2014/main" id="{6CB2D3B0-5105-48D6-80BF-A521768513A7}"/>
            </a:ext>
          </a:extLst>
        </xdr:cNvPr>
        <xdr:cNvCxnSpPr/>
      </xdr:nvCxnSpPr>
      <xdr:spPr>
        <a:xfrm flipH="1">
          <a:off x="4657728" y="196691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138113</xdr:colOff>
      <xdr:row>42</xdr:row>
      <xdr:rowOff>57150</xdr:rowOff>
    </xdr:from>
    <xdr:to>
      <xdr:col>17</xdr:col>
      <xdr:colOff>38100</xdr:colOff>
      <xdr:row>45</xdr:row>
      <xdr:rowOff>0</xdr:rowOff>
    </xdr:to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CD223090-8585-4236-9459-28D30CA66DCD}"/>
            </a:ext>
          </a:extLst>
        </xdr:cNvPr>
        <xdr:cNvSpPr txBox="1"/>
      </xdr:nvSpPr>
      <xdr:spPr>
        <a:xfrm>
          <a:off x="2405063" y="914400"/>
          <a:ext cx="547687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Symbol" panose="05050102010706020507" pitchFamily="18" charset="2"/>
            </a:rPr>
            <a:t>I</a:t>
          </a:r>
          <a:r>
            <a:rPr lang="tr-TR" sz="800"/>
            <a:t>o</a:t>
          </a:r>
        </a:p>
      </xdr:txBody>
    </xdr:sp>
    <xdr:clientData/>
  </xdr:twoCellAnchor>
  <xdr:twoCellAnchor>
    <xdr:from>
      <xdr:col>16</xdr:col>
      <xdr:colOff>2</xdr:colOff>
      <xdr:row>37</xdr:row>
      <xdr:rowOff>33338</xdr:rowOff>
    </xdr:from>
    <xdr:to>
      <xdr:col>16</xdr:col>
      <xdr:colOff>2</xdr:colOff>
      <xdr:row>39</xdr:row>
      <xdr:rowOff>133352</xdr:rowOff>
    </xdr:to>
    <xdr:cxnSp macro="">
      <xdr:nvCxnSpPr>
        <xdr:cNvPr id="411" name="Straight Arrow Connector 410">
          <a:extLst>
            <a:ext uri="{FF2B5EF4-FFF2-40B4-BE49-F238E27FC236}">
              <a16:creationId xmlns:a16="http://schemas.microsoft.com/office/drawing/2014/main" id="{63580BBE-4151-43F0-8087-B67BDD61E5B0}"/>
            </a:ext>
          </a:extLst>
        </xdr:cNvPr>
        <xdr:cNvCxnSpPr/>
      </xdr:nvCxnSpPr>
      <xdr:spPr>
        <a:xfrm>
          <a:off x="2752727" y="176213"/>
          <a:ext cx="0" cy="385764"/>
        </a:xfrm>
        <a:prstGeom prst="straightConnector1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37</xdr:row>
      <xdr:rowOff>66675</xdr:rowOff>
    </xdr:from>
    <xdr:to>
      <xdr:col>4</xdr:col>
      <xdr:colOff>0</xdr:colOff>
      <xdr:row>39</xdr:row>
      <xdr:rowOff>100014</xdr:rowOff>
    </xdr:to>
    <xdr:cxnSp macro="">
      <xdr:nvCxnSpPr>
        <xdr:cNvPr id="412" name="Straight Connector 411">
          <a:extLst>
            <a:ext uri="{FF2B5EF4-FFF2-40B4-BE49-F238E27FC236}">
              <a16:creationId xmlns:a16="http://schemas.microsoft.com/office/drawing/2014/main" id="{A17F73D0-A5AA-4AE1-9C08-B4FC47253EBC}"/>
            </a:ext>
          </a:extLst>
        </xdr:cNvPr>
        <xdr:cNvCxnSpPr/>
      </xdr:nvCxnSpPr>
      <xdr:spPr>
        <a:xfrm>
          <a:off x="809625" y="209550"/>
          <a:ext cx="0" cy="3190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95253</xdr:colOff>
      <xdr:row>38</xdr:row>
      <xdr:rowOff>1</xdr:rowOff>
    </xdr:from>
    <xdr:to>
      <xdr:col>16</xdr:col>
      <xdr:colOff>57150</xdr:colOff>
      <xdr:row>38</xdr:row>
      <xdr:rowOff>1</xdr:rowOff>
    </xdr:to>
    <xdr:cxnSp macro="">
      <xdr:nvCxnSpPr>
        <xdr:cNvPr id="413" name="Straight Connector 412">
          <a:extLst>
            <a:ext uri="{FF2B5EF4-FFF2-40B4-BE49-F238E27FC236}">
              <a16:creationId xmlns:a16="http://schemas.microsoft.com/office/drawing/2014/main" id="{9F9BC0DD-19A0-4742-82D2-ADC8BEACBF2E}"/>
            </a:ext>
          </a:extLst>
        </xdr:cNvPr>
        <xdr:cNvCxnSpPr/>
      </xdr:nvCxnSpPr>
      <xdr:spPr>
        <a:xfrm>
          <a:off x="742953" y="285751"/>
          <a:ext cx="20669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119062</xdr:colOff>
      <xdr:row>37</xdr:row>
      <xdr:rowOff>104775</xdr:rowOff>
    </xdr:from>
    <xdr:to>
      <xdr:col>4</xdr:col>
      <xdr:colOff>38099</xdr:colOff>
      <xdr:row>38</xdr:row>
      <xdr:rowOff>42862</xdr:rowOff>
    </xdr:to>
    <xdr:cxnSp macro="">
      <xdr:nvCxnSpPr>
        <xdr:cNvPr id="414" name="Straight Connector 413">
          <a:extLst>
            <a:ext uri="{FF2B5EF4-FFF2-40B4-BE49-F238E27FC236}">
              <a16:creationId xmlns:a16="http://schemas.microsoft.com/office/drawing/2014/main" id="{C2CAFD41-EED1-4929-A793-CCB9CB2B2FF7}"/>
            </a:ext>
          </a:extLst>
        </xdr:cNvPr>
        <xdr:cNvCxnSpPr/>
      </xdr:nvCxnSpPr>
      <xdr:spPr>
        <a:xfrm flipH="1">
          <a:off x="766762" y="24765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119061</xdr:colOff>
      <xdr:row>37</xdr:row>
      <xdr:rowOff>104775</xdr:rowOff>
    </xdr:from>
    <xdr:to>
      <xdr:col>16</xdr:col>
      <xdr:colOff>38098</xdr:colOff>
      <xdr:row>38</xdr:row>
      <xdr:rowOff>42862</xdr:rowOff>
    </xdr:to>
    <xdr:cxnSp macro="">
      <xdr:nvCxnSpPr>
        <xdr:cNvPr id="415" name="Straight Connector 414">
          <a:extLst>
            <a:ext uri="{FF2B5EF4-FFF2-40B4-BE49-F238E27FC236}">
              <a16:creationId xmlns:a16="http://schemas.microsoft.com/office/drawing/2014/main" id="{EAA3449A-8E6D-4C57-AA28-61E0A1F749CE}"/>
            </a:ext>
          </a:extLst>
        </xdr:cNvPr>
        <xdr:cNvCxnSpPr/>
      </xdr:nvCxnSpPr>
      <xdr:spPr>
        <a:xfrm flipH="1">
          <a:off x="2709861" y="24765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39</xdr:row>
      <xdr:rowOff>142873</xdr:rowOff>
    </xdr:from>
    <xdr:to>
      <xdr:col>27</xdr:col>
      <xdr:colOff>157163</xdr:colOff>
      <xdr:row>46</xdr:row>
      <xdr:rowOff>4760</xdr:rowOff>
    </xdr:to>
    <xdr:grpSp>
      <xdr:nvGrpSpPr>
        <xdr:cNvPr id="416" name="Group 415">
          <a:extLst>
            <a:ext uri="{FF2B5EF4-FFF2-40B4-BE49-F238E27FC236}">
              <a16:creationId xmlns:a16="http://schemas.microsoft.com/office/drawing/2014/main" id="{9059E39B-FBE5-4CEC-8AC9-B627E1BB564F}"/>
            </a:ext>
          </a:extLst>
        </xdr:cNvPr>
        <xdr:cNvGrpSpPr/>
      </xdr:nvGrpSpPr>
      <xdr:grpSpPr>
        <a:xfrm>
          <a:off x="647700" y="7219948"/>
          <a:ext cx="3881438" cy="862012"/>
          <a:chOff x="809624" y="714375"/>
          <a:chExt cx="3881438" cy="862012"/>
        </a:xfrm>
      </xdr:grpSpPr>
      <xdr:sp macro="" textlink="">
        <xdr:nvSpPr>
          <xdr:cNvPr id="417" name="Freeform: Shape 416">
            <a:extLst>
              <a:ext uri="{FF2B5EF4-FFF2-40B4-BE49-F238E27FC236}">
                <a16:creationId xmlns:a16="http://schemas.microsoft.com/office/drawing/2014/main" id="{A127A4A0-354B-E7A0-0ED9-EBC21D7B0241}"/>
              </a:ext>
            </a:extLst>
          </xdr:cNvPr>
          <xdr:cNvSpPr/>
        </xdr:nvSpPr>
        <xdr:spPr>
          <a:xfrm>
            <a:off x="809624" y="714375"/>
            <a:ext cx="3881438" cy="862012"/>
          </a:xfrm>
          <a:custGeom>
            <a:avLst/>
            <a:gdLst>
              <a:gd name="connsiteX0" fmla="*/ 0 w 3881438"/>
              <a:gd name="connsiteY0" fmla="*/ 862012 h 862012"/>
              <a:gd name="connsiteX1" fmla="*/ 0 w 3881438"/>
              <a:gd name="connsiteY1" fmla="*/ 0 h 862012"/>
              <a:gd name="connsiteX2" fmla="*/ 3881438 w 3881438"/>
              <a:gd name="connsiteY2" fmla="*/ 0 h 862012"/>
              <a:gd name="connsiteX3" fmla="*/ 3881438 w 3881438"/>
              <a:gd name="connsiteY3" fmla="*/ 433387 h 862012"/>
              <a:gd name="connsiteX4" fmla="*/ 804863 w 3881438"/>
              <a:gd name="connsiteY4" fmla="*/ 433387 h 8620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881438" h="862012">
                <a:moveTo>
                  <a:pt x="0" y="862012"/>
                </a:moveTo>
                <a:lnTo>
                  <a:pt x="0" y="0"/>
                </a:lnTo>
                <a:lnTo>
                  <a:pt x="3881438" y="0"/>
                </a:lnTo>
                <a:lnTo>
                  <a:pt x="3881438" y="433387"/>
                </a:lnTo>
                <a:lnTo>
                  <a:pt x="804863" y="433387"/>
                </a:lnTo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18" name="Freeform: Shape 417">
            <a:extLst>
              <a:ext uri="{FF2B5EF4-FFF2-40B4-BE49-F238E27FC236}">
                <a16:creationId xmlns:a16="http://schemas.microsoft.com/office/drawing/2014/main" id="{2E44A83D-C6B9-A871-B19E-A91CCAE185ED}"/>
              </a:ext>
            </a:extLst>
          </xdr:cNvPr>
          <xdr:cNvSpPr/>
        </xdr:nvSpPr>
        <xdr:spPr>
          <a:xfrm>
            <a:off x="809625" y="1147763"/>
            <a:ext cx="809625" cy="423862"/>
          </a:xfrm>
          <a:custGeom>
            <a:avLst/>
            <a:gdLst>
              <a:gd name="connsiteX0" fmla="*/ 0 w 809625"/>
              <a:gd name="connsiteY0" fmla="*/ 423862 h 423862"/>
              <a:gd name="connsiteX1" fmla="*/ 261938 w 809625"/>
              <a:gd name="connsiteY1" fmla="*/ 119062 h 423862"/>
              <a:gd name="connsiteX2" fmla="*/ 809625 w 809625"/>
              <a:gd name="connsiteY2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423862">
                <a:moveTo>
                  <a:pt x="0" y="423862"/>
                </a:moveTo>
                <a:cubicBezTo>
                  <a:pt x="63500" y="306784"/>
                  <a:pt x="127001" y="189706"/>
                  <a:pt x="261938" y="119062"/>
                </a:cubicBezTo>
                <a:cubicBezTo>
                  <a:pt x="396875" y="48418"/>
                  <a:pt x="603250" y="24209"/>
                  <a:pt x="809625" y="0"/>
                </a:cubicBezTo>
              </a:path>
            </a:pathLst>
          </a:cu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19" name="TextBox 418">
            <a:extLst>
              <a:ext uri="{FF2B5EF4-FFF2-40B4-BE49-F238E27FC236}">
                <a16:creationId xmlns:a16="http://schemas.microsoft.com/office/drawing/2014/main" id="{0EFB9FDE-B059-ED8B-24B4-D6FACFC998E4}"/>
              </a:ext>
            </a:extLst>
          </xdr:cNvPr>
          <xdr:cNvSpPr txBox="1"/>
        </xdr:nvSpPr>
        <xdr:spPr>
          <a:xfrm>
            <a:off x="2405063" y="1057275"/>
            <a:ext cx="547687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I</a:t>
            </a:r>
            <a:r>
              <a:rPr lang="tr-TR" sz="800"/>
              <a:t>o</a:t>
            </a:r>
          </a:p>
        </xdr:txBody>
      </xdr:sp>
    </xdr:grpSp>
    <xdr:clientData/>
  </xdr:twoCellAnchor>
  <xdr:twoCellAnchor>
    <xdr:from>
      <xdr:col>3</xdr:col>
      <xdr:colOff>152400</xdr:colOff>
      <xdr:row>43</xdr:row>
      <xdr:rowOff>95250</xdr:rowOff>
    </xdr:from>
    <xdr:to>
      <xdr:col>9</xdr:col>
      <xdr:colOff>85726</xdr:colOff>
      <xdr:row>45</xdr:row>
      <xdr:rowOff>123825</xdr:rowOff>
    </xdr:to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98232346-865A-4950-944E-D0B88CE17566}"/>
            </a:ext>
          </a:extLst>
        </xdr:cNvPr>
        <xdr:cNvSpPr txBox="1"/>
      </xdr:nvSpPr>
      <xdr:spPr>
        <a:xfrm>
          <a:off x="800100" y="1095375"/>
          <a:ext cx="9048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Symbol" panose="05050102010706020507" pitchFamily="18" charset="2"/>
            </a:rPr>
            <a:t>2</a:t>
          </a:r>
          <a:r>
            <a:rPr lang="tr-TR" sz="800">
              <a:latin typeface="Symbol" panose="05050102010706020507" pitchFamily="18" charset="2"/>
              <a:sym typeface="Symbol" panose="05050102010706020507" pitchFamily="18" charset="2"/>
            </a:rPr>
            <a:t> </a:t>
          </a:r>
          <a:r>
            <a:rPr lang="tr-TR" sz="8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parabol</a:t>
          </a:r>
          <a:r>
            <a:rPr lang="tr-TR" sz="800">
              <a:latin typeface="Symbol" panose="05050102010706020507" pitchFamily="18" charset="2"/>
              <a:sym typeface="Symbol" panose="05050102010706020507" pitchFamily="18" charset="2"/>
            </a:rPr>
            <a:t> </a:t>
          </a:r>
          <a:endParaRPr lang="tr-T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104775</xdr:colOff>
      <xdr:row>50</xdr:row>
      <xdr:rowOff>0</xdr:rowOff>
    </xdr:from>
    <xdr:to>
      <xdr:col>28</xdr:col>
      <xdr:colOff>66672</xdr:colOff>
      <xdr:row>50</xdr:row>
      <xdr:rowOff>0</xdr:rowOff>
    </xdr:to>
    <xdr:cxnSp macro="">
      <xdr:nvCxnSpPr>
        <xdr:cNvPr id="421" name="Straight Connector 420">
          <a:extLst>
            <a:ext uri="{FF2B5EF4-FFF2-40B4-BE49-F238E27FC236}">
              <a16:creationId xmlns:a16="http://schemas.microsoft.com/office/drawing/2014/main" id="{BA5C8C42-DDE6-4A4D-A7FE-76C05BD3E24A}"/>
            </a:ext>
          </a:extLst>
        </xdr:cNvPr>
        <xdr:cNvCxnSpPr/>
      </xdr:nvCxnSpPr>
      <xdr:spPr>
        <a:xfrm>
          <a:off x="752475" y="2000250"/>
          <a:ext cx="40100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80</xdr:row>
      <xdr:rowOff>76195</xdr:rowOff>
    </xdr:from>
    <xdr:to>
      <xdr:col>4</xdr:col>
      <xdr:colOff>0</xdr:colOff>
      <xdr:row>84</xdr:row>
      <xdr:rowOff>71437</xdr:rowOff>
    </xdr:to>
    <xdr:cxnSp macro="">
      <xdr:nvCxnSpPr>
        <xdr:cNvPr id="641" name="Straight Connector 640">
          <a:extLst>
            <a:ext uri="{FF2B5EF4-FFF2-40B4-BE49-F238E27FC236}">
              <a16:creationId xmlns:a16="http://schemas.microsoft.com/office/drawing/2014/main" id="{E06C29BF-5F86-4E5E-A737-2B4E7E8118A0}"/>
            </a:ext>
          </a:extLst>
        </xdr:cNvPr>
        <xdr:cNvCxnSpPr/>
      </xdr:nvCxnSpPr>
      <xdr:spPr>
        <a:xfrm>
          <a:off x="809625" y="1504945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90491</xdr:colOff>
      <xdr:row>82</xdr:row>
      <xdr:rowOff>3</xdr:rowOff>
    </xdr:from>
    <xdr:to>
      <xdr:col>28</xdr:col>
      <xdr:colOff>52388</xdr:colOff>
      <xdr:row>82</xdr:row>
      <xdr:rowOff>3</xdr:rowOff>
    </xdr:to>
    <xdr:cxnSp macro="">
      <xdr:nvCxnSpPr>
        <xdr:cNvPr id="642" name="Straight Connector 641">
          <a:extLst>
            <a:ext uri="{FF2B5EF4-FFF2-40B4-BE49-F238E27FC236}">
              <a16:creationId xmlns:a16="http://schemas.microsoft.com/office/drawing/2014/main" id="{90AFC71C-2562-4A9C-B711-88A232FB71C2}"/>
            </a:ext>
          </a:extLst>
        </xdr:cNvPr>
        <xdr:cNvCxnSpPr/>
      </xdr:nvCxnSpPr>
      <xdr:spPr>
        <a:xfrm>
          <a:off x="738191" y="1714503"/>
          <a:ext cx="40100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77</xdr:row>
      <xdr:rowOff>38099</xdr:rowOff>
    </xdr:from>
    <xdr:to>
      <xdr:col>9</xdr:col>
      <xdr:colOff>1</xdr:colOff>
      <xdr:row>82</xdr:row>
      <xdr:rowOff>61913</xdr:rowOff>
    </xdr:to>
    <xdr:cxnSp macro="">
      <xdr:nvCxnSpPr>
        <xdr:cNvPr id="643" name="Straight Connector 642">
          <a:extLst>
            <a:ext uri="{FF2B5EF4-FFF2-40B4-BE49-F238E27FC236}">
              <a16:creationId xmlns:a16="http://schemas.microsoft.com/office/drawing/2014/main" id="{59C6BECB-17E1-4E20-88C6-5E9E96A95E20}"/>
            </a:ext>
          </a:extLst>
        </xdr:cNvPr>
        <xdr:cNvCxnSpPr/>
      </xdr:nvCxnSpPr>
      <xdr:spPr>
        <a:xfrm>
          <a:off x="1619251" y="1038224"/>
          <a:ext cx="0" cy="7381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81</xdr:row>
      <xdr:rowOff>109538</xdr:rowOff>
    </xdr:from>
    <xdr:to>
      <xdr:col>4</xdr:col>
      <xdr:colOff>33336</xdr:colOff>
      <xdr:row>82</xdr:row>
      <xdr:rowOff>38100</xdr:rowOff>
    </xdr:to>
    <xdr:cxnSp macro="">
      <xdr:nvCxnSpPr>
        <xdr:cNvPr id="644" name="Straight Connector 643">
          <a:extLst>
            <a:ext uri="{FF2B5EF4-FFF2-40B4-BE49-F238E27FC236}">
              <a16:creationId xmlns:a16="http://schemas.microsoft.com/office/drawing/2014/main" id="{E6DC879C-802A-4CDB-B61D-912A88739A27}"/>
            </a:ext>
          </a:extLst>
        </xdr:cNvPr>
        <xdr:cNvCxnSpPr/>
      </xdr:nvCxnSpPr>
      <xdr:spPr>
        <a:xfrm flipH="1">
          <a:off x="771524" y="168116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123833</xdr:colOff>
      <xdr:row>81</xdr:row>
      <xdr:rowOff>109535</xdr:rowOff>
    </xdr:from>
    <xdr:to>
      <xdr:col>9</xdr:col>
      <xdr:colOff>33345</xdr:colOff>
      <xdr:row>82</xdr:row>
      <xdr:rowOff>38097</xdr:rowOff>
    </xdr:to>
    <xdr:cxnSp macro="">
      <xdr:nvCxnSpPr>
        <xdr:cNvPr id="645" name="Straight Connector 644">
          <a:extLst>
            <a:ext uri="{FF2B5EF4-FFF2-40B4-BE49-F238E27FC236}">
              <a16:creationId xmlns:a16="http://schemas.microsoft.com/office/drawing/2014/main" id="{3C5C00BA-27EE-435E-B391-629A79F6F183}"/>
            </a:ext>
          </a:extLst>
        </xdr:cNvPr>
        <xdr:cNvCxnSpPr/>
      </xdr:nvCxnSpPr>
      <xdr:spPr>
        <a:xfrm flipH="1">
          <a:off x="1581158" y="1681160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83</xdr:row>
      <xdr:rowOff>109538</xdr:rowOff>
    </xdr:from>
    <xdr:to>
      <xdr:col>4</xdr:col>
      <xdr:colOff>33336</xdr:colOff>
      <xdr:row>84</xdr:row>
      <xdr:rowOff>38100</xdr:rowOff>
    </xdr:to>
    <xdr:cxnSp macro="">
      <xdr:nvCxnSpPr>
        <xdr:cNvPr id="646" name="Straight Connector 645">
          <a:extLst>
            <a:ext uri="{FF2B5EF4-FFF2-40B4-BE49-F238E27FC236}">
              <a16:creationId xmlns:a16="http://schemas.microsoft.com/office/drawing/2014/main" id="{950DE1D1-CBDC-4539-B070-0E1BCE734B59}"/>
            </a:ext>
          </a:extLst>
        </xdr:cNvPr>
        <xdr:cNvCxnSpPr/>
      </xdr:nvCxnSpPr>
      <xdr:spPr>
        <a:xfrm flipH="1">
          <a:off x="771524" y="196691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</xdr:colOff>
      <xdr:row>80</xdr:row>
      <xdr:rowOff>76197</xdr:rowOff>
    </xdr:from>
    <xdr:to>
      <xdr:col>28</xdr:col>
      <xdr:colOff>4</xdr:colOff>
      <xdr:row>84</xdr:row>
      <xdr:rowOff>71439</xdr:rowOff>
    </xdr:to>
    <xdr:cxnSp macro="">
      <xdr:nvCxnSpPr>
        <xdr:cNvPr id="647" name="Straight Connector 646">
          <a:extLst>
            <a:ext uri="{FF2B5EF4-FFF2-40B4-BE49-F238E27FC236}">
              <a16:creationId xmlns:a16="http://schemas.microsoft.com/office/drawing/2014/main" id="{E88DD554-EC2A-4F91-837B-875515C170D5}"/>
            </a:ext>
          </a:extLst>
        </xdr:cNvPr>
        <xdr:cNvCxnSpPr/>
      </xdr:nvCxnSpPr>
      <xdr:spPr>
        <a:xfrm>
          <a:off x="4695829" y="1504947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81</xdr:row>
      <xdr:rowOff>109540</xdr:rowOff>
    </xdr:from>
    <xdr:to>
      <xdr:col>28</xdr:col>
      <xdr:colOff>33340</xdr:colOff>
      <xdr:row>82</xdr:row>
      <xdr:rowOff>38102</xdr:rowOff>
    </xdr:to>
    <xdr:cxnSp macro="">
      <xdr:nvCxnSpPr>
        <xdr:cNvPr id="648" name="Straight Connector 647">
          <a:extLst>
            <a:ext uri="{FF2B5EF4-FFF2-40B4-BE49-F238E27FC236}">
              <a16:creationId xmlns:a16="http://schemas.microsoft.com/office/drawing/2014/main" id="{E00F7620-6760-49F6-8E40-9EC5045F151E}"/>
            </a:ext>
          </a:extLst>
        </xdr:cNvPr>
        <xdr:cNvCxnSpPr/>
      </xdr:nvCxnSpPr>
      <xdr:spPr>
        <a:xfrm flipH="1">
          <a:off x="4657728" y="168116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83</xdr:row>
      <xdr:rowOff>109540</xdr:rowOff>
    </xdr:from>
    <xdr:to>
      <xdr:col>28</xdr:col>
      <xdr:colOff>33340</xdr:colOff>
      <xdr:row>84</xdr:row>
      <xdr:rowOff>38102</xdr:rowOff>
    </xdr:to>
    <xdr:cxnSp macro="">
      <xdr:nvCxnSpPr>
        <xdr:cNvPr id="649" name="Straight Connector 648">
          <a:extLst>
            <a:ext uri="{FF2B5EF4-FFF2-40B4-BE49-F238E27FC236}">
              <a16:creationId xmlns:a16="http://schemas.microsoft.com/office/drawing/2014/main" id="{E430ABBC-9A8E-4A00-A5E5-F31C5829BB1A}"/>
            </a:ext>
          </a:extLst>
        </xdr:cNvPr>
        <xdr:cNvCxnSpPr/>
      </xdr:nvCxnSpPr>
      <xdr:spPr>
        <a:xfrm flipH="1">
          <a:off x="4657728" y="196691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138113</xdr:colOff>
      <xdr:row>76</xdr:row>
      <xdr:rowOff>57150</xdr:rowOff>
    </xdr:from>
    <xdr:to>
      <xdr:col>17</xdr:col>
      <xdr:colOff>38100</xdr:colOff>
      <xdr:row>79</xdr:row>
      <xdr:rowOff>0</xdr:rowOff>
    </xdr:to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CD8D0509-E94C-4B9A-B6E0-0C108F99B57B}"/>
            </a:ext>
          </a:extLst>
        </xdr:cNvPr>
        <xdr:cNvSpPr txBox="1"/>
      </xdr:nvSpPr>
      <xdr:spPr>
        <a:xfrm>
          <a:off x="2405063" y="914400"/>
          <a:ext cx="547687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Symbol" panose="05050102010706020507" pitchFamily="18" charset="2"/>
            </a:rPr>
            <a:t>I</a:t>
          </a:r>
          <a:r>
            <a:rPr lang="tr-TR" sz="800"/>
            <a:t>o</a:t>
          </a:r>
        </a:p>
      </xdr:txBody>
    </xdr:sp>
    <xdr:clientData/>
  </xdr:twoCellAnchor>
  <xdr:twoCellAnchor>
    <xdr:from>
      <xdr:col>16</xdr:col>
      <xdr:colOff>2</xdr:colOff>
      <xdr:row>71</xdr:row>
      <xdr:rowOff>33338</xdr:rowOff>
    </xdr:from>
    <xdr:to>
      <xdr:col>16</xdr:col>
      <xdr:colOff>2</xdr:colOff>
      <xdr:row>73</xdr:row>
      <xdr:rowOff>133352</xdr:rowOff>
    </xdr:to>
    <xdr:cxnSp macro="">
      <xdr:nvCxnSpPr>
        <xdr:cNvPr id="651" name="Straight Arrow Connector 650">
          <a:extLst>
            <a:ext uri="{FF2B5EF4-FFF2-40B4-BE49-F238E27FC236}">
              <a16:creationId xmlns:a16="http://schemas.microsoft.com/office/drawing/2014/main" id="{12BDE56A-FD05-4F5B-AED7-C48BC5A9608A}"/>
            </a:ext>
          </a:extLst>
        </xdr:cNvPr>
        <xdr:cNvCxnSpPr/>
      </xdr:nvCxnSpPr>
      <xdr:spPr>
        <a:xfrm>
          <a:off x="2752727" y="176213"/>
          <a:ext cx="0" cy="385764"/>
        </a:xfrm>
        <a:prstGeom prst="straightConnector1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71</xdr:row>
      <xdr:rowOff>66675</xdr:rowOff>
    </xdr:from>
    <xdr:to>
      <xdr:col>4</xdr:col>
      <xdr:colOff>0</xdr:colOff>
      <xdr:row>73</xdr:row>
      <xdr:rowOff>100014</xdr:rowOff>
    </xdr:to>
    <xdr:cxnSp macro="">
      <xdr:nvCxnSpPr>
        <xdr:cNvPr id="652" name="Straight Connector 651">
          <a:extLst>
            <a:ext uri="{FF2B5EF4-FFF2-40B4-BE49-F238E27FC236}">
              <a16:creationId xmlns:a16="http://schemas.microsoft.com/office/drawing/2014/main" id="{E5F01BD7-4963-4FE9-9F9D-C7E0F6B646FA}"/>
            </a:ext>
          </a:extLst>
        </xdr:cNvPr>
        <xdr:cNvCxnSpPr/>
      </xdr:nvCxnSpPr>
      <xdr:spPr>
        <a:xfrm>
          <a:off x="809625" y="209550"/>
          <a:ext cx="0" cy="3190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95253</xdr:colOff>
      <xdr:row>72</xdr:row>
      <xdr:rowOff>1</xdr:rowOff>
    </xdr:from>
    <xdr:to>
      <xdr:col>16</xdr:col>
      <xdr:colOff>57150</xdr:colOff>
      <xdr:row>72</xdr:row>
      <xdr:rowOff>1</xdr:rowOff>
    </xdr:to>
    <xdr:cxnSp macro="">
      <xdr:nvCxnSpPr>
        <xdr:cNvPr id="653" name="Straight Connector 652">
          <a:extLst>
            <a:ext uri="{FF2B5EF4-FFF2-40B4-BE49-F238E27FC236}">
              <a16:creationId xmlns:a16="http://schemas.microsoft.com/office/drawing/2014/main" id="{FE4D87B0-0F48-4376-A13F-9941FC1DB612}"/>
            </a:ext>
          </a:extLst>
        </xdr:cNvPr>
        <xdr:cNvCxnSpPr/>
      </xdr:nvCxnSpPr>
      <xdr:spPr>
        <a:xfrm>
          <a:off x="742953" y="285751"/>
          <a:ext cx="20669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119062</xdr:colOff>
      <xdr:row>71</xdr:row>
      <xdr:rowOff>104775</xdr:rowOff>
    </xdr:from>
    <xdr:to>
      <xdr:col>4</xdr:col>
      <xdr:colOff>38099</xdr:colOff>
      <xdr:row>72</xdr:row>
      <xdr:rowOff>42862</xdr:rowOff>
    </xdr:to>
    <xdr:cxnSp macro="">
      <xdr:nvCxnSpPr>
        <xdr:cNvPr id="654" name="Straight Connector 653">
          <a:extLst>
            <a:ext uri="{FF2B5EF4-FFF2-40B4-BE49-F238E27FC236}">
              <a16:creationId xmlns:a16="http://schemas.microsoft.com/office/drawing/2014/main" id="{CA5A7392-3462-4012-8E3A-165C4A6CD3BD}"/>
            </a:ext>
          </a:extLst>
        </xdr:cNvPr>
        <xdr:cNvCxnSpPr/>
      </xdr:nvCxnSpPr>
      <xdr:spPr>
        <a:xfrm flipH="1">
          <a:off x="766762" y="24765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119061</xdr:colOff>
      <xdr:row>71</xdr:row>
      <xdr:rowOff>104775</xdr:rowOff>
    </xdr:from>
    <xdr:to>
      <xdr:col>16</xdr:col>
      <xdr:colOff>38098</xdr:colOff>
      <xdr:row>72</xdr:row>
      <xdr:rowOff>42862</xdr:rowOff>
    </xdr:to>
    <xdr:cxnSp macro="">
      <xdr:nvCxnSpPr>
        <xdr:cNvPr id="655" name="Straight Connector 654">
          <a:extLst>
            <a:ext uri="{FF2B5EF4-FFF2-40B4-BE49-F238E27FC236}">
              <a16:creationId xmlns:a16="http://schemas.microsoft.com/office/drawing/2014/main" id="{3BD0F450-28A0-4200-B1BE-5645EF743C24}"/>
            </a:ext>
          </a:extLst>
        </xdr:cNvPr>
        <xdr:cNvCxnSpPr/>
      </xdr:nvCxnSpPr>
      <xdr:spPr>
        <a:xfrm flipH="1">
          <a:off x="2709861" y="24765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73</xdr:row>
      <xdr:rowOff>142873</xdr:rowOff>
    </xdr:from>
    <xdr:to>
      <xdr:col>27</xdr:col>
      <xdr:colOff>157163</xdr:colOff>
      <xdr:row>80</xdr:row>
      <xdr:rowOff>4760</xdr:rowOff>
    </xdr:to>
    <xdr:grpSp>
      <xdr:nvGrpSpPr>
        <xdr:cNvPr id="656" name="Group 655">
          <a:extLst>
            <a:ext uri="{FF2B5EF4-FFF2-40B4-BE49-F238E27FC236}">
              <a16:creationId xmlns:a16="http://schemas.microsoft.com/office/drawing/2014/main" id="{12B30D01-1089-4639-9E6D-CFADD9240412}"/>
            </a:ext>
          </a:extLst>
        </xdr:cNvPr>
        <xdr:cNvGrpSpPr/>
      </xdr:nvGrpSpPr>
      <xdr:grpSpPr>
        <a:xfrm>
          <a:off x="647700" y="12658725"/>
          <a:ext cx="3881438" cy="0"/>
          <a:chOff x="809624" y="714375"/>
          <a:chExt cx="3881438" cy="862012"/>
        </a:xfrm>
      </xdr:grpSpPr>
      <xdr:sp macro="" textlink="">
        <xdr:nvSpPr>
          <xdr:cNvPr id="657" name="Freeform: Shape 656">
            <a:extLst>
              <a:ext uri="{FF2B5EF4-FFF2-40B4-BE49-F238E27FC236}">
                <a16:creationId xmlns:a16="http://schemas.microsoft.com/office/drawing/2014/main" id="{2982A03A-F791-0681-752A-9FE3F4EFE943}"/>
              </a:ext>
            </a:extLst>
          </xdr:cNvPr>
          <xdr:cNvSpPr/>
        </xdr:nvSpPr>
        <xdr:spPr>
          <a:xfrm>
            <a:off x="809624" y="714375"/>
            <a:ext cx="3881438" cy="862012"/>
          </a:xfrm>
          <a:custGeom>
            <a:avLst/>
            <a:gdLst>
              <a:gd name="connsiteX0" fmla="*/ 0 w 3881438"/>
              <a:gd name="connsiteY0" fmla="*/ 862012 h 862012"/>
              <a:gd name="connsiteX1" fmla="*/ 0 w 3881438"/>
              <a:gd name="connsiteY1" fmla="*/ 0 h 862012"/>
              <a:gd name="connsiteX2" fmla="*/ 3881438 w 3881438"/>
              <a:gd name="connsiteY2" fmla="*/ 0 h 862012"/>
              <a:gd name="connsiteX3" fmla="*/ 3881438 w 3881438"/>
              <a:gd name="connsiteY3" fmla="*/ 433387 h 862012"/>
              <a:gd name="connsiteX4" fmla="*/ 804863 w 3881438"/>
              <a:gd name="connsiteY4" fmla="*/ 433387 h 8620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881438" h="862012">
                <a:moveTo>
                  <a:pt x="0" y="862012"/>
                </a:moveTo>
                <a:lnTo>
                  <a:pt x="0" y="0"/>
                </a:lnTo>
                <a:lnTo>
                  <a:pt x="3881438" y="0"/>
                </a:lnTo>
                <a:lnTo>
                  <a:pt x="3881438" y="433387"/>
                </a:lnTo>
                <a:lnTo>
                  <a:pt x="804863" y="433387"/>
                </a:lnTo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58" name="Freeform: Shape 657">
            <a:extLst>
              <a:ext uri="{FF2B5EF4-FFF2-40B4-BE49-F238E27FC236}">
                <a16:creationId xmlns:a16="http://schemas.microsoft.com/office/drawing/2014/main" id="{23CBBEE9-DFEF-AF9A-3725-659D9C92707F}"/>
              </a:ext>
            </a:extLst>
          </xdr:cNvPr>
          <xdr:cNvSpPr/>
        </xdr:nvSpPr>
        <xdr:spPr>
          <a:xfrm>
            <a:off x="809625" y="1147763"/>
            <a:ext cx="809625" cy="423862"/>
          </a:xfrm>
          <a:custGeom>
            <a:avLst/>
            <a:gdLst>
              <a:gd name="connsiteX0" fmla="*/ 0 w 809625"/>
              <a:gd name="connsiteY0" fmla="*/ 423862 h 423862"/>
              <a:gd name="connsiteX1" fmla="*/ 261938 w 809625"/>
              <a:gd name="connsiteY1" fmla="*/ 119062 h 423862"/>
              <a:gd name="connsiteX2" fmla="*/ 809625 w 809625"/>
              <a:gd name="connsiteY2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423862">
                <a:moveTo>
                  <a:pt x="0" y="423862"/>
                </a:moveTo>
                <a:cubicBezTo>
                  <a:pt x="63500" y="306784"/>
                  <a:pt x="127001" y="189706"/>
                  <a:pt x="261938" y="119062"/>
                </a:cubicBezTo>
                <a:cubicBezTo>
                  <a:pt x="396875" y="48418"/>
                  <a:pt x="603250" y="24209"/>
                  <a:pt x="809625" y="0"/>
                </a:cubicBezTo>
              </a:path>
            </a:pathLst>
          </a:cu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659" name="TextBox 658">
            <a:extLst>
              <a:ext uri="{FF2B5EF4-FFF2-40B4-BE49-F238E27FC236}">
                <a16:creationId xmlns:a16="http://schemas.microsoft.com/office/drawing/2014/main" id="{32D97A57-ABF7-43BA-3222-4686ACCF7E25}"/>
              </a:ext>
            </a:extLst>
          </xdr:cNvPr>
          <xdr:cNvSpPr txBox="1"/>
        </xdr:nvSpPr>
        <xdr:spPr>
          <a:xfrm>
            <a:off x="2405063" y="1057275"/>
            <a:ext cx="547687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I</a:t>
            </a:r>
            <a:r>
              <a:rPr lang="tr-TR" sz="800"/>
              <a:t>o</a:t>
            </a:r>
          </a:p>
        </xdr:txBody>
      </xdr:sp>
    </xdr:grpSp>
    <xdr:clientData/>
  </xdr:twoCellAnchor>
  <xdr:twoCellAnchor>
    <xdr:from>
      <xdr:col>3</xdr:col>
      <xdr:colOff>152400</xdr:colOff>
      <xdr:row>77</xdr:row>
      <xdr:rowOff>95250</xdr:rowOff>
    </xdr:from>
    <xdr:to>
      <xdr:col>9</xdr:col>
      <xdr:colOff>85726</xdr:colOff>
      <xdr:row>79</xdr:row>
      <xdr:rowOff>123825</xdr:rowOff>
    </xdr:to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A336E16E-8DA4-4CAF-8669-F917ACD5E03A}"/>
            </a:ext>
          </a:extLst>
        </xdr:cNvPr>
        <xdr:cNvSpPr txBox="1"/>
      </xdr:nvSpPr>
      <xdr:spPr>
        <a:xfrm>
          <a:off x="800100" y="1095375"/>
          <a:ext cx="9048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Symbol" panose="05050102010706020507" pitchFamily="18" charset="2"/>
            </a:rPr>
            <a:t>2</a:t>
          </a:r>
          <a:r>
            <a:rPr lang="tr-TR" sz="800">
              <a:latin typeface="Symbol" panose="05050102010706020507" pitchFamily="18" charset="2"/>
              <a:sym typeface="Symbol" panose="05050102010706020507" pitchFamily="18" charset="2"/>
            </a:rPr>
            <a:t> </a:t>
          </a:r>
          <a:r>
            <a:rPr lang="tr-TR" sz="8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parabol</a:t>
          </a:r>
          <a:r>
            <a:rPr lang="tr-TR" sz="800">
              <a:latin typeface="Symbol" panose="05050102010706020507" pitchFamily="18" charset="2"/>
              <a:sym typeface="Symbol" panose="05050102010706020507" pitchFamily="18" charset="2"/>
            </a:rPr>
            <a:t> </a:t>
          </a:r>
          <a:endParaRPr lang="tr-T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104775</xdr:colOff>
      <xdr:row>84</xdr:row>
      <xdr:rowOff>0</xdr:rowOff>
    </xdr:from>
    <xdr:to>
      <xdr:col>28</xdr:col>
      <xdr:colOff>66672</xdr:colOff>
      <xdr:row>84</xdr:row>
      <xdr:rowOff>0</xdr:rowOff>
    </xdr:to>
    <xdr:cxnSp macro="">
      <xdr:nvCxnSpPr>
        <xdr:cNvPr id="661" name="Straight Connector 660">
          <a:extLst>
            <a:ext uri="{FF2B5EF4-FFF2-40B4-BE49-F238E27FC236}">
              <a16:creationId xmlns:a16="http://schemas.microsoft.com/office/drawing/2014/main" id="{BC1A18C5-9147-426E-BE0A-749BBF679D5E}"/>
            </a:ext>
          </a:extLst>
        </xdr:cNvPr>
        <xdr:cNvCxnSpPr/>
      </xdr:nvCxnSpPr>
      <xdr:spPr>
        <a:xfrm>
          <a:off x="752475" y="2000250"/>
          <a:ext cx="40100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121</xdr:row>
      <xdr:rowOff>76195</xdr:rowOff>
    </xdr:from>
    <xdr:to>
      <xdr:col>4</xdr:col>
      <xdr:colOff>0</xdr:colOff>
      <xdr:row>125</xdr:row>
      <xdr:rowOff>71437</xdr:rowOff>
    </xdr:to>
    <xdr:cxnSp macro="">
      <xdr:nvCxnSpPr>
        <xdr:cNvPr id="422" name="Straight Connector 421">
          <a:extLst>
            <a:ext uri="{FF2B5EF4-FFF2-40B4-BE49-F238E27FC236}">
              <a16:creationId xmlns:a16="http://schemas.microsoft.com/office/drawing/2014/main" id="{A445B5B4-7254-4ECD-87D6-1341B6F9C29D}"/>
            </a:ext>
          </a:extLst>
        </xdr:cNvPr>
        <xdr:cNvCxnSpPr/>
      </xdr:nvCxnSpPr>
      <xdr:spPr>
        <a:xfrm>
          <a:off x="809625" y="6648445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90491</xdr:colOff>
      <xdr:row>123</xdr:row>
      <xdr:rowOff>3</xdr:rowOff>
    </xdr:from>
    <xdr:to>
      <xdr:col>28</xdr:col>
      <xdr:colOff>52388</xdr:colOff>
      <xdr:row>123</xdr:row>
      <xdr:rowOff>3</xdr:rowOff>
    </xdr:to>
    <xdr:cxnSp macro="">
      <xdr:nvCxnSpPr>
        <xdr:cNvPr id="423" name="Straight Connector 422">
          <a:extLst>
            <a:ext uri="{FF2B5EF4-FFF2-40B4-BE49-F238E27FC236}">
              <a16:creationId xmlns:a16="http://schemas.microsoft.com/office/drawing/2014/main" id="{31EFF719-F4C3-4DD0-B0DD-EE7DF987E032}"/>
            </a:ext>
          </a:extLst>
        </xdr:cNvPr>
        <xdr:cNvCxnSpPr/>
      </xdr:nvCxnSpPr>
      <xdr:spPr>
        <a:xfrm>
          <a:off x="738191" y="6858003"/>
          <a:ext cx="40100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118</xdr:row>
      <xdr:rowOff>38099</xdr:rowOff>
    </xdr:from>
    <xdr:to>
      <xdr:col>9</xdr:col>
      <xdr:colOff>1</xdr:colOff>
      <xdr:row>123</xdr:row>
      <xdr:rowOff>61913</xdr:rowOff>
    </xdr:to>
    <xdr:cxnSp macro="">
      <xdr:nvCxnSpPr>
        <xdr:cNvPr id="424" name="Straight Connector 423">
          <a:extLst>
            <a:ext uri="{FF2B5EF4-FFF2-40B4-BE49-F238E27FC236}">
              <a16:creationId xmlns:a16="http://schemas.microsoft.com/office/drawing/2014/main" id="{0D09D41F-F140-4A27-B16F-CA5627BF3C72}"/>
            </a:ext>
          </a:extLst>
        </xdr:cNvPr>
        <xdr:cNvCxnSpPr/>
      </xdr:nvCxnSpPr>
      <xdr:spPr>
        <a:xfrm>
          <a:off x="1619251" y="6181724"/>
          <a:ext cx="0" cy="7381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122</xdr:row>
      <xdr:rowOff>109538</xdr:rowOff>
    </xdr:from>
    <xdr:to>
      <xdr:col>4</xdr:col>
      <xdr:colOff>33336</xdr:colOff>
      <xdr:row>123</xdr:row>
      <xdr:rowOff>38100</xdr:rowOff>
    </xdr:to>
    <xdr:cxnSp macro="">
      <xdr:nvCxnSpPr>
        <xdr:cNvPr id="425" name="Straight Connector 424">
          <a:extLst>
            <a:ext uri="{FF2B5EF4-FFF2-40B4-BE49-F238E27FC236}">
              <a16:creationId xmlns:a16="http://schemas.microsoft.com/office/drawing/2014/main" id="{52ABBA06-7DBA-436A-9D57-A89D4E6EFD9A}"/>
            </a:ext>
          </a:extLst>
        </xdr:cNvPr>
        <xdr:cNvCxnSpPr/>
      </xdr:nvCxnSpPr>
      <xdr:spPr>
        <a:xfrm flipH="1">
          <a:off x="771524" y="682466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123833</xdr:colOff>
      <xdr:row>122</xdr:row>
      <xdr:rowOff>109535</xdr:rowOff>
    </xdr:from>
    <xdr:to>
      <xdr:col>9</xdr:col>
      <xdr:colOff>33345</xdr:colOff>
      <xdr:row>123</xdr:row>
      <xdr:rowOff>38097</xdr:rowOff>
    </xdr:to>
    <xdr:cxnSp macro="">
      <xdr:nvCxnSpPr>
        <xdr:cNvPr id="426" name="Straight Connector 425">
          <a:extLst>
            <a:ext uri="{FF2B5EF4-FFF2-40B4-BE49-F238E27FC236}">
              <a16:creationId xmlns:a16="http://schemas.microsoft.com/office/drawing/2014/main" id="{EC661A38-0D1F-45A4-BF0B-2B6EF6CD2C93}"/>
            </a:ext>
          </a:extLst>
        </xdr:cNvPr>
        <xdr:cNvCxnSpPr/>
      </xdr:nvCxnSpPr>
      <xdr:spPr>
        <a:xfrm flipH="1">
          <a:off x="1581158" y="6824660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</xdr:colOff>
      <xdr:row>118</xdr:row>
      <xdr:rowOff>38093</xdr:rowOff>
    </xdr:from>
    <xdr:to>
      <xdr:col>23</xdr:col>
      <xdr:colOff>10</xdr:colOff>
      <xdr:row>123</xdr:row>
      <xdr:rowOff>61907</xdr:rowOff>
    </xdr:to>
    <xdr:cxnSp macro="">
      <xdr:nvCxnSpPr>
        <xdr:cNvPr id="427" name="Straight Connector 426">
          <a:extLst>
            <a:ext uri="{FF2B5EF4-FFF2-40B4-BE49-F238E27FC236}">
              <a16:creationId xmlns:a16="http://schemas.microsoft.com/office/drawing/2014/main" id="{3BC588E0-F484-4DD6-A4DA-DCE1878069A6}"/>
            </a:ext>
          </a:extLst>
        </xdr:cNvPr>
        <xdr:cNvCxnSpPr/>
      </xdr:nvCxnSpPr>
      <xdr:spPr>
        <a:xfrm>
          <a:off x="3886210" y="6181718"/>
          <a:ext cx="0" cy="7381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123839</xdr:colOff>
      <xdr:row>122</xdr:row>
      <xdr:rowOff>109529</xdr:rowOff>
    </xdr:from>
    <xdr:to>
      <xdr:col>23</xdr:col>
      <xdr:colOff>33351</xdr:colOff>
      <xdr:row>123</xdr:row>
      <xdr:rowOff>38091</xdr:rowOff>
    </xdr:to>
    <xdr:cxnSp macro="">
      <xdr:nvCxnSpPr>
        <xdr:cNvPr id="428" name="Straight Connector 427">
          <a:extLst>
            <a:ext uri="{FF2B5EF4-FFF2-40B4-BE49-F238E27FC236}">
              <a16:creationId xmlns:a16="http://schemas.microsoft.com/office/drawing/2014/main" id="{941C93C5-7035-46C7-88E3-BB46F1183EE4}"/>
            </a:ext>
          </a:extLst>
        </xdr:cNvPr>
        <xdr:cNvCxnSpPr/>
      </xdr:nvCxnSpPr>
      <xdr:spPr>
        <a:xfrm flipH="1">
          <a:off x="3848114" y="6824654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90491</xdr:colOff>
      <xdr:row>125</xdr:row>
      <xdr:rowOff>3</xdr:rowOff>
    </xdr:from>
    <xdr:to>
      <xdr:col>28</xdr:col>
      <xdr:colOff>57150</xdr:colOff>
      <xdr:row>125</xdr:row>
      <xdr:rowOff>3</xdr:rowOff>
    </xdr:to>
    <xdr:cxnSp macro="">
      <xdr:nvCxnSpPr>
        <xdr:cNvPr id="429" name="Straight Connector 428">
          <a:extLst>
            <a:ext uri="{FF2B5EF4-FFF2-40B4-BE49-F238E27FC236}">
              <a16:creationId xmlns:a16="http://schemas.microsoft.com/office/drawing/2014/main" id="{901170E8-909F-4A03-81EF-14523C6B1FB4}"/>
            </a:ext>
          </a:extLst>
        </xdr:cNvPr>
        <xdr:cNvCxnSpPr/>
      </xdr:nvCxnSpPr>
      <xdr:spPr>
        <a:xfrm>
          <a:off x="738191" y="7143753"/>
          <a:ext cx="401478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124</xdr:row>
      <xdr:rowOff>109538</xdr:rowOff>
    </xdr:from>
    <xdr:to>
      <xdr:col>4</xdr:col>
      <xdr:colOff>33336</xdr:colOff>
      <xdr:row>125</xdr:row>
      <xdr:rowOff>38100</xdr:rowOff>
    </xdr:to>
    <xdr:cxnSp macro="">
      <xdr:nvCxnSpPr>
        <xdr:cNvPr id="430" name="Straight Connector 429">
          <a:extLst>
            <a:ext uri="{FF2B5EF4-FFF2-40B4-BE49-F238E27FC236}">
              <a16:creationId xmlns:a16="http://schemas.microsoft.com/office/drawing/2014/main" id="{D84DBC4D-C86B-48B5-8D9D-5483116DE554}"/>
            </a:ext>
          </a:extLst>
        </xdr:cNvPr>
        <xdr:cNvCxnSpPr/>
      </xdr:nvCxnSpPr>
      <xdr:spPr>
        <a:xfrm flipH="1">
          <a:off x="771524" y="711041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</xdr:colOff>
      <xdr:row>121</xdr:row>
      <xdr:rowOff>76197</xdr:rowOff>
    </xdr:from>
    <xdr:to>
      <xdr:col>28</xdr:col>
      <xdr:colOff>4</xdr:colOff>
      <xdr:row>125</xdr:row>
      <xdr:rowOff>71439</xdr:rowOff>
    </xdr:to>
    <xdr:cxnSp macro="">
      <xdr:nvCxnSpPr>
        <xdr:cNvPr id="431" name="Straight Connector 430">
          <a:extLst>
            <a:ext uri="{FF2B5EF4-FFF2-40B4-BE49-F238E27FC236}">
              <a16:creationId xmlns:a16="http://schemas.microsoft.com/office/drawing/2014/main" id="{017BEA6C-C582-47B8-A7DD-83276EB50308}"/>
            </a:ext>
          </a:extLst>
        </xdr:cNvPr>
        <xdr:cNvCxnSpPr/>
      </xdr:nvCxnSpPr>
      <xdr:spPr>
        <a:xfrm>
          <a:off x="4695829" y="6648447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122</xdr:row>
      <xdr:rowOff>109540</xdr:rowOff>
    </xdr:from>
    <xdr:to>
      <xdr:col>28</xdr:col>
      <xdr:colOff>33340</xdr:colOff>
      <xdr:row>123</xdr:row>
      <xdr:rowOff>38102</xdr:rowOff>
    </xdr:to>
    <xdr:cxnSp macro="">
      <xdr:nvCxnSpPr>
        <xdr:cNvPr id="432" name="Straight Connector 431">
          <a:extLst>
            <a:ext uri="{FF2B5EF4-FFF2-40B4-BE49-F238E27FC236}">
              <a16:creationId xmlns:a16="http://schemas.microsoft.com/office/drawing/2014/main" id="{430BD428-4855-4136-91B5-3EAFD8DA0149}"/>
            </a:ext>
          </a:extLst>
        </xdr:cNvPr>
        <xdr:cNvCxnSpPr/>
      </xdr:nvCxnSpPr>
      <xdr:spPr>
        <a:xfrm flipH="1">
          <a:off x="4657728" y="682466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124</xdr:row>
      <xdr:rowOff>109540</xdr:rowOff>
    </xdr:from>
    <xdr:to>
      <xdr:col>28</xdr:col>
      <xdr:colOff>33340</xdr:colOff>
      <xdr:row>125</xdr:row>
      <xdr:rowOff>38102</xdr:rowOff>
    </xdr:to>
    <xdr:cxnSp macro="">
      <xdr:nvCxnSpPr>
        <xdr:cNvPr id="433" name="Straight Connector 432">
          <a:extLst>
            <a:ext uri="{FF2B5EF4-FFF2-40B4-BE49-F238E27FC236}">
              <a16:creationId xmlns:a16="http://schemas.microsoft.com/office/drawing/2014/main" id="{B4112017-7F74-4DA3-A484-46F706957D83}"/>
            </a:ext>
          </a:extLst>
        </xdr:cNvPr>
        <xdr:cNvCxnSpPr/>
      </xdr:nvCxnSpPr>
      <xdr:spPr>
        <a:xfrm flipH="1">
          <a:off x="4657728" y="711041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</xdr:colOff>
      <xdr:row>112</xdr:row>
      <xdr:rowOff>33338</xdr:rowOff>
    </xdr:from>
    <xdr:to>
      <xdr:col>16</xdr:col>
      <xdr:colOff>2</xdr:colOff>
      <xdr:row>114</xdr:row>
      <xdr:rowOff>133352</xdr:rowOff>
    </xdr:to>
    <xdr:cxnSp macro="">
      <xdr:nvCxnSpPr>
        <xdr:cNvPr id="434" name="Straight Arrow Connector 433">
          <a:extLst>
            <a:ext uri="{FF2B5EF4-FFF2-40B4-BE49-F238E27FC236}">
              <a16:creationId xmlns:a16="http://schemas.microsoft.com/office/drawing/2014/main" id="{05D263DE-D358-472F-B203-3CD1DF1E2C72}"/>
            </a:ext>
          </a:extLst>
        </xdr:cNvPr>
        <xdr:cNvCxnSpPr/>
      </xdr:nvCxnSpPr>
      <xdr:spPr>
        <a:xfrm>
          <a:off x="2752727" y="5319713"/>
          <a:ext cx="0" cy="385764"/>
        </a:xfrm>
        <a:prstGeom prst="straightConnector1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112</xdr:row>
      <xdr:rowOff>66675</xdr:rowOff>
    </xdr:from>
    <xdr:to>
      <xdr:col>4</xdr:col>
      <xdr:colOff>0</xdr:colOff>
      <xdr:row>114</xdr:row>
      <xdr:rowOff>100014</xdr:rowOff>
    </xdr:to>
    <xdr:cxnSp macro="">
      <xdr:nvCxnSpPr>
        <xdr:cNvPr id="435" name="Straight Connector 434">
          <a:extLst>
            <a:ext uri="{FF2B5EF4-FFF2-40B4-BE49-F238E27FC236}">
              <a16:creationId xmlns:a16="http://schemas.microsoft.com/office/drawing/2014/main" id="{4E2FD803-4EB5-4A5E-941B-8170841A932D}"/>
            </a:ext>
          </a:extLst>
        </xdr:cNvPr>
        <xdr:cNvCxnSpPr/>
      </xdr:nvCxnSpPr>
      <xdr:spPr>
        <a:xfrm>
          <a:off x="809625" y="5353050"/>
          <a:ext cx="0" cy="3190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95253</xdr:colOff>
      <xdr:row>113</xdr:row>
      <xdr:rowOff>1</xdr:rowOff>
    </xdr:from>
    <xdr:to>
      <xdr:col>16</xdr:col>
      <xdr:colOff>57150</xdr:colOff>
      <xdr:row>113</xdr:row>
      <xdr:rowOff>1</xdr:rowOff>
    </xdr:to>
    <xdr:cxnSp macro="">
      <xdr:nvCxnSpPr>
        <xdr:cNvPr id="436" name="Straight Connector 435">
          <a:extLst>
            <a:ext uri="{FF2B5EF4-FFF2-40B4-BE49-F238E27FC236}">
              <a16:creationId xmlns:a16="http://schemas.microsoft.com/office/drawing/2014/main" id="{3D566648-235F-49B4-806C-4F88FC7DD70D}"/>
            </a:ext>
          </a:extLst>
        </xdr:cNvPr>
        <xdr:cNvCxnSpPr/>
      </xdr:nvCxnSpPr>
      <xdr:spPr>
        <a:xfrm>
          <a:off x="742953" y="5429251"/>
          <a:ext cx="20669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119062</xdr:colOff>
      <xdr:row>112</xdr:row>
      <xdr:rowOff>104775</xdr:rowOff>
    </xdr:from>
    <xdr:to>
      <xdr:col>4</xdr:col>
      <xdr:colOff>38099</xdr:colOff>
      <xdr:row>113</xdr:row>
      <xdr:rowOff>42862</xdr:rowOff>
    </xdr:to>
    <xdr:cxnSp macro="">
      <xdr:nvCxnSpPr>
        <xdr:cNvPr id="437" name="Straight Connector 436">
          <a:extLst>
            <a:ext uri="{FF2B5EF4-FFF2-40B4-BE49-F238E27FC236}">
              <a16:creationId xmlns:a16="http://schemas.microsoft.com/office/drawing/2014/main" id="{5FC33DA2-2583-4F7E-944F-09683E5D56BC}"/>
            </a:ext>
          </a:extLst>
        </xdr:cNvPr>
        <xdr:cNvCxnSpPr/>
      </xdr:nvCxnSpPr>
      <xdr:spPr>
        <a:xfrm flipH="1">
          <a:off x="766762" y="539115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119061</xdr:colOff>
      <xdr:row>112</xdr:row>
      <xdr:rowOff>104775</xdr:rowOff>
    </xdr:from>
    <xdr:to>
      <xdr:col>16</xdr:col>
      <xdr:colOff>38098</xdr:colOff>
      <xdr:row>113</xdr:row>
      <xdr:rowOff>42862</xdr:rowOff>
    </xdr:to>
    <xdr:cxnSp macro="">
      <xdr:nvCxnSpPr>
        <xdr:cNvPr id="438" name="Straight Connector 437">
          <a:extLst>
            <a:ext uri="{FF2B5EF4-FFF2-40B4-BE49-F238E27FC236}">
              <a16:creationId xmlns:a16="http://schemas.microsoft.com/office/drawing/2014/main" id="{BBDD2627-037F-4C98-9EEB-3E65112EE608}"/>
            </a:ext>
          </a:extLst>
        </xdr:cNvPr>
        <xdr:cNvCxnSpPr/>
      </xdr:nvCxnSpPr>
      <xdr:spPr>
        <a:xfrm flipH="1">
          <a:off x="2709861" y="539115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138113</xdr:colOff>
      <xdr:row>115</xdr:row>
      <xdr:rowOff>0</xdr:rowOff>
    </xdr:from>
    <xdr:to>
      <xdr:col>28</xdr:col>
      <xdr:colOff>52388</xdr:colOff>
      <xdr:row>121</xdr:row>
      <xdr:rowOff>19050</xdr:rowOff>
    </xdr:to>
    <xdr:grpSp>
      <xdr:nvGrpSpPr>
        <xdr:cNvPr id="439" name="Group 438">
          <a:extLst>
            <a:ext uri="{FF2B5EF4-FFF2-40B4-BE49-F238E27FC236}">
              <a16:creationId xmlns:a16="http://schemas.microsoft.com/office/drawing/2014/main" id="{2B60ABC5-FDB6-4A79-B551-E88D51FAEB4E}"/>
            </a:ext>
          </a:extLst>
        </xdr:cNvPr>
        <xdr:cNvGrpSpPr/>
      </xdr:nvGrpSpPr>
      <xdr:grpSpPr>
        <a:xfrm>
          <a:off x="623888" y="13087350"/>
          <a:ext cx="3962400" cy="876300"/>
          <a:chOff x="785813" y="9001125"/>
          <a:chExt cx="3962400" cy="876300"/>
        </a:xfrm>
      </xdr:grpSpPr>
      <xdr:sp macro="" textlink="">
        <xdr:nvSpPr>
          <xdr:cNvPr id="440" name="Freeform: Shape 439">
            <a:extLst>
              <a:ext uri="{FF2B5EF4-FFF2-40B4-BE49-F238E27FC236}">
                <a16:creationId xmlns:a16="http://schemas.microsoft.com/office/drawing/2014/main" id="{E2269459-9E54-3569-2C52-7F0383F7D24B}"/>
              </a:ext>
            </a:extLst>
          </xdr:cNvPr>
          <xdr:cNvSpPr/>
        </xdr:nvSpPr>
        <xdr:spPr>
          <a:xfrm>
            <a:off x="809625" y="9001125"/>
            <a:ext cx="3881438" cy="862013"/>
          </a:xfrm>
          <a:custGeom>
            <a:avLst/>
            <a:gdLst>
              <a:gd name="connsiteX0" fmla="*/ 0 w 3729038"/>
              <a:gd name="connsiteY0" fmla="*/ 857250 h 862013"/>
              <a:gd name="connsiteX1" fmla="*/ 0 w 3729038"/>
              <a:gd name="connsiteY1" fmla="*/ 0 h 862013"/>
              <a:gd name="connsiteX2" fmla="*/ 3729038 w 3729038"/>
              <a:gd name="connsiteY2" fmla="*/ 0 h 862013"/>
              <a:gd name="connsiteX3" fmla="*/ 3729038 w 3729038"/>
              <a:gd name="connsiteY3" fmla="*/ 862013 h 86201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729038" h="862013">
                <a:moveTo>
                  <a:pt x="0" y="857250"/>
                </a:moveTo>
                <a:lnTo>
                  <a:pt x="0" y="0"/>
                </a:lnTo>
                <a:lnTo>
                  <a:pt x="3729038" y="0"/>
                </a:lnTo>
                <a:lnTo>
                  <a:pt x="3729038" y="862013"/>
                </a:lnTo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41" name="Trapezoid 440">
            <a:extLst>
              <a:ext uri="{FF2B5EF4-FFF2-40B4-BE49-F238E27FC236}">
                <a16:creationId xmlns:a16="http://schemas.microsoft.com/office/drawing/2014/main" id="{BC764E0C-A4C7-F036-4E0A-471D260195EE}"/>
              </a:ext>
            </a:extLst>
          </xdr:cNvPr>
          <xdr:cNvSpPr/>
        </xdr:nvSpPr>
        <xdr:spPr>
          <a:xfrm>
            <a:off x="785813" y="9439275"/>
            <a:ext cx="3962400" cy="438150"/>
          </a:xfrm>
          <a:prstGeom prst="trapezoid">
            <a:avLst>
              <a:gd name="adj" fmla="val 176343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42" name="Straight Connector 441">
            <a:extLst>
              <a:ext uri="{FF2B5EF4-FFF2-40B4-BE49-F238E27FC236}">
                <a16:creationId xmlns:a16="http://schemas.microsoft.com/office/drawing/2014/main" id="{7A403213-00D5-81E2-4132-E8D045B58A63}"/>
              </a:ext>
            </a:extLst>
          </xdr:cNvPr>
          <xdr:cNvCxnSpPr/>
        </xdr:nvCxnSpPr>
        <xdr:spPr>
          <a:xfrm>
            <a:off x="1619250" y="9429751"/>
            <a:ext cx="2281238" cy="0"/>
          </a:xfrm>
          <a:prstGeom prst="lin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704" name="Freeform: Shape 703">
            <a:extLst>
              <a:ext uri="{FF2B5EF4-FFF2-40B4-BE49-F238E27FC236}">
                <a16:creationId xmlns:a16="http://schemas.microsoft.com/office/drawing/2014/main" id="{EAEDA6A6-5781-BEBA-CD97-549A732150A1}"/>
              </a:ext>
            </a:extLst>
          </xdr:cNvPr>
          <xdr:cNvSpPr/>
        </xdr:nvSpPr>
        <xdr:spPr>
          <a:xfrm>
            <a:off x="809625" y="9429750"/>
            <a:ext cx="809625" cy="428625"/>
          </a:xfrm>
          <a:custGeom>
            <a:avLst/>
            <a:gdLst>
              <a:gd name="connsiteX0" fmla="*/ 0 w 809625"/>
              <a:gd name="connsiteY0" fmla="*/ 423862 h 423862"/>
              <a:gd name="connsiteX1" fmla="*/ 261938 w 809625"/>
              <a:gd name="connsiteY1" fmla="*/ 119062 h 423862"/>
              <a:gd name="connsiteX2" fmla="*/ 809625 w 809625"/>
              <a:gd name="connsiteY2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423862">
                <a:moveTo>
                  <a:pt x="0" y="423862"/>
                </a:moveTo>
                <a:cubicBezTo>
                  <a:pt x="63500" y="306784"/>
                  <a:pt x="127001" y="189706"/>
                  <a:pt x="261938" y="119062"/>
                </a:cubicBezTo>
                <a:cubicBezTo>
                  <a:pt x="396875" y="48418"/>
                  <a:pt x="603250" y="24209"/>
                  <a:pt x="809625" y="0"/>
                </a:cubicBezTo>
              </a:path>
            </a:pathLst>
          </a:cu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05" name="Freeform: Shape 704">
            <a:extLst>
              <a:ext uri="{FF2B5EF4-FFF2-40B4-BE49-F238E27FC236}">
                <a16:creationId xmlns:a16="http://schemas.microsoft.com/office/drawing/2014/main" id="{91B5601E-D6F5-96B1-1EF2-FF4882E73976}"/>
              </a:ext>
            </a:extLst>
          </xdr:cNvPr>
          <xdr:cNvSpPr/>
        </xdr:nvSpPr>
        <xdr:spPr>
          <a:xfrm>
            <a:off x="3881443" y="9429750"/>
            <a:ext cx="814388" cy="428625"/>
          </a:xfrm>
          <a:custGeom>
            <a:avLst/>
            <a:gdLst>
              <a:gd name="connsiteX0" fmla="*/ 814388 w 814388"/>
              <a:gd name="connsiteY0" fmla="*/ 423862 h 423862"/>
              <a:gd name="connsiteX1" fmla="*/ 504825 w 814388"/>
              <a:gd name="connsiteY1" fmla="*/ 123825 h 423862"/>
              <a:gd name="connsiteX2" fmla="*/ 0 w 814388"/>
              <a:gd name="connsiteY2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14388" h="423862">
                <a:moveTo>
                  <a:pt x="814388" y="423862"/>
                </a:moveTo>
                <a:cubicBezTo>
                  <a:pt x="727472" y="309165"/>
                  <a:pt x="640556" y="194469"/>
                  <a:pt x="504825" y="123825"/>
                </a:cubicBezTo>
                <a:cubicBezTo>
                  <a:pt x="369094" y="53181"/>
                  <a:pt x="184547" y="26590"/>
                  <a:pt x="0" y="0"/>
                </a:cubicBezTo>
              </a:path>
            </a:pathLst>
          </a:cu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06" name="TextBox 705">
            <a:extLst>
              <a:ext uri="{FF2B5EF4-FFF2-40B4-BE49-F238E27FC236}">
                <a16:creationId xmlns:a16="http://schemas.microsoft.com/office/drawing/2014/main" id="{8A5E940C-52EF-1F77-A92F-73F9E79DAF2F}"/>
              </a:ext>
            </a:extLst>
          </xdr:cNvPr>
          <xdr:cNvSpPr txBox="1"/>
        </xdr:nvSpPr>
        <xdr:spPr>
          <a:xfrm>
            <a:off x="2405063" y="9344025"/>
            <a:ext cx="547687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I</a:t>
            </a:r>
            <a:r>
              <a:rPr lang="tr-TR" sz="800"/>
              <a:t>o</a:t>
            </a:r>
          </a:p>
        </xdr:txBody>
      </xdr:sp>
      <xdr:sp macro="" textlink="">
        <xdr:nvSpPr>
          <xdr:cNvPr id="707" name="TextBox 706">
            <a:extLst>
              <a:ext uri="{FF2B5EF4-FFF2-40B4-BE49-F238E27FC236}">
                <a16:creationId xmlns:a16="http://schemas.microsoft.com/office/drawing/2014/main" id="{D1BDA2E6-BFCD-76F3-79FC-20B3FA31A388}"/>
              </a:ext>
            </a:extLst>
          </xdr:cNvPr>
          <xdr:cNvSpPr txBox="1"/>
        </xdr:nvSpPr>
        <xdr:spPr>
          <a:xfrm>
            <a:off x="809625" y="9515475"/>
            <a:ext cx="90487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2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 </a:t>
            </a:r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parabol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 </a:t>
            </a:r>
            <a:endParaRPr lang="tr-TR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8" name="TextBox 707">
            <a:extLst>
              <a:ext uri="{FF2B5EF4-FFF2-40B4-BE49-F238E27FC236}">
                <a16:creationId xmlns:a16="http://schemas.microsoft.com/office/drawing/2014/main" id="{4ACBDE2D-590B-B5AB-D615-3C0339401141}"/>
              </a:ext>
            </a:extLst>
          </xdr:cNvPr>
          <xdr:cNvSpPr txBox="1"/>
        </xdr:nvSpPr>
        <xdr:spPr>
          <a:xfrm>
            <a:off x="3790950" y="9534525"/>
            <a:ext cx="90487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2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 </a:t>
            </a:r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parabol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 </a:t>
            </a:r>
            <a:endParaRPr lang="tr-TR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0</xdr:colOff>
      <xdr:row>96</xdr:row>
      <xdr:rowOff>76195</xdr:rowOff>
    </xdr:from>
    <xdr:to>
      <xdr:col>4</xdr:col>
      <xdr:colOff>0</xdr:colOff>
      <xdr:row>100</xdr:row>
      <xdr:rowOff>71437</xdr:rowOff>
    </xdr:to>
    <xdr:cxnSp macro="">
      <xdr:nvCxnSpPr>
        <xdr:cNvPr id="709" name="Straight Connector 708">
          <a:extLst>
            <a:ext uri="{FF2B5EF4-FFF2-40B4-BE49-F238E27FC236}">
              <a16:creationId xmlns:a16="http://schemas.microsoft.com/office/drawing/2014/main" id="{7C83FDE4-1A7C-4762-A220-4310DDC09983}"/>
            </a:ext>
          </a:extLst>
        </xdr:cNvPr>
        <xdr:cNvCxnSpPr/>
      </xdr:nvCxnSpPr>
      <xdr:spPr>
        <a:xfrm>
          <a:off x="809625" y="3790945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90491</xdr:colOff>
      <xdr:row>98</xdr:row>
      <xdr:rowOff>3</xdr:rowOff>
    </xdr:from>
    <xdr:to>
      <xdr:col>28</xdr:col>
      <xdr:colOff>52388</xdr:colOff>
      <xdr:row>98</xdr:row>
      <xdr:rowOff>3</xdr:rowOff>
    </xdr:to>
    <xdr:cxnSp macro="">
      <xdr:nvCxnSpPr>
        <xdr:cNvPr id="710" name="Straight Connector 709">
          <a:extLst>
            <a:ext uri="{FF2B5EF4-FFF2-40B4-BE49-F238E27FC236}">
              <a16:creationId xmlns:a16="http://schemas.microsoft.com/office/drawing/2014/main" id="{F2068BE6-2673-4CC7-84F4-461D3DE0D56E}"/>
            </a:ext>
          </a:extLst>
        </xdr:cNvPr>
        <xdr:cNvCxnSpPr/>
      </xdr:nvCxnSpPr>
      <xdr:spPr>
        <a:xfrm>
          <a:off x="738191" y="4000503"/>
          <a:ext cx="40100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93</xdr:row>
      <xdr:rowOff>38099</xdr:rowOff>
    </xdr:from>
    <xdr:to>
      <xdr:col>9</xdr:col>
      <xdr:colOff>1</xdr:colOff>
      <xdr:row>98</xdr:row>
      <xdr:rowOff>61913</xdr:rowOff>
    </xdr:to>
    <xdr:cxnSp macro="">
      <xdr:nvCxnSpPr>
        <xdr:cNvPr id="711" name="Straight Connector 710">
          <a:extLst>
            <a:ext uri="{FF2B5EF4-FFF2-40B4-BE49-F238E27FC236}">
              <a16:creationId xmlns:a16="http://schemas.microsoft.com/office/drawing/2014/main" id="{D5FEE54D-A731-43AF-BA50-7797EECC7A9D}"/>
            </a:ext>
          </a:extLst>
        </xdr:cNvPr>
        <xdr:cNvCxnSpPr/>
      </xdr:nvCxnSpPr>
      <xdr:spPr>
        <a:xfrm>
          <a:off x="1619251" y="3324224"/>
          <a:ext cx="0" cy="7381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97</xdr:row>
      <xdr:rowOff>109538</xdr:rowOff>
    </xdr:from>
    <xdr:to>
      <xdr:col>4</xdr:col>
      <xdr:colOff>33336</xdr:colOff>
      <xdr:row>98</xdr:row>
      <xdr:rowOff>38100</xdr:rowOff>
    </xdr:to>
    <xdr:cxnSp macro="">
      <xdr:nvCxnSpPr>
        <xdr:cNvPr id="712" name="Straight Connector 711">
          <a:extLst>
            <a:ext uri="{FF2B5EF4-FFF2-40B4-BE49-F238E27FC236}">
              <a16:creationId xmlns:a16="http://schemas.microsoft.com/office/drawing/2014/main" id="{02091C18-F301-4B82-A660-432D5AC3F9A2}"/>
            </a:ext>
          </a:extLst>
        </xdr:cNvPr>
        <xdr:cNvCxnSpPr/>
      </xdr:nvCxnSpPr>
      <xdr:spPr>
        <a:xfrm flipH="1">
          <a:off x="771524" y="396716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123833</xdr:colOff>
      <xdr:row>97</xdr:row>
      <xdr:rowOff>109535</xdr:rowOff>
    </xdr:from>
    <xdr:to>
      <xdr:col>9</xdr:col>
      <xdr:colOff>33345</xdr:colOff>
      <xdr:row>98</xdr:row>
      <xdr:rowOff>38097</xdr:rowOff>
    </xdr:to>
    <xdr:cxnSp macro="">
      <xdr:nvCxnSpPr>
        <xdr:cNvPr id="713" name="Straight Connector 712">
          <a:extLst>
            <a:ext uri="{FF2B5EF4-FFF2-40B4-BE49-F238E27FC236}">
              <a16:creationId xmlns:a16="http://schemas.microsoft.com/office/drawing/2014/main" id="{F7097C8E-BEA0-491F-A0C7-CBC82BF3354D}"/>
            </a:ext>
          </a:extLst>
        </xdr:cNvPr>
        <xdr:cNvCxnSpPr/>
      </xdr:nvCxnSpPr>
      <xdr:spPr>
        <a:xfrm flipH="1">
          <a:off x="1581158" y="3967160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123824</xdr:colOff>
      <xdr:row>99</xdr:row>
      <xdr:rowOff>109538</xdr:rowOff>
    </xdr:from>
    <xdr:to>
      <xdr:col>4</xdr:col>
      <xdr:colOff>33336</xdr:colOff>
      <xdr:row>100</xdr:row>
      <xdr:rowOff>38100</xdr:rowOff>
    </xdr:to>
    <xdr:cxnSp macro="">
      <xdr:nvCxnSpPr>
        <xdr:cNvPr id="714" name="Straight Connector 713">
          <a:extLst>
            <a:ext uri="{FF2B5EF4-FFF2-40B4-BE49-F238E27FC236}">
              <a16:creationId xmlns:a16="http://schemas.microsoft.com/office/drawing/2014/main" id="{9892CDBB-B586-4913-8A73-0C0F15D59C85}"/>
            </a:ext>
          </a:extLst>
        </xdr:cNvPr>
        <xdr:cNvCxnSpPr/>
      </xdr:nvCxnSpPr>
      <xdr:spPr>
        <a:xfrm flipH="1">
          <a:off x="771524" y="4252913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</xdr:colOff>
      <xdr:row>96</xdr:row>
      <xdr:rowOff>76197</xdr:rowOff>
    </xdr:from>
    <xdr:to>
      <xdr:col>28</xdr:col>
      <xdr:colOff>4</xdr:colOff>
      <xdr:row>100</xdr:row>
      <xdr:rowOff>71439</xdr:rowOff>
    </xdr:to>
    <xdr:cxnSp macro="">
      <xdr:nvCxnSpPr>
        <xdr:cNvPr id="715" name="Straight Connector 714">
          <a:extLst>
            <a:ext uri="{FF2B5EF4-FFF2-40B4-BE49-F238E27FC236}">
              <a16:creationId xmlns:a16="http://schemas.microsoft.com/office/drawing/2014/main" id="{E7143D21-E0D9-4AF4-9BA2-8E4ABE83528C}"/>
            </a:ext>
          </a:extLst>
        </xdr:cNvPr>
        <xdr:cNvCxnSpPr/>
      </xdr:nvCxnSpPr>
      <xdr:spPr>
        <a:xfrm>
          <a:off x="4695829" y="3790947"/>
          <a:ext cx="0" cy="5667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97</xdr:row>
      <xdr:rowOff>109540</xdr:rowOff>
    </xdr:from>
    <xdr:to>
      <xdr:col>28</xdr:col>
      <xdr:colOff>33340</xdr:colOff>
      <xdr:row>98</xdr:row>
      <xdr:rowOff>38102</xdr:rowOff>
    </xdr:to>
    <xdr:cxnSp macro="">
      <xdr:nvCxnSpPr>
        <xdr:cNvPr id="716" name="Straight Connector 715">
          <a:extLst>
            <a:ext uri="{FF2B5EF4-FFF2-40B4-BE49-F238E27FC236}">
              <a16:creationId xmlns:a16="http://schemas.microsoft.com/office/drawing/2014/main" id="{F438D3CE-8AD0-4F7B-AEDA-028F38089576}"/>
            </a:ext>
          </a:extLst>
        </xdr:cNvPr>
        <xdr:cNvCxnSpPr/>
      </xdr:nvCxnSpPr>
      <xdr:spPr>
        <a:xfrm flipH="1">
          <a:off x="4657728" y="396716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123828</xdr:colOff>
      <xdr:row>99</xdr:row>
      <xdr:rowOff>109540</xdr:rowOff>
    </xdr:from>
    <xdr:to>
      <xdr:col>28</xdr:col>
      <xdr:colOff>33340</xdr:colOff>
      <xdr:row>100</xdr:row>
      <xdr:rowOff>38102</xdr:rowOff>
    </xdr:to>
    <xdr:cxnSp macro="">
      <xdr:nvCxnSpPr>
        <xdr:cNvPr id="717" name="Straight Connector 716">
          <a:extLst>
            <a:ext uri="{FF2B5EF4-FFF2-40B4-BE49-F238E27FC236}">
              <a16:creationId xmlns:a16="http://schemas.microsoft.com/office/drawing/2014/main" id="{9F6DC4B4-F544-421A-B355-8ABAF6EFFA83}"/>
            </a:ext>
          </a:extLst>
        </xdr:cNvPr>
        <xdr:cNvCxnSpPr/>
      </xdr:nvCxnSpPr>
      <xdr:spPr>
        <a:xfrm flipH="1">
          <a:off x="4657728" y="4252915"/>
          <a:ext cx="71437" cy="714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138113</xdr:colOff>
      <xdr:row>92</xdr:row>
      <xdr:rowOff>57150</xdr:rowOff>
    </xdr:from>
    <xdr:to>
      <xdr:col>17</xdr:col>
      <xdr:colOff>38100</xdr:colOff>
      <xdr:row>95</xdr:row>
      <xdr:rowOff>0</xdr:rowOff>
    </xdr:to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F642B015-2236-4B6F-A428-FC29CA11FC16}"/>
            </a:ext>
          </a:extLst>
        </xdr:cNvPr>
        <xdr:cNvSpPr txBox="1"/>
      </xdr:nvSpPr>
      <xdr:spPr>
        <a:xfrm>
          <a:off x="2405063" y="3200400"/>
          <a:ext cx="547687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Symbol" panose="05050102010706020507" pitchFamily="18" charset="2"/>
            </a:rPr>
            <a:t>I</a:t>
          </a:r>
          <a:r>
            <a:rPr lang="tr-TR" sz="800"/>
            <a:t>o</a:t>
          </a:r>
        </a:p>
      </xdr:txBody>
    </xdr:sp>
    <xdr:clientData/>
  </xdr:twoCellAnchor>
  <xdr:twoCellAnchor>
    <xdr:from>
      <xdr:col>16</xdr:col>
      <xdr:colOff>2</xdr:colOff>
      <xdr:row>87</xdr:row>
      <xdr:rowOff>33338</xdr:rowOff>
    </xdr:from>
    <xdr:to>
      <xdr:col>16</xdr:col>
      <xdr:colOff>2</xdr:colOff>
      <xdr:row>89</xdr:row>
      <xdr:rowOff>133352</xdr:rowOff>
    </xdr:to>
    <xdr:cxnSp macro="">
      <xdr:nvCxnSpPr>
        <xdr:cNvPr id="719" name="Straight Arrow Connector 718">
          <a:extLst>
            <a:ext uri="{FF2B5EF4-FFF2-40B4-BE49-F238E27FC236}">
              <a16:creationId xmlns:a16="http://schemas.microsoft.com/office/drawing/2014/main" id="{0BAC209E-6E78-4D70-BE25-884AB846FD19}"/>
            </a:ext>
          </a:extLst>
        </xdr:cNvPr>
        <xdr:cNvCxnSpPr/>
      </xdr:nvCxnSpPr>
      <xdr:spPr>
        <a:xfrm>
          <a:off x="2752727" y="2462213"/>
          <a:ext cx="0" cy="385764"/>
        </a:xfrm>
        <a:prstGeom prst="straightConnector1">
          <a:avLst/>
        </a:prstGeom>
        <a:ln w="127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87</xdr:row>
      <xdr:rowOff>66675</xdr:rowOff>
    </xdr:from>
    <xdr:to>
      <xdr:col>4</xdr:col>
      <xdr:colOff>0</xdr:colOff>
      <xdr:row>89</xdr:row>
      <xdr:rowOff>100014</xdr:rowOff>
    </xdr:to>
    <xdr:cxnSp macro="">
      <xdr:nvCxnSpPr>
        <xdr:cNvPr id="720" name="Straight Connector 719">
          <a:extLst>
            <a:ext uri="{FF2B5EF4-FFF2-40B4-BE49-F238E27FC236}">
              <a16:creationId xmlns:a16="http://schemas.microsoft.com/office/drawing/2014/main" id="{0C1D6165-8AB3-4865-9573-9E146E92BCA5}"/>
            </a:ext>
          </a:extLst>
        </xdr:cNvPr>
        <xdr:cNvCxnSpPr/>
      </xdr:nvCxnSpPr>
      <xdr:spPr>
        <a:xfrm>
          <a:off x="809625" y="2495550"/>
          <a:ext cx="0" cy="3190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95253</xdr:colOff>
      <xdr:row>88</xdr:row>
      <xdr:rowOff>1</xdr:rowOff>
    </xdr:from>
    <xdr:to>
      <xdr:col>16</xdr:col>
      <xdr:colOff>57150</xdr:colOff>
      <xdr:row>88</xdr:row>
      <xdr:rowOff>1</xdr:rowOff>
    </xdr:to>
    <xdr:cxnSp macro="">
      <xdr:nvCxnSpPr>
        <xdr:cNvPr id="721" name="Straight Connector 720">
          <a:extLst>
            <a:ext uri="{FF2B5EF4-FFF2-40B4-BE49-F238E27FC236}">
              <a16:creationId xmlns:a16="http://schemas.microsoft.com/office/drawing/2014/main" id="{3A3A2601-CBE3-4A8F-A41B-A9363E5CC394}"/>
            </a:ext>
          </a:extLst>
        </xdr:cNvPr>
        <xdr:cNvCxnSpPr/>
      </xdr:nvCxnSpPr>
      <xdr:spPr>
        <a:xfrm>
          <a:off x="742953" y="2571751"/>
          <a:ext cx="20669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119062</xdr:colOff>
      <xdr:row>87</xdr:row>
      <xdr:rowOff>104775</xdr:rowOff>
    </xdr:from>
    <xdr:to>
      <xdr:col>4</xdr:col>
      <xdr:colOff>38099</xdr:colOff>
      <xdr:row>88</xdr:row>
      <xdr:rowOff>42862</xdr:rowOff>
    </xdr:to>
    <xdr:cxnSp macro="">
      <xdr:nvCxnSpPr>
        <xdr:cNvPr id="722" name="Straight Connector 721">
          <a:extLst>
            <a:ext uri="{FF2B5EF4-FFF2-40B4-BE49-F238E27FC236}">
              <a16:creationId xmlns:a16="http://schemas.microsoft.com/office/drawing/2014/main" id="{11720679-A80C-413E-85A4-611BB947CF3B}"/>
            </a:ext>
          </a:extLst>
        </xdr:cNvPr>
        <xdr:cNvCxnSpPr/>
      </xdr:nvCxnSpPr>
      <xdr:spPr>
        <a:xfrm flipH="1">
          <a:off x="766762" y="253365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119061</xdr:colOff>
      <xdr:row>87</xdr:row>
      <xdr:rowOff>104775</xdr:rowOff>
    </xdr:from>
    <xdr:to>
      <xdr:col>16</xdr:col>
      <xdr:colOff>38098</xdr:colOff>
      <xdr:row>88</xdr:row>
      <xdr:rowOff>42862</xdr:rowOff>
    </xdr:to>
    <xdr:cxnSp macro="">
      <xdr:nvCxnSpPr>
        <xdr:cNvPr id="723" name="Straight Connector 722">
          <a:extLst>
            <a:ext uri="{FF2B5EF4-FFF2-40B4-BE49-F238E27FC236}">
              <a16:creationId xmlns:a16="http://schemas.microsoft.com/office/drawing/2014/main" id="{DA22B6E9-02BC-4EB9-B178-80363833F211}"/>
            </a:ext>
          </a:extLst>
        </xdr:cNvPr>
        <xdr:cNvCxnSpPr/>
      </xdr:nvCxnSpPr>
      <xdr:spPr>
        <a:xfrm flipH="1">
          <a:off x="2709861" y="2533650"/>
          <a:ext cx="80962" cy="809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89</xdr:row>
      <xdr:rowOff>142873</xdr:rowOff>
    </xdr:from>
    <xdr:to>
      <xdr:col>27</xdr:col>
      <xdr:colOff>157163</xdr:colOff>
      <xdr:row>96</xdr:row>
      <xdr:rowOff>4760</xdr:rowOff>
    </xdr:to>
    <xdr:grpSp>
      <xdr:nvGrpSpPr>
        <xdr:cNvPr id="724" name="Group 723">
          <a:extLst>
            <a:ext uri="{FF2B5EF4-FFF2-40B4-BE49-F238E27FC236}">
              <a16:creationId xmlns:a16="http://schemas.microsoft.com/office/drawing/2014/main" id="{6B82B033-BE53-496C-AB97-7992FDEBFFE0}"/>
            </a:ext>
          </a:extLst>
        </xdr:cNvPr>
        <xdr:cNvGrpSpPr/>
      </xdr:nvGrpSpPr>
      <xdr:grpSpPr>
        <a:xfrm>
          <a:off x="647700" y="12658725"/>
          <a:ext cx="3881438" cy="0"/>
          <a:chOff x="809624" y="714375"/>
          <a:chExt cx="3881438" cy="862012"/>
        </a:xfrm>
      </xdr:grpSpPr>
      <xdr:sp macro="" textlink="">
        <xdr:nvSpPr>
          <xdr:cNvPr id="725" name="Freeform: Shape 724">
            <a:extLst>
              <a:ext uri="{FF2B5EF4-FFF2-40B4-BE49-F238E27FC236}">
                <a16:creationId xmlns:a16="http://schemas.microsoft.com/office/drawing/2014/main" id="{F3384507-E997-1F1C-A9A4-A87DAEC69F9E}"/>
              </a:ext>
            </a:extLst>
          </xdr:cNvPr>
          <xdr:cNvSpPr/>
        </xdr:nvSpPr>
        <xdr:spPr>
          <a:xfrm>
            <a:off x="809624" y="714375"/>
            <a:ext cx="3881438" cy="862012"/>
          </a:xfrm>
          <a:custGeom>
            <a:avLst/>
            <a:gdLst>
              <a:gd name="connsiteX0" fmla="*/ 0 w 3881438"/>
              <a:gd name="connsiteY0" fmla="*/ 862012 h 862012"/>
              <a:gd name="connsiteX1" fmla="*/ 0 w 3881438"/>
              <a:gd name="connsiteY1" fmla="*/ 0 h 862012"/>
              <a:gd name="connsiteX2" fmla="*/ 3881438 w 3881438"/>
              <a:gd name="connsiteY2" fmla="*/ 0 h 862012"/>
              <a:gd name="connsiteX3" fmla="*/ 3881438 w 3881438"/>
              <a:gd name="connsiteY3" fmla="*/ 433387 h 862012"/>
              <a:gd name="connsiteX4" fmla="*/ 804863 w 3881438"/>
              <a:gd name="connsiteY4" fmla="*/ 433387 h 8620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881438" h="862012">
                <a:moveTo>
                  <a:pt x="0" y="862012"/>
                </a:moveTo>
                <a:lnTo>
                  <a:pt x="0" y="0"/>
                </a:lnTo>
                <a:lnTo>
                  <a:pt x="3881438" y="0"/>
                </a:lnTo>
                <a:lnTo>
                  <a:pt x="3881438" y="433387"/>
                </a:lnTo>
                <a:lnTo>
                  <a:pt x="804863" y="433387"/>
                </a:lnTo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26" name="Freeform: Shape 725">
            <a:extLst>
              <a:ext uri="{FF2B5EF4-FFF2-40B4-BE49-F238E27FC236}">
                <a16:creationId xmlns:a16="http://schemas.microsoft.com/office/drawing/2014/main" id="{676104A0-DC3C-2164-B29F-0FB02EABBEB7}"/>
              </a:ext>
            </a:extLst>
          </xdr:cNvPr>
          <xdr:cNvSpPr/>
        </xdr:nvSpPr>
        <xdr:spPr>
          <a:xfrm>
            <a:off x="809625" y="1147763"/>
            <a:ext cx="809625" cy="423862"/>
          </a:xfrm>
          <a:custGeom>
            <a:avLst/>
            <a:gdLst>
              <a:gd name="connsiteX0" fmla="*/ 0 w 809625"/>
              <a:gd name="connsiteY0" fmla="*/ 423862 h 423862"/>
              <a:gd name="connsiteX1" fmla="*/ 261938 w 809625"/>
              <a:gd name="connsiteY1" fmla="*/ 119062 h 423862"/>
              <a:gd name="connsiteX2" fmla="*/ 809625 w 809625"/>
              <a:gd name="connsiteY2" fmla="*/ 0 h 4238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09625" h="423862">
                <a:moveTo>
                  <a:pt x="0" y="423862"/>
                </a:moveTo>
                <a:cubicBezTo>
                  <a:pt x="63500" y="306784"/>
                  <a:pt x="127001" y="189706"/>
                  <a:pt x="261938" y="119062"/>
                </a:cubicBezTo>
                <a:cubicBezTo>
                  <a:pt x="396875" y="48418"/>
                  <a:pt x="603250" y="24209"/>
                  <a:pt x="809625" y="0"/>
                </a:cubicBezTo>
              </a:path>
            </a:pathLst>
          </a:cu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27" name="TextBox 726">
            <a:extLst>
              <a:ext uri="{FF2B5EF4-FFF2-40B4-BE49-F238E27FC236}">
                <a16:creationId xmlns:a16="http://schemas.microsoft.com/office/drawing/2014/main" id="{B65A7D3C-51AB-EC8F-80FC-2DAAA60F4799}"/>
              </a:ext>
            </a:extLst>
          </xdr:cNvPr>
          <xdr:cNvSpPr txBox="1"/>
        </xdr:nvSpPr>
        <xdr:spPr>
          <a:xfrm>
            <a:off x="2405063" y="1057275"/>
            <a:ext cx="547687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I</a:t>
            </a:r>
            <a:r>
              <a:rPr lang="tr-TR" sz="800"/>
              <a:t>o</a:t>
            </a:r>
          </a:p>
        </xdr:txBody>
      </xdr:sp>
    </xdr:grpSp>
    <xdr:clientData/>
  </xdr:twoCellAnchor>
  <xdr:twoCellAnchor>
    <xdr:from>
      <xdr:col>3</xdr:col>
      <xdr:colOff>152400</xdr:colOff>
      <xdr:row>93</xdr:row>
      <xdr:rowOff>95250</xdr:rowOff>
    </xdr:from>
    <xdr:to>
      <xdr:col>9</xdr:col>
      <xdr:colOff>85726</xdr:colOff>
      <xdr:row>95</xdr:row>
      <xdr:rowOff>123825</xdr:rowOff>
    </xdr:to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119A586F-4D71-4DBB-873D-4384CFB1D3BE}"/>
            </a:ext>
          </a:extLst>
        </xdr:cNvPr>
        <xdr:cNvSpPr txBox="1"/>
      </xdr:nvSpPr>
      <xdr:spPr>
        <a:xfrm>
          <a:off x="800100" y="3381375"/>
          <a:ext cx="9048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Symbol" panose="05050102010706020507" pitchFamily="18" charset="2"/>
            </a:rPr>
            <a:t>2</a:t>
          </a:r>
          <a:r>
            <a:rPr lang="tr-TR" sz="800">
              <a:latin typeface="Symbol" panose="05050102010706020507" pitchFamily="18" charset="2"/>
              <a:sym typeface="Symbol" panose="05050102010706020507" pitchFamily="18" charset="2"/>
            </a:rPr>
            <a:t> </a:t>
          </a:r>
          <a:r>
            <a:rPr lang="tr-TR" sz="8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parabol</a:t>
          </a:r>
          <a:r>
            <a:rPr lang="tr-TR" sz="800">
              <a:latin typeface="Symbol" panose="05050102010706020507" pitchFamily="18" charset="2"/>
              <a:sym typeface="Symbol" panose="05050102010706020507" pitchFamily="18" charset="2"/>
            </a:rPr>
            <a:t> </a:t>
          </a:r>
          <a:endParaRPr lang="tr-T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104775</xdr:colOff>
      <xdr:row>100</xdr:row>
      <xdr:rowOff>0</xdr:rowOff>
    </xdr:from>
    <xdr:to>
      <xdr:col>28</xdr:col>
      <xdr:colOff>66672</xdr:colOff>
      <xdr:row>100</xdr:row>
      <xdr:rowOff>0</xdr:rowOff>
    </xdr:to>
    <xdr:cxnSp macro="">
      <xdr:nvCxnSpPr>
        <xdr:cNvPr id="729" name="Straight Connector 728">
          <a:extLst>
            <a:ext uri="{FF2B5EF4-FFF2-40B4-BE49-F238E27FC236}">
              <a16:creationId xmlns:a16="http://schemas.microsoft.com/office/drawing/2014/main" id="{6691B690-66DD-45FF-AFB8-61C60970289C}"/>
            </a:ext>
          </a:extLst>
        </xdr:cNvPr>
        <xdr:cNvCxnSpPr/>
      </xdr:nvCxnSpPr>
      <xdr:spPr>
        <a:xfrm>
          <a:off x="752475" y="4286250"/>
          <a:ext cx="401002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80963</xdr:colOff>
      <xdr:row>130</xdr:row>
      <xdr:rowOff>57150</xdr:rowOff>
    </xdr:from>
    <xdr:to>
      <xdr:col>28</xdr:col>
      <xdr:colOff>71438</xdr:colOff>
      <xdr:row>142</xdr:row>
      <xdr:rowOff>104775</xdr:rowOff>
    </xdr:to>
    <xdr:grpSp>
      <xdr:nvGrpSpPr>
        <xdr:cNvPr id="730" name="Group 729">
          <a:extLst>
            <a:ext uri="{FF2B5EF4-FFF2-40B4-BE49-F238E27FC236}">
              <a16:creationId xmlns:a16="http://schemas.microsoft.com/office/drawing/2014/main" id="{B4F93466-BC0C-40BE-B274-4B12FC8498C5}"/>
            </a:ext>
          </a:extLst>
        </xdr:cNvPr>
        <xdr:cNvGrpSpPr/>
      </xdr:nvGrpSpPr>
      <xdr:grpSpPr>
        <a:xfrm>
          <a:off x="566738" y="15792450"/>
          <a:ext cx="4038600" cy="1762125"/>
          <a:chOff x="728663" y="6200775"/>
          <a:chExt cx="4038600" cy="1762125"/>
        </a:xfrm>
      </xdr:grpSpPr>
      <xdr:sp macro="" textlink="">
        <xdr:nvSpPr>
          <xdr:cNvPr id="731" name="Freeform: Shape 730">
            <a:extLst>
              <a:ext uri="{FF2B5EF4-FFF2-40B4-BE49-F238E27FC236}">
                <a16:creationId xmlns:a16="http://schemas.microsoft.com/office/drawing/2014/main" id="{F678739C-1E53-15F3-1FC2-EEE3785AF0C4}"/>
              </a:ext>
            </a:extLst>
          </xdr:cNvPr>
          <xdr:cNvSpPr/>
        </xdr:nvSpPr>
        <xdr:spPr>
          <a:xfrm>
            <a:off x="809625" y="6434137"/>
            <a:ext cx="3886200" cy="1143000"/>
          </a:xfrm>
          <a:custGeom>
            <a:avLst/>
            <a:gdLst>
              <a:gd name="connsiteX0" fmla="*/ 0 w 3886200"/>
              <a:gd name="connsiteY0" fmla="*/ 1128713 h 1143000"/>
              <a:gd name="connsiteX1" fmla="*/ 0 w 3886200"/>
              <a:gd name="connsiteY1" fmla="*/ 0 h 1143000"/>
              <a:gd name="connsiteX2" fmla="*/ 3886200 w 3886200"/>
              <a:gd name="connsiteY2" fmla="*/ 0 h 1143000"/>
              <a:gd name="connsiteX3" fmla="*/ 3886200 w 3886200"/>
              <a:gd name="connsiteY3" fmla="*/ 1143000 h 1143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886200" h="1143000">
                <a:moveTo>
                  <a:pt x="0" y="1128713"/>
                </a:moveTo>
                <a:lnTo>
                  <a:pt x="0" y="0"/>
                </a:lnTo>
                <a:lnTo>
                  <a:pt x="3886200" y="0"/>
                </a:lnTo>
                <a:lnTo>
                  <a:pt x="3886200" y="1143000"/>
                </a:lnTo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32" name="Freeform: Shape 731">
            <a:extLst>
              <a:ext uri="{FF2B5EF4-FFF2-40B4-BE49-F238E27FC236}">
                <a16:creationId xmlns:a16="http://schemas.microsoft.com/office/drawing/2014/main" id="{A3F359AF-CE42-606B-44B6-459624BC179A}"/>
              </a:ext>
            </a:extLst>
          </xdr:cNvPr>
          <xdr:cNvSpPr/>
        </xdr:nvSpPr>
        <xdr:spPr>
          <a:xfrm>
            <a:off x="804863" y="6843712"/>
            <a:ext cx="3890962" cy="733426"/>
          </a:xfrm>
          <a:custGeom>
            <a:avLst/>
            <a:gdLst>
              <a:gd name="connsiteX0" fmla="*/ 0 w 3890962"/>
              <a:gd name="connsiteY0" fmla="*/ 733426 h 733426"/>
              <a:gd name="connsiteX1" fmla="*/ 1947862 w 3890962"/>
              <a:gd name="connsiteY1" fmla="*/ 1 h 733426"/>
              <a:gd name="connsiteX2" fmla="*/ 3890962 w 3890962"/>
              <a:gd name="connsiteY2" fmla="*/ 728663 h 7334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890962" h="733426">
                <a:moveTo>
                  <a:pt x="0" y="733426"/>
                </a:moveTo>
                <a:cubicBezTo>
                  <a:pt x="649684" y="367110"/>
                  <a:pt x="1299368" y="795"/>
                  <a:pt x="1947862" y="1"/>
                </a:cubicBezTo>
                <a:cubicBezTo>
                  <a:pt x="2596356" y="-793"/>
                  <a:pt x="3243659" y="363935"/>
                  <a:pt x="3890962" y="728663"/>
                </a:cubicBezTo>
              </a:path>
            </a:pathLst>
          </a:cu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33" name="TextBox 732">
            <a:extLst>
              <a:ext uri="{FF2B5EF4-FFF2-40B4-BE49-F238E27FC236}">
                <a16:creationId xmlns:a16="http://schemas.microsoft.com/office/drawing/2014/main" id="{E79EAB80-36BF-C3D0-B285-5684692BC66D}"/>
              </a:ext>
            </a:extLst>
          </xdr:cNvPr>
          <xdr:cNvSpPr txBox="1"/>
        </xdr:nvSpPr>
        <xdr:spPr>
          <a:xfrm>
            <a:off x="1633538" y="6996112"/>
            <a:ext cx="90487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2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 </a:t>
            </a:r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parabol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 </a:t>
            </a:r>
            <a:endParaRPr lang="tr-TR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4" name="TextBox 733">
            <a:extLst>
              <a:ext uri="{FF2B5EF4-FFF2-40B4-BE49-F238E27FC236}">
                <a16:creationId xmlns:a16="http://schemas.microsoft.com/office/drawing/2014/main" id="{86440F8D-8C82-1BBD-B546-69FBE6EF17B9}"/>
              </a:ext>
            </a:extLst>
          </xdr:cNvPr>
          <xdr:cNvSpPr txBox="1"/>
        </xdr:nvSpPr>
        <xdr:spPr>
          <a:xfrm>
            <a:off x="2457450" y="6734175"/>
            <a:ext cx="547687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I</a:t>
            </a:r>
            <a:r>
              <a:rPr lang="tr-TR" sz="800"/>
              <a:t>o</a:t>
            </a:r>
          </a:p>
        </xdr:txBody>
      </xdr:sp>
      <xdr:cxnSp macro="">
        <xdr:nvCxnSpPr>
          <xdr:cNvPr id="735" name="Straight Arrow Connector 734">
            <a:extLst>
              <a:ext uri="{FF2B5EF4-FFF2-40B4-BE49-F238E27FC236}">
                <a16:creationId xmlns:a16="http://schemas.microsoft.com/office/drawing/2014/main" id="{B008FBE8-B90C-B3FC-581F-4E7432705719}"/>
              </a:ext>
            </a:extLst>
          </xdr:cNvPr>
          <xdr:cNvCxnSpPr/>
        </xdr:nvCxnSpPr>
        <xdr:spPr>
          <a:xfrm>
            <a:off x="809626" y="6205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6" name="Straight Arrow Connector 735">
            <a:extLst>
              <a:ext uri="{FF2B5EF4-FFF2-40B4-BE49-F238E27FC236}">
                <a16:creationId xmlns:a16="http://schemas.microsoft.com/office/drawing/2014/main" id="{8CC7603A-9A41-F6C4-B16F-54BFAA504E3A}"/>
              </a:ext>
            </a:extLst>
          </xdr:cNvPr>
          <xdr:cNvCxnSpPr/>
        </xdr:nvCxnSpPr>
        <xdr:spPr>
          <a:xfrm>
            <a:off x="971552" y="620077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7" name="Straight Arrow Connector 736">
            <a:extLst>
              <a:ext uri="{FF2B5EF4-FFF2-40B4-BE49-F238E27FC236}">
                <a16:creationId xmlns:a16="http://schemas.microsoft.com/office/drawing/2014/main" id="{E6168A7D-9B2F-9EB9-4A47-EAE955EC56A1}"/>
              </a:ext>
            </a:extLst>
          </xdr:cNvPr>
          <xdr:cNvCxnSpPr/>
        </xdr:nvCxnSpPr>
        <xdr:spPr>
          <a:xfrm>
            <a:off x="1133477" y="6205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8" name="Straight Arrow Connector 737">
            <a:extLst>
              <a:ext uri="{FF2B5EF4-FFF2-40B4-BE49-F238E27FC236}">
                <a16:creationId xmlns:a16="http://schemas.microsoft.com/office/drawing/2014/main" id="{83374F4C-C52D-5D4C-CA2C-978AB3068B3D}"/>
              </a:ext>
            </a:extLst>
          </xdr:cNvPr>
          <xdr:cNvCxnSpPr/>
        </xdr:nvCxnSpPr>
        <xdr:spPr>
          <a:xfrm>
            <a:off x="1295403" y="6205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9" name="Straight Arrow Connector 738">
            <a:extLst>
              <a:ext uri="{FF2B5EF4-FFF2-40B4-BE49-F238E27FC236}">
                <a16:creationId xmlns:a16="http://schemas.microsoft.com/office/drawing/2014/main" id="{19198064-B2C8-2DF7-F4CE-A8932D58A428}"/>
              </a:ext>
            </a:extLst>
          </xdr:cNvPr>
          <xdr:cNvCxnSpPr/>
        </xdr:nvCxnSpPr>
        <xdr:spPr>
          <a:xfrm>
            <a:off x="1457326" y="6200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0" name="Straight Arrow Connector 739">
            <a:extLst>
              <a:ext uri="{FF2B5EF4-FFF2-40B4-BE49-F238E27FC236}">
                <a16:creationId xmlns:a16="http://schemas.microsoft.com/office/drawing/2014/main" id="{73E6ED48-AD30-9282-060D-D6DFE5241059}"/>
              </a:ext>
            </a:extLst>
          </xdr:cNvPr>
          <xdr:cNvCxnSpPr/>
        </xdr:nvCxnSpPr>
        <xdr:spPr>
          <a:xfrm>
            <a:off x="1619252" y="6200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1" name="Straight Arrow Connector 740">
            <a:extLst>
              <a:ext uri="{FF2B5EF4-FFF2-40B4-BE49-F238E27FC236}">
                <a16:creationId xmlns:a16="http://schemas.microsoft.com/office/drawing/2014/main" id="{316D0251-BCBA-4CB2-BC96-0B15CFC024CC}"/>
              </a:ext>
            </a:extLst>
          </xdr:cNvPr>
          <xdr:cNvCxnSpPr/>
        </xdr:nvCxnSpPr>
        <xdr:spPr>
          <a:xfrm>
            <a:off x="1781177" y="6200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2" name="Straight Arrow Connector 741">
            <a:extLst>
              <a:ext uri="{FF2B5EF4-FFF2-40B4-BE49-F238E27FC236}">
                <a16:creationId xmlns:a16="http://schemas.microsoft.com/office/drawing/2014/main" id="{75F697D9-187E-C942-E51D-FA2AB70FD47C}"/>
              </a:ext>
            </a:extLst>
          </xdr:cNvPr>
          <xdr:cNvCxnSpPr/>
        </xdr:nvCxnSpPr>
        <xdr:spPr>
          <a:xfrm>
            <a:off x="1943103" y="6200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3" name="Straight Arrow Connector 742">
            <a:extLst>
              <a:ext uri="{FF2B5EF4-FFF2-40B4-BE49-F238E27FC236}">
                <a16:creationId xmlns:a16="http://schemas.microsoft.com/office/drawing/2014/main" id="{F98C82A1-4405-8513-38F8-BDFBC13D2739}"/>
              </a:ext>
            </a:extLst>
          </xdr:cNvPr>
          <xdr:cNvCxnSpPr/>
        </xdr:nvCxnSpPr>
        <xdr:spPr>
          <a:xfrm>
            <a:off x="2105024" y="6205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4" name="Straight Arrow Connector 743">
            <a:extLst>
              <a:ext uri="{FF2B5EF4-FFF2-40B4-BE49-F238E27FC236}">
                <a16:creationId xmlns:a16="http://schemas.microsoft.com/office/drawing/2014/main" id="{C13EF99E-4A77-89D1-C8F3-877B95E66A8E}"/>
              </a:ext>
            </a:extLst>
          </xdr:cNvPr>
          <xdr:cNvCxnSpPr/>
        </xdr:nvCxnSpPr>
        <xdr:spPr>
          <a:xfrm>
            <a:off x="2266950" y="620077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5" name="Straight Arrow Connector 744">
            <a:extLst>
              <a:ext uri="{FF2B5EF4-FFF2-40B4-BE49-F238E27FC236}">
                <a16:creationId xmlns:a16="http://schemas.microsoft.com/office/drawing/2014/main" id="{FF60EFE2-E95C-D214-1505-DED084FD3F05}"/>
              </a:ext>
            </a:extLst>
          </xdr:cNvPr>
          <xdr:cNvCxnSpPr/>
        </xdr:nvCxnSpPr>
        <xdr:spPr>
          <a:xfrm>
            <a:off x="2428875" y="6205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6" name="Straight Arrow Connector 745">
            <a:extLst>
              <a:ext uri="{FF2B5EF4-FFF2-40B4-BE49-F238E27FC236}">
                <a16:creationId xmlns:a16="http://schemas.microsoft.com/office/drawing/2014/main" id="{F7304D93-1243-DFEE-09A9-0C5D2631B220}"/>
              </a:ext>
            </a:extLst>
          </xdr:cNvPr>
          <xdr:cNvCxnSpPr/>
        </xdr:nvCxnSpPr>
        <xdr:spPr>
          <a:xfrm>
            <a:off x="2590801" y="6205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7" name="Straight Arrow Connector 746">
            <a:extLst>
              <a:ext uri="{FF2B5EF4-FFF2-40B4-BE49-F238E27FC236}">
                <a16:creationId xmlns:a16="http://schemas.microsoft.com/office/drawing/2014/main" id="{B8B84FE5-2075-A7FB-9991-2C2261F7066E}"/>
              </a:ext>
            </a:extLst>
          </xdr:cNvPr>
          <xdr:cNvCxnSpPr/>
        </xdr:nvCxnSpPr>
        <xdr:spPr>
          <a:xfrm>
            <a:off x="2752724" y="62007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8" name="Straight Arrow Connector 747">
            <a:extLst>
              <a:ext uri="{FF2B5EF4-FFF2-40B4-BE49-F238E27FC236}">
                <a16:creationId xmlns:a16="http://schemas.microsoft.com/office/drawing/2014/main" id="{77BB71A4-8616-6FDE-FA4B-D4F23CE332BA}"/>
              </a:ext>
            </a:extLst>
          </xdr:cNvPr>
          <xdr:cNvCxnSpPr/>
        </xdr:nvCxnSpPr>
        <xdr:spPr>
          <a:xfrm>
            <a:off x="2914650" y="62007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9" name="Straight Arrow Connector 748">
            <a:extLst>
              <a:ext uri="{FF2B5EF4-FFF2-40B4-BE49-F238E27FC236}">
                <a16:creationId xmlns:a16="http://schemas.microsoft.com/office/drawing/2014/main" id="{163DF9BC-C872-52DA-7B85-56AD0C981A25}"/>
              </a:ext>
            </a:extLst>
          </xdr:cNvPr>
          <xdr:cNvCxnSpPr/>
        </xdr:nvCxnSpPr>
        <xdr:spPr>
          <a:xfrm>
            <a:off x="3076575" y="62007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0" name="Straight Arrow Connector 749">
            <a:extLst>
              <a:ext uri="{FF2B5EF4-FFF2-40B4-BE49-F238E27FC236}">
                <a16:creationId xmlns:a16="http://schemas.microsoft.com/office/drawing/2014/main" id="{DBE5041B-99BB-3D55-258C-A597DFA29B7A}"/>
              </a:ext>
            </a:extLst>
          </xdr:cNvPr>
          <xdr:cNvCxnSpPr/>
        </xdr:nvCxnSpPr>
        <xdr:spPr>
          <a:xfrm>
            <a:off x="3238501" y="620077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1" name="Straight Arrow Connector 750">
            <a:extLst>
              <a:ext uri="{FF2B5EF4-FFF2-40B4-BE49-F238E27FC236}">
                <a16:creationId xmlns:a16="http://schemas.microsoft.com/office/drawing/2014/main" id="{337245E8-1A71-B8FB-5861-E37B84ECE8C5}"/>
              </a:ext>
            </a:extLst>
          </xdr:cNvPr>
          <xdr:cNvCxnSpPr/>
        </xdr:nvCxnSpPr>
        <xdr:spPr>
          <a:xfrm>
            <a:off x="3400425" y="6205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2" name="Straight Arrow Connector 751">
            <a:extLst>
              <a:ext uri="{FF2B5EF4-FFF2-40B4-BE49-F238E27FC236}">
                <a16:creationId xmlns:a16="http://schemas.microsoft.com/office/drawing/2014/main" id="{664A9936-B114-273F-47C7-0B2554C786AF}"/>
              </a:ext>
            </a:extLst>
          </xdr:cNvPr>
          <xdr:cNvCxnSpPr/>
        </xdr:nvCxnSpPr>
        <xdr:spPr>
          <a:xfrm>
            <a:off x="3562350" y="6205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3" name="Straight Arrow Connector 752">
            <a:extLst>
              <a:ext uri="{FF2B5EF4-FFF2-40B4-BE49-F238E27FC236}">
                <a16:creationId xmlns:a16="http://schemas.microsoft.com/office/drawing/2014/main" id="{4DBA3FAF-6C03-FB07-FB81-9A886BEE0717}"/>
              </a:ext>
            </a:extLst>
          </xdr:cNvPr>
          <xdr:cNvCxnSpPr/>
        </xdr:nvCxnSpPr>
        <xdr:spPr>
          <a:xfrm>
            <a:off x="3724276" y="620554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4" name="Straight Arrow Connector 753">
            <a:extLst>
              <a:ext uri="{FF2B5EF4-FFF2-40B4-BE49-F238E27FC236}">
                <a16:creationId xmlns:a16="http://schemas.microsoft.com/office/drawing/2014/main" id="{AFA4D7A7-53CC-55DA-B375-50EE245B51DB}"/>
              </a:ext>
            </a:extLst>
          </xdr:cNvPr>
          <xdr:cNvCxnSpPr/>
        </xdr:nvCxnSpPr>
        <xdr:spPr>
          <a:xfrm>
            <a:off x="3886199" y="6205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5" name="Straight Arrow Connector 754">
            <a:extLst>
              <a:ext uri="{FF2B5EF4-FFF2-40B4-BE49-F238E27FC236}">
                <a16:creationId xmlns:a16="http://schemas.microsoft.com/office/drawing/2014/main" id="{ECDDA8F1-EEFD-9838-DE8A-DE1B147E3EFC}"/>
              </a:ext>
            </a:extLst>
          </xdr:cNvPr>
          <xdr:cNvCxnSpPr/>
        </xdr:nvCxnSpPr>
        <xdr:spPr>
          <a:xfrm>
            <a:off x="4048125" y="6205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6" name="Straight Arrow Connector 755">
            <a:extLst>
              <a:ext uri="{FF2B5EF4-FFF2-40B4-BE49-F238E27FC236}">
                <a16:creationId xmlns:a16="http://schemas.microsoft.com/office/drawing/2014/main" id="{44AE3127-1438-7789-5D94-E041ECF66AFF}"/>
              </a:ext>
            </a:extLst>
          </xdr:cNvPr>
          <xdr:cNvCxnSpPr/>
        </xdr:nvCxnSpPr>
        <xdr:spPr>
          <a:xfrm>
            <a:off x="4210050" y="6205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Straight Arrow Connector 756">
            <a:extLst>
              <a:ext uri="{FF2B5EF4-FFF2-40B4-BE49-F238E27FC236}">
                <a16:creationId xmlns:a16="http://schemas.microsoft.com/office/drawing/2014/main" id="{89D8CDA3-0892-8F52-BBEB-F9B5C46401DB}"/>
              </a:ext>
            </a:extLst>
          </xdr:cNvPr>
          <xdr:cNvCxnSpPr/>
        </xdr:nvCxnSpPr>
        <xdr:spPr>
          <a:xfrm>
            <a:off x="4371976" y="620554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8" name="Straight Arrow Connector 757">
            <a:extLst>
              <a:ext uri="{FF2B5EF4-FFF2-40B4-BE49-F238E27FC236}">
                <a16:creationId xmlns:a16="http://schemas.microsoft.com/office/drawing/2014/main" id="{D2075FDC-8D7E-DDE0-6388-154BD96EA91C}"/>
              </a:ext>
            </a:extLst>
          </xdr:cNvPr>
          <xdr:cNvCxnSpPr/>
        </xdr:nvCxnSpPr>
        <xdr:spPr>
          <a:xfrm>
            <a:off x="4533903" y="620553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9" name="Straight Arrow Connector 758">
            <a:extLst>
              <a:ext uri="{FF2B5EF4-FFF2-40B4-BE49-F238E27FC236}">
                <a16:creationId xmlns:a16="http://schemas.microsoft.com/office/drawing/2014/main" id="{5DB74879-078D-809B-C15C-7B9721982ECB}"/>
              </a:ext>
            </a:extLst>
          </xdr:cNvPr>
          <xdr:cNvCxnSpPr/>
        </xdr:nvCxnSpPr>
        <xdr:spPr>
          <a:xfrm>
            <a:off x="4695829" y="620553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0" name="Straight Connector 759">
            <a:extLst>
              <a:ext uri="{FF2B5EF4-FFF2-40B4-BE49-F238E27FC236}">
                <a16:creationId xmlns:a16="http://schemas.microsoft.com/office/drawing/2014/main" id="{56103ECD-68CB-5896-798F-CCB9631BDEED}"/>
              </a:ext>
            </a:extLst>
          </xdr:cNvPr>
          <xdr:cNvCxnSpPr/>
        </xdr:nvCxnSpPr>
        <xdr:spPr>
          <a:xfrm>
            <a:off x="809625" y="6200775"/>
            <a:ext cx="38909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1" name="Straight Connector 760">
            <a:extLst>
              <a:ext uri="{FF2B5EF4-FFF2-40B4-BE49-F238E27FC236}">
                <a16:creationId xmlns:a16="http://schemas.microsoft.com/office/drawing/2014/main" id="{24BB2DB3-2C19-D2DC-75FA-BFF262A24346}"/>
              </a:ext>
            </a:extLst>
          </xdr:cNvPr>
          <xdr:cNvCxnSpPr/>
        </xdr:nvCxnSpPr>
        <xdr:spPr>
          <a:xfrm>
            <a:off x="809625" y="7667624"/>
            <a:ext cx="0" cy="2952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2" name="Straight Connector 761">
            <a:extLst>
              <a:ext uri="{FF2B5EF4-FFF2-40B4-BE49-F238E27FC236}">
                <a16:creationId xmlns:a16="http://schemas.microsoft.com/office/drawing/2014/main" id="{8C2B4D5D-2935-05FB-0252-3DD7EED54143}"/>
              </a:ext>
            </a:extLst>
          </xdr:cNvPr>
          <xdr:cNvCxnSpPr/>
        </xdr:nvCxnSpPr>
        <xdr:spPr>
          <a:xfrm>
            <a:off x="728663" y="7858127"/>
            <a:ext cx="4038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3" name="Straight Connector 762">
            <a:extLst>
              <a:ext uri="{FF2B5EF4-FFF2-40B4-BE49-F238E27FC236}">
                <a16:creationId xmlns:a16="http://schemas.microsoft.com/office/drawing/2014/main" id="{04E9EA87-5F3E-6D63-47E0-DF712D0C3D5F}"/>
              </a:ext>
            </a:extLst>
          </xdr:cNvPr>
          <xdr:cNvCxnSpPr/>
        </xdr:nvCxnSpPr>
        <xdr:spPr>
          <a:xfrm flipH="1">
            <a:off x="762000" y="7815264"/>
            <a:ext cx="90487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4" name="Straight Connector 763">
            <a:extLst>
              <a:ext uri="{FF2B5EF4-FFF2-40B4-BE49-F238E27FC236}">
                <a16:creationId xmlns:a16="http://schemas.microsoft.com/office/drawing/2014/main" id="{05F10F66-D011-C47F-C2DC-EC7580554BD2}"/>
              </a:ext>
            </a:extLst>
          </xdr:cNvPr>
          <xdr:cNvCxnSpPr/>
        </xdr:nvCxnSpPr>
        <xdr:spPr>
          <a:xfrm>
            <a:off x="4695825" y="7667624"/>
            <a:ext cx="0" cy="2952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" name="Straight Connector 764">
            <a:extLst>
              <a:ext uri="{FF2B5EF4-FFF2-40B4-BE49-F238E27FC236}">
                <a16:creationId xmlns:a16="http://schemas.microsoft.com/office/drawing/2014/main" id="{DF842C30-9588-BB04-31AE-747913D7CA3F}"/>
              </a:ext>
            </a:extLst>
          </xdr:cNvPr>
          <xdr:cNvCxnSpPr/>
        </xdr:nvCxnSpPr>
        <xdr:spPr>
          <a:xfrm flipH="1">
            <a:off x="4648200" y="7815264"/>
            <a:ext cx="90487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80963</xdr:colOff>
      <xdr:row>146</xdr:row>
      <xdr:rowOff>33338</xdr:rowOff>
    </xdr:from>
    <xdr:to>
      <xdr:col>28</xdr:col>
      <xdr:colOff>71438</xdr:colOff>
      <xdr:row>159</xdr:row>
      <xdr:rowOff>104775</xdr:rowOff>
    </xdr:to>
    <xdr:grpSp>
      <xdr:nvGrpSpPr>
        <xdr:cNvPr id="766" name="Group 765">
          <a:extLst>
            <a:ext uri="{FF2B5EF4-FFF2-40B4-BE49-F238E27FC236}">
              <a16:creationId xmlns:a16="http://schemas.microsoft.com/office/drawing/2014/main" id="{2FDA9E26-F930-4C9F-8917-29805C9A7660}"/>
            </a:ext>
          </a:extLst>
        </xdr:cNvPr>
        <xdr:cNvGrpSpPr/>
      </xdr:nvGrpSpPr>
      <xdr:grpSpPr>
        <a:xfrm>
          <a:off x="566738" y="18559463"/>
          <a:ext cx="4038600" cy="1928812"/>
          <a:chOff x="728663" y="8462963"/>
          <a:chExt cx="4038600" cy="1928812"/>
        </a:xfrm>
      </xdr:grpSpPr>
      <xdr:sp macro="" textlink="">
        <xdr:nvSpPr>
          <xdr:cNvPr id="767" name="Freeform: Shape 766">
            <a:extLst>
              <a:ext uri="{FF2B5EF4-FFF2-40B4-BE49-F238E27FC236}">
                <a16:creationId xmlns:a16="http://schemas.microsoft.com/office/drawing/2014/main" id="{C7676DC3-ADFB-5A99-8FBE-A94A19202EA9}"/>
              </a:ext>
            </a:extLst>
          </xdr:cNvPr>
          <xdr:cNvSpPr/>
        </xdr:nvSpPr>
        <xdr:spPr>
          <a:xfrm>
            <a:off x="809625" y="8863012"/>
            <a:ext cx="3886200" cy="1143000"/>
          </a:xfrm>
          <a:custGeom>
            <a:avLst/>
            <a:gdLst>
              <a:gd name="connsiteX0" fmla="*/ 0 w 3886200"/>
              <a:gd name="connsiteY0" fmla="*/ 1128713 h 1143000"/>
              <a:gd name="connsiteX1" fmla="*/ 0 w 3886200"/>
              <a:gd name="connsiteY1" fmla="*/ 0 h 1143000"/>
              <a:gd name="connsiteX2" fmla="*/ 3886200 w 3886200"/>
              <a:gd name="connsiteY2" fmla="*/ 0 h 1143000"/>
              <a:gd name="connsiteX3" fmla="*/ 3886200 w 3886200"/>
              <a:gd name="connsiteY3" fmla="*/ 1143000 h 1143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886200" h="1143000">
                <a:moveTo>
                  <a:pt x="0" y="1128713"/>
                </a:moveTo>
                <a:lnTo>
                  <a:pt x="0" y="0"/>
                </a:lnTo>
                <a:lnTo>
                  <a:pt x="3886200" y="0"/>
                </a:lnTo>
                <a:lnTo>
                  <a:pt x="3886200" y="1143000"/>
                </a:lnTo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68" name="Freeform: Shape 767">
            <a:extLst>
              <a:ext uri="{FF2B5EF4-FFF2-40B4-BE49-F238E27FC236}">
                <a16:creationId xmlns:a16="http://schemas.microsoft.com/office/drawing/2014/main" id="{8265D752-DC74-78EE-C04A-D29E1516C25A}"/>
              </a:ext>
            </a:extLst>
          </xdr:cNvPr>
          <xdr:cNvSpPr/>
        </xdr:nvSpPr>
        <xdr:spPr>
          <a:xfrm>
            <a:off x="804863" y="9272587"/>
            <a:ext cx="3890962" cy="733426"/>
          </a:xfrm>
          <a:custGeom>
            <a:avLst/>
            <a:gdLst>
              <a:gd name="connsiteX0" fmla="*/ 0 w 3890962"/>
              <a:gd name="connsiteY0" fmla="*/ 733426 h 733426"/>
              <a:gd name="connsiteX1" fmla="*/ 1947862 w 3890962"/>
              <a:gd name="connsiteY1" fmla="*/ 1 h 733426"/>
              <a:gd name="connsiteX2" fmla="*/ 3890962 w 3890962"/>
              <a:gd name="connsiteY2" fmla="*/ 728663 h 7334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890962" h="733426">
                <a:moveTo>
                  <a:pt x="0" y="733426"/>
                </a:moveTo>
                <a:cubicBezTo>
                  <a:pt x="649684" y="367110"/>
                  <a:pt x="1299368" y="795"/>
                  <a:pt x="1947862" y="1"/>
                </a:cubicBezTo>
                <a:cubicBezTo>
                  <a:pt x="2596356" y="-793"/>
                  <a:pt x="3243659" y="363935"/>
                  <a:pt x="3890962" y="728663"/>
                </a:cubicBezTo>
              </a:path>
            </a:pathLst>
          </a:cu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69" name="TextBox 768">
            <a:extLst>
              <a:ext uri="{FF2B5EF4-FFF2-40B4-BE49-F238E27FC236}">
                <a16:creationId xmlns:a16="http://schemas.microsoft.com/office/drawing/2014/main" id="{3795ADA2-B2D0-1127-2ED2-72717DF5ECAA}"/>
              </a:ext>
            </a:extLst>
          </xdr:cNvPr>
          <xdr:cNvSpPr txBox="1"/>
        </xdr:nvSpPr>
        <xdr:spPr>
          <a:xfrm>
            <a:off x="1633538" y="9424987"/>
            <a:ext cx="90487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2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 </a:t>
            </a:r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parabol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 </a:t>
            </a:r>
            <a:endParaRPr lang="tr-TR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70" name="TextBox 769">
            <a:extLst>
              <a:ext uri="{FF2B5EF4-FFF2-40B4-BE49-F238E27FC236}">
                <a16:creationId xmlns:a16="http://schemas.microsoft.com/office/drawing/2014/main" id="{03350FB9-0EF8-5D0E-DA66-EE67FC186C6D}"/>
              </a:ext>
            </a:extLst>
          </xdr:cNvPr>
          <xdr:cNvSpPr txBox="1"/>
        </xdr:nvSpPr>
        <xdr:spPr>
          <a:xfrm>
            <a:off x="2457450" y="9163050"/>
            <a:ext cx="547687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I</a:t>
            </a:r>
            <a:r>
              <a:rPr lang="tr-TR" sz="800"/>
              <a:t>o</a:t>
            </a:r>
          </a:p>
        </xdr:txBody>
      </xdr:sp>
      <xdr:cxnSp macro="">
        <xdr:nvCxnSpPr>
          <xdr:cNvPr id="771" name="Straight Connector 770">
            <a:extLst>
              <a:ext uri="{FF2B5EF4-FFF2-40B4-BE49-F238E27FC236}">
                <a16:creationId xmlns:a16="http://schemas.microsoft.com/office/drawing/2014/main" id="{ACBBEFA3-0AB6-DE0F-F1CF-53A1119E6F75}"/>
              </a:ext>
            </a:extLst>
          </xdr:cNvPr>
          <xdr:cNvCxnSpPr/>
        </xdr:nvCxnSpPr>
        <xdr:spPr>
          <a:xfrm>
            <a:off x="809625" y="10096499"/>
            <a:ext cx="0" cy="2952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2" name="Straight Connector 771">
            <a:extLst>
              <a:ext uri="{FF2B5EF4-FFF2-40B4-BE49-F238E27FC236}">
                <a16:creationId xmlns:a16="http://schemas.microsoft.com/office/drawing/2014/main" id="{597EB8DD-FB4D-F109-5802-7254EFB7B1CC}"/>
              </a:ext>
            </a:extLst>
          </xdr:cNvPr>
          <xdr:cNvCxnSpPr/>
        </xdr:nvCxnSpPr>
        <xdr:spPr>
          <a:xfrm>
            <a:off x="728663" y="10287002"/>
            <a:ext cx="40386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3" name="Straight Connector 772">
            <a:extLst>
              <a:ext uri="{FF2B5EF4-FFF2-40B4-BE49-F238E27FC236}">
                <a16:creationId xmlns:a16="http://schemas.microsoft.com/office/drawing/2014/main" id="{19491324-BE41-1DD3-B212-925C56E3A22A}"/>
              </a:ext>
            </a:extLst>
          </xdr:cNvPr>
          <xdr:cNvCxnSpPr/>
        </xdr:nvCxnSpPr>
        <xdr:spPr>
          <a:xfrm flipH="1">
            <a:off x="762000" y="10244139"/>
            <a:ext cx="90487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4" name="Straight Connector 773">
            <a:extLst>
              <a:ext uri="{FF2B5EF4-FFF2-40B4-BE49-F238E27FC236}">
                <a16:creationId xmlns:a16="http://schemas.microsoft.com/office/drawing/2014/main" id="{AE9691FD-8397-6C37-F385-544B627E9A92}"/>
              </a:ext>
            </a:extLst>
          </xdr:cNvPr>
          <xdr:cNvCxnSpPr/>
        </xdr:nvCxnSpPr>
        <xdr:spPr>
          <a:xfrm>
            <a:off x="4695825" y="10096499"/>
            <a:ext cx="0" cy="2952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5" name="Straight Connector 774">
            <a:extLst>
              <a:ext uri="{FF2B5EF4-FFF2-40B4-BE49-F238E27FC236}">
                <a16:creationId xmlns:a16="http://schemas.microsoft.com/office/drawing/2014/main" id="{98A0C038-FF13-6D1D-D045-AF52F41602F2}"/>
              </a:ext>
            </a:extLst>
          </xdr:cNvPr>
          <xdr:cNvCxnSpPr/>
        </xdr:nvCxnSpPr>
        <xdr:spPr>
          <a:xfrm flipH="1">
            <a:off x="4648200" y="10244139"/>
            <a:ext cx="90487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" name="Straight Arrow Connector 775">
            <a:extLst>
              <a:ext uri="{FF2B5EF4-FFF2-40B4-BE49-F238E27FC236}">
                <a16:creationId xmlns:a16="http://schemas.microsoft.com/office/drawing/2014/main" id="{DE798B95-3834-992F-7B0E-17B1A4316774}"/>
              </a:ext>
            </a:extLst>
          </xdr:cNvPr>
          <xdr:cNvCxnSpPr/>
        </xdr:nvCxnSpPr>
        <xdr:spPr>
          <a:xfrm>
            <a:off x="2752727" y="8462963"/>
            <a:ext cx="0" cy="385764"/>
          </a:xfrm>
          <a:prstGeom prst="straightConnector1">
            <a:avLst/>
          </a:prstGeom>
          <a:ln w="127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7" name="Straight Connector 776">
            <a:extLst>
              <a:ext uri="{FF2B5EF4-FFF2-40B4-BE49-F238E27FC236}">
                <a16:creationId xmlns:a16="http://schemas.microsoft.com/office/drawing/2014/main" id="{408238EE-C263-1DBD-9195-638D686072EB}"/>
              </a:ext>
            </a:extLst>
          </xdr:cNvPr>
          <xdr:cNvCxnSpPr/>
        </xdr:nvCxnSpPr>
        <xdr:spPr>
          <a:xfrm>
            <a:off x="809625" y="8496300"/>
            <a:ext cx="0" cy="3190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8" name="Straight Connector 777">
            <a:extLst>
              <a:ext uri="{FF2B5EF4-FFF2-40B4-BE49-F238E27FC236}">
                <a16:creationId xmlns:a16="http://schemas.microsoft.com/office/drawing/2014/main" id="{D1E3719A-BF87-7263-9A9C-B513120982DE}"/>
              </a:ext>
            </a:extLst>
          </xdr:cNvPr>
          <xdr:cNvCxnSpPr/>
        </xdr:nvCxnSpPr>
        <xdr:spPr>
          <a:xfrm>
            <a:off x="742953" y="8572501"/>
            <a:ext cx="20669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9" name="Straight Connector 778">
            <a:extLst>
              <a:ext uri="{FF2B5EF4-FFF2-40B4-BE49-F238E27FC236}">
                <a16:creationId xmlns:a16="http://schemas.microsoft.com/office/drawing/2014/main" id="{8CB3DDCE-F488-3432-4E46-557C8FE58115}"/>
              </a:ext>
            </a:extLst>
          </xdr:cNvPr>
          <xdr:cNvCxnSpPr/>
        </xdr:nvCxnSpPr>
        <xdr:spPr>
          <a:xfrm flipH="1">
            <a:off x="766762" y="85344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0" name="Straight Connector 779">
            <a:extLst>
              <a:ext uri="{FF2B5EF4-FFF2-40B4-BE49-F238E27FC236}">
                <a16:creationId xmlns:a16="http://schemas.microsoft.com/office/drawing/2014/main" id="{8A2367DF-DA6A-B3D0-A9CA-DF0EDEDBF334}"/>
              </a:ext>
            </a:extLst>
          </xdr:cNvPr>
          <xdr:cNvCxnSpPr/>
        </xdr:nvCxnSpPr>
        <xdr:spPr>
          <a:xfrm flipH="1">
            <a:off x="2709861" y="853440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104775</xdr:colOff>
      <xdr:row>164</xdr:row>
      <xdr:rowOff>57150</xdr:rowOff>
    </xdr:from>
    <xdr:to>
      <xdr:col>28</xdr:col>
      <xdr:colOff>66675</xdr:colOff>
      <xdr:row>176</xdr:row>
      <xdr:rowOff>76201</xdr:rowOff>
    </xdr:to>
    <xdr:grpSp>
      <xdr:nvGrpSpPr>
        <xdr:cNvPr id="781" name="Group 780">
          <a:extLst>
            <a:ext uri="{FF2B5EF4-FFF2-40B4-BE49-F238E27FC236}">
              <a16:creationId xmlns:a16="http://schemas.microsoft.com/office/drawing/2014/main" id="{831C015B-B46B-4FC0-827B-F22E048CCF46}"/>
            </a:ext>
          </a:extLst>
        </xdr:cNvPr>
        <xdr:cNvGrpSpPr/>
      </xdr:nvGrpSpPr>
      <xdr:grpSpPr>
        <a:xfrm>
          <a:off x="590550" y="21659850"/>
          <a:ext cx="4010025" cy="1733551"/>
          <a:chOff x="752475" y="1343025"/>
          <a:chExt cx="4010025" cy="1733551"/>
        </a:xfrm>
      </xdr:grpSpPr>
      <xdr:sp macro="" textlink="">
        <xdr:nvSpPr>
          <xdr:cNvPr id="782" name="Freeform: Shape 781">
            <a:extLst>
              <a:ext uri="{FF2B5EF4-FFF2-40B4-BE49-F238E27FC236}">
                <a16:creationId xmlns:a16="http://schemas.microsoft.com/office/drawing/2014/main" id="{224C307B-53FE-3E95-84CE-5BF9988FED9A}"/>
              </a:ext>
            </a:extLst>
          </xdr:cNvPr>
          <xdr:cNvSpPr/>
        </xdr:nvSpPr>
        <xdr:spPr>
          <a:xfrm>
            <a:off x="809626" y="1571626"/>
            <a:ext cx="3886200" cy="1147762"/>
          </a:xfrm>
          <a:custGeom>
            <a:avLst/>
            <a:gdLst>
              <a:gd name="connsiteX0" fmla="*/ 0 w 3890963"/>
              <a:gd name="connsiteY0" fmla="*/ 1147762 h 1147762"/>
              <a:gd name="connsiteX1" fmla="*/ 0 w 3890963"/>
              <a:gd name="connsiteY1" fmla="*/ 0 h 1147762"/>
              <a:gd name="connsiteX2" fmla="*/ 3890963 w 3890963"/>
              <a:gd name="connsiteY2" fmla="*/ 0 h 1147762"/>
              <a:gd name="connsiteX3" fmla="*/ 3890963 w 3890963"/>
              <a:gd name="connsiteY3" fmla="*/ 438150 h 11477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890963" h="1147762">
                <a:moveTo>
                  <a:pt x="0" y="1147762"/>
                </a:moveTo>
                <a:lnTo>
                  <a:pt x="0" y="0"/>
                </a:lnTo>
                <a:lnTo>
                  <a:pt x="3890963" y="0"/>
                </a:lnTo>
                <a:lnTo>
                  <a:pt x="3890963" y="438150"/>
                </a:lnTo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3" name="Straight Connector 782">
            <a:extLst>
              <a:ext uri="{FF2B5EF4-FFF2-40B4-BE49-F238E27FC236}">
                <a16:creationId xmlns:a16="http://schemas.microsoft.com/office/drawing/2014/main" id="{4F91E186-15A7-14B1-9F94-24ED47294C4F}"/>
              </a:ext>
            </a:extLst>
          </xdr:cNvPr>
          <xdr:cNvCxnSpPr/>
        </xdr:nvCxnSpPr>
        <xdr:spPr>
          <a:xfrm>
            <a:off x="4695825" y="1571624"/>
            <a:ext cx="0" cy="43338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84" name="Freeform: Shape 783">
            <a:extLst>
              <a:ext uri="{FF2B5EF4-FFF2-40B4-BE49-F238E27FC236}">
                <a16:creationId xmlns:a16="http://schemas.microsoft.com/office/drawing/2014/main" id="{B3C800DB-6E87-77B0-2792-1A584F02B018}"/>
              </a:ext>
            </a:extLst>
          </xdr:cNvPr>
          <xdr:cNvSpPr/>
        </xdr:nvSpPr>
        <xdr:spPr>
          <a:xfrm>
            <a:off x="809625" y="2000250"/>
            <a:ext cx="3886200" cy="714375"/>
          </a:xfrm>
          <a:custGeom>
            <a:avLst/>
            <a:gdLst>
              <a:gd name="connsiteX0" fmla="*/ 0 w 3886200"/>
              <a:gd name="connsiteY0" fmla="*/ 714375 h 714375"/>
              <a:gd name="connsiteX1" fmla="*/ 1890713 w 3886200"/>
              <a:gd name="connsiteY1" fmla="*/ 200025 h 714375"/>
              <a:gd name="connsiteX2" fmla="*/ 3886200 w 3886200"/>
              <a:gd name="connsiteY2" fmla="*/ 0 h 714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886200" h="714375">
                <a:moveTo>
                  <a:pt x="0" y="714375"/>
                </a:moveTo>
                <a:cubicBezTo>
                  <a:pt x="621506" y="516731"/>
                  <a:pt x="1243013" y="319087"/>
                  <a:pt x="1890713" y="200025"/>
                </a:cubicBezTo>
                <a:cubicBezTo>
                  <a:pt x="2538413" y="80963"/>
                  <a:pt x="3212306" y="40481"/>
                  <a:pt x="3886200" y="0"/>
                </a:cubicBezTo>
              </a:path>
            </a:pathLst>
          </a:cu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85" name="Straight Connector 784">
            <a:extLst>
              <a:ext uri="{FF2B5EF4-FFF2-40B4-BE49-F238E27FC236}">
                <a16:creationId xmlns:a16="http://schemas.microsoft.com/office/drawing/2014/main" id="{A16C4315-FF7C-C09F-5F2C-BF3DBB9C237E}"/>
              </a:ext>
            </a:extLst>
          </xdr:cNvPr>
          <xdr:cNvCxnSpPr/>
        </xdr:nvCxnSpPr>
        <xdr:spPr>
          <a:xfrm>
            <a:off x="809625" y="2771775"/>
            <a:ext cx="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Straight Connector 785">
            <a:extLst>
              <a:ext uri="{FF2B5EF4-FFF2-40B4-BE49-F238E27FC236}">
                <a16:creationId xmlns:a16="http://schemas.microsoft.com/office/drawing/2014/main" id="{479AE26A-9316-F8A7-4874-DAC9C0512A40}"/>
              </a:ext>
            </a:extLst>
          </xdr:cNvPr>
          <xdr:cNvCxnSpPr/>
        </xdr:nvCxnSpPr>
        <xdr:spPr>
          <a:xfrm>
            <a:off x="752475" y="3000375"/>
            <a:ext cx="40100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7" name="Straight Connector 786">
            <a:extLst>
              <a:ext uri="{FF2B5EF4-FFF2-40B4-BE49-F238E27FC236}">
                <a16:creationId xmlns:a16="http://schemas.microsoft.com/office/drawing/2014/main" id="{01257457-7D8B-19FC-2FC4-5DACE8CDF3AB}"/>
              </a:ext>
            </a:extLst>
          </xdr:cNvPr>
          <xdr:cNvCxnSpPr/>
        </xdr:nvCxnSpPr>
        <xdr:spPr>
          <a:xfrm flipH="1">
            <a:off x="776287" y="2967038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8" name="Straight Connector 787">
            <a:extLst>
              <a:ext uri="{FF2B5EF4-FFF2-40B4-BE49-F238E27FC236}">
                <a16:creationId xmlns:a16="http://schemas.microsoft.com/office/drawing/2014/main" id="{71BF860F-6D73-9353-5397-449E9B5B3918}"/>
              </a:ext>
            </a:extLst>
          </xdr:cNvPr>
          <xdr:cNvCxnSpPr/>
        </xdr:nvCxnSpPr>
        <xdr:spPr>
          <a:xfrm>
            <a:off x="4695826" y="2076450"/>
            <a:ext cx="0" cy="1000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9" name="Straight Connector 788">
            <a:extLst>
              <a:ext uri="{FF2B5EF4-FFF2-40B4-BE49-F238E27FC236}">
                <a16:creationId xmlns:a16="http://schemas.microsoft.com/office/drawing/2014/main" id="{A621E51F-1EC5-426A-B31F-4DA741CF1966}"/>
              </a:ext>
            </a:extLst>
          </xdr:cNvPr>
          <xdr:cNvCxnSpPr/>
        </xdr:nvCxnSpPr>
        <xdr:spPr>
          <a:xfrm flipH="1">
            <a:off x="4662488" y="2967039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0" name="Straight Arrow Connector 789">
            <a:extLst>
              <a:ext uri="{FF2B5EF4-FFF2-40B4-BE49-F238E27FC236}">
                <a16:creationId xmlns:a16="http://schemas.microsoft.com/office/drawing/2014/main" id="{E4DA30E0-74BF-5D9E-D75E-4862293089B2}"/>
              </a:ext>
            </a:extLst>
          </xdr:cNvPr>
          <xdr:cNvCxnSpPr/>
        </xdr:nvCxnSpPr>
        <xdr:spPr>
          <a:xfrm>
            <a:off x="809626" y="134779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1" name="Straight Arrow Connector 790">
            <a:extLst>
              <a:ext uri="{FF2B5EF4-FFF2-40B4-BE49-F238E27FC236}">
                <a16:creationId xmlns:a16="http://schemas.microsoft.com/office/drawing/2014/main" id="{6E37EC6B-58DD-F7F3-75F0-13D576580C11}"/>
              </a:ext>
            </a:extLst>
          </xdr:cNvPr>
          <xdr:cNvCxnSpPr/>
        </xdr:nvCxnSpPr>
        <xdr:spPr>
          <a:xfrm>
            <a:off x="971552" y="1343027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Straight Arrow Connector 791">
            <a:extLst>
              <a:ext uri="{FF2B5EF4-FFF2-40B4-BE49-F238E27FC236}">
                <a16:creationId xmlns:a16="http://schemas.microsoft.com/office/drawing/2014/main" id="{CE6F718B-3639-3556-57A2-5A758300A8ED}"/>
              </a:ext>
            </a:extLst>
          </xdr:cNvPr>
          <xdr:cNvCxnSpPr/>
        </xdr:nvCxnSpPr>
        <xdr:spPr>
          <a:xfrm>
            <a:off x="1133477" y="134779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3" name="Straight Arrow Connector 792">
            <a:extLst>
              <a:ext uri="{FF2B5EF4-FFF2-40B4-BE49-F238E27FC236}">
                <a16:creationId xmlns:a16="http://schemas.microsoft.com/office/drawing/2014/main" id="{412CE444-709F-1E79-DE25-A53AAA6B1450}"/>
              </a:ext>
            </a:extLst>
          </xdr:cNvPr>
          <xdr:cNvCxnSpPr/>
        </xdr:nvCxnSpPr>
        <xdr:spPr>
          <a:xfrm>
            <a:off x="1295403" y="134779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4" name="Straight Arrow Connector 793">
            <a:extLst>
              <a:ext uri="{FF2B5EF4-FFF2-40B4-BE49-F238E27FC236}">
                <a16:creationId xmlns:a16="http://schemas.microsoft.com/office/drawing/2014/main" id="{B52BD90D-F354-78D9-566B-DCA57784F978}"/>
              </a:ext>
            </a:extLst>
          </xdr:cNvPr>
          <xdr:cNvCxnSpPr/>
        </xdr:nvCxnSpPr>
        <xdr:spPr>
          <a:xfrm>
            <a:off x="1457326" y="134302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5" name="Straight Arrow Connector 794">
            <a:extLst>
              <a:ext uri="{FF2B5EF4-FFF2-40B4-BE49-F238E27FC236}">
                <a16:creationId xmlns:a16="http://schemas.microsoft.com/office/drawing/2014/main" id="{D57358CD-7E78-33DE-1037-F37E1BDDA075}"/>
              </a:ext>
            </a:extLst>
          </xdr:cNvPr>
          <xdr:cNvCxnSpPr/>
        </xdr:nvCxnSpPr>
        <xdr:spPr>
          <a:xfrm>
            <a:off x="1619252" y="134302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6" name="Straight Arrow Connector 795">
            <a:extLst>
              <a:ext uri="{FF2B5EF4-FFF2-40B4-BE49-F238E27FC236}">
                <a16:creationId xmlns:a16="http://schemas.microsoft.com/office/drawing/2014/main" id="{AE7075AD-2AE5-32F3-E42E-1365AE635D30}"/>
              </a:ext>
            </a:extLst>
          </xdr:cNvPr>
          <xdr:cNvCxnSpPr/>
        </xdr:nvCxnSpPr>
        <xdr:spPr>
          <a:xfrm>
            <a:off x="1781177" y="134302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7" name="Straight Arrow Connector 796">
            <a:extLst>
              <a:ext uri="{FF2B5EF4-FFF2-40B4-BE49-F238E27FC236}">
                <a16:creationId xmlns:a16="http://schemas.microsoft.com/office/drawing/2014/main" id="{7A65E39E-72B6-6981-1583-CAAC443E498D}"/>
              </a:ext>
            </a:extLst>
          </xdr:cNvPr>
          <xdr:cNvCxnSpPr/>
        </xdr:nvCxnSpPr>
        <xdr:spPr>
          <a:xfrm>
            <a:off x="1943103" y="134302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8" name="Straight Arrow Connector 797">
            <a:extLst>
              <a:ext uri="{FF2B5EF4-FFF2-40B4-BE49-F238E27FC236}">
                <a16:creationId xmlns:a16="http://schemas.microsoft.com/office/drawing/2014/main" id="{67BA9C29-2D8A-6817-276B-6892E38A2867}"/>
              </a:ext>
            </a:extLst>
          </xdr:cNvPr>
          <xdr:cNvCxnSpPr/>
        </xdr:nvCxnSpPr>
        <xdr:spPr>
          <a:xfrm>
            <a:off x="2105024" y="134779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9" name="Straight Arrow Connector 798">
            <a:extLst>
              <a:ext uri="{FF2B5EF4-FFF2-40B4-BE49-F238E27FC236}">
                <a16:creationId xmlns:a16="http://schemas.microsoft.com/office/drawing/2014/main" id="{3ACD2914-B149-0925-53BF-F7FB5F41E39E}"/>
              </a:ext>
            </a:extLst>
          </xdr:cNvPr>
          <xdr:cNvCxnSpPr/>
        </xdr:nvCxnSpPr>
        <xdr:spPr>
          <a:xfrm>
            <a:off x="2266950" y="1343028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0" name="Straight Arrow Connector 799">
            <a:extLst>
              <a:ext uri="{FF2B5EF4-FFF2-40B4-BE49-F238E27FC236}">
                <a16:creationId xmlns:a16="http://schemas.microsoft.com/office/drawing/2014/main" id="{A8A4A464-C33B-9591-12E0-430D53D32F04}"/>
              </a:ext>
            </a:extLst>
          </xdr:cNvPr>
          <xdr:cNvCxnSpPr/>
        </xdr:nvCxnSpPr>
        <xdr:spPr>
          <a:xfrm>
            <a:off x="2428875" y="134779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" name="Straight Arrow Connector 800">
            <a:extLst>
              <a:ext uri="{FF2B5EF4-FFF2-40B4-BE49-F238E27FC236}">
                <a16:creationId xmlns:a16="http://schemas.microsoft.com/office/drawing/2014/main" id="{039A9B04-AD2F-73D9-0006-B0BD7C7FD0CD}"/>
              </a:ext>
            </a:extLst>
          </xdr:cNvPr>
          <xdr:cNvCxnSpPr/>
        </xdr:nvCxnSpPr>
        <xdr:spPr>
          <a:xfrm>
            <a:off x="2590801" y="134779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2" name="Straight Arrow Connector 801">
            <a:extLst>
              <a:ext uri="{FF2B5EF4-FFF2-40B4-BE49-F238E27FC236}">
                <a16:creationId xmlns:a16="http://schemas.microsoft.com/office/drawing/2014/main" id="{1F3222D5-F4E6-BF23-E6E6-F064D0DF9ADB}"/>
              </a:ext>
            </a:extLst>
          </xdr:cNvPr>
          <xdr:cNvCxnSpPr/>
        </xdr:nvCxnSpPr>
        <xdr:spPr>
          <a:xfrm>
            <a:off x="2752724" y="134302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3" name="Straight Arrow Connector 802">
            <a:extLst>
              <a:ext uri="{FF2B5EF4-FFF2-40B4-BE49-F238E27FC236}">
                <a16:creationId xmlns:a16="http://schemas.microsoft.com/office/drawing/2014/main" id="{504A82B3-A226-AC43-4050-5CDC87C58A4D}"/>
              </a:ext>
            </a:extLst>
          </xdr:cNvPr>
          <xdr:cNvCxnSpPr/>
        </xdr:nvCxnSpPr>
        <xdr:spPr>
          <a:xfrm>
            <a:off x="2914650" y="134302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4" name="Straight Arrow Connector 803">
            <a:extLst>
              <a:ext uri="{FF2B5EF4-FFF2-40B4-BE49-F238E27FC236}">
                <a16:creationId xmlns:a16="http://schemas.microsoft.com/office/drawing/2014/main" id="{BB2F7ECF-677E-303A-332F-DF26CEC3B8E2}"/>
              </a:ext>
            </a:extLst>
          </xdr:cNvPr>
          <xdr:cNvCxnSpPr/>
        </xdr:nvCxnSpPr>
        <xdr:spPr>
          <a:xfrm>
            <a:off x="3076575" y="134302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5" name="Straight Arrow Connector 804">
            <a:extLst>
              <a:ext uri="{FF2B5EF4-FFF2-40B4-BE49-F238E27FC236}">
                <a16:creationId xmlns:a16="http://schemas.microsoft.com/office/drawing/2014/main" id="{154C4A17-018A-A7E5-442A-99450D29502D}"/>
              </a:ext>
            </a:extLst>
          </xdr:cNvPr>
          <xdr:cNvCxnSpPr/>
        </xdr:nvCxnSpPr>
        <xdr:spPr>
          <a:xfrm>
            <a:off x="3238501" y="1343029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6" name="Straight Arrow Connector 805">
            <a:extLst>
              <a:ext uri="{FF2B5EF4-FFF2-40B4-BE49-F238E27FC236}">
                <a16:creationId xmlns:a16="http://schemas.microsoft.com/office/drawing/2014/main" id="{C8F72531-A0FB-E43E-89B5-5A936321B551}"/>
              </a:ext>
            </a:extLst>
          </xdr:cNvPr>
          <xdr:cNvCxnSpPr/>
        </xdr:nvCxnSpPr>
        <xdr:spPr>
          <a:xfrm>
            <a:off x="3400425" y="134779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7" name="Straight Arrow Connector 806">
            <a:extLst>
              <a:ext uri="{FF2B5EF4-FFF2-40B4-BE49-F238E27FC236}">
                <a16:creationId xmlns:a16="http://schemas.microsoft.com/office/drawing/2014/main" id="{713C6162-336B-DD71-BF24-E59CDF85702F}"/>
              </a:ext>
            </a:extLst>
          </xdr:cNvPr>
          <xdr:cNvCxnSpPr/>
        </xdr:nvCxnSpPr>
        <xdr:spPr>
          <a:xfrm>
            <a:off x="3562350" y="134779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8" name="Straight Arrow Connector 807">
            <a:extLst>
              <a:ext uri="{FF2B5EF4-FFF2-40B4-BE49-F238E27FC236}">
                <a16:creationId xmlns:a16="http://schemas.microsoft.com/office/drawing/2014/main" id="{908AEFFD-E27D-4805-3EBF-537D271D1B03}"/>
              </a:ext>
            </a:extLst>
          </xdr:cNvPr>
          <xdr:cNvCxnSpPr/>
        </xdr:nvCxnSpPr>
        <xdr:spPr>
          <a:xfrm>
            <a:off x="3724276" y="1347790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9" name="Straight Arrow Connector 808">
            <a:extLst>
              <a:ext uri="{FF2B5EF4-FFF2-40B4-BE49-F238E27FC236}">
                <a16:creationId xmlns:a16="http://schemas.microsoft.com/office/drawing/2014/main" id="{B7CADBB6-5436-E498-1BEC-741D4B7FC69F}"/>
              </a:ext>
            </a:extLst>
          </xdr:cNvPr>
          <xdr:cNvCxnSpPr/>
        </xdr:nvCxnSpPr>
        <xdr:spPr>
          <a:xfrm>
            <a:off x="3886199" y="134779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0" name="Straight Arrow Connector 809">
            <a:extLst>
              <a:ext uri="{FF2B5EF4-FFF2-40B4-BE49-F238E27FC236}">
                <a16:creationId xmlns:a16="http://schemas.microsoft.com/office/drawing/2014/main" id="{A47546F4-39AA-193A-2F09-C7334AFD8BB0}"/>
              </a:ext>
            </a:extLst>
          </xdr:cNvPr>
          <xdr:cNvCxnSpPr/>
        </xdr:nvCxnSpPr>
        <xdr:spPr>
          <a:xfrm>
            <a:off x="4048125" y="134779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1" name="Straight Arrow Connector 810">
            <a:extLst>
              <a:ext uri="{FF2B5EF4-FFF2-40B4-BE49-F238E27FC236}">
                <a16:creationId xmlns:a16="http://schemas.microsoft.com/office/drawing/2014/main" id="{FA4F6B87-8763-D6A0-E4E5-699535BF81B2}"/>
              </a:ext>
            </a:extLst>
          </xdr:cNvPr>
          <xdr:cNvCxnSpPr/>
        </xdr:nvCxnSpPr>
        <xdr:spPr>
          <a:xfrm>
            <a:off x="4210050" y="134779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2" name="Straight Arrow Connector 811">
            <a:extLst>
              <a:ext uri="{FF2B5EF4-FFF2-40B4-BE49-F238E27FC236}">
                <a16:creationId xmlns:a16="http://schemas.microsoft.com/office/drawing/2014/main" id="{329E35FA-ACFC-45F2-7973-C3FF00740EC2}"/>
              </a:ext>
            </a:extLst>
          </xdr:cNvPr>
          <xdr:cNvCxnSpPr/>
        </xdr:nvCxnSpPr>
        <xdr:spPr>
          <a:xfrm>
            <a:off x="4371976" y="1347791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3" name="Straight Arrow Connector 812">
            <a:extLst>
              <a:ext uri="{FF2B5EF4-FFF2-40B4-BE49-F238E27FC236}">
                <a16:creationId xmlns:a16="http://schemas.microsoft.com/office/drawing/2014/main" id="{C09447B1-5ED2-CE9E-0D62-88814FA20193}"/>
              </a:ext>
            </a:extLst>
          </xdr:cNvPr>
          <xdr:cNvCxnSpPr/>
        </xdr:nvCxnSpPr>
        <xdr:spPr>
          <a:xfrm>
            <a:off x="4533903" y="134778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4" name="Straight Arrow Connector 813">
            <a:extLst>
              <a:ext uri="{FF2B5EF4-FFF2-40B4-BE49-F238E27FC236}">
                <a16:creationId xmlns:a16="http://schemas.microsoft.com/office/drawing/2014/main" id="{7EDBDCED-7AB5-EBFF-2268-98014B96F665}"/>
              </a:ext>
            </a:extLst>
          </xdr:cNvPr>
          <xdr:cNvCxnSpPr/>
        </xdr:nvCxnSpPr>
        <xdr:spPr>
          <a:xfrm>
            <a:off x="4695829" y="1347786"/>
            <a:ext cx="0" cy="20955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5" name="Straight Connector 814">
            <a:extLst>
              <a:ext uri="{FF2B5EF4-FFF2-40B4-BE49-F238E27FC236}">
                <a16:creationId xmlns:a16="http://schemas.microsoft.com/office/drawing/2014/main" id="{1CF60446-0AAA-8FB3-89C3-3F1405CC09ED}"/>
              </a:ext>
            </a:extLst>
          </xdr:cNvPr>
          <xdr:cNvCxnSpPr/>
        </xdr:nvCxnSpPr>
        <xdr:spPr>
          <a:xfrm>
            <a:off x="809625" y="1343025"/>
            <a:ext cx="3890963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6" name="TextBox 815">
            <a:extLst>
              <a:ext uri="{FF2B5EF4-FFF2-40B4-BE49-F238E27FC236}">
                <a16:creationId xmlns:a16="http://schemas.microsoft.com/office/drawing/2014/main" id="{C0056848-DE51-0DE8-2850-24A287EFC3D0}"/>
              </a:ext>
            </a:extLst>
          </xdr:cNvPr>
          <xdr:cNvSpPr txBox="1"/>
        </xdr:nvSpPr>
        <xdr:spPr>
          <a:xfrm>
            <a:off x="2286000" y="2195513"/>
            <a:ext cx="90487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2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 </a:t>
            </a:r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parabol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 </a:t>
            </a:r>
            <a:endParaRPr lang="tr-TR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95253</xdr:colOff>
      <xdr:row>180</xdr:row>
      <xdr:rowOff>33338</xdr:rowOff>
    </xdr:from>
    <xdr:to>
      <xdr:col>28</xdr:col>
      <xdr:colOff>66675</xdr:colOff>
      <xdr:row>193</xdr:row>
      <xdr:rowOff>76201</xdr:rowOff>
    </xdr:to>
    <xdr:grpSp>
      <xdr:nvGrpSpPr>
        <xdr:cNvPr id="817" name="Group 816">
          <a:extLst>
            <a:ext uri="{FF2B5EF4-FFF2-40B4-BE49-F238E27FC236}">
              <a16:creationId xmlns:a16="http://schemas.microsoft.com/office/drawing/2014/main" id="{E16CCC90-4F09-4FDC-B106-A93384ED5EA5}"/>
            </a:ext>
          </a:extLst>
        </xdr:cNvPr>
        <xdr:cNvGrpSpPr/>
      </xdr:nvGrpSpPr>
      <xdr:grpSpPr>
        <a:xfrm>
          <a:off x="581028" y="24426863"/>
          <a:ext cx="4019547" cy="1900238"/>
          <a:chOff x="742953" y="3605213"/>
          <a:chExt cx="4019547" cy="1900238"/>
        </a:xfrm>
      </xdr:grpSpPr>
      <xdr:sp macro="" textlink="">
        <xdr:nvSpPr>
          <xdr:cNvPr id="818" name="Freeform: Shape 817">
            <a:extLst>
              <a:ext uri="{FF2B5EF4-FFF2-40B4-BE49-F238E27FC236}">
                <a16:creationId xmlns:a16="http://schemas.microsoft.com/office/drawing/2014/main" id="{7CB94068-899B-4820-1397-446792F526B1}"/>
              </a:ext>
            </a:extLst>
          </xdr:cNvPr>
          <xdr:cNvSpPr/>
        </xdr:nvSpPr>
        <xdr:spPr>
          <a:xfrm>
            <a:off x="809626" y="4000501"/>
            <a:ext cx="3886200" cy="1147762"/>
          </a:xfrm>
          <a:custGeom>
            <a:avLst/>
            <a:gdLst>
              <a:gd name="connsiteX0" fmla="*/ 0 w 3890963"/>
              <a:gd name="connsiteY0" fmla="*/ 1147762 h 1147762"/>
              <a:gd name="connsiteX1" fmla="*/ 0 w 3890963"/>
              <a:gd name="connsiteY1" fmla="*/ 0 h 1147762"/>
              <a:gd name="connsiteX2" fmla="*/ 3890963 w 3890963"/>
              <a:gd name="connsiteY2" fmla="*/ 0 h 1147762"/>
              <a:gd name="connsiteX3" fmla="*/ 3890963 w 3890963"/>
              <a:gd name="connsiteY3" fmla="*/ 438150 h 11477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3890963" h="1147762">
                <a:moveTo>
                  <a:pt x="0" y="1147762"/>
                </a:moveTo>
                <a:lnTo>
                  <a:pt x="0" y="0"/>
                </a:lnTo>
                <a:lnTo>
                  <a:pt x="3890963" y="0"/>
                </a:lnTo>
                <a:lnTo>
                  <a:pt x="3890963" y="438150"/>
                </a:lnTo>
              </a:path>
            </a:pathLst>
          </a:custGeom>
          <a:solidFill>
            <a:schemeClr val="bg1">
              <a:lumMod val="9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19" name="Straight Connector 818">
            <a:extLst>
              <a:ext uri="{FF2B5EF4-FFF2-40B4-BE49-F238E27FC236}">
                <a16:creationId xmlns:a16="http://schemas.microsoft.com/office/drawing/2014/main" id="{E6976697-CE32-4D6E-1F85-2577284856E6}"/>
              </a:ext>
            </a:extLst>
          </xdr:cNvPr>
          <xdr:cNvCxnSpPr/>
        </xdr:nvCxnSpPr>
        <xdr:spPr>
          <a:xfrm>
            <a:off x="4695825" y="4000499"/>
            <a:ext cx="0" cy="433389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0" name="Freeform: Shape 819">
            <a:extLst>
              <a:ext uri="{FF2B5EF4-FFF2-40B4-BE49-F238E27FC236}">
                <a16:creationId xmlns:a16="http://schemas.microsoft.com/office/drawing/2014/main" id="{55386ED5-728D-C29F-FDFD-BA5CB71299D0}"/>
              </a:ext>
            </a:extLst>
          </xdr:cNvPr>
          <xdr:cNvSpPr/>
        </xdr:nvSpPr>
        <xdr:spPr>
          <a:xfrm>
            <a:off x="809625" y="4429125"/>
            <a:ext cx="3886200" cy="714375"/>
          </a:xfrm>
          <a:custGeom>
            <a:avLst/>
            <a:gdLst>
              <a:gd name="connsiteX0" fmla="*/ 0 w 3886200"/>
              <a:gd name="connsiteY0" fmla="*/ 714375 h 714375"/>
              <a:gd name="connsiteX1" fmla="*/ 1890713 w 3886200"/>
              <a:gd name="connsiteY1" fmla="*/ 200025 h 714375"/>
              <a:gd name="connsiteX2" fmla="*/ 3886200 w 3886200"/>
              <a:gd name="connsiteY2" fmla="*/ 0 h 7143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886200" h="714375">
                <a:moveTo>
                  <a:pt x="0" y="714375"/>
                </a:moveTo>
                <a:cubicBezTo>
                  <a:pt x="621506" y="516731"/>
                  <a:pt x="1243013" y="319087"/>
                  <a:pt x="1890713" y="200025"/>
                </a:cubicBezTo>
                <a:cubicBezTo>
                  <a:pt x="2538413" y="80963"/>
                  <a:pt x="3212306" y="40481"/>
                  <a:pt x="3886200" y="0"/>
                </a:cubicBezTo>
              </a:path>
            </a:pathLst>
          </a:cu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821" name="Straight Connector 820">
            <a:extLst>
              <a:ext uri="{FF2B5EF4-FFF2-40B4-BE49-F238E27FC236}">
                <a16:creationId xmlns:a16="http://schemas.microsoft.com/office/drawing/2014/main" id="{6E3B9DFA-6E33-4EDD-09B6-9B9BC2A590F4}"/>
              </a:ext>
            </a:extLst>
          </xdr:cNvPr>
          <xdr:cNvCxnSpPr/>
        </xdr:nvCxnSpPr>
        <xdr:spPr>
          <a:xfrm>
            <a:off x="809625" y="5200650"/>
            <a:ext cx="0" cy="3048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2" name="Straight Connector 821">
            <a:extLst>
              <a:ext uri="{FF2B5EF4-FFF2-40B4-BE49-F238E27FC236}">
                <a16:creationId xmlns:a16="http://schemas.microsoft.com/office/drawing/2014/main" id="{445D2DD9-AF80-DF24-D58B-C2BAF1C31367}"/>
              </a:ext>
            </a:extLst>
          </xdr:cNvPr>
          <xdr:cNvCxnSpPr/>
        </xdr:nvCxnSpPr>
        <xdr:spPr>
          <a:xfrm>
            <a:off x="752475" y="5429250"/>
            <a:ext cx="40100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3" name="Straight Connector 822">
            <a:extLst>
              <a:ext uri="{FF2B5EF4-FFF2-40B4-BE49-F238E27FC236}">
                <a16:creationId xmlns:a16="http://schemas.microsoft.com/office/drawing/2014/main" id="{2482A2C3-DC8A-F783-32D3-50DD5E8DDD46}"/>
              </a:ext>
            </a:extLst>
          </xdr:cNvPr>
          <xdr:cNvCxnSpPr/>
        </xdr:nvCxnSpPr>
        <xdr:spPr>
          <a:xfrm flipH="1">
            <a:off x="776287" y="5395913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4" name="Straight Connector 823">
            <a:extLst>
              <a:ext uri="{FF2B5EF4-FFF2-40B4-BE49-F238E27FC236}">
                <a16:creationId xmlns:a16="http://schemas.microsoft.com/office/drawing/2014/main" id="{EB880238-289D-C214-BA70-29C7826A58BC}"/>
              </a:ext>
            </a:extLst>
          </xdr:cNvPr>
          <xdr:cNvCxnSpPr/>
        </xdr:nvCxnSpPr>
        <xdr:spPr>
          <a:xfrm>
            <a:off x="4695826" y="4505325"/>
            <a:ext cx="0" cy="10001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5" name="Straight Connector 824">
            <a:extLst>
              <a:ext uri="{FF2B5EF4-FFF2-40B4-BE49-F238E27FC236}">
                <a16:creationId xmlns:a16="http://schemas.microsoft.com/office/drawing/2014/main" id="{3418A32E-0554-6B14-7A17-FF9BD2B36365}"/>
              </a:ext>
            </a:extLst>
          </xdr:cNvPr>
          <xdr:cNvCxnSpPr/>
        </xdr:nvCxnSpPr>
        <xdr:spPr>
          <a:xfrm flipH="1">
            <a:off x="4662488" y="5395914"/>
            <a:ext cx="66675" cy="6667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6" name="TextBox 825">
            <a:extLst>
              <a:ext uri="{FF2B5EF4-FFF2-40B4-BE49-F238E27FC236}">
                <a16:creationId xmlns:a16="http://schemas.microsoft.com/office/drawing/2014/main" id="{24731867-3FBA-845F-FF0A-6CB03C72D773}"/>
              </a:ext>
            </a:extLst>
          </xdr:cNvPr>
          <xdr:cNvSpPr txBox="1"/>
        </xdr:nvSpPr>
        <xdr:spPr>
          <a:xfrm>
            <a:off x="2286000" y="4624388"/>
            <a:ext cx="904876" cy="314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Symbol" panose="05050102010706020507" pitchFamily="18" charset="2"/>
              </a:rPr>
              <a:t>2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 </a:t>
            </a:r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parabol</a:t>
            </a:r>
            <a:r>
              <a:rPr lang="tr-TR" sz="800">
                <a:latin typeface="Symbol" panose="05050102010706020507" pitchFamily="18" charset="2"/>
                <a:sym typeface="Symbol" panose="05050102010706020507" pitchFamily="18" charset="2"/>
              </a:rPr>
              <a:t> </a:t>
            </a:r>
            <a:endParaRPr lang="tr-TR" sz="8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827" name="Straight Arrow Connector 826">
            <a:extLst>
              <a:ext uri="{FF2B5EF4-FFF2-40B4-BE49-F238E27FC236}">
                <a16:creationId xmlns:a16="http://schemas.microsoft.com/office/drawing/2014/main" id="{1CAA30B1-0D24-956A-C2ED-50D1CD9F76B1}"/>
              </a:ext>
            </a:extLst>
          </xdr:cNvPr>
          <xdr:cNvCxnSpPr/>
        </xdr:nvCxnSpPr>
        <xdr:spPr>
          <a:xfrm>
            <a:off x="2752727" y="3605213"/>
            <a:ext cx="0" cy="385764"/>
          </a:xfrm>
          <a:prstGeom prst="straightConnector1">
            <a:avLst/>
          </a:prstGeom>
          <a:ln w="127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8" name="Straight Connector 827">
            <a:extLst>
              <a:ext uri="{FF2B5EF4-FFF2-40B4-BE49-F238E27FC236}">
                <a16:creationId xmlns:a16="http://schemas.microsoft.com/office/drawing/2014/main" id="{D60A50FF-05F3-B037-4CBA-72195E3AEED5}"/>
              </a:ext>
            </a:extLst>
          </xdr:cNvPr>
          <xdr:cNvCxnSpPr/>
        </xdr:nvCxnSpPr>
        <xdr:spPr>
          <a:xfrm>
            <a:off x="809625" y="3638550"/>
            <a:ext cx="0" cy="31908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9" name="Straight Connector 828">
            <a:extLst>
              <a:ext uri="{FF2B5EF4-FFF2-40B4-BE49-F238E27FC236}">
                <a16:creationId xmlns:a16="http://schemas.microsoft.com/office/drawing/2014/main" id="{70DDBF75-D6DB-4C76-12B3-C19D38F80419}"/>
              </a:ext>
            </a:extLst>
          </xdr:cNvPr>
          <xdr:cNvCxnSpPr/>
        </xdr:nvCxnSpPr>
        <xdr:spPr>
          <a:xfrm>
            <a:off x="742953" y="3714751"/>
            <a:ext cx="206692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0" name="Straight Connector 829">
            <a:extLst>
              <a:ext uri="{FF2B5EF4-FFF2-40B4-BE49-F238E27FC236}">
                <a16:creationId xmlns:a16="http://schemas.microsoft.com/office/drawing/2014/main" id="{E18B76B7-A070-7F3A-B013-49E30B7E6385}"/>
              </a:ext>
            </a:extLst>
          </xdr:cNvPr>
          <xdr:cNvCxnSpPr/>
        </xdr:nvCxnSpPr>
        <xdr:spPr>
          <a:xfrm flipH="1">
            <a:off x="766762" y="36766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1" name="Straight Connector 830">
            <a:extLst>
              <a:ext uri="{FF2B5EF4-FFF2-40B4-BE49-F238E27FC236}">
                <a16:creationId xmlns:a16="http://schemas.microsoft.com/office/drawing/2014/main" id="{CB69876D-C4A2-FA1D-0CAC-C3C4058862C0}"/>
              </a:ext>
            </a:extLst>
          </xdr:cNvPr>
          <xdr:cNvCxnSpPr/>
        </xdr:nvCxnSpPr>
        <xdr:spPr>
          <a:xfrm flipH="1">
            <a:off x="2709861" y="3676650"/>
            <a:ext cx="80962" cy="8096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DD65-3B6B-4A57-9EE9-9A026DE03E30}">
  <dimension ref="B1:BE534"/>
  <sheetViews>
    <sheetView showGridLines="0" tabSelected="1" zoomScaleNormal="100" workbookViewId="0">
      <selection activeCell="BK8" sqref="BK8"/>
    </sheetView>
  </sheetViews>
  <sheetFormatPr defaultRowHeight="11.25"/>
  <cols>
    <col min="1" max="1295" width="2.83203125" style="1" customWidth="1"/>
    <col min="1296" max="16384" width="9.33203125" style="1"/>
  </cols>
  <sheetData>
    <row r="1" spans="2:57" ht="12" thickBot="1"/>
    <row r="2" spans="2:57" ht="49.5" customHeight="1">
      <c r="B2" s="36" t="s">
        <v>134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8"/>
    </row>
    <row r="3" spans="2:57">
      <c r="B3" s="4"/>
      <c r="AI3" s="19" t="s">
        <v>123</v>
      </c>
      <c r="BE3" s="5"/>
    </row>
    <row r="4" spans="2:57">
      <c r="B4" s="4"/>
      <c r="O4" s="1" t="s">
        <v>41</v>
      </c>
      <c r="BE4" s="5"/>
    </row>
    <row r="5" spans="2:57">
      <c r="B5" s="4"/>
      <c r="BE5" s="5"/>
    </row>
    <row r="6" spans="2:57">
      <c r="B6" s="4"/>
      <c r="AG6" s="1" t="s">
        <v>132</v>
      </c>
      <c r="BE6" s="5"/>
    </row>
    <row r="7" spans="2:57">
      <c r="B7" s="4"/>
      <c r="P7" s="22" t="s">
        <v>1</v>
      </c>
      <c r="AG7" s="12" t="s">
        <v>5</v>
      </c>
      <c r="AI7" s="35">
        <v>1</v>
      </c>
      <c r="AJ7" s="35"/>
      <c r="AK7" s="35"/>
      <c r="AL7" s="1" t="s">
        <v>8</v>
      </c>
      <c r="AN7" s="1" t="s">
        <v>126</v>
      </c>
      <c r="BE7" s="5"/>
    </row>
    <row r="8" spans="2:57">
      <c r="B8" s="4"/>
      <c r="AG8" s="12" t="s">
        <v>10</v>
      </c>
      <c r="AI8" s="35">
        <v>0.06</v>
      </c>
      <c r="AJ8" s="35"/>
      <c r="AK8" s="35"/>
      <c r="AL8" s="1" t="s">
        <v>8</v>
      </c>
      <c r="AN8" s="1" t="s">
        <v>126</v>
      </c>
      <c r="BE8" s="5"/>
    </row>
    <row r="9" spans="2:57">
      <c r="B9" s="4"/>
      <c r="E9" s="1" t="s">
        <v>17</v>
      </c>
      <c r="AB9" s="7" t="s">
        <v>18</v>
      </c>
      <c r="AG9" s="1" t="s">
        <v>133</v>
      </c>
      <c r="AK9" s="34">
        <f>+AI8</f>
        <v>0.06</v>
      </c>
      <c r="AL9" s="34"/>
      <c r="AM9" s="34"/>
      <c r="AN9" s="1" t="s">
        <v>15</v>
      </c>
      <c r="AO9" s="34">
        <f>+AI7</f>
        <v>1</v>
      </c>
      <c r="AP9" s="34"/>
      <c r="AQ9" s="34"/>
      <c r="AR9" s="9" t="s">
        <v>7</v>
      </c>
      <c r="AS9" s="34">
        <f>+AK9/AO9</f>
        <v>0.06</v>
      </c>
      <c r="AT9" s="34"/>
      <c r="AU9" s="34"/>
      <c r="BE9" s="5"/>
    </row>
    <row r="10" spans="2:57">
      <c r="B10" s="4"/>
      <c r="AG10" s="13" t="s">
        <v>85</v>
      </c>
      <c r="AI10" s="34">
        <f>+I14/P16</f>
        <v>0.5</v>
      </c>
      <c r="AJ10" s="34"/>
      <c r="AK10" s="34"/>
      <c r="AL10" s="9"/>
      <c r="AM10" s="9"/>
      <c r="AO10" s="9"/>
      <c r="AP10" s="9"/>
      <c r="AQ10" s="9"/>
      <c r="AR10" s="9"/>
      <c r="AS10" s="9"/>
      <c r="AT10" s="9"/>
      <c r="AU10" s="9"/>
      <c r="BE10" s="5"/>
    </row>
    <row r="11" spans="2:57">
      <c r="B11" s="4"/>
      <c r="D11" s="6" t="s">
        <v>0</v>
      </c>
      <c r="AC11" s="6" t="s">
        <v>0</v>
      </c>
      <c r="AG11" s="13" t="s">
        <v>127</v>
      </c>
      <c r="AJ11" s="34">
        <f>0.125*AS9/(1-AS9^(1/3))^3*(3-2*LN(AS9^(1/3))+2*AS9^(1/3)-(AS9^(1/3))^2-6/AS9^(1/3)+2/(AS9^(1/3))^2)</f>
        <v>0.10746755849272049</v>
      </c>
      <c r="AK11" s="34"/>
      <c r="AL11" s="34"/>
      <c r="AM11" s="9"/>
      <c r="AO11" s="9"/>
      <c r="AP11" s="9"/>
      <c r="AQ11" s="9"/>
      <c r="AR11" s="9"/>
      <c r="AS11" s="9"/>
      <c r="AT11" s="9"/>
      <c r="AU11" s="9"/>
      <c r="BE11" s="5"/>
    </row>
    <row r="12" spans="2:57">
      <c r="B12" s="4"/>
      <c r="AG12" s="13" t="s">
        <v>128</v>
      </c>
      <c r="AJ12" s="34">
        <f>0.25*AS9/(1-AS9^(1/3))^2*(-1+AS9^(1/3)-1/AS9^(1/3)+1/(AS9^(1/3))^2)-AJ11</f>
        <v>2.8719604156178774E-2</v>
      </c>
      <c r="AK12" s="34"/>
      <c r="AL12" s="34"/>
      <c r="BE12" s="5"/>
    </row>
    <row r="13" spans="2:57">
      <c r="B13" s="4"/>
      <c r="AG13" s="13" t="s">
        <v>129</v>
      </c>
      <c r="AJ13" s="34">
        <f>+AJ12/4</f>
        <v>7.1799010390446935E-3</v>
      </c>
      <c r="AK13" s="34"/>
      <c r="AL13" s="34"/>
      <c r="BE13" s="5"/>
    </row>
    <row r="14" spans="2:57">
      <c r="B14" s="4"/>
      <c r="G14" s="8" t="s">
        <v>4</v>
      </c>
      <c r="I14" s="34">
        <f>+P16*0.5</f>
        <v>15</v>
      </c>
      <c r="J14" s="34"/>
      <c r="K14" s="1" t="s">
        <v>3</v>
      </c>
      <c r="T14" s="8"/>
      <c r="V14" s="34">
        <f>+I14</f>
        <v>15</v>
      </c>
      <c r="W14" s="34"/>
      <c r="X14" s="1" t="s">
        <v>3</v>
      </c>
      <c r="BE14" s="5"/>
    </row>
    <row r="15" spans="2:57">
      <c r="B15" s="4"/>
      <c r="BE15" s="5"/>
    </row>
    <row r="16" spans="2:57">
      <c r="B16" s="4"/>
      <c r="O16" s="1" t="s">
        <v>2</v>
      </c>
      <c r="P16" s="35">
        <v>30</v>
      </c>
      <c r="Q16" s="35"/>
      <c r="R16" s="1" t="s">
        <v>3</v>
      </c>
      <c r="BE16" s="5"/>
    </row>
    <row r="17" spans="2:57" ht="12" thickBot="1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8"/>
    </row>
    <row r="18" spans="2:57" ht="12" thickBot="1"/>
    <row r="19" spans="2:57" ht="49.5" customHeight="1">
      <c r="B19" s="36" t="s">
        <v>135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8"/>
    </row>
    <row r="20" spans="2:57">
      <c r="B20" s="4"/>
      <c r="AI20" s="19" t="s">
        <v>123</v>
      </c>
      <c r="BE20" s="5"/>
    </row>
    <row r="21" spans="2:57">
      <c r="B21" s="4"/>
      <c r="O21" s="1" t="s">
        <v>41</v>
      </c>
      <c r="BE21" s="5"/>
    </row>
    <row r="22" spans="2:57">
      <c r="B22" s="4"/>
      <c r="AG22" s="1" t="s">
        <v>132</v>
      </c>
      <c r="BE22" s="5"/>
    </row>
    <row r="23" spans="2:57">
      <c r="B23" s="4"/>
      <c r="D23" s="1" t="s">
        <v>17</v>
      </c>
      <c r="P23" s="6"/>
      <c r="AB23" s="7"/>
      <c r="AC23" s="7" t="s">
        <v>18</v>
      </c>
      <c r="AG23" s="12" t="s">
        <v>5</v>
      </c>
      <c r="AI23" s="35">
        <v>0.8</v>
      </c>
      <c r="AJ23" s="35"/>
      <c r="AK23" s="35"/>
      <c r="AL23" s="1" t="s">
        <v>8</v>
      </c>
      <c r="AN23" s="1" t="s">
        <v>126</v>
      </c>
      <c r="BE23" s="5"/>
    </row>
    <row r="24" spans="2:57">
      <c r="B24" s="4"/>
      <c r="AG24" s="12" t="s">
        <v>10</v>
      </c>
      <c r="AI24" s="35">
        <v>1</v>
      </c>
      <c r="AJ24" s="35"/>
      <c r="AK24" s="35"/>
      <c r="AL24" s="1" t="s">
        <v>8</v>
      </c>
      <c r="AN24" s="1" t="s">
        <v>126</v>
      </c>
      <c r="BE24" s="5"/>
    </row>
    <row r="25" spans="2:57">
      <c r="B25" s="4"/>
      <c r="AG25" s="1" t="s">
        <v>14</v>
      </c>
      <c r="AK25" s="34">
        <f>+AI23</f>
        <v>0.8</v>
      </c>
      <c r="AL25" s="34"/>
      <c r="AM25" s="34"/>
      <c r="AN25" s="1" t="s">
        <v>15</v>
      </c>
      <c r="AO25" s="34">
        <f>+AI24</f>
        <v>1</v>
      </c>
      <c r="AP25" s="34"/>
      <c r="AQ25" s="34"/>
      <c r="AR25" s="9" t="s">
        <v>7</v>
      </c>
      <c r="AS25" s="34">
        <f>+AK25/AO25</f>
        <v>0.8</v>
      </c>
      <c r="AT25" s="34"/>
      <c r="AU25" s="34"/>
      <c r="BE25" s="5"/>
    </row>
    <row r="26" spans="2:57">
      <c r="B26" s="4"/>
      <c r="D26" s="6" t="s">
        <v>0</v>
      </c>
      <c r="AC26" s="6" t="s">
        <v>0</v>
      </c>
      <c r="AG26" s="1" t="s">
        <v>16</v>
      </c>
      <c r="AM26" s="34">
        <f>1/AS25^(1/3)-1</f>
        <v>7.7217345015941685E-2</v>
      </c>
      <c r="AN26" s="34"/>
      <c r="AO26" s="34"/>
      <c r="BE26" s="5"/>
    </row>
    <row r="27" spans="2:57">
      <c r="B27" s="4"/>
      <c r="AG27" s="13" t="s">
        <v>85</v>
      </c>
      <c r="AI27" s="34">
        <f>+G31/Q33</f>
        <v>0.1</v>
      </c>
      <c r="AJ27" s="34"/>
      <c r="AK27" s="34"/>
      <c r="BE27" s="5"/>
    </row>
    <row r="28" spans="2:57">
      <c r="B28" s="4"/>
      <c r="AG28" s="13" t="s">
        <v>22</v>
      </c>
      <c r="AI28" s="34">
        <f>AI27/8*((5+3*AM26)/(1+AM26)^2+3/SQRT(AM26)*ATAN(SQRT(AM26)))+1-AI27-AI29-2*AI30</f>
        <v>0.32662314374583146</v>
      </c>
      <c r="AJ28" s="34"/>
      <c r="AK28" s="34"/>
      <c r="BE28" s="5"/>
    </row>
    <row r="29" spans="2:57">
      <c r="B29" s="4"/>
      <c r="AG29" s="13" t="s">
        <v>21</v>
      </c>
      <c r="AI29" s="34">
        <f>AI27^3/(8*AM26)*((1+3*AM26)/SQRT(AM26)*ATAN(SQRT(AM26))-1)+(1-AI27^3)/3</f>
        <v>0.33332593505814501</v>
      </c>
      <c r="AJ29" s="34"/>
      <c r="AK29" s="34"/>
      <c r="BE29" s="5"/>
    </row>
    <row r="30" spans="2:57">
      <c r="B30" s="4"/>
      <c r="AG30" s="13" t="s">
        <v>23</v>
      </c>
      <c r="AI30" s="34">
        <f>AI27^2/8*(3/SQRT(AM26)*ATAN(SQRT(AM26))+1/(1+AM26))+(1-AI27^2)/2-AI29</f>
        <v>0.16649217964426799</v>
      </c>
      <c r="AJ30" s="34"/>
      <c r="AK30" s="34"/>
      <c r="BE30" s="5"/>
    </row>
    <row r="31" spans="2:57">
      <c r="B31" s="4"/>
      <c r="E31" s="8" t="s">
        <v>4</v>
      </c>
      <c r="G31" s="35">
        <v>3</v>
      </c>
      <c r="H31" s="35"/>
      <c r="I31" s="1" t="s">
        <v>3</v>
      </c>
      <c r="R31" s="34">
        <f>+Q33-G31-Z31</f>
        <v>27</v>
      </c>
      <c r="S31" s="34"/>
      <c r="T31" s="1" t="s">
        <v>3</v>
      </c>
      <c r="X31" s="8"/>
      <c r="AG31" s="13" t="s">
        <v>90</v>
      </c>
      <c r="AI31" s="34">
        <f>+AI30/2-AI32</f>
        <v>4.1582935376843155E-2</v>
      </c>
      <c r="AJ31" s="34"/>
      <c r="AK31" s="34"/>
      <c r="BE31" s="5"/>
    </row>
    <row r="32" spans="2:57">
      <c r="B32" s="4"/>
      <c r="AG32" s="13" t="s">
        <v>92</v>
      </c>
      <c r="AI32" s="34">
        <f>(AI29-3*AI27^4/(8*AM26)*(-1+(1+AM26)/SQRT(AM26)*ATAN(SQRT(AM26)))-(1-AI27^4)/4)/2</f>
        <v>4.166315444529084E-2</v>
      </c>
      <c r="AJ32" s="34"/>
      <c r="AK32" s="34"/>
      <c r="BE32" s="5"/>
    </row>
    <row r="33" spans="2:57">
      <c r="B33" s="4"/>
      <c r="P33" s="1" t="s">
        <v>2</v>
      </c>
      <c r="Q33" s="35">
        <v>30</v>
      </c>
      <c r="R33" s="35"/>
      <c r="S33" s="1" t="s">
        <v>3</v>
      </c>
      <c r="BE33" s="5"/>
    </row>
    <row r="34" spans="2:57" ht="12" thickBot="1"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8"/>
    </row>
    <row r="35" spans="2:57" ht="12" thickBot="1"/>
    <row r="36" spans="2:57" ht="49.5" customHeight="1">
      <c r="B36" s="36" t="s">
        <v>135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8"/>
    </row>
    <row r="37" spans="2:57">
      <c r="B37" s="4"/>
      <c r="AI37" s="19" t="s">
        <v>123</v>
      </c>
      <c r="BE37" s="5"/>
    </row>
    <row r="38" spans="2:57">
      <c r="B38" s="4"/>
      <c r="G38" s="8" t="s">
        <v>109</v>
      </c>
      <c r="J38" s="35">
        <v>12</v>
      </c>
      <c r="K38" s="35"/>
      <c r="L38" s="1" t="s">
        <v>3</v>
      </c>
      <c r="Q38" s="1" t="s">
        <v>84</v>
      </c>
      <c r="BE38" s="5"/>
    </row>
    <row r="39" spans="2:57">
      <c r="B39" s="4"/>
      <c r="BE39" s="5"/>
    </row>
    <row r="40" spans="2:57">
      <c r="B40" s="4"/>
      <c r="D40" s="1" t="s">
        <v>17</v>
      </c>
      <c r="AB40" s="7"/>
      <c r="AC40" s="7" t="s">
        <v>18</v>
      </c>
      <c r="BE40" s="5"/>
    </row>
    <row r="41" spans="2:57">
      <c r="B41" s="4"/>
      <c r="AF41" s="1" t="s">
        <v>132</v>
      </c>
      <c r="AU41" s="24" t="s">
        <v>138</v>
      </c>
      <c r="AV41" s="25"/>
      <c r="AW41" s="41">
        <f>AH46*Q50/8*((5+3*AL45)/(1+AL45)^2+3/SQRT(AL45)*ATAN(SQRT(AL45)))</f>
        <v>3.0873459442443814</v>
      </c>
      <c r="AX41" s="41"/>
      <c r="AY41" s="41"/>
      <c r="AZ41" s="24" t="s">
        <v>140</v>
      </c>
      <c r="BA41" s="24"/>
      <c r="BB41" s="41">
        <f>AH46^3/(8*AL45)*((1+3*AL45)/SQRT(AL45)*ATAN(SQRT(AL45))-1)+(1-AH46^3)/3</f>
        <v>0.33275565221954806</v>
      </c>
      <c r="BC41" s="41"/>
      <c r="BD41" s="41"/>
      <c r="BE41" s="5"/>
    </row>
    <row r="42" spans="2:57">
      <c r="B42" s="4"/>
      <c r="AF42" s="12" t="s">
        <v>5</v>
      </c>
      <c r="AH42" s="35">
        <v>0.1</v>
      </c>
      <c r="AI42" s="35"/>
      <c r="AJ42" s="35"/>
      <c r="AK42" s="1" t="s">
        <v>8</v>
      </c>
      <c r="AM42" s="1" t="s">
        <v>126</v>
      </c>
      <c r="AU42" s="24" t="s">
        <v>144</v>
      </c>
      <c r="AV42" s="24"/>
      <c r="AW42" s="41">
        <f>((AH46*Q50/8*(AJ48*(5+3*AL45*AJ48^2)/(1+AL45*AJ48^2)^2+3/SQRT(AL45)*ATAN(AJ48*SQRT(AL45)))+(AH46*Q50/8*((5+3*AL45)/(1+AL45)^2+3/SQRT(AL45)*ATAN(SQRT(AL45)))))/Q50)</f>
        <v>0.20582306294962543</v>
      </c>
      <c r="AX42" s="41"/>
      <c r="AY42" s="41"/>
      <c r="AZ42" s="25" t="s">
        <v>141</v>
      </c>
      <c r="BA42" s="24"/>
      <c r="BB42" s="41">
        <f>AH46^2/8*(3/SQRT(AL45)*ATAN(SQRT(AL45))+1/(1+AL45))+(1-AH46^2)/2-BB41</f>
        <v>0.1610306305517698</v>
      </c>
      <c r="BC42" s="41"/>
      <c r="BD42" s="41"/>
      <c r="BE42" s="5"/>
    </row>
    <row r="43" spans="2:57">
      <c r="B43" s="4"/>
      <c r="D43" s="6" t="s">
        <v>0</v>
      </c>
      <c r="AC43" s="6" t="s">
        <v>0</v>
      </c>
      <c r="AF43" s="12" t="s">
        <v>10</v>
      </c>
      <c r="AH43" s="35">
        <v>1</v>
      </c>
      <c r="AI43" s="35"/>
      <c r="AJ43" s="35"/>
      <c r="AK43" s="1" t="s">
        <v>8</v>
      </c>
      <c r="AM43" s="1" t="s">
        <v>126</v>
      </c>
      <c r="AU43" s="24" t="s">
        <v>145</v>
      </c>
      <c r="AV43" s="24"/>
      <c r="AW43" s="41">
        <f>(AH46^2/(4*AL45)*(1/(1+AL45)^2-1/(1+AL45*AJ48^2)^2)+AH46*((AH46*Q50/8*(AJ48*(5+3*AL45*AJ48^2)/(1+AL45*AJ48^2)^2+3/SQRT(AL45)*ATAN(AJ48*SQRT(AL45)))+(AH46*Q50/8*((5+3*AL45)/(1+AL45)^2+3/SQRT(AL45)*ATAN(SQRT(AL45)))))/Q50))</f>
        <v>4.1164612589925091E-2</v>
      </c>
      <c r="AX43" s="41"/>
      <c r="AY43" s="41"/>
      <c r="AZ43" s="24" t="s">
        <v>142</v>
      </c>
      <c r="BA43" s="24"/>
      <c r="BB43" s="41">
        <f>AW44-AH47*AW43+AH47*BB42</f>
        <v>5.758972342474699E-2</v>
      </c>
      <c r="BC43" s="41"/>
      <c r="BD43" s="41"/>
      <c r="BE43" s="5"/>
    </row>
    <row r="44" spans="2:57">
      <c r="B44" s="4"/>
      <c r="AF44" s="1" t="s">
        <v>14</v>
      </c>
      <c r="AJ44" s="34">
        <f>+AH42</f>
        <v>0.1</v>
      </c>
      <c r="AK44" s="34"/>
      <c r="AL44" s="34"/>
      <c r="AM44" s="1" t="s">
        <v>15</v>
      </c>
      <c r="AN44" s="34">
        <f>+AH43</f>
        <v>1</v>
      </c>
      <c r="AO44" s="34"/>
      <c r="AP44" s="34"/>
      <c r="AQ44" s="9" t="s">
        <v>7</v>
      </c>
      <c r="AR44" s="34">
        <f>+AJ44/AN44</f>
        <v>0.1</v>
      </c>
      <c r="AS44" s="34"/>
      <c r="AT44" s="34"/>
      <c r="AU44" s="24" t="s">
        <v>146</v>
      </c>
      <c r="AV44" s="24"/>
      <c r="AW44" s="41">
        <f>(AH46^3/(8*AL45)*(AJ48*(AL45*AJ48^2-1)/(1+AL45*AJ48^2)^2+1/SQRT(AL45)*ATAN(AJ48*SQRT(AL45))+(AL45-1)/(1+AL45^2)+1/SQRT(AL45)*ATAN(SQRT(AL45)))+2*AH46*AW43-AH46^2*AW42)</f>
        <v>9.6433162400090984E-3</v>
      </c>
      <c r="AX44" s="41"/>
      <c r="AY44" s="41"/>
      <c r="AZ44" s="25" t="s">
        <v>143</v>
      </c>
      <c r="BA44" s="24"/>
      <c r="BB44" s="41">
        <f>AW43-AH47*AW42+AH47*(AW45+BB42)-BB43</f>
        <v>6.4895763466725903E-2</v>
      </c>
      <c r="BC44" s="41"/>
      <c r="BD44" s="41"/>
      <c r="BE44" s="5"/>
    </row>
    <row r="45" spans="2:57">
      <c r="B45" s="4"/>
      <c r="AF45" s="1" t="s">
        <v>16</v>
      </c>
      <c r="AL45" s="34">
        <f>1/AR44^(1/3)-1</f>
        <v>1.1544346900318834</v>
      </c>
      <c r="AM45" s="34"/>
      <c r="AN45" s="34"/>
      <c r="AU45" s="24"/>
      <c r="AV45" s="24"/>
      <c r="AW45" s="41">
        <f>AH46/8*((5+3*AL45)/(1+AL45)^2+3/SQRT(AL45)*ATAN(SQRT(AL45)))+1-AH46-AW46-2*AW47</f>
        <v>0.24809461815172518</v>
      </c>
      <c r="AX45" s="41"/>
      <c r="AY45" s="41"/>
      <c r="AZ45" s="24" t="s">
        <v>142</v>
      </c>
      <c r="BA45" s="24"/>
      <c r="BB45" s="41">
        <f>AH47/2-AH47^3/6-1/3+(1-AH47)*BB41</f>
        <v>5.5653391331728863E-2</v>
      </c>
      <c r="BC45" s="41"/>
      <c r="BD45" s="41"/>
      <c r="BE45" s="5"/>
    </row>
    <row r="46" spans="2:57">
      <c r="B46" s="4"/>
      <c r="AF46" s="13" t="s">
        <v>85</v>
      </c>
      <c r="AH46" s="34">
        <f>+G48/Q50</f>
        <v>0.2</v>
      </c>
      <c r="AI46" s="34"/>
      <c r="AJ46" s="34"/>
      <c r="AU46" s="24"/>
      <c r="AV46" s="24"/>
      <c r="AW46" s="41">
        <f>(AH46^3/(8*AL45)*((1+3*AL45)/SQRT(AL45)*ATAN(SQRT(AL45))-1)+(1-AH46^3)/3)</f>
        <v>0.33275565221954806</v>
      </c>
      <c r="AX46" s="41"/>
      <c r="AY46" s="41"/>
      <c r="AZ46" s="25" t="s">
        <v>143</v>
      </c>
      <c r="BA46" s="24"/>
      <c r="BB46" s="41">
        <f>(1-AH47)*(AH46^2/8*(1/(1+AL45)+3/SQRT(AL45)*ATAN(SQRT(AL45)))+AH47/2-AH46^2/2)-BB45</f>
        <v>6.0618378331061859E-2</v>
      </c>
      <c r="BC46" s="41"/>
      <c r="BD46" s="41"/>
      <c r="BE46" s="5"/>
    </row>
    <row r="47" spans="2:57">
      <c r="B47" s="4"/>
      <c r="AF47" s="13" t="s">
        <v>86</v>
      </c>
      <c r="AH47" s="34">
        <f>+J38/Q50</f>
        <v>0.4</v>
      </c>
      <c r="AI47" s="34"/>
      <c r="AJ47" s="34"/>
      <c r="AU47" s="24"/>
      <c r="AV47" s="24"/>
      <c r="AW47" s="41">
        <f>(AH46^2/8*(3/SQRT(AL45)*ATAN(SQRT(AL45))+1/(1+AL45))+(1-AH46^2)/2-AW46)</f>
        <v>0.1610306305517698</v>
      </c>
      <c r="AX47" s="41"/>
      <c r="AY47" s="41"/>
      <c r="AZ47" s="24"/>
      <c r="BA47" s="24"/>
      <c r="BB47" s="24"/>
      <c r="BC47" s="24"/>
      <c r="BD47" s="24"/>
      <c r="BE47" s="5"/>
    </row>
    <row r="48" spans="2:57">
      <c r="B48" s="4"/>
      <c r="E48" s="8" t="s">
        <v>4</v>
      </c>
      <c r="G48" s="35">
        <v>6</v>
      </c>
      <c r="H48" s="35"/>
      <c r="I48" s="1" t="s">
        <v>3</v>
      </c>
      <c r="R48" s="34">
        <f>+Q50-G48</f>
        <v>24</v>
      </c>
      <c r="S48" s="34"/>
      <c r="T48" s="1" t="s">
        <v>3</v>
      </c>
      <c r="X48" s="8"/>
      <c r="AF48" s="1" t="s">
        <v>139</v>
      </c>
      <c r="AJ48" s="34">
        <f>AH47/AH46-1</f>
        <v>1</v>
      </c>
      <c r="AK48" s="34"/>
      <c r="AL48" s="34"/>
      <c r="BE48" s="5"/>
    </row>
    <row r="49" spans="2:57">
      <c r="B49" s="4"/>
      <c r="AF49" s="13" t="s">
        <v>46</v>
      </c>
      <c r="AH49" s="34">
        <f>IF(J38&gt;G48,BB46,BB44)</f>
        <v>6.0618378331061859E-2</v>
      </c>
      <c r="AI49" s="34"/>
      <c r="AJ49" s="34"/>
      <c r="BE49" s="5"/>
    </row>
    <row r="50" spans="2:57">
      <c r="B50" s="4"/>
      <c r="P50" s="1" t="s">
        <v>2</v>
      </c>
      <c r="Q50" s="35">
        <v>30</v>
      </c>
      <c r="R50" s="35"/>
      <c r="S50" s="1" t="s">
        <v>3</v>
      </c>
      <c r="AF50" s="13" t="s">
        <v>48</v>
      </c>
      <c r="AH50" s="34">
        <f>IF(J38&gt;G48,BB45,BB43)</f>
        <v>5.5653391331728863E-2</v>
      </c>
      <c r="AI50" s="34"/>
      <c r="AJ50" s="34"/>
      <c r="BE50" s="5"/>
    </row>
    <row r="51" spans="2:57" ht="12" thickBot="1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8"/>
    </row>
    <row r="52" spans="2:57" ht="12" thickBot="1"/>
    <row r="53" spans="2:57" ht="49.5" customHeight="1">
      <c r="B53" s="36" t="s">
        <v>134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8"/>
    </row>
    <row r="54" spans="2:57">
      <c r="B54" s="4"/>
      <c r="AI54" s="19" t="s">
        <v>123</v>
      </c>
      <c r="BE54" s="5"/>
    </row>
    <row r="55" spans="2:57">
      <c r="B55" s="4"/>
      <c r="O55" s="1" t="s">
        <v>41</v>
      </c>
      <c r="BE55" s="5"/>
    </row>
    <row r="56" spans="2:57">
      <c r="B56" s="4"/>
      <c r="BE56" s="5"/>
    </row>
    <row r="57" spans="2:57">
      <c r="B57" s="4"/>
      <c r="D57" s="1" t="s">
        <v>17</v>
      </c>
      <c r="P57" s="6"/>
      <c r="AB57" s="7"/>
      <c r="AC57" s="7" t="s">
        <v>18</v>
      </c>
      <c r="AG57" s="1" t="s">
        <v>132</v>
      </c>
      <c r="BE57" s="5"/>
    </row>
    <row r="58" spans="2:57">
      <c r="B58" s="4"/>
      <c r="AG58" s="12" t="s">
        <v>5</v>
      </c>
      <c r="AI58" s="35">
        <v>0.125</v>
      </c>
      <c r="AJ58" s="35"/>
      <c r="AK58" s="35"/>
      <c r="AL58" s="1" t="s">
        <v>8</v>
      </c>
      <c r="AN58" s="1" t="s">
        <v>126</v>
      </c>
      <c r="BE58" s="5"/>
    </row>
    <row r="59" spans="2:57">
      <c r="B59" s="4"/>
      <c r="AG59" s="12" t="s">
        <v>10</v>
      </c>
      <c r="AI59" s="35">
        <v>1</v>
      </c>
      <c r="AJ59" s="35"/>
      <c r="AK59" s="35"/>
      <c r="AL59" s="1" t="s">
        <v>8</v>
      </c>
      <c r="AN59" s="1" t="s">
        <v>126</v>
      </c>
      <c r="BE59" s="5"/>
    </row>
    <row r="60" spans="2:57">
      <c r="B60" s="4"/>
      <c r="D60" s="6" t="s">
        <v>0</v>
      </c>
      <c r="AC60" s="6" t="s">
        <v>0</v>
      </c>
      <c r="AG60" s="1" t="s">
        <v>14</v>
      </c>
      <c r="AK60" s="34">
        <f>+AI58</f>
        <v>0.125</v>
      </c>
      <c r="AL60" s="34"/>
      <c r="AM60" s="34"/>
      <c r="AN60" s="1" t="s">
        <v>15</v>
      </c>
      <c r="AO60" s="34">
        <f>+AI59</f>
        <v>1</v>
      </c>
      <c r="AP60" s="34"/>
      <c r="AQ60" s="34"/>
      <c r="AR60" s="9" t="s">
        <v>7</v>
      </c>
      <c r="AS60" s="34">
        <f>+AK60/AO60</f>
        <v>0.125</v>
      </c>
      <c r="AT60" s="34"/>
      <c r="AU60" s="34"/>
      <c r="BE60" s="5"/>
    </row>
    <row r="61" spans="2:57">
      <c r="B61" s="4"/>
      <c r="AG61" s="1" t="s">
        <v>16</v>
      </c>
      <c r="AM61" s="34">
        <f>1/AS60^(1/3)-1</f>
        <v>0.99999999999999956</v>
      </c>
      <c r="AN61" s="34"/>
      <c r="AO61" s="34"/>
      <c r="BE61" s="5"/>
    </row>
    <row r="62" spans="2:57">
      <c r="B62" s="4"/>
      <c r="AG62" s="13" t="s">
        <v>85</v>
      </c>
      <c r="AI62" s="34">
        <f>+G65/P67</f>
        <v>0.2</v>
      </c>
      <c r="AJ62" s="34"/>
      <c r="AK62" s="34"/>
      <c r="BE62" s="5"/>
    </row>
    <row r="63" spans="2:57">
      <c r="B63" s="4"/>
      <c r="AG63" s="13" t="s">
        <v>127</v>
      </c>
      <c r="AJ63" s="34">
        <f>(AI62*(3-6*AI62+2*AI62^2*(3+1/AM61)))/(8*SQRT(AM61))*ATAN(SQRT(AM61))-AI62*(3+13*AM61+8*AM61^2)/(8*(1+AM61)^2)-2*AI62^2/8*(1/(1+AM61)-4)-2*AI62^3*(1/(8*AM61)+1/3)+1/3</f>
        <v>0.2526261026600648</v>
      </c>
      <c r="AK63" s="34"/>
      <c r="AL63" s="34"/>
      <c r="BE63" s="5"/>
    </row>
    <row r="64" spans="2:57">
      <c r="B64" s="4"/>
      <c r="AG64" s="13" t="s">
        <v>128</v>
      </c>
      <c r="AJ64" s="34">
        <f>AI62/8*(-1*(3+13*AM61+8*AM61^2)/(1+AM61)^2+3/SQRT(AM61)*ATAN(SQRT(AM61)))+0.5-AJ63</f>
        <v>0.15627875959474385</v>
      </c>
      <c r="AK64" s="34"/>
      <c r="AL64" s="34"/>
      <c r="BE64" s="5"/>
    </row>
    <row r="65" spans="2:57">
      <c r="B65" s="4"/>
      <c r="E65" s="8" t="s">
        <v>4</v>
      </c>
      <c r="G65" s="35">
        <v>6</v>
      </c>
      <c r="H65" s="35"/>
      <c r="I65" s="1" t="s">
        <v>3</v>
      </c>
      <c r="P65" s="34">
        <f>+P67-G65-Z65</f>
        <v>18</v>
      </c>
      <c r="Q65" s="34"/>
      <c r="R65" s="1" t="s">
        <v>3</v>
      </c>
      <c r="X65" s="8" t="s">
        <v>4</v>
      </c>
      <c r="Z65" s="34">
        <f>+G65</f>
        <v>6</v>
      </c>
      <c r="AA65" s="34"/>
      <c r="AB65" s="1" t="s">
        <v>3</v>
      </c>
      <c r="AG65" s="13" t="s">
        <v>129</v>
      </c>
      <c r="AJ65" s="34">
        <f>+AJ64/4</f>
        <v>3.9069689898685964E-2</v>
      </c>
      <c r="AK65" s="34"/>
      <c r="AL65" s="34"/>
      <c r="BE65" s="5"/>
    </row>
    <row r="66" spans="2:57">
      <c r="B66" s="4"/>
      <c r="BE66" s="5"/>
    </row>
    <row r="67" spans="2:57">
      <c r="B67" s="4"/>
      <c r="O67" s="1" t="s">
        <v>2</v>
      </c>
      <c r="P67" s="35">
        <v>30</v>
      </c>
      <c r="Q67" s="35"/>
      <c r="R67" s="1" t="s">
        <v>3</v>
      </c>
      <c r="BE67" s="5"/>
    </row>
    <row r="68" spans="2:57" ht="12" thickBot="1"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8"/>
    </row>
    <row r="69" spans="2:57" ht="12" thickBot="1"/>
    <row r="70" spans="2:57" ht="49.5" customHeight="1">
      <c r="B70" s="36" t="s">
        <v>134</v>
      </c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8"/>
    </row>
    <row r="71" spans="2:57">
      <c r="B71" s="4"/>
      <c r="AI71" s="19" t="s">
        <v>123</v>
      </c>
      <c r="BE71" s="5"/>
    </row>
    <row r="72" spans="2:57" hidden="1">
      <c r="B72" s="27"/>
      <c r="C72" s="26"/>
      <c r="D72" s="26"/>
      <c r="E72" s="26"/>
      <c r="F72" s="26"/>
      <c r="G72" s="28" t="s">
        <v>109</v>
      </c>
      <c r="H72" s="26"/>
      <c r="I72" s="26"/>
      <c r="J72" s="39">
        <f>+J113</f>
        <v>12</v>
      </c>
      <c r="K72" s="39"/>
      <c r="L72" s="26" t="s">
        <v>3</v>
      </c>
      <c r="M72" s="26"/>
      <c r="N72" s="26"/>
      <c r="O72" s="26"/>
      <c r="P72" s="26"/>
      <c r="Q72" s="26" t="s">
        <v>84</v>
      </c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5"/>
    </row>
    <row r="73" spans="2:57" hidden="1">
      <c r="B73" s="2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5"/>
    </row>
    <row r="74" spans="2:57" hidden="1">
      <c r="B74" s="27"/>
      <c r="C74" s="26"/>
      <c r="D74" s="26" t="s">
        <v>17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30"/>
      <c r="AC74" s="30" t="s">
        <v>18</v>
      </c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5"/>
    </row>
    <row r="75" spans="2:57" hidden="1">
      <c r="B75" s="2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 t="s">
        <v>132</v>
      </c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5"/>
    </row>
    <row r="76" spans="2:57" hidden="1"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31" t="s">
        <v>5</v>
      </c>
      <c r="AG76" s="26"/>
      <c r="AH76" s="39">
        <f>+AH116</f>
        <v>0.2</v>
      </c>
      <c r="AI76" s="39"/>
      <c r="AJ76" s="39"/>
      <c r="AK76" s="26" t="s">
        <v>8</v>
      </c>
      <c r="AL76" s="26"/>
      <c r="AM76" s="26" t="s">
        <v>126</v>
      </c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5"/>
    </row>
    <row r="77" spans="2:57" hidden="1">
      <c r="B77" s="27"/>
      <c r="C77" s="26"/>
      <c r="D77" s="32" t="s">
        <v>0</v>
      </c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32" t="s">
        <v>0</v>
      </c>
      <c r="AD77" s="26"/>
      <c r="AE77" s="26"/>
      <c r="AF77" s="31" t="s">
        <v>10</v>
      </c>
      <c r="AG77" s="26"/>
      <c r="AH77" s="39">
        <f>+AH117</f>
        <v>1</v>
      </c>
      <c r="AI77" s="39"/>
      <c r="AJ77" s="39"/>
      <c r="AK77" s="26" t="s">
        <v>8</v>
      </c>
      <c r="AL77" s="26"/>
      <c r="AM77" s="26" t="s">
        <v>126</v>
      </c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5"/>
    </row>
    <row r="78" spans="2:57" hidden="1">
      <c r="B78" s="27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 t="s">
        <v>14</v>
      </c>
      <c r="AG78" s="26"/>
      <c r="AH78" s="26"/>
      <c r="AI78" s="26"/>
      <c r="AJ78" s="39">
        <f>+AH76</f>
        <v>0.2</v>
      </c>
      <c r="AK78" s="39"/>
      <c r="AL78" s="39"/>
      <c r="AM78" s="26" t="s">
        <v>15</v>
      </c>
      <c r="AN78" s="39">
        <f>+AH77</f>
        <v>1</v>
      </c>
      <c r="AO78" s="39"/>
      <c r="AP78" s="39"/>
      <c r="AQ78" s="29" t="s">
        <v>7</v>
      </c>
      <c r="AR78" s="39">
        <f>+AJ78/AN78</f>
        <v>0.2</v>
      </c>
      <c r="AS78" s="39"/>
      <c r="AT78" s="39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5"/>
    </row>
    <row r="79" spans="2:57" hidden="1">
      <c r="B79" s="27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 t="s">
        <v>16</v>
      </c>
      <c r="AG79" s="26"/>
      <c r="AH79" s="26"/>
      <c r="AI79" s="26"/>
      <c r="AJ79" s="26"/>
      <c r="AK79" s="26"/>
      <c r="AL79" s="39">
        <f>1/AR78^(1/3)-1</f>
        <v>0.70997594667669683</v>
      </c>
      <c r="AM79" s="39"/>
      <c r="AN79" s="39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5"/>
    </row>
    <row r="80" spans="2:57" hidden="1">
      <c r="B80" s="27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33" t="s">
        <v>85</v>
      </c>
      <c r="AG80" s="26"/>
      <c r="AH80" s="39">
        <f>+G82/Q84</f>
        <v>0.3</v>
      </c>
      <c r="AI80" s="39"/>
      <c r="AJ80" s="39"/>
      <c r="AK80" s="26"/>
      <c r="AL80" s="26"/>
      <c r="AM80" s="26"/>
      <c r="AN80" s="26"/>
      <c r="AO80" s="26" t="s">
        <v>138</v>
      </c>
      <c r="AP80" s="33"/>
      <c r="AQ80" s="39">
        <f>AH80*Q84/8*((5+3*AL79)/(1+AL79)^2+3/SQRT(AL79)*ATAN(SQRT(AL79)))</f>
        <v>5.5477520121416806</v>
      </c>
      <c r="AR80" s="39"/>
      <c r="AS80" s="39"/>
      <c r="AT80" s="26" t="s">
        <v>140</v>
      </c>
      <c r="AU80" s="26"/>
      <c r="AV80" s="39">
        <f>AH80^3/(8*AL79)*((1+3*AL79)/SQRT(AL79)*ATAN(SQRT(AL79))-1)+(1-AH80^3)/3</f>
        <v>0.33194350921279114</v>
      </c>
      <c r="AW80" s="39"/>
      <c r="AX80" s="39"/>
      <c r="AY80" s="26"/>
      <c r="AZ80" s="26"/>
      <c r="BA80" s="26"/>
      <c r="BB80" s="26"/>
      <c r="BC80" s="26"/>
      <c r="BD80" s="26"/>
      <c r="BE80" s="5"/>
    </row>
    <row r="81" spans="2:57" hidden="1">
      <c r="B81" s="27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33" t="s">
        <v>86</v>
      </c>
      <c r="AG81" s="26"/>
      <c r="AH81" s="39">
        <f>+J72/Q84</f>
        <v>0.4</v>
      </c>
      <c r="AI81" s="39"/>
      <c r="AJ81" s="39"/>
      <c r="AK81" s="26"/>
      <c r="AL81" s="26"/>
      <c r="AM81" s="26"/>
      <c r="AN81" s="26"/>
      <c r="AO81" s="26" t="s">
        <v>147</v>
      </c>
      <c r="AP81" s="26"/>
      <c r="AQ81" s="39">
        <f>((AH80*Q84/8*(AJ82*(5+3*AL79*AJ82^2)/(1+AL79*AJ82^2)^2+3/SQRT(AL79)*ATAN(AJ82*SQRT(AL79)))+(AH80*Q84/8*((5+3*AL79)/(1+AL79)^2+3/SQRT(AL79)*ATAN(SQRT(AL79)))))/Q84)</f>
        <v>0.27771899826464347</v>
      </c>
      <c r="AR81" s="39"/>
      <c r="AS81" s="39"/>
      <c r="AT81" s="33" t="s">
        <v>141</v>
      </c>
      <c r="AU81" s="26"/>
      <c r="AV81" s="39">
        <f>AH80^2/8*(3/SQRT(AL79)*ATAN(SQRT(AL79))+1/(1+AL79))+(1-AH80^2)/2-AV80</f>
        <v>0.15768103932662264</v>
      </c>
      <c r="AW81" s="39"/>
      <c r="AX81" s="39"/>
      <c r="AY81" s="26"/>
      <c r="AZ81" s="26"/>
      <c r="BA81" s="26"/>
      <c r="BB81" s="26"/>
      <c r="BC81" s="26"/>
      <c r="BD81" s="26"/>
      <c r="BE81" s="5"/>
    </row>
    <row r="82" spans="2:57" hidden="1">
      <c r="B82" s="27"/>
      <c r="C82" s="26"/>
      <c r="D82" s="26"/>
      <c r="E82" s="28" t="s">
        <v>4</v>
      </c>
      <c r="F82" s="26"/>
      <c r="G82" s="39">
        <f>+G123</f>
        <v>9</v>
      </c>
      <c r="H82" s="39"/>
      <c r="I82" s="26" t="s">
        <v>3</v>
      </c>
      <c r="J82" s="26"/>
      <c r="K82" s="26"/>
      <c r="L82" s="26"/>
      <c r="M82" s="26"/>
      <c r="N82" s="26"/>
      <c r="O82" s="26"/>
      <c r="P82" s="26"/>
      <c r="Q82" s="26"/>
      <c r="R82" s="39">
        <f>+Q84-G82</f>
        <v>21</v>
      </c>
      <c r="S82" s="39"/>
      <c r="T82" s="26" t="s">
        <v>3</v>
      </c>
      <c r="U82" s="26"/>
      <c r="V82" s="26"/>
      <c r="W82" s="26"/>
      <c r="X82" s="28"/>
      <c r="Y82" s="26"/>
      <c r="Z82" s="26"/>
      <c r="AA82" s="26"/>
      <c r="AB82" s="26"/>
      <c r="AC82" s="26"/>
      <c r="AD82" s="26"/>
      <c r="AE82" s="26"/>
      <c r="AF82" s="26" t="s">
        <v>139</v>
      </c>
      <c r="AG82" s="26"/>
      <c r="AH82" s="26"/>
      <c r="AI82" s="26"/>
      <c r="AJ82" s="39">
        <f>AH81/AH80-1</f>
        <v>0.33333333333333348</v>
      </c>
      <c r="AK82" s="39"/>
      <c r="AL82" s="39"/>
      <c r="AM82" s="26"/>
      <c r="AN82" s="26"/>
      <c r="AO82" s="26" t="s">
        <v>148</v>
      </c>
      <c r="AP82" s="26"/>
      <c r="AQ82" s="39">
        <f>(AH80^2/(4*AL79)*(1/(1+AL79)^2-1/(1+AL79*AJ82^2)^2)+AH80*((AH80*Q84/8*(AJ82*(5+3*AL79*AJ82^2)/(1+AL79*AJ82^2)^2+3/SQRT(AL79)*ATAN(AJ82*SQRT(AL79)))+(AH80*Q84/8*((5+3*AL79)/(1+AL79)^2+3/SQRT(AL79)*ATAN(SQRT(AL79)))))/Q84))</f>
        <v>6.6927707087505853E-2</v>
      </c>
      <c r="AR82" s="39"/>
      <c r="AS82" s="39"/>
      <c r="AT82" s="26" t="s">
        <v>142</v>
      </c>
      <c r="AU82" s="26"/>
      <c r="AV82" s="39">
        <f>AQ83-AH81*AQ82+AH81*AV81</f>
        <v>5.4787654383829175E-2</v>
      </c>
      <c r="AW82" s="39"/>
      <c r="AX82" s="39"/>
      <c r="AY82" s="26"/>
      <c r="AZ82" s="26"/>
      <c r="BA82" s="26"/>
      <c r="BB82" s="26"/>
      <c r="BC82" s="26"/>
      <c r="BD82" s="26"/>
      <c r="BE82" s="5"/>
    </row>
    <row r="83" spans="2:57" hidden="1"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 t="s">
        <v>142</v>
      </c>
      <c r="AG83" s="26"/>
      <c r="AH83" s="39">
        <f>IF(J72&gt;G82,AV84,AV82)</f>
        <v>5.516610552767473E-2</v>
      </c>
      <c r="AI83" s="39"/>
      <c r="AJ83" s="39"/>
      <c r="AK83" s="26"/>
      <c r="AL83" s="26"/>
      <c r="AM83" s="26"/>
      <c r="AN83" s="26"/>
      <c r="AO83" s="26" t="s">
        <v>149</v>
      </c>
      <c r="AP83" s="26"/>
      <c r="AQ83" s="39">
        <f>(AH80^3/(8*AL79)*(AJ82*(AL79*AJ82^2-1)/(1+AL79*AJ82^2)^2+1/SQRT(AL79)*ATAN(AJ82*SQRT(AL79))+(AL79-1)/(1+AL79^2)+1/SQRT(AL79)*ATAN(SQRT(AL79)))+2*AH80*AQ82-AH80^2*AQ81)</f>
        <v>1.8486321488182456E-2</v>
      </c>
      <c r="AR83" s="39"/>
      <c r="AS83" s="39"/>
      <c r="AT83" s="33" t="s">
        <v>143</v>
      </c>
      <c r="AU83" s="26"/>
      <c r="AV83" s="39">
        <f>AQ82-AH81*AQ81+AH81*(AQ84+AV81)-AV82</f>
        <v>5.9172660810609491E-2</v>
      </c>
      <c r="AW83" s="39"/>
      <c r="AX83" s="39"/>
      <c r="AY83" s="26"/>
      <c r="AZ83" s="26"/>
      <c r="BA83" s="26"/>
      <c r="BB83" s="26"/>
      <c r="BC83" s="26"/>
      <c r="BD83" s="26"/>
      <c r="BE83" s="5"/>
    </row>
    <row r="84" spans="2:57" hidden="1">
      <c r="B84" s="27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 t="s">
        <v>2</v>
      </c>
      <c r="Q84" s="39">
        <f>+O125</f>
        <v>30</v>
      </c>
      <c r="R84" s="39"/>
      <c r="S84" s="26" t="s">
        <v>3</v>
      </c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33" t="s">
        <v>143</v>
      </c>
      <c r="AG84" s="26"/>
      <c r="AH84" s="39">
        <f>IF(J72&gt;G82,AV85,AV83)</f>
        <v>5.8608623595973547E-2</v>
      </c>
      <c r="AI84" s="39"/>
      <c r="AJ84" s="39"/>
      <c r="AK84" s="26"/>
      <c r="AL84" s="26"/>
      <c r="AM84" s="26"/>
      <c r="AN84" s="26"/>
      <c r="AO84" s="26"/>
      <c r="AP84" s="26"/>
      <c r="AQ84" s="39">
        <f>AH80/8*((5+3*AL79)/(1+AL79)^2+3/SQRT(AL79)*ATAN(SQRT(AL79)))+1-AH80-AQ85-2*AQ86</f>
        <v>0.23761947920535287</v>
      </c>
      <c r="AR84" s="39"/>
      <c r="AS84" s="39"/>
      <c r="AT84" s="26" t="s">
        <v>142</v>
      </c>
      <c r="AU84" s="26"/>
      <c r="AV84" s="39">
        <f>AH81/2-AH81^3/6-1/3+(1-AH81)*AV80</f>
        <v>5.516610552767473E-2</v>
      </c>
      <c r="AW84" s="39"/>
      <c r="AX84" s="39"/>
      <c r="AY84" s="26"/>
      <c r="AZ84" s="26"/>
      <c r="BA84" s="26"/>
      <c r="BB84" s="26"/>
      <c r="BC84" s="26"/>
      <c r="BD84" s="26"/>
      <c r="BE84" s="5"/>
    </row>
    <row r="85" spans="2:57" hidden="1">
      <c r="B85" s="27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39">
        <f>(AH80^3/(8*AL79)*((1+3*AL79)/SQRT(AL79)*ATAN(SQRT(AL79))-1)+(1-AH80^3)/3)</f>
        <v>0.33194350921279114</v>
      </c>
      <c r="AR85" s="39"/>
      <c r="AS85" s="39"/>
      <c r="AT85" s="33" t="s">
        <v>143</v>
      </c>
      <c r="AU85" s="26"/>
      <c r="AV85" s="39">
        <f>(1-AH81)*(AH80^2/8*(1/(1+AL79)+3/SQRT(AL79)*ATAN(SQRT(AL79)))+AH81/2-AH80^2/2)-AV84</f>
        <v>5.8608623595973547E-2</v>
      </c>
      <c r="AW85" s="39"/>
      <c r="AX85" s="39"/>
      <c r="AY85" s="26"/>
      <c r="AZ85" s="26"/>
      <c r="BA85" s="26"/>
      <c r="BB85" s="26"/>
      <c r="BC85" s="26"/>
      <c r="BD85" s="26"/>
      <c r="BE85" s="5"/>
    </row>
    <row r="86" spans="2:57" hidden="1"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39">
        <f>(AH80^2/8*(3/SQRT(AL79)*ATAN(SQRT(AL79))+1/(1+AL79))+(1-AH80^2)/2-AQ85)</f>
        <v>0.15768103932662264</v>
      </c>
      <c r="AR86" s="39"/>
      <c r="AS86" s="39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5"/>
    </row>
    <row r="87" spans="2:57" hidden="1">
      <c r="B87" s="27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5"/>
    </row>
    <row r="88" spans="2:57" hidden="1">
      <c r="B88" s="27"/>
      <c r="C88" s="26"/>
      <c r="D88" s="26"/>
      <c r="E88" s="26"/>
      <c r="F88" s="26"/>
      <c r="G88" s="28" t="s">
        <v>109</v>
      </c>
      <c r="H88" s="26"/>
      <c r="I88" s="26"/>
      <c r="J88" s="39">
        <f>+Q100-J113</f>
        <v>18</v>
      </c>
      <c r="K88" s="39"/>
      <c r="L88" s="26" t="s">
        <v>3</v>
      </c>
      <c r="M88" s="26"/>
      <c r="N88" s="26"/>
      <c r="O88" s="26"/>
      <c r="P88" s="26"/>
      <c r="Q88" s="26" t="s">
        <v>84</v>
      </c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5"/>
    </row>
    <row r="89" spans="2:57" hidden="1">
      <c r="B89" s="27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5"/>
    </row>
    <row r="90" spans="2:57" hidden="1">
      <c r="B90" s="27"/>
      <c r="C90" s="26"/>
      <c r="D90" s="26" t="s">
        <v>17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30"/>
      <c r="AC90" s="30" t="s">
        <v>18</v>
      </c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5"/>
    </row>
    <row r="91" spans="2:57" hidden="1"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 t="s">
        <v>132</v>
      </c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5"/>
    </row>
    <row r="92" spans="2:57" hidden="1"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31" t="s">
        <v>5</v>
      </c>
      <c r="AG92" s="26"/>
      <c r="AH92" s="39">
        <f>+AH116</f>
        <v>0.2</v>
      </c>
      <c r="AI92" s="39"/>
      <c r="AJ92" s="39"/>
      <c r="AK92" s="26" t="s">
        <v>8</v>
      </c>
      <c r="AL92" s="26"/>
      <c r="AM92" s="26" t="s">
        <v>126</v>
      </c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5"/>
    </row>
    <row r="93" spans="2:57" hidden="1">
      <c r="B93" s="27"/>
      <c r="C93" s="26"/>
      <c r="D93" s="32" t="s">
        <v>0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32" t="s">
        <v>0</v>
      </c>
      <c r="AD93" s="26"/>
      <c r="AE93" s="26"/>
      <c r="AF93" s="31" t="s">
        <v>10</v>
      </c>
      <c r="AG93" s="26"/>
      <c r="AH93" s="39">
        <f>+AH117</f>
        <v>1</v>
      </c>
      <c r="AI93" s="39"/>
      <c r="AJ93" s="39"/>
      <c r="AK93" s="26" t="s">
        <v>8</v>
      </c>
      <c r="AL93" s="26"/>
      <c r="AM93" s="26" t="s">
        <v>126</v>
      </c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5"/>
    </row>
    <row r="94" spans="2:57" hidden="1">
      <c r="B94" s="27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 t="s">
        <v>14</v>
      </c>
      <c r="AG94" s="26"/>
      <c r="AH94" s="26"/>
      <c r="AI94" s="26"/>
      <c r="AJ94" s="39">
        <f>+AH92</f>
        <v>0.2</v>
      </c>
      <c r="AK94" s="39"/>
      <c r="AL94" s="39"/>
      <c r="AM94" s="26" t="s">
        <v>15</v>
      </c>
      <c r="AN94" s="39">
        <f>+AH93</f>
        <v>1</v>
      </c>
      <c r="AO94" s="39"/>
      <c r="AP94" s="39"/>
      <c r="AQ94" s="29" t="s">
        <v>7</v>
      </c>
      <c r="AR94" s="39">
        <f>+AJ94/AN94</f>
        <v>0.2</v>
      </c>
      <c r="AS94" s="39"/>
      <c r="AT94" s="39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5"/>
    </row>
    <row r="95" spans="2:57" hidden="1"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 t="s">
        <v>16</v>
      </c>
      <c r="AG95" s="26"/>
      <c r="AH95" s="26"/>
      <c r="AI95" s="26"/>
      <c r="AJ95" s="26"/>
      <c r="AK95" s="26"/>
      <c r="AL95" s="39">
        <f>1/AR94^(1/3)-1</f>
        <v>0.70997594667669683</v>
      </c>
      <c r="AM95" s="39"/>
      <c r="AN95" s="39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5"/>
    </row>
    <row r="96" spans="2:57" hidden="1"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33" t="s">
        <v>85</v>
      </c>
      <c r="AG96" s="26"/>
      <c r="AH96" s="39">
        <f>+G98/Q100</f>
        <v>0.3</v>
      </c>
      <c r="AI96" s="39"/>
      <c r="AJ96" s="39"/>
      <c r="AK96" s="26"/>
      <c r="AL96" s="26"/>
      <c r="AM96" s="26"/>
      <c r="AN96" s="26"/>
      <c r="AO96" s="26" t="s">
        <v>138</v>
      </c>
      <c r="AP96" s="33"/>
      <c r="AQ96" s="39">
        <f>AH96*Q100/8*((5+3*AL95)/(1+AL95)^2+3/SQRT(AL95)*ATAN(SQRT(AL95)))</f>
        <v>5.5477520121416806</v>
      </c>
      <c r="AR96" s="39"/>
      <c r="AS96" s="39"/>
      <c r="AT96" s="26" t="s">
        <v>140</v>
      </c>
      <c r="AU96" s="26"/>
      <c r="AV96" s="39">
        <f>AH96^3/(8*AL95)*((1+3*AL95)/SQRT(AL95)*ATAN(SQRT(AL95))-1)+(1-AH96^3)/3</f>
        <v>0.33194350921279114</v>
      </c>
      <c r="AW96" s="39"/>
      <c r="AX96" s="39"/>
      <c r="AY96" s="26"/>
      <c r="AZ96" s="26"/>
      <c r="BA96" s="26"/>
      <c r="BB96" s="26"/>
      <c r="BC96" s="26"/>
      <c r="BD96" s="26"/>
      <c r="BE96" s="5"/>
    </row>
    <row r="97" spans="2:57" hidden="1"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33" t="s">
        <v>86</v>
      </c>
      <c r="AG97" s="26"/>
      <c r="AH97" s="39">
        <f>+J88/Q100</f>
        <v>0.6</v>
      </c>
      <c r="AI97" s="39"/>
      <c r="AJ97" s="39"/>
      <c r="AK97" s="26"/>
      <c r="AL97" s="26"/>
      <c r="AM97" s="26"/>
      <c r="AN97" s="26"/>
      <c r="AO97" s="26" t="s">
        <v>147</v>
      </c>
      <c r="AP97" s="26"/>
      <c r="AQ97" s="39">
        <f>((AH96*Q100/8*(AJ98*(5+3*AL95*AJ98^2)/(1+AL95*AJ98^2)^2+3/SQRT(AL95)*ATAN(AJ98*SQRT(AL95)))+(AH96*Q100/8*((5+3*AL95)/(1+AL95)^2+3/SQRT(AL95)*ATAN(SQRT(AL95)))))/Q100)</f>
        <v>0.36985013414277873</v>
      </c>
      <c r="AR97" s="39"/>
      <c r="AS97" s="39"/>
      <c r="AT97" s="33" t="s">
        <v>141</v>
      </c>
      <c r="AU97" s="26"/>
      <c r="AV97" s="39">
        <f>AH96^2/8*(3/SQRT(AL95)*ATAN(SQRT(AL95))+1/(1+AL95))+(1-AH96^2)/2-AV96</f>
        <v>0.15768103932662264</v>
      </c>
      <c r="AW97" s="39"/>
      <c r="AX97" s="39"/>
      <c r="AY97" s="26"/>
      <c r="AZ97" s="26"/>
      <c r="BA97" s="26"/>
      <c r="BB97" s="26"/>
      <c r="BC97" s="26"/>
      <c r="BD97" s="26"/>
      <c r="BE97" s="5"/>
    </row>
    <row r="98" spans="2:57" hidden="1">
      <c r="B98" s="27"/>
      <c r="C98" s="26"/>
      <c r="D98" s="26"/>
      <c r="E98" s="28" t="s">
        <v>4</v>
      </c>
      <c r="F98" s="26"/>
      <c r="G98" s="39">
        <f>+G123</f>
        <v>9</v>
      </c>
      <c r="H98" s="39"/>
      <c r="I98" s="26" t="s">
        <v>3</v>
      </c>
      <c r="J98" s="26"/>
      <c r="K98" s="26"/>
      <c r="L98" s="26"/>
      <c r="M98" s="26"/>
      <c r="N98" s="26"/>
      <c r="O98" s="26"/>
      <c r="P98" s="26"/>
      <c r="Q98" s="26"/>
      <c r="R98" s="39">
        <f>+Q100-G98</f>
        <v>21</v>
      </c>
      <c r="S98" s="39"/>
      <c r="T98" s="26" t="s">
        <v>3</v>
      </c>
      <c r="U98" s="26"/>
      <c r="V98" s="26"/>
      <c r="W98" s="26"/>
      <c r="X98" s="28"/>
      <c r="Y98" s="26"/>
      <c r="Z98" s="26"/>
      <c r="AA98" s="26"/>
      <c r="AB98" s="26"/>
      <c r="AC98" s="26"/>
      <c r="AD98" s="26"/>
      <c r="AE98" s="26"/>
      <c r="AF98" s="26" t="s">
        <v>139</v>
      </c>
      <c r="AG98" s="26"/>
      <c r="AH98" s="26"/>
      <c r="AI98" s="26"/>
      <c r="AJ98" s="39">
        <f>AH97/AH96-1</f>
        <v>1</v>
      </c>
      <c r="AK98" s="39"/>
      <c r="AL98" s="39"/>
      <c r="AM98" s="26"/>
      <c r="AN98" s="26"/>
      <c r="AO98" s="26" t="s">
        <v>148</v>
      </c>
      <c r="AP98" s="26"/>
      <c r="AQ98" s="39">
        <f>(AH96^2/(4*AL95)*(1/(1+AL95)^2-1/(1+AL95*AJ98^2)^2)+AH96*((AH96*Q100/8*(AJ98*(5+3*AL95*AJ98^2)/(1+AL95*AJ98^2)^2+3/SQRT(AL95)*ATAN(AJ98*SQRT(AL95)))+(AH96*Q100/8*((5+3*AL95)/(1+AL95)^2+3/SQRT(AL95)*ATAN(SQRT(AL95)))))/Q100))</f>
        <v>0.11095504024283362</v>
      </c>
      <c r="AR98" s="39"/>
      <c r="AS98" s="39"/>
      <c r="AT98" s="26" t="s">
        <v>142</v>
      </c>
      <c r="AU98" s="26"/>
      <c r="AV98" s="39">
        <f>AQ99-AH97*AQ98+AH97*AV97</f>
        <v>6.7834382932298487E-2</v>
      </c>
      <c r="AW98" s="39"/>
      <c r="AX98" s="39"/>
      <c r="AY98" s="26"/>
      <c r="AZ98" s="26"/>
      <c r="BA98" s="26"/>
      <c r="BB98" s="26"/>
      <c r="BC98" s="26"/>
      <c r="BD98" s="26"/>
      <c r="BE98" s="5"/>
    </row>
    <row r="99" spans="2:57" hidden="1">
      <c r="B99" s="27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 t="s">
        <v>142</v>
      </c>
      <c r="AG99" s="26"/>
      <c r="AH99" s="39">
        <f>IF(J88&gt;G98,AV100,AV98)</f>
        <v>6.3444070351783149E-2</v>
      </c>
      <c r="AI99" s="39"/>
      <c r="AJ99" s="39"/>
      <c r="AK99" s="26"/>
      <c r="AL99" s="26"/>
      <c r="AM99" s="26"/>
      <c r="AN99" s="26"/>
      <c r="AO99" s="26" t="s">
        <v>149</v>
      </c>
      <c r="AP99" s="26"/>
      <c r="AQ99" s="39">
        <f>(AH96^3/(8*AL95)*(AJ98*(AL95*AJ98^2-1)/(1+AL95*AJ98^2)^2+1/SQRT(AL95)*ATAN(AJ98*SQRT(AL95))+(AL95-1)/(1+AL95^2)+1/SQRT(AL95)*ATAN(SQRT(AL95)))+2*AH96*AQ98-AH96^2*AQ97)</f>
        <v>3.979878348202507E-2</v>
      </c>
      <c r="AR99" s="39"/>
      <c r="AS99" s="39"/>
      <c r="AT99" s="33" t="s">
        <v>143</v>
      </c>
      <c r="AU99" s="26"/>
      <c r="AV99" s="39">
        <f>AQ98-AH97*AQ97+AH97*(AQ100+AV97)-AV98</f>
        <v>5.8390887944053199E-2</v>
      </c>
      <c r="AW99" s="39"/>
      <c r="AX99" s="39"/>
      <c r="AY99" s="26"/>
      <c r="AZ99" s="26"/>
      <c r="BA99" s="26"/>
      <c r="BB99" s="26"/>
      <c r="BC99" s="26"/>
      <c r="BD99" s="26"/>
      <c r="BE99" s="5"/>
    </row>
    <row r="100" spans="2:57" hidden="1"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 t="s">
        <v>2</v>
      </c>
      <c r="Q100" s="39">
        <f>+O125</f>
        <v>30</v>
      </c>
      <c r="R100" s="39"/>
      <c r="S100" s="26" t="s">
        <v>3</v>
      </c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33" t="s">
        <v>143</v>
      </c>
      <c r="AG100" s="26"/>
      <c r="AH100" s="39">
        <f>IF(J88&gt;G98,AV101,AV99)</f>
        <v>5.2405749063982363E-2</v>
      </c>
      <c r="AI100" s="39"/>
      <c r="AJ100" s="39"/>
      <c r="AK100" s="26"/>
      <c r="AL100" s="26"/>
      <c r="AM100" s="26"/>
      <c r="AN100" s="26"/>
      <c r="AO100" s="26"/>
      <c r="AP100" s="26"/>
      <c r="AQ100" s="39">
        <f>AH96/8*((5+3*AL95)/(1+AL95)^2+3/SQRT(AL95)*ATAN(SQRT(AL95)))+1-AH96-AQ101-2*AQ102</f>
        <v>0.23761947920535287</v>
      </c>
      <c r="AR100" s="39"/>
      <c r="AS100" s="39"/>
      <c r="AT100" s="26" t="s">
        <v>142</v>
      </c>
      <c r="AU100" s="26"/>
      <c r="AV100" s="39">
        <f>AH97/2-AH97^3/6-1/3+(1-AH97)*AV96</f>
        <v>6.3444070351783149E-2</v>
      </c>
      <c r="AW100" s="39"/>
      <c r="AX100" s="39"/>
      <c r="AY100" s="26"/>
      <c r="AZ100" s="26"/>
      <c r="BA100" s="26"/>
      <c r="BB100" s="26"/>
      <c r="BC100" s="26"/>
      <c r="BD100" s="26"/>
      <c r="BE100" s="5"/>
    </row>
    <row r="101" spans="2:57" hidden="1"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39">
        <f>(AH96^3/(8*AL95)*((1+3*AL95)/SQRT(AL95)*ATAN(SQRT(AL95))-1)+(1-AH96^3)/3)</f>
        <v>0.33194350921279114</v>
      </c>
      <c r="AR101" s="39"/>
      <c r="AS101" s="39"/>
      <c r="AT101" s="33" t="s">
        <v>143</v>
      </c>
      <c r="AU101" s="26"/>
      <c r="AV101" s="39">
        <f>(1-AH97)*(AH96^2/8*(1/(1+AL95)+3/SQRT(AL95)*ATAN(SQRT(AL95)))+AH97/2-AH96^2/2)-AV100</f>
        <v>5.2405749063982363E-2</v>
      </c>
      <c r="AW101" s="39"/>
      <c r="AX101" s="39"/>
      <c r="AY101" s="26"/>
      <c r="AZ101" s="26"/>
      <c r="BA101" s="26"/>
      <c r="BB101" s="26"/>
      <c r="BC101" s="26"/>
      <c r="BD101" s="26"/>
      <c r="BE101" s="5"/>
    </row>
    <row r="102" spans="2:57" hidden="1"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 t="s">
        <v>150</v>
      </c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39">
        <f>(AH96^2/8*(3/SQRT(AL95)*ATAN(SQRT(AL95))+1/(1+AL95))+(1-AH96^2)/2-AQ101)</f>
        <v>0.15768103932662264</v>
      </c>
      <c r="AR102" s="39"/>
      <c r="AS102" s="39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5"/>
    </row>
    <row r="103" spans="2:57" hidden="1"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 t="s">
        <v>151</v>
      </c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9"/>
      <c r="AR103" s="29"/>
      <c r="AS103" s="29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5"/>
    </row>
    <row r="104" spans="2:57" hidden="1"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33" t="s">
        <v>152</v>
      </c>
      <c r="AF104" s="26"/>
      <c r="AG104" s="26"/>
      <c r="AH104" s="26"/>
      <c r="AI104" s="26"/>
      <c r="AJ104" s="26"/>
      <c r="AK104" s="26"/>
      <c r="AL104" s="33" t="s">
        <v>153</v>
      </c>
      <c r="AM104" s="26"/>
      <c r="AN104" s="33"/>
      <c r="AO104" s="26"/>
      <c r="AP104" s="26"/>
      <c r="AQ104" s="26"/>
      <c r="AR104" s="26"/>
      <c r="AS104" s="26"/>
      <c r="AT104" s="26"/>
      <c r="AU104" s="33" t="s">
        <v>154</v>
      </c>
      <c r="AV104" s="26"/>
      <c r="AW104" s="26"/>
      <c r="AX104" s="26"/>
      <c r="AY104" s="26"/>
      <c r="AZ104" s="26"/>
      <c r="BA104" s="26"/>
      <c r="BB104" s="26"/>
      <c r="BC104" s="26"/>
      <c r="BD104" s="26"/>
      <c r="BE104" s="5"/>
    </row>
    <row r="105" spans="2:57" hidden="1"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 t="s">
        <v>155</v>
      </c>
      <c r="AF105" s="26"/>
      <c r="AG105" s="39">
        <f>+AV82</f>
        <v>5.4787654383829175E-2</v>
      </c>
      <c r="AH105" s="39"/>
      <c r="AI105" s="39"/>
      <c r="AJ105" s="26"/>
      <c r="AK105" s="26"/>
      <c r="AL105" s="26" t="s">
        <v>155</v>
      </c>
      <c r="AM105" s="26"/>
      <c r="AN105" s="39">
        <f>+AV84</f>
        <v>5.516610552767473E-2</v>
      </c>
      <c r="AO105" s="39"/>
      <c r="AP105" s="39"/>
      <c r="AQ105" s="26"/>
      <c r="AR105" s="26"/>
      <c r="AS105" s="26"/>
      <c r="AT105" s="26"/>
      <c r="AU105" s="26" t="s">
        <v>155</v>
      </c>
      <c r="AV105" s="26"/>
      <c r="AW105" s="40" t="s">
        <v>156</v>
      </c>
      <c r="AX105" s="39"/>
      <c r="AY105" s="39"/>
      <c r="AZ105" s="26"/>
      <c r="BA105" s="26"/>
      <c r="BB105" s="26"/>
      <c r="BC105" s="26"/>
      <c r="BD105" s="26"/>
      <c r="BE105" s="5"/>
    </row>
    <row r="106" spans="2:57" hidden="1">
      <c r="B106" s="27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 t="s">
        <v>157</v>
      </c>
      <c r="AF106" s="26"/>
      <c r="AG106" s="39">
        <f>+AV84</f>
        <v>5.516610552767473E-2</v>
      </c>
      <c r="AH106" s="39"/>
      <c r="AI106" s="39"/>
      <c r="AJ106" s="26"/>
      <c r="AK106" s="26"/>
      <c r="AL106" s="26" t="s">
        <v>157</v>
      </c>
      <c r="AM106" s="26"/>
      <c r="AN106" s="39">
        <f>+AH100</f>
        <v>5.2405749063982363E-2</v>
      </c>
      <c r="AO106" s="39"/>
      <c r="AP106" s="39"/>
      <c r="AQ106" s="26"/>
      <c r="AR106" s="26"/>
      <c r="AS106" s="26"/>
      <c r="AT106" s="26"/>
      <c r="AU106" s="26" t="s">
        <v>157</v>
      </c>
      <c r="AV106" s="26"/>
      <c r="AW106" s="40" t="s">
        <v>156</v>
      </c>
      <c r="AX106" s="39"/>
      <c r="AY106" s="39"/>
      <c r="AZ106" s="26"/>
      <c r="BA106" s="26"/>
      <c r="BB106" s="26"/>
      <c r="BC106" s="26"/>
      <c r="BD106" s="26"/>
      <c r="BE106" s="5"/>
    </row>
    <row r="107" spans="2:57" hidden="1"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 t="s">
        <v>158</v>
      </c>
      <c r="AF107" s="26"/>
      <c r="AG107" s="39">
        <f>AH121*(1-AH121)*(1+AH121)/6</f>
        <v>5.5999999999999994E-2</v>
      </c>
      <c r="AH107" s="39"/>
      <c r="AI107" s="39"/>
      <c r="AJ107" s="26"/>
      <c r="AK107" s="26"/>
      <c r="AL107" s="26" t="s">
        <v>158</v>
      </c>
      <c r="AM107" s="26"/>
      <c r="AN107" s="39">
        <f>AH121*(1-AH121)*(1+AH121)/6</f>
        <v>5.5999999999999994E-2</v>
      </c>
      <c r="AO107" s="39"/>
      <c r="AP107" s="39"/>
      <c r="AQ107" s="26"/>
      <c r="AR107" s="26"/>
      <c r="AS107" s="26"/>
      <c r="AT107" s="26"/>
      <c r="AU107" s="26" t="s">
        <v>158</v>
      </c>
      <c r="AV107" s="26"/>
      <c r="AW107" s="40" t="s">
        <v>156</v>
      </c>
      <c r="AX107" s="39"/>
      <c r="AY107" s="39"/>
      <c r="AZ107" s="26"/>
      <c r="BA107" s="26"/>
      <c r="BB107" s="26"/>
      <c r="BC107" s="26"/>
      <c r="BD107" s="26"/>
      <c r="BE107" s="5"/>
    </row>
    <row r="108" spans="2:57" hidden="1"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 t="s">
        <v>142</v>
      </c>
      <c r="AF108" s="26"/>
      <c r="AG108" s="39">
        <f>+AG105+AG106-AG107</f>
        <v>5.3953759911503918E-2</v>
      </c>
      <c r="AH108" s="39"/>
      <c r="AI108" s="39"/>
      <c r="AJ108" s="26"/>
      <c r="AK108" s="26"/>
      <c r="AL108" s="26" t="s">
        <v>142</v>
      </c>
      <c r="AM108" s="26"/>
      <c r="AN108" s="39">
        <f>+AN105+AN106-AN107</f>
        <v>5.1571854591657099E-2</v>
      </c>
      <c r="AO108" s="39"/>
      <c r="AP108" s="39"/>
      <c r="AQ108" s="26"/>
      <c r="AR108" s="26"/>
      <c r="AS108" s="26"/>
      <c r="AT108" s="26"/>
      <c r="AU108" s="26" t="s">
        <v>142</v>
      </c>
      <c r="AV108" s="26"/>
      <c r="AW108" s="39">
        <f>+AN112</f>
        <v>5.8052693947756695E-2</v>
      </c>
      <c r="AX108" s="39"/>
      <c r="AY108" s="39"/>
      <c r="AZ108" s="26"/>
      <c r="BA108" s="26"/>
      <c r="BB108" s="26"/>
      <c r="BC108" s="26"/>
      <c r="BD108" s="26"/>
      <c r="BE108" s="5"/>
    </row>
    <row r="109" spans="2:57" hidden="1"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 t="s">
        <v>159</v>
      </c>
      <c r="AF109" s="26"/>
      <c r="AG109" s="39">
        <f>+AV83</f>
        <v>5.9172660810609491E-2</v>
      </c>
      <c r="AH109" s="39"/>
      <c r="AI109" s="39"/>
      <c r="AJ109" s="26"/>
      <c r="AK109" s="26"/>
      <c r="AL109" s="26" t="s">
        <v>159</v>
      </c>
      <c r="AM109" s="26"/>
      <c r="AN109" s="39">
        <f>+AV85</f>
        <v>5.8608623595973547E-2</v>
      </c>
      <c r="AO109" s="39"/>
      <c r="AP109" s="39"/>
      <c r="AQ109" s="26"/>
      <c r="AR109" s="26"/>
      <c r="AS109" s="26"/>
      <c r="AT109" s="26"/>
      <c r="AU109" s="26" t="s">
        <v>159</v>
      </c>
      <c r="AV109" s="26"/>
      <c r="AW109" s="40" t="s">
        <v>156</v>
      </c>
      <c r="AX109" s="39"/>
      <c r="AY109" s="39"/>
      <c r="AZ109" s="26"/>
      <c r="BA109" s="26"/>
      <c r="BB109" s="26"/>
      <c r="BC109" s="26"/>
      <c r="BD109" s="26"/>
      <c r="BE109" s="5"/>
    </row>
    <row r="110" spans="2:57" hidden="1"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 t="s">
        <v>160</v>
      </c>
      <c r="AF110" s="26"/>
      <c r="AG110" s="39">
        <f>+AV100</f>
        <v>6.3444070351783149E-2</v>
      </c>
      <c r="AH110" s="39"/>
      <c r="AI110" s="39"/>
      <c r="AJ110" s="26"/>
      <c r="AK110" s="26"/>
      <c r="AL110" s="26" t="s">
        <v>160</v>
      </c>
      <c r="AM110" s="26"/>
      <c r="AN110" s="39">
        <f>+AV100</f>
        <v>6.3444070351783149E-2</v>
      </c>
      <c r="AO110" s="39"/>
      <c r="AP110" s="39"/>
      <c r="AQ110" s="26"/>
      <c r="AR110" s="26"/>
      <c r="AS110" s="26"/>
      <c r="AT110" s="26"/>
      <c r="AU110" s="26" t="s">
        <v>160</v>
      </c>
      <c r="AV110" s="26"/>
      <c r="AW110" s="40" t="s">
        <v>156</v>
      </c>
      <c r="AX110" s="39"/>
      <c r="AY110" s="39"/>
      <c r="AZ110" s="26"/>
      <c r="BA110" s="26"/>
      <c r="BB110" s="26"/>
      <c r="BC110" s="26"/>
      <c r="BD110" s="26"/>
      <c r="BE110" s="5"/>
    </row>
    <row r="111" spans="2:57" hidden="1"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 t="s">
        <v>161</v>
      </c>
      <c r="AF111" s="26"/>
      <c r="AG111" s="39">
        <f>AH121*(1-AH121)*(2-AH121)/6</f>
        <v>6.4000000000000001E-2</v>
      </c>
      <c r="AH111" s="39"/>
      <c r="AI111" s="39"/>
      <c r="AJ111" s="26"/>
      <c r="AK111" s="26"/>
      <c r="AL111" s="26" t="s">
        <v>161</v>
      </c>
      <c r="AM111" s="26"/>
      <c r="AN111" s="39">
        <f>AH121*(1-AH121)*(2-AH121)/6</f>
        <v>6.4000000000000001E-2</v>
      </c>
      <c r="AO111" s="39"/>
      <c r="AP111" s="39"/>
      <c r="AQ111" s="26"/>
      <c r="AR111" s="26"/>
      <c r="AS111" s="26"/>
      <c r="AT111" s="26"/>
      <c r="AU111" s="26" t="s">
        <v>161</v>
      </c>
      <c r="AV111" s="26"/>
      <c r="AW111" s="40" t="s">
        <v>156</v>
      </c>
      <c r="AX111" s="39"/>
      <c r="AY111" s="39"/>
      <c r="AZ111" s="26"/>
      <c r="BA111" s="26"/>
      <c r="BB111" s="26"/>
      <c r="BC111" s="26"/>
      <c r="BD111" s="26"/>
      <c r="BE111" s="5"/>
    </row>
    <row r="112" spans="2:57" hidden="1"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 t="s">
        <v>143</v>
      </c>
      <c r="AF112" s="26"/>
      <c r="AG112" s="39">
        <f>+AG109+AG110-AG111</f>
        <v>5.8616731162392632E-2</v>
      </c>
      <c r="AH112" s="39"/>
      <c r="AI112" s="39"/>
      <c r="AJ112" s="26"/>
      <c r="AK112" s="26"/>
      <c r="AL112" s="26" t="s">
        <v>143</v>
      </c>
      <c r="AM112" s="26"/>
      <c r="AN112" s="39">
        <f>+AN109+AN110-AN111</f>
        <v>5.8052693947756695E-2</v>
      </c>
      <c r="AO112" s="39"/>
      <c r="AP112" s="39"/>
      <c r="AQ112" s="26"/>
      <c r="AR112" s="26"/>
      <c r="AS112" s="26"/>
      <c r="AT112" s="26"/>
      <c r="AU112" s="26" t="s">
        <v>143</v>
      </c>
      <c r="AV112" s="26"/>
      <c r="AW112" s="39">
        <f>+AN108</f>
        <v>5.1571854591657099E-2</v>
      </c>
      <c r="AX112" s="39"/>
      <c r="AY112" s="39"/>
      <c r="AZ112" s="26"/>
      <c r="BA112" s="26"/>
      <c r="BB112" s="26"/>
      <c r="BC112" s="26"/>
      <c r="BD112" s="26"/>
      <c r="BE112" s="5"/>
    </row>
    <row r="113" spans="2:57">
      <c r="B113" s="4"/>
      <c r="G113" s="8" t="s">
        <v>109</v>
      </c>
      <c r="J113" s="35">
        <v>12</v>
      </c>
      <c r="K113" s="35"/>
      <c r="L113" s="1" t="s">
        <v>3</v>
      </c>
      <c r="Q113" s="1" t="s">
        <v>84</v>
      </c>
      <c r="BE113" s="5"/>
    </row>
    <row r="114" spans="2:57">
      <c r="B114" s="4"/>
      <c r="BE114" s="5"/>
    </row>
    <row r="115" spans="2:57">
      <c r="B115" s="4"/>
      <c r="D115" s="1" t="s">
        <v>17</v>
      </c>
      <c r="AB115" s="7"/>
      <c r="AC115" s="7" t="s">
        <v>18</v>
      </c>
      <c r="AF115" s="1" t="s">
        <v>132</v>
      </c>
      <c r="BE115" s="5"/>
    </row>
    <row r="116" spans="2:57">
      <c r="B116" s="4"/>
      <c r="AF116" s="12" t="s">
        <v>5</v>
      </c>
      <c r="AH116" s="35">
        <v>0.2</v>
      </c>
      <c r="AI116" s="35"/>
      <c r="AJ116" s="35"/>
      <c r="AK116" s="1" t="s">
        <v>8</v>
      </c>
      <c r="AM116" s="1" t="s">
        <v>126</v>
      </c>
      <c r="BE116" s="5"/>
    </row>
    <row r="117" spans="2:57">
      <c r="B117" s="4"/>
      <c r="AF117" s="12" t="s">
        <v>10</v>
      </c>
      <c r="AH117" s="35">
        <v>1</v>
      </c>
      <c r="AI117" s="35"/>
      <c r="AJ117" s="35"/>
      <c r="AK117" s="1" t="s">
        <v>8</v>
      </c>
      <c r="AM117" s="1" t="s">
        <v>126</v>
      </c>
      <c r="BE117" s="5"/>
    </row>
    <row r="118" spans="2:57">
      <c r="B118" s="4"/>
      <c r="D118" s="6" t="s">
        <v>0</v>
      </c>
      <c r="AC118" s="6" t="s">
        <v>0</v>
      </c>
      <c r="AF118" s="1" t="s">
        <v>14</v>
      </c>
      <c r="AJ118" s="34">
        <f>+AH116</f>
        <v>0.2</v>
      </c>
      <c r="AK118" s="34"/>
      <c r="AL118" s="34"/>
      <c r="AM118" s="1" t="s">
        <v>15</v>
      </c>
      <c r="AN118" s="34">
        <f>+AH117</f>
        <v>1</v>
      </c>
      <c r="AO118" s="34"/>
      <c r="AP118" s="34"/>
      <c r="AQ118" s="9" t="s">
        <v>7</v>
      </c>
      <c r="AR118" s="34">
        <f>+AJ118/AN118</f>
        <v>0.2</v>
      </c>
      <c r="AS118" s="34"/>
      <c r="AT118" s="34"/>
      <c r="BE118" s="5"/>
    </row>
    <row r="119" spans="2:57">
      <c r="B119" s="4"/>
      <c r="AF119" s="1" t="s">
        <v>16</v>
      </c>
      <c r="AL119" s="34">
        <f>1/AR118^(1/3)-1</f>
        <v>0.70997594667669683</v>
      </c>
      <c r="AM119" s="34"/>
      <c r="AN119" s="34"/>
      <c r="BE119" s="5"/>
    </row>
    <row r="120" spans="2:57">
      <c r="B120" s="4"/>
      <c r="AF120" s="13" t="s">
        <v>85</v>
      </c>
      <c r="AH120" s="34">
        <f>+G123/O125</f>
        <v>0.3</v>
      </c>
      <c r="AI120" s="34"/>
      <c r="AJ120" s="34"/>
      <c r="AO120" s="13"/>
      <c r="BE120" s="5"/>
    </row>
    <row r="121" spans="2:57">
      <c r="B121" s="4"/>
      <c r="AF121" s="13" t="s">
        <v>86</v>
      </c>
      <c r="AH121" s="34">
        <f>+J113/O125</f>
        <v>0.4</v>
      </c>
      <c r="AI121" s="34"/>
      <c r="AJ121" s="34"/>
      <c r="AO121" s="13"/>
      <c r="BE121" s="5"/>
    </row>
    <row r="122" spans="2:57">
      <c r="B122" s="4"/>
      <c r="AF122" s="1" t="s">
        <v>139</v>
      </c>
      <c r="AJ122" s="34">
        <f>AH121/AH120-1</f>
        <v>0.33333333333333348</v>
      </c>
      <c r="AK122" s="34"/>
      <c r="AL122" s="34"/>
      <c r="AO122" s="13"/>
      <c r="BE122" s="5"/>
    </row>
    <row r="123" spans="2:57">
      <c r="B123" s="4"/>
      <c r="E123" s="8" t="s">
        <v>4</v>
      </c>
      <c r="G123" s="35">
        <v>9</v>
      </c>
      <c r="H123" s="35"/>
      <c r="I123" s="1" t="s">
        <v>3</v>
      </c>
      <c r="O123" s="34">
        <f>+O125-G123-Z123</f>
        <v>12</v>
      </c>
      <c r="P123" s="34"/>
      <c r="Q123" s="1" t="s">
        <v>3</v>
      </c>
      <c r="X123" s="8" t="s">
        <v>4</v>
      </c>
      <c r="Z123" s="34">
        <f>+G123</f>
        <v>9</v>
      </c>
      <c r="AA123" s="34"/>
      <c r="AB123" s="1" t="s">
        <v>3</v>
      </c>
      <c r="AF123" s="13" t="s">
        <v>46</v>
      </c>
      <c r="AH123" s="34">
        <f>IF(J113&lt;=G123,AG108,IF(AND(G123&lt;J113,J113&lt;=(1-G123)),AN108,IF(J113&gt;(1-G123),AW108,"hatalı.")))</f>
        <v>5.8052693947756695E-2</v>
      </c>
      <c r="AI123" s="34"/>
      <c r="AJ123" s="34"/>
      <c r="BE123" s="5"/>
    </row>
    <row r="124" spans="2:57">
      <c r="B124" s="4"/>
      <c r="AF124" s="13" t="s">
        <v>48</v>
      </c>
      <c r="AH124" s="34">
        <f>IF(J113&lt;=G123,AG112,IF(AND(G123&lt;J113,J113&lt;=(1-G123)),AN112,IF(J113&gt;(1-G123),AW112,"hatalı.")))</f>
        <v>5.1571854591657099E-2</v>
      </c>
      <c r="AI124" s="34"/>
      <c r="AJ124" s="34"/>
      <c r="BE124" s="5"/>
    </row>
    <row r="125" spans="2:57">
      <c r="B125" s="4"/>
      <c r="N125" s="1" t="s">
        <v>2</v>
      </c>
      <c r="O125" s="35">
        <v>30</v>
      </c>
      <c r="P125" s="35"/>
      <c r="Q125" s="1" t="s">
        <v>3</v>
      </c>
      <c r="BE125" s="5"/>
    </row>
    <row r="126" spans="2:57" ht="12" thickBot="1">
      <c r="B126" s="16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8"/>
    </row>
    <row r="127" spans="2:57" ht="12" thickBot="1"/>
    <row r="128" spans="2:57" ht="49.5" customHeight="1">
      <c r="B128" s="36" t="s">
        <v>134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8"/>
    </row>
    <row r="129" spans="2:57">
      <c r="B129" s="4"/>
      <c r="AI129" s="19" t="s">
        <v>123</v>
      </c>
      <c r="BE129" s="5"/>
    </row>
    <row r="130" spans="2:57">
      <c r="B130" s="4"/>
      <c r="O130" s="1" t="s">
        <v>41</v>
      </c>
      <c r="BE130" s="5"/>
    </row>
    <row r="131" spans="2:57">
      <c r="B131" s="4"/>
      <c r="BE131" s="5"/>
    </row>
    <row r="132" spans="2:57">
      <c r="B132" s="4"/>
      <c r="D132" s="1" t="s">
        <v>17</v>
      </c>
      <c r="P132" s="6"/>
      <c r="AB132" s="7"/>
      <c r="AC132" s="7" t="s">
        <v>18</v>
      </c>
      <c r="AF132" s="1" t="s">
        <v>132</v>
      </c>
      <c r="BE132" s="5"/>
    </row>
    <row r="133" spans="2:57">
      <c r="B133" s="4"/>
      <c r="AF133" s="12" t="s">
        <v>5</v>
      </c>
      <c r="AH133" s="35">
        <v>0.1</v>
      </c>
      <c r="AI133" s="35"/>
      <c r="AJ133" s="35"/>
      <c r="AK133" s="1" t="s">
        <v>8</v>
      </c>
      <c r="AM133" s="1" t="s">
        <v>126</v>
      </c>
      <c r="BE133" s="5"/>
    </row>
    <row r="134" spans="2:57">
      <c r="B134" s="4"/>
      <c r="AF134" s="12" t="s">
        <v>10</v>
      </c>
      <c r="AH134" s="35">
        <v>1</v>
      </c>
      <c r="AI134" s="35"/>
      <c r="AJ134" s="35"/>
      <c r="AK134" s="1" t="s">
        <v>8</v>
      </c>
      <c r="AM134" s="1" t="s">
        <v>126</v>
      </c>
      <c r="BE134" s="5"/>
    </row>
    <row r="135" spans="2:57">
      <c r="B135" s="4"/>
      <c r="AF135" s="1" t="s">
        <v>14</v>
      </c>
      <c r="AJ135" s="34">
        <f>+AH133</f>
        <v>0.1</v>
      </c>
      <c r="AK135" s="34"/>
      <c r="AL135" s="34"/>
      <c r="AM135" s="1" t="s">
        <v>15</v>
      </c>
      <c r="AN135" s="34">
        <f>+AH134</f>
        <v>1</v>
      </c>
      <c r="AO135" s="34"/>
      <c r="AP135" s="34"/>
      <c r="AQ135" s="9" t="s">
        <v>7</v>
      </c>
      <c r="AR135" s="34">
        <f>+AJ135/AN135</f>
        <v>0.1</v>
      </c>
      <c r="AS135" s="34"/>
      <c r="AT135" s="34"/>
      <c r="BE135" s="5"/>
    </row>
    <row r="136" spans="2:57">
      <c r="B136" s="4"/>
      <c r="D136" s="6" t="s">
        <v>0</v>
      </c>
      <c r="AC136" s="6" t="s">
        <v>0</v>
      </c>
      <c r="AF136" s="13" t="s">
        <v>127</v>
      </c>
      <c r="AI136" s="34">
        <f>(AR135+4)/120</f>
        <v>3.4166666666666665E-2</v>
      </c>
      <c r="AJ136" s="34"/>
      <c r="AK136" s="34"/>
      <c r="BE136" s="5"/>
    </row>
    <row r="137" spans="2:57">
      <c r="B137" s="4"/>
      <c r="AF137" s="13" t="s">
        <v>128</v>
      </c>
      <c r="AI137" s="34">
        <f>(AR135+4)/30</f>
        <v>0.13666666666666666</v>
      </c>
      <c r="AJ137" s="34"/>
      <c r="AK137" s="34"/>
      <c r="BE137" s="5"/>
    </row>
    <row r="138" spans="2:57">
      <c r="B138" s="4"/>
      <c r="AF138" s="13" t="s">
        <v>129</v>
      </c>
      <c r="AI138" s="34">
        <f>+AI137/4</f>
        <v>3.4166666666666665E-2</v>
      </c>
      <c r="AJ138" s="34"/>
      <c r="AK138" s="34"/>
      <c r="BE138" s="5"/>
    </row>
    <row r="139" spans="2:57">
      <c r="B139" s="4"/>
      <c r="BE139" s="5"/>
    </row>
    <row r="140" spans="2:57">
      <c r="B140" s="4"/>
      <c r="BE140" s="5"/>
    </row>
    <row r="141" spans="2:57">
      <c r="B141" s="4"/>
      <c r="BE141" s="5"/>
    </row>
    <row r="142" spans="2:57">
      <c r="B142" s="4"/>
      <c r="P142" s="1" t="s">
        <v>2</v>
      </c>
      <c r="Q142" s="35">
        <v>30</v>
      </c>
      <c r="R142" s="35"/>
      <c r="S142" s="1" t="s">
        <v>3</v>
      </c>
      <c r="BE142" s="5"/>
    </row>
    <row r="143" spans="2:57" ht="12" thickBot="1">
      <c r="B143" s="16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8"/>
    </row>
    <row r="144" spans="2:57" ht="12" thickBot="1"/>
    <row r="145" spans="2:57" ht="49.5" customHeight="1">
      <c r="B145" s="36" t="s">
        <v>134</v>
      </c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8"/>
    </row>
    <row r="146" spans="2:57">
      <c r="B146" s="4"/>
      <c r="AI146" s="19" t="s">
        <v>123</v>
      </c>
      <c r="BE146" s="5"/>
    </row>
    <row r="147" spans="2:57">
      <c r="B147" s="4"/>
      <c r="G147" s="8" t="s">
        <v>109</v>
      </c>
      <c r="J147" s="35">
        <v>6</v>
      </c>
      <c r="K147" s="35"/>
      <c r="L147" s="1" t="s">
        <v>3</v>
      </c>
      <c r="Q147" s="1" t="s">
        <v>84</v>
      </c>
      <c r="BE147" s="5"/>
    </row>
    <row r="148" spans="2:57">
      <c r="B148" s="4"/>
      <c r="BE148" s="5"/>
    </row>
    <row r="149" spans="2:57">
      <c r="B149" s="4"/>
      <c r="D149" s="1" t="s">
        <v>17</v>
      </c>
      <c r="AB149" s="7"/>
      <c r="AC149" s="7" t="s">
        <v>18</v>
      </c>
      <c r="AF149" s="1" t="s">
        <v>132</v>
      </c>
      <c r="BE149" s="5"/>
    </row>
    <row r="150" spans="2:57">
      <c r="B150" s="4"/>
      <c r="AF150" s="12" t="s">
        <v>5</v>
      </c>
      <c r="AH150" s="35">
        <v>0.1</v>
      </c>
      <c r="AI150" s="35"/>
      <c r="AJ150" s="35"/>
      <c r="AK150" s="1" t="s">
        <v>8</v>
      </c>
      <c r="AM150" s="1" t="s">
        <v>126</v>
      </c>
      <c r="BE150" s="5"/>
    </row>
    <row r="151" spans="2:57">
      <c r="B151" s="4"/>
      <c r="AF151" s="12" t="s">
        <v>10</v>
      </c>
      <c r="AH151" s="35">
        <v>1</v>
      </c>
      <c r="AI151" s="35"/>
      <c r="AJ151" s="35"/>
      <c r="AK151" s="1" t="s">
        <v>8</v>
      </c>
      <c r="AM151" s="1" t="s">
        <v>126</v>
      </c>
      <c r="BE151" s="5"/>
    </row>
    <row r="152" spans="2:57">
      <c r="B152" s="4"/>
      <c r="AF152" s="1" t="s">
        <v>14</v>
      </c>
      <c r="AJ152" s="34">
        <f>+AH150</f>
        <v>0.1</v>
      </c>
      <c r="AK152" s="34"/>
      <c r="AL152" s="34"/>
      <c r="AM152" s="1" t="s">
        <v>15</v>
      </c>
      <c r="AN152" s="34">
        <f>+AH151</f>
        <v>1</v>
      </c>
      <c r="AO152" s="34"/>
      <c r="AP152" s="34"/>
      <c r="AQ152" s="9" t="s">
        <v>7</v>
      </c>
      <c r="AR152" s="34">
        <f>+AJ152/AN152</f>
        <v>0.1</v>
      </c>
      <c r="AS152" s="34"/>
      <c r="AT152" s="34"/>
      <c r="BE152" s="5"/>
    </row>
    <row r="153" spans="2:57">
      <c r="B153" s="4"/>
      <c r="D153" s="6" t="s">
        <v>0</v>
      </c>
      <c r="AC153" s="6" t="s">
        <v>0</v>
      </c>
      <c r="AF153" s="13" t="s">
        <v>86</v>
      </c>
      <c r="AH153" s="34">
        <f>+J147/Q159</f>
        <v>0.2</v>
      </c>
      <c r="AI153" s="34"/>
      <c r="AJ153" s="34"/>
      <c r="BE153" s="5"/>
    </row>
    <row r="154" spans="2:57">
      <c r="B154" s="4"/>
      <c r="AF154" s="13" t="s">
        <v>46</v>
      </c>
      <c r="AH154" s="34">
        <f>AH153*AR152/2*(1-AH153)+4*AH153*(1-AR152)/12-4*(1-AR152)*(AH153^3/6-AH153^4/12)-(AR152+4)/120</f>
        <v>2.9513333333333336E-2</v>
      </c>
      <c r="AI154" s="34"/>
      <c r="AJ154" s="34"/>
      <c r="BE154" s="5"/>
    </row>
    <row r="155" spans="2:57">
      <c r="B155" s="4"/>
      <c r="AF155" s="13" t="s">
        <v>48</v>
      </c>
      <c r="AH155" s="34">
        <f>(AH153*AR152*(1/2-AH153^2/6)+(1-AR152)*(AH153/3-AH153^4/3+AH153^5/5))-AH153*(2*AR152+3)/15</f>
        <v>2.6777599999999999E-2</v>
      </c>
      <c r="AI155" s="34"/>
      <c r="AJ155" s="34"/>
      <c r="BE155" s="5"/>
    </row>
    <row r="156" spans="2:57">
      <c r="B156" s="4"/>
      <c r="BE156" s="5"/>
    </row>
    <row r="157" spans="2:57">
      <c r="B157" s="4"/>
      <c r="BE157" s="5"/>
    </row>
    <row r="158" spans="2:57">
      <c r="B158" s="4"/>
      <c r="BE158" s="5"/>
    </row>
    <row r="159" spans="2:57">
      <c r="B159" s="4"/>
      <c r="P159" s="1" t="s">
        <v>2</v>
      </c>
      <c r="Q159" s="35">
        <v>30</v>
      </c>
      <c r="R159" s="35"/>
      <c r="S159" s="1" t="s">
        <v>3</v>
      </c>
      <c r="BE159" s="5"/>
    </row>
    <row r="160" spans="2:57" ht="12" thickBot="1">
      <c r="B160" s="16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8"/>
    </row>
    <row r="161" spans="2:57" ht="12" thickBot="1"/>
    <row r="162" spans="2:57" ht="49.5" customHeight="1">
      <c r="B162" s="36" t="s">
        <v>135</v>
      </c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8"/>
    </row>
    <row r="163" spans="2:57">
      <c r="B163" s="4"/>
      <c r="AI163" s="19" t="s">
        <v>123</v>
      </c>
      <c r="BE163" s="5"/>
    </row>
    <row r="164" spans="2:57">
      <c r="B164" s="4"/>
      <c r="O164" s="1" t="s">
        <v>41</v>
      </c>
      <c r="BE164" s="5"/>
    </row>
    <row r="165" spans="2:57">
      <c r="B165" s="4"/>
      <c r="BE165" s="5"/>
    </row>
    <row r="166" spans="2:57">
      <c r="B166" s="4"/>
      <c r="D166" s="1" t="s">
        <v>17</v>
      </c>
      <c r="P166" s="6"/>
      <c r="AB166" s="7"/>
      <c r="AC166" s="7" t="s">
        <v>18</v>
      </c>
      <c r="AF166" s="1" t="s">
        <v>132</v>
      </c>
      <c r="BE166" s="5"/>
    </row>
    <row r="167" spans="2:57">
      <c r="B167" s="4"/>
      <c r="AF167" s="12" t="s">
        <v>5</v>
      </c>
      <c r="AH167" s="35">
        <v>0.1</v>
      </c>
      <c r="AI167" s="35"/>
      <c r="AJ167" s="35"/>
      <c r="AK167" s="1" t="s">
        <v>8</v>
      </c>
      <c r="AM167" s="1" t="s">
        <v>126</v>
      </c>
      <c r="BE167" s="5"/>
    </row>
    <row r="168" spans="2:57">
      <c r="B168" s="4"/>
      <c r="AC168" s="6" t="s">
        <v>1</v>
      </c>
      <c r="AF168" s="12" t="s">
        <v>10</v>
      </c>
      <c r="AH168" s="35">
        <v>1</v>
      </c>
      <c r="AI168" s="35"/>
      <c r="AJ168" s="35"/>
      <c r="AK168" s="1" t="s">
        <v>8</v>
      </c>
      <c r="AM168" s="1" t="s">
        <v>126</v>
      </c>
      <c r="BE168" s="5"/>
    </row>
    <row r="169" spans="2:57">
      <c r="B169" s="4"/>
      <c r="AF169" s="1" t="s">
        <v>14</v>
      </c>
      <c r="AJ169" s="34">
        <f>+AH167</f>
        <v>0.1</v>
      </c>
      <c r="AK169" s="34"/>
      <c r="AL169" s="34"/>
      <c r="AM169" s="1" t="s">
        <v>15</v>
      </c>
      <c r="AN169" s="34">
        <f>+AH168</f>
        <v>1</v>
      </c>
      <c r="AO169" s="34"/>
      <c r="AP169" s="34"/>
      <c r="AQ169" s="9" t="s">
        <v>7</v>
      </c>
      <c r="AR169" s="34">
        <f>+AJ169/AN169</f>
        <v>0.1</v>
      </c>
      <c r="AS169" s="34"/>
      <c r="AT169" s="34"/>
      <c r="BE169" s="5"/>
    </row>
    <row r="170" spans="2:57">
      <c r="B170" s="4"/>
      <c r="D170" s="6" t="s">
        <v>0</v>
      </c>
      <c r="AF170" s="13" t="s">
        <v>22</v>
      </c>
      <c r="AH170" s="34">
        <f>(3*AR169+1)/12</f>
        <v>0.10833333333333334</v>
      </c>
      <c r="AI170" s="34"/>
      <c r="AJ170" s="34"/>
      <c r="BE170" s="5"/>
    </row>
    <row r="171" spans="2:57">
      <c r="B171" s="4"/>
      <c r="AF171" s="13" t="s">
        <v>21</v>
      </c>
      <c r="AH171" s="34">
        <f>(AR169+3)/12</f>
        <v>0.25833333333333336</v>
      </c>
      <c r="AI171" s="34"/>
      <c r="AJ171" s="34"/>
      <c r="BE171" s="5"/>
    </row>
    <row r="172" spans="2:57">
      <c r="B172" s="4"/>
      <c r="AF172" s="13" t="s">
        <v>23</v>
      </c>
      <c r="AH172" s="34">
        <f>(AR169+1)/12</f>
        <v>9.1666666666666674E-2</v>
      </c>
      <c r="AI172" s="34"/>
      <c r="AJ172" s="34"/>
      <c r="BE172" s="5"/>
    </row>
    <row r="173" spans="2:57">
      <c r="B173" s="4"/>
      <c r="AF173" s="13" t="s">
        <v>90</v>
      </c>
      <c r="AH173" s="34">
        <f>(3*AR169+2)/120</f>
        <v>1.9166666666666665E-2</v>
      </c>
      <c r="AI173" s="34"/>
      <c r="AJ173" s="34"/>
      <c r="AM173" s="13"/>
      <c r="BE173" s="5"/>
    </row>
    <row r="174" spans="2:57">
      <c r="B174" s="4"/>
      <c r="AF174" s="13" t="s">
        <v>92</v>
      </c>
      <c r="AH174" s="34">
        <f>(2*AR169+3)/120</f>
        <v>2.6666666666666668E-2</v>
      </c>
      <c r="AI174" s="34"/>
      <c r="AJ174" s="34"/>
      <c r="AM174" s="13"/>
      <c r="BE174" s="5"/>
    </row>
    <row r="175" spans="2:57">
      <c r="B175" s="4"/>
      <c r="BE175" s="5"/>
    </row>
    <row r="176" spans="2:57">
      <c r="B176" s="4"/>
      <c r="P176" s="1" t="s">
        <v>2</v>
      </c>
      <c r="Q176" s="35">
        <v>30</v>
      </c>
      <c r="R176" s="35"/>
      <c r="S176" s="1" t="s">
        <v>3</v>
      </c>
      <c r="BE176" s="5"/>
    </row>
    <row r="177" spans="2:57" ht="12" thickBot="1">
      <c r="B177" s="16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8"/>
    </row>
    <row r="178" spans="2:57" ht="12" thickBot="1"/>
    <row r="179" spans="2:57" ht="49.5" customHeight="1">
      <c r="B179" s="36" t="s">
        <v>135</v>
      </c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8"/>
    </row>
    <row r="180" spans="2:57">
      <c r="B180" s="4"/>
      <c r="AI180" s="19" t="s">
        <v>123</v>
      </c>
      <c r="BE180" s="5"/>
    </row>
    <row r="181" spans="2:57">
      <c r="B181" s="4"/>
      <c r="G181" s="8" t="s">
        <v>109</v>
      </c>
      <c r="J181" s="35">
        <v>12</v>
      </c>
      <c r="K181" s="35"/>
      <c r="L181" s="1" t="s">
        <v>3</v>
      </c>
      <c r="Q181" s="1" t="s">
        <v>84</v>
      </c>
      <c r="BE181" s="5"/>
    </row>
    <row r="182" spans="2:57">
      <c r="B182" s="4"/>
      <c r="BE182" s="5"/>
    </row>
    <row r="183" spans="2:57">
      <c r="B183" s="4"/>
      <c r="D183" s="1" t="s">
        <v>17</v>
      </c>
      <c r="AB183" s="7"/>
      <c r="AC183" s="7" t="s">
        <v>18</v>
      </c>
      <c r="AF183" s="1" t="s">
        <v>132</v>
      </c>
      <c r="BE183" s="5"/>
    </row>
    <row r="184" spans="2:57">
      <c r="B184" s="4"/>
      <c r="AF184" s="12" t="s">
        <v>5</v>
      </c>
      <c r="AH184" s="35">
        <v>0.1</v>
      </c>
      <c r="AI184" s="35"/>
      <c r="AJ184" s="35"/>
      <c r="AK184" s="1" t="s">
        <v>8</v>
      </c>
      <c r="AM184" s="1" t="s">
        <v>126</v>
      </c>
      <c r="BE184" s="5"/>
    </row>
    <row r="185" spans="2:57">
      <c r="B185" s="4"/>
      <c r="AC185" s="6" t="s">
        <v>1</v>
      </c>
      <c r="AF185" s="12" t="s">
        <v>10</v>
      </c>
      <c r="AH185" s="35">
        <v>1</v>
      </c>
      <c r="AI185" s="35"/>
      <c r="AJ185" s="35"/>
      <c r="AK185" s="1" t="s">
        <v>8</v>
      </c>
      <c r="AM185" s="1" t="s">
        <v>126</v>
      </c>
      <c r="BE185" s="5"/>
    </row>
    <row r="186" spans="2:57">
      <c r="B186" s="4"/>
      <c r="AF186" s="1" t="s">
        <v>14</v>
      </c>
      <c r="AJ186" s="34">
        <f>+AH184</f>
        <v>0.1</v>
      </c>
      <c r="AK186" s="34"/>
      <c r="AL186" s="34"/>
      <c r="AM186" s="1" t="s">
        <v>15</v>
      </c>
      <c r="AN186" s="34">
        <f>+AH185</f>
        <v>1</v>
      </c>
      <c r="AO186" s="34"/>
      <c r="AP186" s="34"/>
      <c r="AQ186" s="9" t="s">
        <v>7</v>
      </c>
      <c r="AR186" s="34">
        <f>+AJ186/AN186</f>
        <v>0.1</v>
      </c>
      <c r="AS186" s="34"/>
      <c r="AT186" s="34"/>
      <c r="BE186" s="5"/>
    </row>
    <row r="187" spans="2:57">
      <c r="B187" s="4"/>
      <c r="D187" s="6" t="s">
        <v>0</v>
      </c>
      <c r="AF187" s="13" t="s">
        <v>86</v>
      </c>
      <c r="AH187" s="34">
        <f>+J181/Q193</f>
        <v>0.4</v>
      </c>
      <c r="AI187" s="34"/>
      <c r="AJ187" s="34"/>
      <c r="BE187" s="5"/>
    </row>
    <row r="188" spans="2:57">
      <c r="B188" s="4"/>
      <c r="AF188" s="13" t="s">
        <v>46</v>
      </c>
      <c r="AH188" s="34">
        <f>1/12*(AH187+3*AH187*AR186-6*AR186*AH187^2-2*AH187^3+4*AR186*AH187^3+(1-AR186)*AH187^4)</f>
        <v>2.8719999999999996E-2</v>
      </c>
      <c r="AI188" s="34"/>
      <c r="AJ188" s="34"/>
      <c r="BE188" s="5"/>
    </row>
    <row r="189" spans="2:57">
      <c r="B189" s="4"/>
      <c r="AF189" s="13" t="s">
        <v>48</v>
      </c>
      <c r="AH189" s="34">
        <f>1/12*(AH187+AH187*AR186-2*AR186*AH187^3-(1-AR186)*AH187^4)</f>
        <v>3.3680000000000002E-2</v>
      </c>
      <c r="AI189" s="34"/>
      <c r="AJ189" s="34"/>
      <c r="BE189" s="5"/>
    </row>
    <row r="190" spans="2:57">
      <c r="B190" s="4"/>
      <c r="BE190" s="5"/>
    </row>
    <row r="191" spans="2:57">
      <c r="B191" s="4"/>
      <c r="BE191" s="5"/>
    </row>
    <row r="192" spans="2:57">
      <c r="B192" s="4"/>
      <c r="BE192" s="5"/>
    </row>
    <row r="193" spans="2:57">
      <c r="B193" s="4"/>
      <c r="P193" s="1" t="s">
        <v>2</v>
      </c>
      <c r="Q193" s="35">
        <v>30</v>
      </c>
      <c r="R193" s="35"/>
      <c r="S193" s="1" t="s">
        <v>3</v>
      </c>
      <c r="BE193" s="5"/>
    </row>
    <row r="194" spans="2:57" ht="12" thickBot="1">
      <c r="B194" s="16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8"/>
    </row>
    <row r="195" spans="2:57" ht="12" thickBot="1"/>
    <row r="196" spans="2:57" ht="49.5" customHeight="1">
      <c r="B196" s="36" t="s">
        <v>135</v>
      </c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8"/>
    </row>
    <row r="197" spans="2:57">
      <c r="B197" s="4"/>
      <c r="AI197" s="19" t="s">
        <v>123</v>
      </c>
      <c r="BE197" s="5"/>
    </row>
    <row r="198" spans="2:57">
      <c r="B198" s="4"/>
      <c r="P198" s="1" t="s">
        <v>41</v>
      </c>
      <c r="BE198" s="5"/>
    </row>
    <row r="199" spans="2:57">
      <c r="B199" s="4"/>
      <c r="AG199" s="1" t="s">
        <v>132</v>
      </c>
      <c r="BE199" s="5"/>
    </row>
    <row r="200" spans="2:57">
      <c r="B200" s="4"/>
      <c r="D200" s="1" t="s">
        <v>17</v>
      </c>
      <c r="AC200" s="7" t="s">
        <v>18</v>
      </c>
      <c r="AG200" s="12" t="s">
        <v>5</v>
      </c>
      <c r="AI200" s="35">
        <v>0.3</v>
      </c>
      <c r="AJ200" s="35"/>
      <c r="AK200" s="35"/>
      <c r="AL200" s="1" t="s">
        <v>8</v>
      </c>
      <c r="AN200" s="1" t="s">
        <v>126</v>
      </c>
      <c r="BE200" s="5"/>
    </row>
    <row r="201" spans="2:57">
      <c r="B201" s="4"/>
      <c r="AG201" s="12" t="s">
        <v>10</v>
      </c>
      <c r="AI201" s="35">
        <v>1</v>
      </c>
      <c r="AJ201" s="35"/>
      <c r="AK201" s="35"/>
      <c r="AL201" s="1" t="s">
        <v>8</v>
      </c>
      <c r="AN201" s="1" t="s">
        <v>126</v>
      </c>
      <c r="BE201" s="5"/>
    </row>
    <row r="202" spans="2:57">
      <c r="B202" s="4"/>
      <c r="AG202" s="1" t="s">
        <v>14</v>
      </c>
      <c r="AK202" s="34">
        <f>+AI200</f>
        <v>0.3</v>
      </c>
      <c r="AL202" s="34"/>
      <c r="AM202" s="34"/>
      <c r="AN202" s="1" t="s">
        <v>15</v>
      </c>
      <c r="AO202" s="34">
        <f>+AI201</f>
        <v>1</v>
      </c>
      <c r="AP202" s="34"/>
      <c r="AQ202" s="34"/>
      <c r="AR202" s="9" t="s">
        <v>7</v>
      </c>
      <c r="AS202" s="34">
        <f>+AK202/AO202</f>
        <v>0.3</v>
      </c>
      <c r="AT202" s="34"/>
      <c r="AU202" s="34"/>
      <c r="BE202" s="5"/>
    </row>
    <row r="203" spans="2:57">
      <c r="B203" s="4"/>
      <c r="D203" s="6" t="s">
        <v>0</v>
      </c>
      <c r="AG203" s="1" t="s">
        <v>16</v>
      </c>
      <c r="AM203" s="34">
        <f>1/AS202^(1/3)-1</f>
        <v>0.49380158218572157</v>
      </c>
      <c r="AN203" s="34"/>
      <c r="AO203" s="34"/>
      <c r="BE203" s="5"/>
    </row>
    <row r="204" spans="2:57">
      <c r="B204" s="4"/>
      <c r="Q204" s="6" t="s">
        <v>1</v>
      </c>
      <c r="AG204" s="13" t="s">
        <v>85</v>
      </c>
      <c r="AI204" s="34">
        <f>+G207/P209</f>
        <v>0.4</v>
      </c>
      <c r="AJ204" s="34"/>
      <c r="AK204" s="34"/>
      <c r="BE204" s="5"/>
    </row>
    <row r="205" spans="2:57">
      <c r="B205" s="4"/>
      <c r="AG205" s="13" t="s">
        <v>22</v>
      </c>
      <c r="AI205" s="34">
        <f>AS202/3+(1-AS202)*(1-AI204)^3/3</f>
        <v>0.15039999999999998</v>
      </c>
      <c r="AJ205" s="34"/>
      <c r="AK205" s="34"/>
      <c r="BE205" s="5"/>
    </row>
    <row r="206" spans="2:57">
      <c r="B206" s="4"/>
      <c r="AG206" s="13" t="s">
        <v>21</v>
      </c>
      <c r="AI206" s="34">
        <f>1/3-(1-AS202)*AI204^3/3</f>
        <v>0.31839999999999996</v>
      </c>
      <c r="AJ206" s="34"/>
      <c r="AK206" s="34"/>
      <c r="BE206" s="5"/>
    </row>
    <row r="207" spans="2:57">
      <c r="B207" s="4"/>
      <c r="E207" s="8" t="s">
        <v>4</v>
      </c>
      <c r="G207" s="35">
        <v>12</v>
      </c>
      <c r="H207" s="35"/>
      <c r="I207" s="1" t="s">
        <v>3</v>
      </c>
      <c r="R207" s="34">
        <f>+P209-G207</f>
        <v>18</v>
      </c>
      <c r="S207" s="34"/>
      <c r="T207" s="1" t="s">
        <v>3</v>
      </c>
      <c r="AG207" s="13" t="s">
        <v>23</v>
      </c>
      <c r="AI207" s="34">
        <f>AS202/6+(1-AS202)*(1-AI204)^2*(2*AI204+1)/6</f>
        <v>0.12559999999999999</v>
      </c>
      <c r="AJ207" s="34"/>
      <c r="AK207" s="34"/>
      <c r="BE207" s="5"/>
    </row>
    <row r="208" spans="2:57">
      <c r="B208" s="4"/>
      <c r="AG208" s="13" t="s">
        <v>90</v>
      </c>
      <c r="AI208" s="34">
        <f>AS202/24+(1-AS202)*(1-AI204)^3*(1/24+AI204/8)</f>
        <v>2.6360000000000001E-2</v>
      </c>
      <c r="AJ208" s="34"/>
      <c r="AK208" s="34"/>
      <c r="BE208" s="5"/>
    </row>
    <row r="209" spans="2:57">
      <c r="B209" s="4"/>
      <c r="O209" s="1" t="s">
        <v>2</v>
      </c>
      <c r="P209" s="35">
        <v>30</v>
      </c>
      <c r="Q209" s="35"/>
      <c r="R209" s="1" t="s">
        <v>3</v>
      </c>
      <c r="AG209" s="13" t="s">
        <v>92</v>
      </c>
      <c r="AI209" s="34">
        <f>1/24-(1-AS202)*(AI204^3/6-AI204^4/8)</f>
        <v>3.644E-2</v>
      </c>
      <c r="AJ209" s="34"/>
      <c r="AK209" s="34"/>
      <c r="BE209" s="5"/>
    </row>
    <row r="210" spans="2:57" ht="12" thickBot="1">
      <c r="B210" s="16"/>
      <c r="C210" s="17"/>
      <c r="D210" s="17"/>
      <c r="E210" s="17"/>
      <c r="F210" s="20"/>
      <c r="G210" s="17"/>
      <c r="H210" s="17"/>
      <c r="I210" s="17"/>
      <c r="J210" s="17"/>
      <c r="K210" s="17"/>
      <c r="L210" s="17"/>
      <c r="M210" s="20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8"/>
    </row>
    <row r="211" spans="2:57" ht="12" thickBot="1">
      <c r="F211" s="10"/>
      <c r="M211" s="10"/>
    </row>
    <row r="212" spans="2:57" ht="49.5" customHeight="1">
      <c r="B212" s="36" t="s">
        <v>135</v>
      </c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8"/>
    </row>
    <row r="213" spans="2:57">
      <c r="B213" s="4"/>
      <c r="AI213" s="19" t="s">
        <v>123</v>
      </c>
      <c r="BE213" s="5"/>
    </row>
    <row r="214" spans="2:57">
      <c r="B214" s="4"/>
      <c r="G214" s="8" t="s">
        <v>109</v>
      </c>
      <c r="J214" s="35">
        <v>9</v>
      </c>
      <c r="K214" s="35"/>
      <c r="L214" s="1" t="s">
        <v>3</v>
      </c>
      <c r="Q214" s="1" t="s">
        <v>84</v>
      </c>
      <c r="AY214" s="13"/>
      <c r="BE214" s="5"/>
    </row>
    <row r="215" spans="2:57">
      <c r="B215" s="4"/>
      <c r="AG215" s="1" t="s">
        <v>132</v>
      </c>
      <c r="AY215" s="13"/>
      <c r="BE215" s="5"/>
    </row>
    <row r="216" spans="2:57">
      <c r="B216" s="4"/>
      <c r="D216" s="1" t="s">
        <v>17</v>
      </c>
      <c r="AC216" s="7" t="s">
        <v>18</v>
      </c>
      <c r="AG216" s="12" t="s">
        <v>5</v>
      </c>
      <c r="AI216" s="35">
        <v>0.1</v>
      </c>
      <c r="AJ216" s="35"/>
      <c r="AK216" s="35"/>
      <c r="AL216" s="1" t="s">
        <v>8</v>
      </c>
      <c r="AN216" s="1" t="s">
        <v>126</v>
      </c>
      <c r="AY216" s="13"/>
      <c r="BE216" s="5"/>
    </row>
    <row r="217" spans="2:57">
      <c r="B217" s="4"/>
      <c r="AG217" s="12" t="s">
        <v>10</v>
      </c>
      <c r="AI217" s="35">
        <v>1</v>
      </c>
      <c r="AJ217" s="35"/>
      <c r="AK217" s="35"/>
      <c r="AL217" s="1" t="s">
        <v>8</v>
      </c>
      <c r="AN217" s="1" t="s">
        <v>126</v>
      </c>
      <c r="AY217" s="13"/>
      <c r="BE217" s="5"/>
    </row>
    <row r="218" spans="2:57">
      <c r="B218" s="4"/>
      <c r="AG218" s="1" t="s">
        <v>14</v>
      </c>
      <c r="AK218" s="34">
        <f>+AI216</f>
        <v>0.1</v>
      </c>
      <c r="AL218" s="34"/>
      <c r="AM218" s="34"/>
      <c r="AN218" s="1" t="s">
        <v>15</v>
      </c>
      <c r="AO218" s="34">
        <f>+AI217</f>
        <v>1</v>
      </c>
      <c r="AP218" s="34"/>
      <c r="AQ218" s="34"/>
      <c r="AR218" s="9" t="s">
        <v>7</v>
      </c>
      <c r="AS218" s="34">
        <f>+AK218/AO218</f>
        <v>0.1</v>
      </c>
      <c r="AT218" s="34"/>
      <c r="AU218" s="34"/>
      <c r="AY218" s="13"/>
      <c r="BE218" s="5"/>
    </row>
    <row r="219" spans="2:57">
      <c r="B219" s="4"/>
      <c r="D219" s="6" t="s">
        <v>0</v>
      </c>
      <c r="AG219" s="1" t="s">
        <v>16</v>
      </c>
      <c r="AM219" s="34">
        <f>1/AS218^(1/3)-1</f>
        <v>1.1544346900318834</v>
      </c>
      <c r="AN219" s="34"/>
      <c r="AO219" s="34"/>
      <c r="BE219" s="5"/>
    </row>
    <row r="220" spans="2:57">
      <c r="B220" s="4"/>
      <c r="Q220" s="6" t="s">
        <v>1</v>
      </c>
      <c r="AG220" s="13" t="s">
        <v>85</v>
      </c>
      <c r="AI220" s="34">
        <f>+G223/P225</f>
        <v>0.4</v>
      </c>
      <c r="AJ220" s="34"/>
      <c r="AK220" s="34"/>
      <c r="BE220" s="5"/>
    </row>
    <row r="221" spans="2:57">
      <c r="B221" s="4"/>
      <c r="AG221" s="13" t="s">
        <v>86</v>
      </c>
      <c r="AI221" s="34">
        <f>+J214/P225</f>
        <v>0.3</v>
      </c>
      <c r="AJ221" s="34"/>
      <c r="AK221" s="34"/>
      <c r="BE221" s="5"/>
    </row>
    <row r="222" spans="2:57">
      <c r="B222" s="4"/>
      <c r="AG222" s="13" t="s">
        <v>46</v>
      </c>
      <c r="AI222" s="34">
        <f>IF(AI221&gt;G223,AI221/6*(1-AI221^2)+(AI221-1)/3*(AI220^3-AS218*AI220^3),AS218*AI221/6*(1-AI221^2)+(1-AS218)*AI221/6*(1-3*AI220^2+2*AI220^3))</f>
        <v>3.3709999999999997E-2</v>
      </c>
      <c r="AJ222" s="34"/>
      <c r="AK222" s="34"/>
      <c r="BE222" s="5"/>
    </row>
    <row r="223" spans="2:57">
      <c r="B223" s="4"/>
      <c r="E223" s="8" t="s">
        <v>4</v>
      </c>
      <c r="G223" s="35">
        <v>12</v>
      </c>
      <c r="H223" s="35"/>
      <c r="I223" s="1" t="s">
        <v>3</v>
      </c>
      <c r="R223" s="34">
        <f>+P225-G223</f>
        <v>18</v>
      </c>
      <c r="S223" s="34"/>
      <c r="T223" s="1" t="s">
        <v>3</v>
      </c>
      <c r="AG223" s="13" t="s">
        <v>48</v>
      </c>
      <c r="AI223" s="34">
        <f>IF(AI221&gt;G223,AI221/3*(1-3/2*AI221+0.5*AI221^2)+(AI221-1)/3*(3*(AI220^2-AS218*AI220^2)/2-AI220^3+AS218*AI220^3),AS218*AI221/3*(1-3/2*AI221+0.5*AI221^2)+(1-AS218)*AI221/3*(1-AI220)^3)</f>
        <v>2.5390000000000003E-2</v>
      </c>
      <c r="AJ223" s="34"/>
      <c r="AK223" s="34"/>
      <c r="BE223" s="5"/>
    </row>
    <row r="224" spans="2:57">
      <c r="B224" s="4"/>
      <c r="BE224" s="5"/>
    </row>
    <row r="225" spans="2:57">
      <c r="B225" s="4"/>
      <c r="O225" s="1" t="s">
        <v>2</v>
      </c>
      <c r="P225" s="35">
        <v>30</v>
      </c>
      <c r="Q225" s="35"/>
      <c r="R225" s="1" t="s">
        <v>3</v>
      </c>
      <c r="BE225" s="5"/>
    </row>
    <row r="226" spans="2:57" ht="12" thickBot="1">
      <c r="B226" s="16"/>
      <c r="C226" s="17"/>
      <c r="D226" s="17"/>
      <c r="E226" s="17"/>
      <c r="F226" s="20"/>
      <c r="G226" s="17"/>
      <c r="H226" s="17"/>
      <c r="I226" s="17"/>
      <c r="J226" s="17"/>
      <c r="K226" s="17"/>
      <c r="L226" s="17"/>
      <c r="M226" s="20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8"/>
    </row>
    <row r="227" spans="2:57" ht="12" thickBot="1">
      <c r="B227" s="21"/>
      <c r="C227" s="21"/>
      <c r="D227" s="21"/>
      <c r="E227" s="21"/>
      <c r="F227" s="23"/>
      <c r="G227" s="21"/>
      <c r="H227" s="21"/>
      <c r="I227" s="21"/>
      <c r="J227" s="21"/>
      <c r="K227" s="21"/>
      <c r="L227" s="21"/>
      <c r="M227" s="23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</row>
    <row r="228" spans="2:57" ht="49.5" customHeight="1">
      <c r="B228" s="36" t="s">
        <v>134</v>
      </c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7"/>
      <c r="AS228" s="37"/>
      <c r="AT228" s="37"/>
      <c r="AU228" s="37"/>
      <c r="AV228" s="37"/>
      <c r="AW228" s="37"/>
      <c r="AX228" s="37"/>
      <c r="AY228" s="37"/>
      <c r="AZ228" s="37"/>
      <c r="BA228" s="37"/>
      <c r="BB228" s="37"/>
      <c r="BC228" s="37"/>
      <c r="BD228" s="37"/>
      <c r="BE228" s="38"/>
    </row>
    <row r="229" spans="2:57">
      <c r="B229" s="4"/>
      <c r="AI229" s="19" t="s">
        <v>123</v>
      </c>
      <c r="BE229" s="5"/>
    </row>
    <row r="230" spans="2:57">
      <c r="B230" s="4"/>
      <c r="M230" s="1" t="s">
        <v>41</v>
      </c>
      <c r="BE230" s="5"/>
    </row>
    <row r="231" spans="2:57">
      <c r="B231" s="4"/>
      <c r="AG231" s="1" t="s">
        <v>132</v>
      </c>
      <c r="BE231" s="5"/>
    </row>
    <row r="232" spans="2:57">
      <c r="B232" s="4"/>
      <c r="D232" s="1" t="s">
        <v>17</v>
      </c>
      <c r="AC232" s="7" t="s">
        <v>18</v>
      </c>
      <c r="AG232" s="12" t="s">
        <v>5</v>
      </c>
      <c r="AI232" s="35">
        <v>0.2</v>
      </c>
      <c r="AJ232" s="35"/>
      <c r="AK232" s="35"/>
      <c r="AL232" s="1" t="s">
        <v>8</v>
      </c>
      <c r="AN232" s="1" t="s">
        <v>126</v>
      </c>
      <c r="BE232" s="5"/>
    </row>
    <row r="233" spans="2:57">
      <c r="B233" s="4"/>
      <c r="AG233" s="12" t="s">
        <v>10</v>
      </c>
      <c r="AI233" s="35">
        <v>1</v>
      </c>
      <c r="AJ233" s="35"/>
      <c r="AK233" s="35"/>
      <c r="AL233" s="1" t="s">
        <v>8</v>
      </c>
      <c r="AN233" s="1" t="s">
        <v>126</v>
      </c>
      <c r="BE233" s="5"/>
    </row>
    <row r="234" spans="2:57">
      <c r="B234" s="4"/>
      <c r="AG234" s="1" t="s">
        <v>14</v>
      </c>
      <c r="AK234" s="34">
        <f>+AI232</f>
        <v>0.2</v>
      </c>
      <c r="AL234" s="34"/>
      <c r="AM234" s="34"/>
      <c r="AN234" s="1" t="s">
        <v>15</v>
      </c>
      <c r="AO234" s="34">
        <f>+AI233</f>
        <v>1</v>
      </c>
      <c r="AP234" s="34"/>
      <c r="AQ234" s="34"/>
      <c r="AR234" s="9" t="s">
        <v>7</v>
      </c>
      <c r="AS234" s="34">
        <f>+AK234/AO234</f>
        <v>0.2</v>
      </c>
      <c r="AT234" s="34"/>
      <c r="AU234" s="34"/>
      <c r="BE234" s="5"/>
    </row>
    <row r="235" spans="2:57">
      <c r="B235" s="4"/>
      <c r="D235" s="6" t="s">
        <v>0</v>
      </c>
      <c r="AC235" s="6" t="s">
        <v>0</v>
      </c>
      <c r="AG235" s="1" t="s">
        <v>16</v>
      </c>
      <c r="AM235" s="34">
        <f>1/AS234^(1/3)-1</f>
        <v>0.70997594667669683</v>
      </c>
      <c r="AN235" s="34"/>
      <c r="AO235" s="34"/>
      <c r="BE235" s="5"/>
    </row>
    <row r="236" spans="2:57">
      <c r="B236" s="4"/>
      <c r="P236" s="6" t="s">
        <v>1</v>
      </c>
      <c r="AG236" s="13" t="s">
        <v>85</v>
      </c>
      <c r="AI236" s="34">
        <f>+G239/P241</f>
        <v>0.4</v>
      </c>
      <c r="AJ236" s="34"/>
      <c r="AK236" s="34"/>
      <c r="BE236" s="5"/>
    </row>
    <row r="237" spans="2:57">
      <c r="B237" s="4"/>
      <c r="AG237" s="13" t="s">
        <v>127</v>
      </c>
      <c r="AJ237" s="34">
        <f>(AI236*(AM235+2)/(2*(AM235+1)^2))-(AI236^2/(AM235+1))+AI236^3/AM235^3*(2*LN(AM235+1)+AM235^2-2*AM235)+((1-AI236)^3-AI236^3)/3</f>
        <v>0.17054769442995552</v>
      </c>
      <c r="AK237" s="34"/>
      <c r="AL237" s="34"/>
      <c r="BE237" s="5"/>
    </row>
    <row r="238" spans="2:57">
      <c r="B238" s="4"/>
      <c r="AG238" s="13" t="s">
        <v>128</v>
      </c>
      <c r="AJ238" s="34">
        <f>0.5-(AI236*AM235*(2*AM235+3)/(2*(AM235+1)^2))-AJ237</f>
        <v>0.11481205296562705</v>
      </c>
      <c r="AK238" s="34"/>
      <c r="AL238" s="34"/>
      <c r="BE238" s="5"/>
    </row>
    <row r="239" spans="2:57">
      <c r="B239" s="4"/>
      <c r="E239" s="8" t="s">
        <v>4</v>
      </c>
      <c r="G239" s="35">
        <v>12</v>
      </c>
      <c r="H239" s="35"/>
      <c r="I239" s="1" t="s">
        <v>3</v>
      </c>
      <c r="P239" s="34">
        <f>+P241-G239-Z239</f>
        <v>6</v>
      </c>
      <c r="Q239" s="34"/>
      <c r="R239" s="1" t="s">
        <v>3</v>
      </c>
      <c r="X239" s="8" t="s">
        <v>4</v>
      </c>
      <c r="Z239" s="34">
        <f>+G239</f>
        <v>12</v>
      </c>
      <c r="AA239" s="34"/>
      <c r="AB239" s="1" t="s">
        <v>3</v>
      </c>
      <c r="AG239" s="13" t="s">
        <v>129</v>
      </c>
      <c r="AJ239" s="34">
        <f>+AJ238/4</f>
        <v>2.8703013241406762E-2</v>
      </c>
      <c r="AK239" s="34"/>
      <c r="AL239" s="34"/>
      <c r="BE239" s="5"/>
    </row>
    <row r="240" spans="2:57">
      <c r="B240" s="4"/>
      <c r="BE240" s="5"/>
    </row>
    <row r="241" spans="2:57">
      <c r="B241" s="4"/>
      <c r="O241" s="1" t="s">
        <v>2</v>
      </c>
      <c r="P241" s="35">
        <v>30</v>
      </c>
      <c r="Q241" s="35"/>
      <c r="R241" s="1" t="s">
        <v>3</v>
      </c>
      <c r="BE241" s="5"/>
    </row>
    <row r="242" spans="2:57" ht="12" thickBot="1">
      <c r="B242" s="16"/>
      <c r="C242" s="17"/>
      <c r="D242" s="17"/>
      <c r="E242" s="17"/>
      <c r="F242" s="20"/>
      <c r="G242" s="17"/>
      <c r="H242" s="17"/>
      <c r="I242" s="17"/>
      <c r="J242" s="17"/>
      <c r="K242" s="17"/>
      <c r="L242" s="17"/>
      <c r="M242" s="20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8"/>
    </row>
    <row r="243" spans="2:57" ht="12" thickBot="1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</row>
    <row r="244" spans="2:57" ht="49.5" customHeight="1">
      <c r="B244" s="36" t="s">
        <v>134</v>
      </c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8"/>
    </row>
    <row r="245" spans="2:57">
      <c r="B245" s="4"/>
      <c r="AI245" s="19" t="s">
        <v>123</v>
      </c>
      <c r="BE245" s="5"/>
    </row>
    <row r="246" spans="2:57">
      <c r="B246" s="4"/>
      <c r="G246" s="8" t="s">
        <v>109</v>
      </c>
      <c r="J246" s="35">
        <v>9</v>
      </c>
      <c r="K246" s="35"/>
      <c r="L246" s="1" t="s">
        <v>3</v>
      </c>
      <c r="Q246" s="1" t="s">
        <v>84</v>
      </c>
      <c r="BE246" s="5"/>
    </row>
    <row r="247" spans="2:57">
      <c r="B247" s="4"/>
      <c r="AG247" s="1" t="s">
        <v>132</v>
      </c>
      <c r="BE247" s="5"/>
    </row>
    <row r="248" spans="2:57">
      <c r="B248" s="4"/>
      <c r="D248" s="1" t="s">
        <v>17</v>
      </c>
      <c r="AC248" s="7" t="s">
        <v>18</v>
      </c>
      <c r="AG248" s="12" t="s">
        <v>5</v>
      </c>
      <c r="AI248" s="35">
        <v>0.05</v>
      </c>
      <c r="AJ248" s="35"/>
      <c r="AK248" s="35"/>
      <c r="AL248" s="1" t="s">
        <v>8</v>
      </c>
      <c r="AN248" s="1" t="s">
        <v>126</v>
      </c>
      <c r="BE248" s="5"/>
    </row>
    <row r="249" spans="2:57">
      <c r="B249" s="4"/>
      <c r="AG249" s="12" t="s">
        <v>10</v>
      </c>
      <c r="AI249" s="35">
        <v>1</v>
      </c>
      <c r="AJ249" s="35"/>
      <c r="AK249" s="35"/>
      <c r="AL249" s="1" t="s">
        <v>8</v>
      </c>
      <c r="AN249" s="1" t="s">
        <v>126</v>
      </c>
      <c r="BE249" s="5"/>
    </row>
    <row r="250" spans="2:57">
      <c r="B250" s="4"/>
      <c r="AG250" s="1" t="s">
        <v>14</v>
      </c>
      <c r="AK250" s="34">
        <f>+AI248</f>
        <v>0.05</v>
      </c>
      <c r="AL250" s="34"/>
      <c r="AM250" s="34"/>
      <c r="AN250" s="1" t="s">
        <v>15</v>
      </c>
      <c r="AO250" s="34">
        <f>+AI249</f>
        <v>1</v>
      </c>
      <c r="AP250" s="34"/>
      <c r="AQ250" s="34"/>
      <c r="AR250" s="9" t="s">
        <v>7</v>
      </c>
      <c r="AS250" s="34">
        <f>+AK250/AO250</f>
        <v>0.05</v>
      </c>
      <c r="AT250" s="34"/>
      <c r="AU250" s="34"/>
      <c r="BE250" s="5"/>
    </row>
    <row r="251" spans="2:57">
      <c r="B251" s="4"/>
      <c r="D251" s="6" t="s">
        <v>0</v>
      </c>
      <c r="AC251" s="6" t="s">
        <v>0</v>
      </c>
      <c r="AG251" s="1" t="s">
        <v>16</v>
      </c>
      <c r="AM251" s="34">
        <f>1/AS250^(1/3)-1</f>
        <v>1.7144176165949063</v>
      </c>
      <c r="AN251" s="34"/>
      <c r="AO251" s="34"/>
      <c r="BE251" s="5"/>
    </row>
    <row r="252" spans="2:57">
      <c r="B252" s="4"/>
      <c r="P252" s="6" t="s">
        <v>1</v>
      </c>
      <c r="AG252" s="13" t="s">
        <v>85</v>
      </c>
      <c r="AI252" s="34">
        <f>+G255/P257</f>
        <v>0.4</v>
      </c>
      <c r="AJ252" s="34"/>
      <c r="AK252" s="34"/>
      <c r="BE252" s="5"/>
    </row>
    <row r="253" spans="2:57">
      <c r="B253" s="4"/>
      <c r="AG253" s="13" t="s">
        <v>86</v>
      </c>
      <c r="AI253" s="34">
        <f>+J246/P257</f>
        <v>0.3</v>
      </c>
      <c r="AJ253" s="34"/>
      <c r="AK253" s="34"/>
      <c r="BE253" s="5"/>
    </row>
    <row r="254" spans="2:57">
      <c r="B254" s="4"/>
      <c r="AG254" s="1" t="s">
        <v>130</v>
      </c>
      <c r="AN254" s="34">
        <f>-AM251*AI253/AI252+AM251+1</f>
        <v>1.4286044041487267</v>
      </c>
      <c r="AO254" s="34"/>
      <c r="AP254" s="34"/>
      <c r="BE254" s="5"/>
    </row>
    <row r="255" spans="2:57">
      <c r="B255" s="4"/>
      <c r="E255" s="8" t="s">
        <v>4</v>
      </c>
      <c r="G255" s="35">
        <v>12</v>
      </c>
      <c r="H255" s="35"/>
      <c r="I255" s="1" t="s">
        <v>3</v>
      </c>
      <c r="P255" s="34">
        <f>+P257-G255-Z255</f>
        <v>6</v>
      </c>
      <c r="Q255" s="34"/>
      <c r="R255" s="1" t="s">
        <v>3</v>
      </c>
      <c r="X255" s="8" t="s">
        <v>4</v>
      </c>
      <c r="Z255" s="34">
        <f>+G255</f>
        <v>12</v>
      </c>
      <c r="AA255" s="34"/>
      <c r="AB255" s="1" t="s">
        <v>3</v>
      </c>
      <c r="AG255" s="13" t="s">
        <v>46</v>
      </c>
      <c r="AI255" s="34">
        <f>IF(AI253&lt;=AI252,(AI253^2/(2*AN254^2*(AM251+1)))+AI253*AI252/(2*AM251)*(1-1/AN254^2)+AI253*(0.5-AI252)-AI256,0.5*(AI252^2/(AM251+1)+AI253^2-AI252^2)-AI253*(AI253-0.5)-AI256)</f>
        <v>2.980454031912674E-2</v>
      </c>
      <c r="AJ255" s="34"/>
      <c r="AK255" s="34"/>
      <c r="BE255" s="5"/>
    </row>
    <row r="256" spans="2:57">
      <c r="B256" s="4"/>
      <c r="AG256" s="13" t="s">
        <v>48</v>
      </c>
      <c r="AI256" s="34">
        <f>IF(AI253&lt;=AI252,-AI252^3/AM251^3*(LN(AN254/(AM251+1))+(AM251*AI253)/(AI252*AN254)-(AM251^2*AI253^2/(2*AI252^2*AN254*(AM251+1))))+AI253*(0.5-(AI252*AM251*(2*AM251+3)/(2*(AM251+1)^2))-((AI252*(AM251+2)/(2*(AM251+1)^2))-(AI252^2/(AM251+1))+AI252^3/AM251^3*(2*LN(AM251+1)+AM251^2-2*AM251)+((1-AI252)^3-AI252^3)/3)),AI252^3/AM251^3*(LN(AM251+1)+AM251*(AM251-2)/2)+AI252^2*AI253*AM251/(2*(AM251+1))-(AI253^3+2*AI252^3)/6+AI253*(0.5-(AI252*AM251*(2*AM251+3)/(2*(AM251+1)^2))-((AI252*(AM251+2)/(2*(AM251+1)^2))-(AI252^2/(AM251+1))+AI252^3/AM251^3*(2*LN(AM251+1)+AM251^2-2*AM251)+((1-AI252)^3-AI252^3)/3)))</f>
        <v>2.61677924582959E-2</v>
      </c>
      <c r="AJ256" s="34"/>
      <c r="AK256" s="34"/>
      <c r="BE256" s="5"/>
    </row>
    <row r="257" spans="2:57">
      <c r="B257" s="4"/>
      <c r="O257" s="1" t="s">
        <v>2</v>
      </c>
      <c r="P257" s="35">
        <v>30</v>
      </c>
      <c r="Q257" s="35"/>
      <c r="R257" s="1" t="s">
        <v>3</v>
      </c>
      <c r="AF257" s="13"/>
      <c r="BE257" s="5"/>
    </row>
    <row r="258" spans="2:57" ht="12" thickBot="1">
      <c r="B258" s="16"/>
      <c r="C258" s="17"/>
      <c r="D258" s="17"/>
      <c r="E258" s="17"/>
      <c r="F258" s="20"/>
      <c r="G258" s="17"/>
      <c r="H258" s="17"/>
      <c r="I258" s="17"/>
      <c r="J258" s="17"/>
      <c r="K258" s="17"/>
      <c r="L258" s="17"/>
      <c r="M258" s="20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8"/>
    </row>
    <row r="259" spans="2:57" ht="12" thickBot="1"/>
    <row r="260" spans="2:57" ht="49.5" customHeight="1">
      <c r="B260" s="36" t="s">
        <v>135</v>
      </c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8"/>
    </row>
    <row r="261" spans="2:57">
      <c r="B261" s="4"/>
      <c r="AI261" s="19" t="s">
        <v>123</v>
      </c>
      <c r="BE261" s="5"/>
    </row>
    <row r="262" spans="2:57">
      <c r="B262" s="4"/>
      <c r="M262" s="1" t="s">
        <v>41</v>
      </c>
      <c r="BE262" s="5"/>
    </row>
    <row r="263" spans="2:57">
      <c r="B263" s="4"/>
      <c r="AG263" s="1" t="s">
        <v>132</v>
      </c>
      <c r="BE263" s="5"/>
    </row>
    <row r="264" spans="2:57">
      <c r="B264" s="4"/>
      <c r="D264" s="1" t="s">
        <v>17</v>
      </c>
      <c r="AC264" s="7" t="s">
        <v>18</v>
      </c>
      <c r="AG264" s="12" t="s">
        <v>5</v>
      </c>
      <c r="AI264" s="35">
        <v>0.05</v>
      </c>
      <c r="AJ264" s="35"/>
      <c r="AK264" s="35"/>
      <c r="AL264" s="1" t="s">
        <v>8</v>
      </c>
      <c r="AN264" s="1" t="s">
        <v>126</v>
      </c>
      <c r="BE264" s="5"/>
    </row>
    <row r="265" spans="2:57">
      <c r="B265" s="4"/>
      <c r="AG265" s="12" t="s">
        <v>10</v>
      </c>
      <c r="AI265" s="35">
        <v>1</v>
      </c>
      <c r="AJ265" s="35"/>
      <c r="AK265" s="35"/>
      <c r="AL265" s="1" t="s">
        <v>8</v>
      </c>
      <c r="AN265" s="1" t="s">
        <v>126</v>
      </c>
      <c r="BE265" s="5"/>
    </row>
    <row r="266" spans="2:57">
      <c r="B266" s="4"/>
      <c r="AC266" s="6"/>
      <c r="AG266" s="1" t="s">
        <v>14</v>
      </c>
      <c r="AK266" s="34">
        <f>+AI264</f>
        <v>0.05</v>
      </c>
      <c r="AL266" s="34"/>
      <c r="AM266" s="34"/>
      <c r="AN266" s="1" t="s">
        <v>15</v>
      </c>
      <c r="AO266" s="34">
        <f>+AI265</f>
        <v>1</v>
      </c>
      <c r="AP266" s="34"/>
      <c r="AQ266" s="34"/>
      <c r="AR266" s="9" t="s">
        <v>7</v>
      </c>
      <c r="AS266" s="34">
        <f>+AK266/AO266</f>
        <v>0.05</v>
      </c>
      <c r="AT266" s="34"/>
      <c r="AU266" s="34"/>
      <c r="BE266" s="5"/>
    </row>
    <row r="267" spans="2:57">
      <c r="B267" s="4"/>
      <c r="D267" s="6" t="s">
        <v>0</v>
      </c>
      <c r="AG267" s="1" t="s">
        <v>16</v>
      </c>
      <c r="AM267" s="34">
        <f>1/AS266^(1/3)-1</f>
        <v>1.7144176165949063</v>
      </c>
      <c r="AN267" s="34"/>
      <c r="AO267" s="34"/>
      <c r="BE267" s="5"/>
    </row>
    <row r="268" spans="2:57">
      <c r="B268" s="4"/>
      <c r="P268" s="6" t="s">
        <v>1</v>
      </c>
      <c r="AG268" s="13" t="s">
        <v>85</v>
      </c>
      <c r="AI268" s="34">
        <f>+G271/P273</f>
        <v>0.4</v>
      </c>
      <c r="AJ268" s="34"/>
      <c r="AK268" s="34"/>
      <c r="BE268" s="5"/>
    </row>
    <row r="269" spans="2:57">
      <c r="B269" s="4"/>
      <c r="AG269" s="13" t="s">
        <v>22</v>
      </c>
      <c r="AI269" s="34">
        <f>1-(AI268*AM267*(2*AM267+3)/(2*(AM267+1)^2))-AI270-2*AI271</f>
        <v>0.12345380976390236</v>
      </c>
      <c r="AJ269" s="34"/>
      <c r="AK269" s="34"/>
      <c r="BE269" s="5"/>
    </row>
    <row r="270" spans="2:57">
      <c r="B270" s="4"/>
      <c r="AG270" s="13" t="s">
        <v>21</v>
      </c>
      <c r="AI270" s="34">
        <f>AI268^3/AM267^3*(LN(AM267+1)-AM267*(1-AM267/2))+(1-AI268^3)/3</f>
        <v>0.32157350760339182</v>
      </c>
      <c r="AJ270" s="34"/>
      <c r="AK270" s="34"/>
      <c r="BE270" s="5"/>
    </row>
    <row r="271" spans="2:57">
      <c r="B271" s="4"/>
      <c r="E271" s="8" t="s">
        <v>4</v>
      </c>
      <c r="G271" s="35">
        <v>12</v>
      </c>
      <c r="H271" s="35"/>
      <c r="I271" s="1" t="s">
        <v>3</v>
      </c>
      <c r="P271" s="34">
        <f>+P273-G271</f>
        <v>18</v>
      </c>
      <c r="Q271" s="34"/>
      <c r="R271" s="1" t="s">
        <v>3</v>
      </c>
      <c r="X271" s="8"/>
      <c r="AG271" s="13" t="s">
        <v>23</v>
      </c>
      <c r="AI271" s="34">
        <f>AI268^2/(2*(AM267+1))+(1-AI268^2)/2-AI270</f>
        <v>0.12789874438573129</v>
      </c>
      <c r="AJ271" s="34"/>
      <c r="AK271" s="34"/>
      <c r="BE271" s="5"/>
    </row>
    <row r="272" spans="2:57">
      <c r="B272" s="4"/>
      <c r="AG272" s="13" t="s">
        <v>90</v>
      </c>
      <c r="AI272" s="34">
        <f>0.5*AI271-AI273</f>
        <v>2.6591100616111141E-2</v>
      </c>
      <c r="AJ272" s="34"/>
      <c r="AK272" s="34"/>
      <c r="BE272" s="5"/>
    </row>
    <row r="273" spans="2:57">
      <c r="B273" s="4"/>
      <c r="O273" s="1" t="s">
        <v>2</v>
      </c>
      <c r="P273" s="35">
        <v>30</v>
      </c>
      <c r="Q273" s="35"/>
      <c r="R273" s="1" t="s">
        <v>3</v>
      </c>
      <c r="AG273" s="13" t="s">
        <v>92</v>
      </c>
      <c r="AI273" s="34">
        <f>0.5*AI270-AI268^4/(2*AM267^4)*(3*(AM267+1)*LN(AM267+1)+(AM267^3-3*AM267^2-6*AM267)/2)-(1-AI268^4)/8</f>
        <v>3.7358271576754504E-2</v>
      </c>
      <c r="AJ273" s="34"/>
      <c r="AK273" s="34"/>
      <c r="BE273" s="5"/>
    </row>
    <row r="274" spans="2:57" ht="12" thickBot="1">
      <c r="B274" s="16"/>
      <c r="C274" s="17"/>
      <c r="D274" s="17"/>
      <c r="E274" s="17"/>
      <c r="F274" s="20"/>
      <c r="G274" s="17"/>
      <c r="H274" s="17"/>
      <c r="I274" s="17"/>
      <c r="J274" s="17"/>
      <c r="K274" s="17"/>
      <c r="L274" s="17"/>
      <c r="M274" s="20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8"/>
    </row>
    <row r="275" spans="2:57" ht="12" thickBot="1"/>
    <row r="276" spans="2:57" ht="49.5" customHeight="1">
      <c r="B276" s="36" t="s">
        <v>135</v>
      </c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8"/>
    </row>
    <row r="277" spans="2:57">
      <c r="B277" s="4"/>
      <c r="AI277" s="19" t="s">
        <v>123</v>
      </c>
      <c r="BE277" s="5"/>
    </row>
    <row r="278" spans="2:57">
      <c r="B278" s="4"/>
      <c r="G278" s="8" t="s">
        <v>109</v>
      </c>
      <c r="J278" s="35">
        <v>9</v>
      </c>
      <c r="K278" s="35"/>
      <c r="L278" s="1" t="s">
        <v>3</v>
      </c>
      <c r="Q278" s="1" t="s">
        <v>84</v>
      </c>
      <c r="BE278" s="5"/>
    </row>
    <row r="279" spans="2:57">
      <c r="B279" s="4"/>
      <c r="AG279" s="1" t="s">
        <v>132</v>
      </c>
      <c r="BE279" s="5"/>
    </row>
    <row r="280" spans="2:57">
      <c r="B280" s="4"/>
      <c r="D280" s="1" t="s">
        <v>17</v>
      </c>
      <c r="AC280" s="7" t="s">
        <v>18</v>
      </c>
      <c r="AG280" s="12" t="s">
        <v>5</v>
      </c>
      <c r="AI280" s="35">
        <v>0.05</v>
      </c>
      <c r="AJ280" s="35"/>
      <c r="AK280" s="35"/>
      <c r="AL280" s="1" t="s">
        <v>8</v>
      </c>
      <c r="AN280" s="1" t="s">
        <v>126</v>
      </c>
      <c r="BE280" s="5"/>
    </row>
    <row r="281" spans="2:57">
      <c r="B281" s="4"/>
      <c r="AG281" s="12" t="s">
        <v>10</v>
      </c>
      <c r="AI281" s="35">
        <v>1</v>
      </c>
      <c r="AJ281" s="35"/>
      <c r="AK281" s="35"/>
      <c r="AL281" s="1" t="s">
        <v>8</v>
      </c>
      <c r="AN281" s="1" t="s">
        <v>126</v>
      </c>
      <c r="BE281" s="5"/>
    </row>
    <row r="282" spans="2:57">
      <c r="B282" s="4"/>
      <c r="AC282" s="6"/>
      <c r="AG282" s="1" t="s">
        <v>14</v>
      </c>
      <c r="AK282" s="34">
        <f>+AI280</f>
        <v>0.05</v>
      </c>
      <c r="AL282" s="34"/>
      <c r="AM282" s="34"/>
      <c r="AN282" s="1" t="s">
        <v>15</v>
      </c>
      <c r="AO282" s="34">
        <f>+AI281</f>
        <v>1</v>
      </c>
      <c r="AP282" s="34"/>
      <c r="AQ282" s="34"/>
      <c r="AR282" s="9" t="s">
        <v>7</v>
      </c>
      <c r="AS282" s="34">
        <f>+AK282/AO282</f>
        <v>0.05</v>
      </c>
      <c r="AT282" s="34"/>
      <c r="AU282" s="34"/>
      <c r="BE282" s="5"/>
    </row>
    <row r="283" spans="2:57">
      <c r="B283" s="4"/>
      <c r="D283" s="6" t="s">
        <v>0</v>
      </c>
      <c r="AG283" s="1" t="s">
        <v>16</v>
      </c>
      <c r="AM283" s="34">
        <f>1/AS282^(1/3)-1</f>
        <v>1.7144176165949063</v>
      </c>
      <c r="AN283" s="34"/>
      <c r="AO283" s="34"/>
      <c r="BE283" s="5"/>
    </row>
    <row r="284" spans="2:57">
      <c r="B284" s="4"/>
      <c r="P284" s="6" t="s">
        <v>1</v>
      </c>
      <c r="AG284" s="13" t="s">
        <v>85</v>
      </c>
      <c r="AI284" s="34">
        <f>+G287/P289</f>
        <v>0.4</v>
      </c>
      <c r="AJ284" s="34"/>
      <c r="AK284" s="34"/>
      <c r="BE284" s="5"/>
    </row>
    <row r="285" spans="2:57">
      <c r="B285" s="4"/>
      <c r="AG285" s="13" t="s">
        <v>86</v>
      </c>
      <c r="AI285" s="34">
        <f>+J278/P289</f>
        <v>0.3</v>
      </c>
      <c r="AJ285" s="34"/>
      <c r="AK285" s="34"/>
      <c r="BE285" s="5"/>
    </row>
    <row r="286" spans="2:57">
      <c r="B286" s="4"/>
      <c r="AG286" s="1" t="s">
        <v>130</v>
      </c>
      <c r="AN286" s="34">
        <f>-AM283*AI285/AI284+AM283+1</f>
        <v>1.4286044041487267</v>
      </c>
      <c r="AO286" s="34"/>
      <c r="AP286" s="34"/>
      <c r="BE286" s="5"/>
    </row>
    <row r="287" spans="2:57">
      <c r="B287" s="4"/>
      <c r="E287" s="8" t="s">
        <v>4</v>
      </c>
      <c r="G287" s="35">
        <v>12</v>
      </c>
      <c r="H287" s="35"/>
      <c r="I287" s="1" t="s">
        <v>3</v>
      </c>
      <c r="P287" s="34">
        <f>+P289-G287</f>
        <v>18</v>
      </c>
      <c r="Q287" s="34"/>
      <c r="R287" s="1" t="s">
        <v>3</v>
      </c>
      <c r="X287" s="8"/>
      <c r="AG287" s="13" t="s">
        <v>46</v>
      </c>
      <c r="AI287" s="34">
        <f>IF(AI285&lt;=AI284,(AI285^2/(2*AN286^2*(AM283+1))-AI285*AI284^2/(2*(AM283+1))+AI285*AI284/(2*AM283)*(1-1/AN286^2)+AI285/2*(1-AI284)^2-(-AI284^3/AM283^3*(LN(AN286/(AM283+1))+AM283*AI285/(AI284*AN286)-AM283^2*AI285^2/(2*AI284^2*AN286*(AM283+1)))+AI285*(AI284^2/(2*(AM283+1))+(1-AI284^2)/2-(AI284^3/AM283^3*(LN(AM283+1)-AM283*(1-AM283/2))+(1-AI284^3)/3)))),((1-AI285)/2*(AI285-AI284^2*AM283/(AM283+1))-(AI285/2-AI285^3/6-1/3+(1-AI285)*(AI284^3/AM283^3*(LN(AM283+1)-AM283*(1-AM283/2))+(1-AI284^3)/3))))</f>
        <v>3.3332488038109183E-2</v>
      </c>
      <c r="AJ287" s="34"/>
      <c r="AK287" s="34"/>
      <c r="AS287" s="13"/>
      <c r="BE287" s="5"/>
    </row>
    <row r="288" spans="2:57">
      <c r="B288" s="4"/>
      <c r="AG288" s="13" t="s">
        <v>48</v>
      </c>
      <c r="AI288" s="34">
        <f>IF(AI285&lt;=AI284,(-AI284^3/AM283^3*(LN(AN286/(AM283+1))+AM283*AI285/(AI284*AN286)-AM283^2*AI285^2/(2*AI284^2*AN286*(AM283+1)))+AI285*(AI284^2/(2*(AM283+1))+(1-AI284^2)/2-(AI284^3/AM283^3*(LN(AM283+1)-AM283*(1-AM283/2))+(1-AI284^3)/3))),(AI285/2-AI285^3/6-1/3+(1-AI285)*(AI284^3/AM283^3*(LN(AM283+1)-AM283*(1-AM283/2))+(1-AI284^3)/3)))</f>
        <v>3.7798169142576533E-2</v>
      </c>
      <c r="AJ288" s="34"/>
      <c r="AK288" s="34"/>
      <c r="AS288" s="13"/>
      <c r="BE288" s="5"/>
    </row>
    <row r="289" spans="2:57">
      <c r="B289" s="4"/>
      <c r="O289" s="1" t="s">
        <v>2</v>
      </c>
      <c r="P289" s="35">
        <v>30</v>
      </c>
      <c r="Q289" s="35"/>
      <c r="R289" s="1" t="s">
        <v>3</v>
      </c>
      <c r="BE289" s="5"/>
    </row>
    <row r="290" spans="2:57" ht="12" thickBot="1">
      <c r="B290" s="16"/>
      <c r="C290" s="17"/>
      <c r="D290" s="17"/>
      <c r="E290" s="17"/>
      <c r="F290" s="20"/>
      <c r="G290" s="17"/>
      <c r="H290" s="17"/>
      <c r="I290" s="17"/>
      <c r="J290" s="17"/>
      <c r="K290" s="17"/>
      <c r="L290" s="17"/>
      <c r="M290" s="20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8"/>
    </row>
    <row r="291" spans="2:57" ht="12" thickBot="1"/>
    <row r="292" spans="2:57" ht="66.75" customHeight="1">
      <c r="B292" s="36" t="s">
        <v>136</v>
      </c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8"/>
    </row>
    <row r="293" spans="2:57">
      <c r="B293" s="4"/>
      <c r="AI293" s="19" t="s">
        <v>123</v>
      </c>
      <c r="BE293" s="5"/>
    </row>
    <row r="294" spans="2:57">
      <c r="B294" s="4"/>
      <c r="E294" s="1" t="s">
        <v>17</v>
      </c>
      <c r="P294" s="6" t="s">
        <v>1</v>
      </c>
      <c r="AB294" s="7" t="s">
        <v>18</v>
      </c>
      <c r="BE294" s="5"/>
    </row>
    <row r="295" spans="2:57">
      <c r="B295" s="4"/>
      <c r="BE295" s="5"/>
    </row>
    <row r="296" spans="2:57">
      <c r="B296" s="4"/>
      <c r="BE296" s="5"/>
    </row>
    <row r="297" spans="2:57">
      <c r="B297" s="4"/>
      <c r="D297" s="6" t="s">
        <v>0</v>
      </c>
      <c r="AC297" s="6" t="s">
        <v>0</v>
      </c>
      <c r="BE297" s="5"/>
    </row>
    <row r="298" spans="2:57">
      <c r="B298" s="4"/>
      <c r="BE298" s="5"/>
    </row>
    <row r="299" spans="2:57">
      <c r="B299" s="4"/>
      <c r="BE299" s="5"/>
    </row>
    <row r="300" spans="2:57">
      <c r="B300" s="4"/>
      <c r="BE300" s="5"/>
    </row>
    <row r="301" spans="2:57">
      <c r="B301" s="4"/>
      <c r="E301" s="8" t="s">
        <v>4</v>
      </c>
      <c r="G301" s="35">
        <v>12</v>
      </c>
      <c r="H301" s="35"/>
      <c r="I301" s="1" t="s">
        <v>3</v>
      </c>
      <c r="P301" s="34">
        <f>+P303-G301-Z301</f>
        <v>6</v>
      </c>
      <c r="Q301" s="34"/>
      <c r="R301" s="1" t="s">
        <v>3</v>
      </c>
      <c r="X301" s="8" t="s">
        <v>4</v>
      </c>
      <c r="Z301" s="34">
        <f>+G301</f>
        <v>12</v>
      </c>
      <c r="AA301" s="34"/>
      <c r="AB301" s="1" t="s">
        <v>3</v>
      </c>
      <c r="BE301" s="5"/>
    </row>
    <row r="302" spans="2:57">
      <c r="B302" s="4"/>
      <c r="BE302" s="5"/>
    </row>
    <row r="303" spans="2:57">
      <c r="B303" s="4"/>
      <c r="O303" s="1" t="s">
        <v>2</v>
      </c>
      <c r="P303" s="35">
        <v>30</v>
      </c>
      <c r="Q303" s="35"/>
      <c r="R303" s="1" t="s">
        <v>3</v>
      </c>
      <c r="BE303" s="5"/>
    </row>
    <row r="304" spans="2:57">
      <c r="B304" s="4"/>
      <c r="F304" s="10" t="s">
        <v>99</v>
      </c>
      <c r="M304" s="10" t="s">
        <v>98</v>
      </c>
      <c r="BE304" s="5"/>
    </row>
    <row r="305" spans="2:57">
      <c r="B305" s="4"/>
      <c r="I305" s="11" t="s">
        <v>3</v>
      </c>
      <c r="BE305" s="5"/>
    </row>
    <row r="306" spans="2:57">
      <c r="B306" s="4"/>
      <c r="I306" s="47">
        <v>0.6</v>
      </c>
      <c r="P306" s="11" t="s">
        <v>3</v>
      </c>
      <c r="S306" s="12" t="s">
        <v>5</v>
      </c>
      <c r="U306" s="34">
        <f>+F310</f>
        <v>0.3</v>
      </c>
      <c r="V306" s="34"/>
      <c r="W306" s="9" t="s">
        <v>6</v>
      </c>
      <c r="X306" s="34">
        <f>+I306</f>
        <v>0.6</v>
      </c>
      <c r="Y306" s="34"/>
      <c r="Z306" s="1" t="s">
        <v>9</v>
      </c>
      <c r="AA306" s="34">
        <v>12</v>
      </c>
      <c r="AB306" s="34"/>
      <c r="AC306" s="9" t="s">
        <v>7</v>
      </c>
      <c r="AD306" s="34">
        <f>U306*X306^3/AA306</f>
        <v>5.3999999999999994E-3</v>
      </c>
      <c r="AE306" s="34"/>
      <c r="AF306" s="34"/>
      <c r="AG306" s="1" t="s">
        <v>8</v>
      </c>
      <c r="BE306" s="5"/>
    </row>
    <row r="307" spans="2:57">
      <c r="B307" s="4"/>
      <c r="I307" s="47"/>
      <c r="P307" s="47">
        <v>1.8</v>
      </c>
      <c r="S307" s="12" t="s">
        <v>10</v>
      </c>
      <c r="U307" s="34">
        <f>+M312</f>
        <v>0.3</v>
      </c>
      <c r="V307" s="34"/>
      <c r="W307" s="9" t="s">
        <v>6</v>
      </c>
      <c r="X307" s="34">
        <f>+P307</f>
        <v>1.8</v>
      </c>
      <c r="Y307" s="34"/>
      <c r="Z307" s="1" t="s">
        <v>9</v>
      </c>
      <c r="AA307" s="34">
        <v>12</v>
      </c>
      <c r="AB307" s="34"/>
      <c r="AC307" s="9" t="s">
        <v>7</v>
      </c>
      <c r="AD307" s="34">
        <f>U307*X307^3/AA307</f>
        <v>0.14580000000000001</v>
      </c>
      <c r="AE307" s="34"/>
      <c r="AF307" s="34"/>
      <c r="AG307" s="1" t="s">
        <v>8</v>
      </c>
      <c r="BE307" s="5"/>
    </row>
    <row r="308" spans="2:57">
      <c r="B308" s="4"/>
      <c r="I308" s="47"/>
      <c r="P308" s="47"/>
      <c r="S308" s="1" t="s">
        <v>11</v>
      </c>
      <c r="T308" s="35">
        <v>30000</v>
      </c>
      <c r="U308" s="35"/>
      <c r="V308" s="35"/>
      <c r="W308" s="35"/>
      <c r="X308" s="1" t="s">
        <v>12</v>
      </c>
      <c r="AA308" s="1" t="s">
        <v>13</v>
      </c>
      <c r="BE308" s="5"/>
    </row>
    <row r="309" spans="2:57">
      <c r="B309" s="4"/>
      <c r="P309" s="47"/>
      <c r="S309" s="1" t="s">
        <v>14</v>
      </c>
      <c r="W309" s="34">
        <f>+AD306</f>
        <v>5.3999999999999994E-3</v>
      </c>
      <c r="X309" s="34"/>
      <c r="Y309" s="34"/>
      <c r="Z309" s="1" t="s">
        <v>15</v>
      </c>
      <c r="AA309" s="34">
        <f>+AD307</f>
        <v>0.14580000000000001</v>
      </c>
      <c r="AB309" s="34"/>
      <c r="AC309" s="34"/>
      <c r="AD309" s="9" t="s">
        <v>7</v>
      </c>
      <c r="AE309" s="34">
        <f>+W309/AA309</f>
        <v>3.7037037037037028E-2</v>
      </c>
      <c r="AF309" s="34"/>
      <c r="AG309" s="34"/>
      <c r="BE309" s="5"/>
    </row>
    <row r="310" spans="2:57">
      <c r="B310" s="4"/>
      <c r="F310" s="35">
        <v>0.3</v>
      </c>
      <c r="G310" s="35"/>
      <c r="H310" s="1" t="s">
        <v>3</v>
      </c>
      <c r="S310" s="1" t="s">
        <v>16</v>
      </c>
      <c r="Y310" s="34">
        <f>1/AE309^(1/3)-1</f>
        <v>1.9999999999999996</v>
      </c>
      <c r="Z310" s="34"/>
      <c r="AA310" s="34"/>
      <c r="BE310" s="5"/>
    </row>
    <row r="311" spans="2:57">
      <c r="B311" s="4"/>
      <c r="S311" s="13" t="s">
        <v>85</v>
      </c>
      <c r="U311" s="34">
        <f>+G301/P303</f>
        <v>0.4</v>
      </c>
      <c r="V311" s="34"/>
      <c r="W311" s="34"/>
      <c r="Z311" s="13"/>
      <c r="BE311" s="5"/>
    </row>
    <row r="312" spans="2:57">
      <c r="B312" s="4"/>
      <c r="M312" s="34">
        <f>+F310</f>
        <v>0.3</v>
      </c>
      <c r="N312" s="34"/>
      <c r="O312" s="1" t="s">
        <v>3</v>
      </c>
      <c r="S312" s="13" t="s">
        <v>86</v>
      </c>
      <c r="U312" s="34">
        <f>+I352/P303</f>
        <v>0.3</v>
      </c>
      <c r="V312" s="34"/>
      <c r="W312" s="34"/>
      <c r="Z312" s="13"/>
      <c r="BE312" s="5"/>
    </row>
    <row r="313" spans="2:57">
      <c r="B313" s="4"/>
      <c r="D313" s="2" t="s">
        <v>124</v>
      </c>
      <c r="BE313" s="5"/>
    </row>
    <row r="314" spans="2:57">
      <c r="B314" s="4"/>
      <c r="D314" s="13" t="s">
        <v>20</v>
      </c>
      <c r="BE314" s="5"/>
    </row>
    <row r="315" spans="2:57">
      <c r="B315" s="4"/>
      <c r="D315" s="13" t="s">
        <v>22</v>
      </c>
      <c r="F315" s="34">
        <f>(U311*(Y310+2)/(2*(Y310+1)^2))-(U311^2/(Y310+1))+U311^3/Y310^3*(2*LN(Y310+1)+Y310^2-2*Y310)+((1-U311)^3-U311^3)/3</f>
        <v>0.103800018840912</v>
      </c>
      <c r="G315" s="34"/>
      <c r="H315" s="34"/>
      <c r="L315" s="13" t="s">
        <v>21</v>
      </c>
      <c r="N315" s="34">
        <f>(U311*(Y310+2)/(2*(Y310+1)^2))-(U311^2/(Y310+1))+U311^3/Y310^3*(2*LN(Y310+1)+Y310^2-2*Y310)+((1-U311)^3-U311^3)/3</f>
        <v>0.103800018840912</v>
      </c>
      <c r="O315" s="34"/>
      <c r="P315" s="34"/>
      <c r="BE315" s="5"/>
    </row>
    <row r="316" spans="2:57">
      <c r="B316" s="4"/>
      <c r="D316" s="14" t="s">
        <v>19</v>
      </c>
      <c r="BE316" s="5"/>
    </row>
    <row r="317" spans="2:57">
      <c r="B317" s="4"/>
      <c r="D317" s="13" t="s">
        <v>24</v>
      </c>
      <c r="F317" s="34">
        <f>0.5-(U311*Y310*(2*Y310+3)/(2*(Y310+1)^2))-F315</f>
        <v>8.5088870047976883E-2</v>
      </c>
      <c r="G317" s="34"/>
      <c r="H317" s="34"/>
      <c r="L317" s="13" t="s">
        <v>23</v>
      </c>
      <c r="N317" s="34">
        <f>0.5-(U311*Y310*(2*Y310+3)/(2*(Y310+1)^2))-N315</f>
        <v>8.5088870047976883E-2</v>
      </c>
      <c r="O317" s="34"/>
      <c r="P317" s="34"/>
      <c r="BE317" s="5"/>
    </row>
    <row r="318" spans="2:57">
      <c r="B318" s="4"/>
      <c r="E318" s="1" t="s">
        <v>25</v>
      </c>
      <c r="AN318" s="1" t="s">
        <v>32</v>
      </c>
      <c r="BE318" s="5"/>
    </row>
    <row r="319" spans="2:57">
      <c r="B319" s="4"/>
      <c r="F319" s="46" t="s">
        <v>0</v>
      </c>
      <c r="G319" s="34"/>
      <c r="M319" s="44" t="s">
        <v>1</v>
      </c>
      <c r="N319" s="45"/>
      <c r="S319" s="46" t="s">
        <v>0</v>
      </c>
      <c r="T319" s="34"/>
      <c r="Z319" s="46" t="s">
        <v>0</v>
      </c>
      <c r="AA319" s="34"/>
      <c r="AG319" s="44" t="s">
        <v>1</v>
      </c>
      <c r="AH319" s="45"/>
      <c r="AM319" s="46" t="s">
        <v>0</v>
      </c>
      <c r="AN319" s="34"/>
      <c r="BE319" s="5"/>
    </row>
    <row r="320" spans="2:57">
      <c r="B320" s="4"/>
      <c r="BE320" s="5"/>
    </row>
    <row r="321" spans="2:57">
      <c r="B321" s="4"/>
      <c r="I321" s="1" t="s">
        <v>30</v>
      </c>
      <c r="Q321" s="1" t="s">
        <v>31</v>
      </c>
      <c r="AC321" s="1" t="s">
        <v>101</v>
      </c>
      <c r="AK321" s="1" t="s">
        <v>102</v>
      </c>
      <c r="BE321" s="5"/>
    </row>
    <row r="322" spans="2:57">
      <c r="B322" s="4"/>
      <c r="F322" s="7" t="s">
        <v>17</v>
      </c>
      <c r="T322" s="1" t="s">
        <v>18</v>
      </c>
      <c r="Z322" s="7" t="s">
        <v>17</v>
      </c>
      <c r="AN322" s="1" t="s">
        <v>18</v>
      </c>
      <c r="BE322" s="5"/>
    </row>
    <row r="323" spans="2:57">
      <c r="B323" s="4"/>
      <c r="D323" s="1" t="s">
        <v>26</v>
      </c>
      <c r="Q323" s="1" t="s">
        <v>28</v>
      </c>
      <c r="X323" s="1" t="s">
        <v>33</v>
      </c>
      <c r="AK323" s="1" t="s">
        <v>58</v>
      </c>
      <c r="BE323" s="5"/>
    </row>
    <row r="324" spans="2:57">
      <c r="B324" s="4"/>
      <c r="D324" s="1" t="s">
        <v>27</v>
      </c>
      <c r="F324" s="34">
        <f>+F315*P303/(T308*1000*AD306)</f>
        <v>1.9222225711280002E-5</v>
      </c>
      <c r="G324" s="34"/>
      <c r="H324" s="34"/>
      <c r="Q324" s="1" t="s">
        <v>29</v>
      </c>
      <c r="S324" s="34">
        <f>+N317*P303/(T308*1000*AD306)</f>
        <v>1.575719815703276E-5</v>
      </c>
      <c r="T324" s="34"/>
      <c r="U324" s="34"/>
      <c r="X324" s="1" t="s">
        <v>34</v>
      </c>
      <c r="Z324" s="34">
        <f>+F317*P303/(T308*1000*AD306)</f>
        <v>1.575719815703276E-5</v>
      </c>
      <c r="AA324" s="34"/>
      <c r="AB324" s="34"/>
      <c r="AK324" s="1" t="s">
        <v>57</v>
      </c>
      <c r="AM324" s="34">
        <f>+N315*P303/(T308*1000*AD306)</f>
        <v>1.9222225711280002E-5</v>
      </c>
      <c r="AN324" s="34"/>
      <c r="AO324" s="34"/>
      <c r="BE324" s="5"/>
    </row>
    <row r="325" spans="2:57">
      <c r="B325" s="4"/>
      <c r="F325" s="9"/>
      <c r="G325" s="9"/>
      <c r="H325" s="9"/>
      <c r="S325" s="9"/>
      <c r="T325" s="9"/>
      <c r="U325" s="9"/>
      <c r="AA325" s="9"/>
      <c r="AB325" s="9"/>
      <c r="AC325" s="9"/>
      <c r="AN325" s="9"/>
      <c r="AO325" s="9"/>
      <c r="AP325" s="9"/>
      <c r="BE325" s="5"/>
    </row>
    <row r="326" spans="2:57">
      <c r="B326" s="4"/>
      <c r="E326" s="2" t="s">
        <v>125</v>
      </c>
      <c r="G326" s="9"/>
      <c r="H326" s="9"/>
      <c r="I326" s="9"/>
      <c r="T326" s="9"/>
      <c r="U326" s="9"/>
      <c r="V326" s="9"/>
      <c r="AB326" s="9"/>
      <c r="AC326" s="9"/>
      <c r="AD326" s="9"/>
      <c r="BE326" s="5"/>
    </row>
    <row r="327" spans="2:57">
      <c r="B327" s="4"/>
      <c r="E327" s="2" t="s">
        <v>73</v>
      </c>
      <c r="M327" s="1" t="s">
        <v>41</v>
      </c>
      <c r="AO327" s="9"/>
      <c r="AP327" s="9"/>
      <c r="AQ327" s="9"/>
      <c r="BE327" s="5"/>
    </row>
    <row r="328" spans="2:57">
      <c r="B328" s="4"/>
      <c r="BE328" s="5"/>
    </row>
    <row r="329" spans="2:57">
      <c r="B329" s="4"/>
      <c r="BE329" s="5"/>
    </row>
    <row r="330" spans="2:57">
      <c r="B330" s="4"/>
      <c r="G330" s="46" t="s">
        <v>0</v>
      </c>
      <c r="H330" s="34"/>
      <c r="N330" s="44" t="s">
        <v>1</v>
      </c>
      <c r="O330" s="45"/>
      <c r="T330" s="46" t="s">
        <v>0</v>
      </c>
      <c r="U330" s="34"/>
      <c r="BE330" s="5"/>
    </row>
    <row r="331" spans="2:57">
      <c r="B331" s="4"/>
      <c r="BE331" s="5"/>
    </row>
    <row r="332" spans="2:57">
      <c r="B332" s="4"/>
      <c r="J332" s="1" t="s">
        <v>35</v>
      </c>
      <c r="R332" s="1" t="s">
        <v>36</v>
      </c>
      <c r="BE332" s="5"/>
    </row>
    <row r="333" spans="2:57">
      <c r="B333" s="4"/>
      <c r="G333" s="1" t="s">
        <v>17</v>
      </c>
      <c r="U333" s="1" t="s">
        <v>18</v>
      </c>
      <c r="BE333" s="5"/>
    </row>
    <row r="334" spans="2:57">
      <c r="B334" s="4"/>
      <c r="E334" s="13" t="s">
        <v>110</v>
      </c>
      <c r="I334" s="34">
        <f>+F317/4</f>
        <v>2.1272217511994221E-2</v>
      </c>
      <c r="J334" s="34"/>
      <c r="K334" s="34"/>
      <c r="Q334" s="13" t="s">
        <v>111</v>
      </c>
      <c r="U334" s="34">
        <f>+N317/4</f>
        <v>2.1272217511994221E-2</v>
      </c>
      <c r="V334" s="34"/>
      <c r="W334" s="34"/>
      <c r="BE334" s="5"/>
    </row>
    <row r="335" spans="2:57">
      <c r="B335" s="4"/>
      <c r="E335" s="1" t="s">
        <v>37</v>
      </c>
      <c r="Q335" s="1" t="s">
        <v>39</v>
      </c>
      <c r="BE335" s="5"/>
    </row>
    <row r="336" spans="2:57">
      <c r="B336" s="4"/>
      <c r="E336" s="1" t="s">
        <v>38</v>
      </c>
      <c r="G336" s="34">
        <f>1/4*F317*P303^3/(T308*1000*AD306)</f>
        <v>3.5453695853323707E-3</v>
      </c>
      <c r="H336" s="34"/>
      <c r="I336" s="34"/>
      <c r="Q336" s="1" t="s">
        <v>40</v>
      </c>
      <c r="S336" s="34">
        <f>1/4*N317*P303^3/(T308*1000*AD306)</f>
        <v>3.5453695853323707E-3</v>
      </c>
      <c r="T336" s="34"/>
      <c r="U336" s="34"/>
      <c r="BE336" s="5"/>
    </row>
    <row r="337" spans="2:57">
      <c r="B337" s="4"/>
      <c r="BE337" s="5"/>
    </row>
    <row r="338" spans="2:57">
      <c r="B338" s="4"/>
      <c r="E338" s="2" t="s">
        <v>72</v>
      </c>
      <c r="BE338" s="5"/>
    </row>
    <row r="339" spans="2:57">
      <c r="B339" s="4"/>
      <c r="E339" s="1" t="s">
        <v>42</v>
      </c>
      <c r="M339" s="1" t="s">
        <v>84</v>
      </c>
      <c r="BE339" s="5"/>
    </row>
    <row r="340" spans="2:57">
      <c r="B340" s="4"/>
      <c r="E340" s="1" t="s">
        <v>43</v>
      </c>
      <c r="G340" s="34">
        <f>-Y310*U312/U311+Y310+1</f>
        <v>1.5</v>
      </c>
      <c r="H340" s="34"/>
      <c r="I340" s="34"/>
      <c r="BE340" s="5"/>
    </row>
    <row r="341" spans="2:57">
      <c r="B341" s="4"/>
      <c r="E341" s="13" t="s">
        <v>44</v>
      </c>
      <c r="BE341" s="5"/>
    </row>
    <row r="342" spans="2:57">
      <c r="B342" s="4"/>
      <c r="E342" s="13" t="s">
        <v>45</v>
      </c>
      <c r="BE342" s="5"/>
    </row>
    <row r="343" spans="2:57">
      <c r="B343" s="4"/>
      <c r="E343" s="13" t="s">
        <v>46</v>
      </c>
      <c r="G343" s="34">
        <f>(U312^2/(2*G340^2*(Y310+1)))+U312*U311/(2*Y310)*(1-1/G340^2)+U312*(0.5-U311)-G345</f>
        <v>2.8261494874460703E-2</v>
      </c>
      <c r="H343" s="34"/>
      <c r="I343" s="34"/>
      <c r="BE343" s="5"/>
    </row>
    <row r="344" spans="2:57">
      <c r="B344" s="4"/>
      <c r="E344" s="13" t="s">
        <v>94</v>
      </c>
      <c r="BE344" s="5"/>
    </row>
    <row r="345" spans="2:57">
      <c r="B345" s="4"/>
      <c r="E345" s="13" t="s">
        <v>48</v>
      </c>
      <c r="G345" s="34">
        <f>-U311^3/Y310^3*(LN(G340/(Y310+1))+(Y310*U312)/(U311*G340)-(Y310^2*U312^2/(2*U311^2*G340*(Y310+1))))+U312*N317</f>
        <v>2.5071838458872626E-2</v>
      </c>
      <c r="H345" s="34"/>
      <c r="I345" s="34"/>
      <c r="BE345" s="5"/>
    </row>
    <row r="346" spans="2:57">
      <c r="B346" s="4"/>
      <c r="E346" s="13" t="s">
        <v>51</v>
      </c>
      <c r="BE346" s="5"/>
    </row>
    <row r="347" spans="2:57">
      <c r="B347" s="4"/>
      <c r="E347" s="13" t="s">
        <v>52</v>
      </c>
      <c r="BE347" s="5"/>
    </row>
    <row r="348" spans="2:57">
      <c r="B348" s="4"/>
      <c r="E348" s="13" t="s">
        <v>46</v>
      </c>
      <c r="G348" s="34">
        <f>0.5*(U311^2/(Y310+1)+U312^2-U311^2)-U312*(U312-0.5)-G350</f>
        <v>2.7184440676262044E-2</v>
      </c>
      <c r="H348" s="34"/>
      <c r="I348" s="34"/>
      <c r="BE348" s="5"/>
    </row>
    <row r="349" spans="2:57">
      <c r="B349" s="4"/>
      <c r="E349" s="13" t="s">
        <v>131</v>
      </c>
      <c r="BE349" s="5"/>
    </row>
    <row r="350" spans="2:57">
      <c r="B350" s="4"/>
      <c r="E350" s="13" t="s">
        <v>48</v>
      </c>
      <c r="G350" s="34">
        <f>U311^3/Y310^3*(LN(Y310+1)+Y310*(Y310-2)/2)+U311^2*U312*Y310/(2*(Y310+1))-(U312^3+2*U311^3)/6+U312*N317</f>
        <v>2.4482225990404609E-2</v>
      </c>
      <c r="H350" s="34"/>
      <c r="I350" s="34"/>
      <c r="BE350" s="5"/>
    </row>
    <row r="351" spans="2:57">
      <c r="B351" s="4"/>
      <c r="L351" s="1" t="s">
        <v>47</v>
      </c>
      <c r="BE351" s="5"/>
    </row>
    <row r="352" spans="2:57">
      <c r="B352" s="4"/>
      <c r="F352" s="8" t="s">
        <v>109</v>
      </c>
      <c r="G352" s="8"/>
      <c r="I352" s="35">
        <v>9</v>
      </c>
      <c r="J352" s="35"/>
      <c r="K352" s="1" t="s">
        <v>3</v>
      </c>
      <c r="BE352" s="5"/>
    </row>
    <row r="353" spans="2:57">
      <c r="B353" s="4"/>
      <c r="BE353" s="5"/>
    </row>
    <row r="354" spans="2:57">
      <c r="B354" s="4"/>
      <c r="G354" s="46" t="s">
        <v>0</v>
      </c>
      <c r="H354" s="34"/>
      <c r="N354" s="44" t="s">
        <v>1</v>
      </c>
      <c r="O354" s="45"/>
      <c r="T354" s="46" t="s">
        <v>0</v>
      </c>
      <c r="U354" s="34"/>
      <c r="BE354" s="5"/>
    </row>
    <row r="355" spans="2:57">
      <c r="B355" s="4"/>
      <c r="BE355" s="5"/>
    </row>
    <row r="356" spans="2:57">
      <c r="B356" s="4"/>
      <c r="J356" s="1" t="s">
        <v>35</v>
      </c>
      <c r="R356" s="1" t="s">
        <v>36</v>
      </c>
      <c r="BE356" s="5"/>
    </row>
    <row r="357" spans="2:57">
      <c r="B357" s="4"/>
      <c r="G357" s="7" t="s">
        <v>17</v>
      </c>
      <c r="U357" s="1" t="s">
        <v>18</v>
      </c>
      <c r="BE357" s="5"/>
    </row>
    <row r="358" spans="2:57">
      <c r="B358" s="4"/>
      <c r="E358" s="1" t="s">
        <v>49</v>
      </c>
      <c r="T358" s="1" t="s">
        <v>50</v>
      </c>
      <c r="BE358" s="5"/>
    </row>
    <row r="359" spans="2:57">
      <c r="B359" s="4"/>
      <c r="E359" s="1" t="s">
        <v>53</v>
      </c>
      <c r="G359" s="34">
        <f>IF(U312&lt;=U311,G343*P303^2/(T308*1000*AD306),G348*P303^2/(T308*1000*AD306))</f>
        <v>1.5700830485811503E-4</v>
      </c>
      <c r="H359" s="34"/>
      <c r="I359" s="34"/>
      <c r="T359" s="1" t="s">
        <v>54</v>
      </c>
      <c r="V359" s="34">
        <f>IF(U312&lt;=U311,G345*P303^2/(T308*1000*AD306),G350*P303^2/(T308*1000*AD306))</f>
        <v>1.3928799143818129E-4</v>
      </c>
      <c r="W359" s="34"/>
      <c r="X359" s="34"/>
      <c r="BE359" s="5"/>
    </row>
    <row r="360" spans="2:57">
      <c r="B360" s="4"/>
      <c r="BE360" s="5"/>
    </row>
    <row r="361" spans="2:57">
      <c r="B361" s="4"/>
      <c r="E361" s="2" t="s">
        <v>55</v>
      </c>
      <c r="BE361" s="5"/>
    </row>
    <row r="362" spans="2:57">
      <c r="B362" s="4"/>
      <c r="E362" s="2"/>
      <c r="BE362" s="5"/>
    </row>
    <row r="363" spans="2:57">
      <c r="B363" s="4"/>
      <c r="E363" s="2"/>
      <c r="G363" s="13" t="s">
        <v>74</v>
      </c>
      <c r="BE363" s="5"/>
    </row>
    <row r="364" spans="2:57">
      <c r="B364" s="4"/>
      <c r="E364" s="1" t="s">
        <v>77</v>
      </c>
      <c r="V364" s="1" t="s">
        <v>75</v>
      </c>
      <c r="BE364" s="5"/>
    </row>
    <row r="365" spans="2:57">
      <c r="B365" s="4"/>
      <c r="E365" s="2"/>
      <c r="BE365" s="5"/>
    </row>
    <row r="366" spans="2:57">
      <c r="B366" s="4"/>
      <c r="E366" s="2"/>
      <c r="BE366" s="5"/>
    </row>
    <row r="367" spans="2:57">
      <c r="B367" s="4"/>
      <c r="E367" s="2"/>
      <c r="H367" s="1" t="s">
        <v>17</v>
      </c>
      <c r="T367" s="1" t="s">
        <v>18</v>
      </c>
      <c r="BE367" s="5"/>
    </row>
    <row r="368" spans="2:57">
      <c r="B368" s="4"/>
      <c r="BE368" s="5"/>
    </row>
    <row r="369" spans="2:57">
      <c r="B369" s="4"/>
      <c r="BE369" s="5"/>
    </row>
    <row r="370" spans="2:57">
      <c r="B370" s="4"/>
      <c r="E370" s="2"/>
      <c r="T370" s="13" t="s">
        <v>76</v>
      </c>
      <c r="BE370" s="5"/>
    </row>
    <row r="371" spans="2:57">
      <c r="B371" s="4"/>
      <c r="E371" s="2"/>
      <c r="G371" s="13" t="s">
        <v>74</v>
      </c>
      <c r="BE371" s="5"/>
    </row>
    <row r="372" spans="2:57">
      <c r="B372" s="4"/>
      <c r="E372" s="1" t="s">
        <v>79</v>
      </c>
      <c r="V372" s="1" t="s">
        <v>78</v>
      </c>
      <c r="BE372" s="5"/>
    </row>
    <row r="373" spans="2:57">
      <c r="B373" s="4"/>
      <c r="E373" s="2"/>
      <c r="BE373" s="5"/>
    </row>
    <row r="374" spans="2:57">
      <c r="B374" s="4"/>
      <c r="E374" s="2"/>
      <c r="BE374" s="5"/>
    </row>
    <row r="375" spans="2:57">
      <c r="B375" s="4"/>
      <c r="E375" s="2"/>
      <c r="H375" s="1" t="s">
        <v>17</v>
      </c>
      <c r="T375" s="1" t="s">
        <v>18</v>
      </c>
      <c r="BE375" s="5"/>
    </row>
    <row r="376" spans="2:57">
      <c r="B376" s="4"/>
      <c r="BE376" s="5"/>
    </row>
    <row r="377" spans="2:57">
      <c r="B377" s="4"/>
      <c r="E377" s="1" t="s">
        <v>56</v>
      </c>
      <c r="N377" s="34">
        <f>+AM324</f>
        <v>1.9222225711280002E-5</v>
      </c>
      <c r="O377" s="34"/>
      <c r="P377" s="34"/>
      <c r="Q377" s="1" t="s">
        <v>59</v>
      </c>
      <c r="R377" s="34">
        <f>+F324</f>
        <v>1.9222225711280002E-5</v>
      </c>
      <c r="S377" s="34"/>
      <c r="T377" s="34"/>
      <c r="U377" s="9" t="s">
        <v>6</v>
      </c>
      <c r="V377" s="34">
        <f>+N377</f>
        <v>1.9222225711280002E-5</v>
      </c>
      <c r="W377" s="34"/>
      <c r="X377" s="34"/>
      <c r="Y377" s="9" t="s">
        <v>60</v>
      </c>
      <c r="Z377" s="34">
        <f>+Z324</f>
        <v>1.575719815703276E-5</v>
      </c>
      <c r="AA377" s="34"/>
      <c r="AB377" s="34"/>
      <c r="AC377" s="1" t="s">
        <v>61</v>
      </c>
      <c r="AE377" s="34">
        <f>+N377/(R377*V377-Z377^2)</f>
        <v>158593.1144579578</v>
      </c>
      <c r="AF377" s="34"/>
      <c r="AG377" s="34"/>
      <c r="BE377" s="5"/>
    </row>
    <row r="378" spans="2:57">
      <c r="B378" s="4"/>
      <c r="E378" s="1" t="s">
        <v>63</v>
      </c>
      <c r="N378" s="34">
        <f>+S324</f>
        <v>1.575719815703276E-5</v>
      </c>
      <c r="O378" s="34"/>
      <c r="P378" s="34"/>
      <c r="Q378" s="1" t="s">
        <v>59</v>
      </c>
      <c r="R378" s="34">
        <f>+R379</f>
        <v>1.9222225711280002E-5</v>
      </c>
      <c r="S378" s="34"/>
      <c r="T378" s="34"/>
      <c r="U378" s="9" t="s">
        <v>6</v>
      </c>
      <c r="V378" s="34">
        <f>+V379</f>
        <v>1.9222225711280002E-5</v>
      </c>
      <c r="W378" s="34"/>
      <c r="X378" s="34"/>
      <c r="Y378" s="9" t="s">
        <v>60</v>
      </c>
      <c r="Z378" s="34">
        <f>+Z379</f>
        <v>1.575719815703276E-5</v>
      </c>
      <c r="AA378" s="34"/>
      <c r="AB378" s="34"/>
      <c r="AC378" s="1" t="s">
        <v>61</v>
      </c>
      <c r="AE378" s="34">
        <f>+N378/(R378*V378-Z378^2)</f>
        <v>130004.87916384016</v>
      </c>
      <c r="AF378" s="34"/>
      <c r="AG378" s="34"/>
      <c r="BE378" s="5"/>
    </row>
    <row r="379" spans="2:57">
      <c r="B379" s="4"/>
      <c r="E379" s="1" t="s">
        <v>62</v>
      </c>
      <c r="N379" s="34">
        <f>+Z324</f>
        <v>1.575719815703276E-5</v>
      </c>
      <c r="O379" s="34"/>
      <c r="P379" s="34"/>
      <c r="Q379" s="1" t="s">
        <v>59</v>
      </c>
      <c r="R379" s="34">
        <f>+R377</f>
        <v>1.9222225711280002E-5</v>
      </c>
      <c r="S379" s="34"/>
      <c r="T379" s="34"/>
      <c r="U379" s="9" t="s">
        <v>6</v>
      </c>
      <c r="V379" s="34">
        <f>+V377</f>
        <v>1.9222225711280002E-5</v>
      </c>
      <c r="W379" s="34"/>
      <c r="X379" s="34"/>
      <c r="Y379" s="9" t="s">
        <v>60</v>
      </c>
      <c r="Z379" s="34">
        <f>+Z377</f>
        <v>1.575719815703276E-5</v>
      </c>
      <c r="AA379" s="34"/>
      <c r="AB379" s="34"/>
      <c r="AC379" s="1" t="s">
        <v>61</v>
      </c>
      <c r="AE379" s="34">
        <f>+N379/(R379*V379-Z379^2)</f>
        <v>130004.87916384016</v>
      </c>
      <c r="AF379" s="34"/>
      <c r="AG379" s="34"/>
      <c r="BE379" s="5"/>
    </row>
    <row r="380" spans="2:57">
      <c r="B380" s="4"/>
      <c r="E380" s="1" t="s">
        <v>64</v>
      </c>
      <c r="N380" s="34">
        <f>+F324</f>
        <v>1.9222225711280002E-5</v>
      </c>
      <c r="O380" s="34"/>
      <c r="P380" s="34"/>
      <c r="Q380" s="1" t="s">
        <v>59</v>
      </c>
      <c r="R380" s="34">
        <f>+R378</f>
        <v>1.9222225711280002E-5</v>
      </c>
      <c r="S380" s="34"/>
      <c r="T380" s="34"/>
      <c r="U380" s="9" t="s">
        <v>6</v>
      </c>
      <c r="V380" s="34">
        <f>+V378</f>
        <v>1.9222225711280002E-5</v>
      </c>
      <c r="W380" s="34"/>
      <c r="X380" s="34"/>
      <c r="Y380" s="9" t="s">
        <v>60</v>
      </c>
      <c r="Z380" s="34">
        <f>+Z378</f>
        <v>1.575719815703276E-5</v>
      </c>
      <c r="AA380" s="34"/>
      <c r="AB380" s="34"/>
      <c r="AC380" s="1" t="s">
        <v>61</v>
      </c>
      <c r="AE380" s="34">
        <f>+N380/(R380*V380-Z380^2)</f>
        <v>158593.1144579578</v>
      </c>
      <c r="AF380" s="34"/>
      <c r="AG380" s="34"/>
      <c r="BE380" s="5"/>
    </row>
    <row r="381" spans="2:57">
      <c r="B381" s="4"/>
      <c r="BE381" s="5"/>
    </row>
    <row r="382" spans="2:57">
      <c r="B382" s="4"/>
      <c r="E382" s="2" t="s">
        <v>65</v>
      </c>
      <c r="BE382" s="5"/>
    </row>
    <row r="383" spans="2:57">
      <c r="B383" s="4"/>
      <c r="L383" s="1" t="s">
        <v>41</v>
      </c>
      <c r="BE383" s="5"/>
    </row>
    <row r="384" spans="2:57">
      <c r="B384" s="4"/>
      <c r="BE384" s="5"/>
    </row>
    <row r="385" spans="2:57">
      <c r="B385" s="4"/>
      <c r="D385" s="1" t="s">
        <v>80</v>
      </c>
      <c r="W385" s="1" t="s">
        <v>81</v>
      </c>
      <c r="BE385" s="5"/>
    </row>
    <row r="386" spans="2:57">
      <c r="B386" s="4"/>
      <c r="BE386" s="5"/>
    </row>
    <row r="387" spans="2:57">
      <c r="B387" s="4"/>
      <c r="H387" s="1" t="s">
        <v>17</v>
      </c>
      <c r="T387" s="1" t="s">
        <v>18</v>
      </c>
      <c r="BE387" s="5"/>
    </row>
    <row r="388" spans="2:57">
      <c r="B388" s="4"/>
      <c r="E388" s="15" t="s">
        <v>118</v>
      </c>
      <c r="BE388" s="5"/>
    </row>
    <row r="389" spans="2:57">
      <c r="B389" s="4"/>
      <c r="E389" s="1" t="s">
        <v>66</v>
      </c>
      <c r="L389" s="34">
        <f>AE377</f>
        <v>158593.1144579578</v>
      </c>
      <c r="M389" s="34"/>
      <c r="N389" s="34"/>
      <c r="O389" s="9" t="s">
        <v>6</v>
      </c>
      <c r="P389" s="34">
        <f>+G336</f>
        <v>3.5453695853323707E-3</v>
      </c>
      <c r="Q389" s="34"/>
      <c r="R389" s="34"/>
      <c r="S389" s="9" t="s">
        <v>60</v>
      </c>
      <c r="T389" s="34">
        <f>+AE379</f>
        <v>130004.87916384016</v>
      </c>
      <c r="U389" s="34"/>
      <c r="V389" s="34"/>
      <c r="W389" s="9" t="s">
        <v>6</v>
      </c>
      <c r="X389" s="34">
        <f>+S336</f>
        <v>3.5453695853323707E-3</v>
      </c>
      <c r="Y389" s="34"/>
      <c r="Z389" s="34"/>
      <c r="AA389" s="9" t="s">
        <v>7</v>
      </c>
      <c r="AB389" s="34">
        <f>+L389*P389-T389*X389</f>
        <v>101.35585991009009</v>
      </c>
      <c r="AC389" s="34"/>
      <c r="AD389" s="34"/>
      <c r="AE389" s="1" t="s">
        <v>67</v>
      </c>
      <c r="BE389" s="5"/>
    </row>
    <row r="390" spans="2:57">
      <c r="B390" s="4"/>
      <c r="E390" s="1" t="s">
        <v>68</v>
      </c>
      <c r="L390" s="34">
        <f>AE378</f>
        <v>130004.87916384016</v>
      </c>
      <c r="M390" s="34"/>
      <c r="N390" s="34"/>
      <c r="O390" s="9" t="s">
        <v>6</v>
      </c>
      <c r="P390" s="34">
        <f>+P389</f>
        <v>3.5453695853323707E-3</v>
      </c>
      <c r="Q390" s="34"/>
      <c r="R390" s="34"/>
      <c r="S390" s="9" t="s">
        <v>60</v>
      </c>
      <c r="T390" s="34">
        <f>+AE380</f>
        <v>158593.1144579578</v>
      </c>
      <c r="U390" s="34"/>
      <c r="V390" s="34"/>
      <c r="W390" s="9" t="s">
        <v>6</v>
      </c>
      <c r="X390" s="34">
        <f>+X389</f>
        <v>3.5453695853323707E-3</v>
      </c>
      <c r="Y390" s="34"/>
      <c r="Z390" s="34"/>
      <c r="AA390" s="9" t="s">
        <v>7</v>
      </c>
      <c r="AB390" s="34">
        <f>+L390*P390-T390*X390</f>
        <v>-101.35585991009009</v>
      </c>
      <c r="AC390" s="34"/>
      <c r="AD390" s="34"/>
      <c r="AE390" s="1" t="s">
        <v>67</v>
      </c>
      <c r="BE390" s="5"/>
    </row>
    <row r="391" spans="2:57">
      <c r="B391" s="4"/>
      <c r="E391" s="3" t="s">
        <v>119</v>
      </c>
      <c r="F391" s="42">
        <v>30</v>
      </c>
      <c r="G391" s="42"/>
      <c r="H391" s="3" t="s">
        <v>120</v>
      </c>
      <c r="I391" s="3"/>
      <c r="J391" s="3"/>
      <c r="K391" s="3"/>
      <c r="BE391" s="5"/>
    </row>
    <row r="392" spans="2:57">
      <c r="B392" s="4"/>
      <c r="E392" s="1" t="s">
        <v>121</v>
      </c>
      <c r="G392" s="43">
        <f>+F391</f>
        <v>30</v>
      </c>
      <c r="H392" s="43"/>
      <c r="I392" s="9" t="s">
        <v>6</v>
      </c>
      <c r="J392" s="34">
        <f>+AB389</f>
        <v>101.35585991009009</v>
      </c>
      <c r="K392" s="34"/>
      <c r="L392" s="34"/>
      <c r="M392" s="9" t="s">
        <v>7</v>
      </c>
      <c r="N392" s="34">
        <f>+G392*J392</f>
        <v>3040.6757973027024</v>
      </c>
      <c r="O392" s="34"/>
      <c r="P392" s="34"/>
      <c r="Q392" s="1" t="s">
        <v>67</v>
      </c>
      <c r="BE392" s="5"/>
    </row>
    <row r="393" spans="2:57">
      <c r="B393" s="4"/>
      <c r="E393" s="1" t="s">
        <v>122</v>
      </c>
      <c r="G393" s="34">
        <f>+G392</f>
        <v>30</v>
      </c>
      <c r="H393" s="34"/>
      <c r="I393" s="9" t="s">
        <v>6</v>
      </c>
      <c r="J393" s="34">
        <f>+AB390</f>
        <v>-101.35585991009009</v>
      </c>
      <c r="K393" s="34"/>
      <c r="L393" s="34"/>
      <c r="M393" s="9" t="s">
        <v>7</v>
      </c>
      <c r="N393" s="34">
        <f>+G393*J393</f>
        <v>-3040.6757973027024</v>
      </c>
      <c r="O393" s="34"/>
      <c r="P393" s="34"/>
      <c r="Q393" s="1" t="s">
        <v>67</v>
      </c>
      <c r="BE393" s="5"/>
    </row>
    <row r="394" spans="2:57">
      <c r="B394" s="4"/>
      <c r="BE394" s="5"/>
    </row>
    <row r="395" spans="2:57">
      <c r="B395" s="4"/>
      <c r="E395" s="2" t="s">
        <v>69</v>
      </c>
      <c r="BE395" s="5"/>
    </row>
    <row r="396" spans="2:57">
      <c r="B396" s="4"/>
      <c r="I396" s="13" t="s">
        <v>108</v>
      </c>
      <c r="L396" s="1" t="s">
        <v>84</v>
      </c>
      <c r="BE396" s="5"/>
    </row>
    <row r="397" spans="2:57">
      <c r="B397" s="4"/>
      <c r="BE397" s="5"/>
    </row>
    <row r="398" spans="2:57">
      <c r="B398" s="4"/>
      <c r="D398" s="1" t="s">
        <v>82</v>
      </c>
      <c r="W398" s="1" t="s">
        <v>83</v>
      </c>
      <c r="BE398" s="5"/>
    </row>
    <row r="399" spans="2:57">
      <c r="B399" s="4"/>
      <c r="BE399" s="5"/>
    </row>
    <row r="400" spans="2:57">
      <c r="B400" s="4"/>
      <c r="H400" s="1" t="s">
        <v>17</v>
      </c>
      <c r="T400" s="1" t="s">
        <v>18</v>
      </c>
      <c r="BE400" s="5"/>
    </row>
    <row r="401" spans="2:57">
      <c r="B401" s="4"/>
      <c r="E401" s="15" t="s">
        <v>112</v>
      </c>
      <c r="BE401" s="5"/>
    </row>
    <row r="402" spans="2:57">
      <c r="B402" s="4"/>
      <c r="E402" s="1" t="s">
        <v>70</v>
      </c>
      <c r="M402" s="34">
        <f>+L389</f>
        <v>158593.1144579578</v>
      </c>
      <c r="N402" s="34"/>
      <c r="O402" s="34"/>
      <c r="P402" s="9" t="s">
        <v>6</v>
      </c>
      <c r="Q402" s="34">
        <f>+G359</f>
        <v>1.5700830485811503E-4</v>
      </c>
      <c r="R402" s="34"/>
      <c r="S402" s="34"/>
      <c r="T402" s="9" t="s">
        <v>60</v>
      </c>
      <c r="U402" s="34">
        <f>+T389</f>
        <v>130004.87916384016</v>
      </c>
      <c r="V402" s="34"/>
      <c r="W402" s="34"/>
      <c r="X402" s="9" t="s">
        <v>6</v>
      </c>
      <c r="Y402" s="34">
        <f>+V359</f>
        <v>1.3928799143818129E-4</v>
      </c>
      <c r="Z402" s="34"/>
      <c r="AA402" s="34"/>
      <c r="AB402" s="9" t="s">
        <v>7</v>
      </c>
      <c r="AC402" s="34">
        <f>+M402*Q402-U402*Y402</f>
        <v>6.7923175673182072</v>
      </c>
      <c r="AD402" s="34"/>
      <c r="AE402" s="34"/>
      <c r="AF402" s="1" t="s">
        <v>67</v>
      </c>
      <c r="BE402" s="5"/>
    </row>
    <row r="403" spans="2:57">
      <c r="B403" s="4"/>
      <c r="E403" s="1" t="s">
        <v>71</v>
      </c>
      <c r="M403" s="34">
        <f>+L390</f>
        <v>130004.87916384016</v>
      </c>
      <c r="N403" s="34"/>
      <c r="O403" s="34"/>
      <c r="P403" s="9" t="s">
        <v>6</v>
      </c>
      <c r="Q403" s="34">
        <f>+Q402</f>
        <v>1.5700830485811503E-4</v>
      </c>
      <c r="R403" s="34"/>
      <c r="S403" s="34"/>
      <c r="T403" s="9" t="s">
        <v>60</v>
      </c>
      <c r="U403" s="34">
        <f>+T390</f>
        <v>158593.1144579578</v>
      </c>
      <c r="V403" s="34"/>
      <c r="W403" s="34"/>
      <c r="X403" s="9" t="s">
        <v>6</v>
      </c>
      <c r="Y403" s="34">
        <f>+Y402</f>
        <v>1.3928799143818129E-4</v>
      </c>
      <c r="Z403" s="34"/>
      <c r="AA403" s="34"/>
      <c r="AB403" s="9" t="s">
        <v>7</v>
      </c>
      <c r="AC403" s="34">
        <f>+M403*Q403-U403*Y403</f>
        <v>-1.6782706679759087</v>
      </c>
      <c r="AD403" s="34"/>
      <c r="AE403" s="34"/>
      <c r="AF403" s="1" t="s">
        <v>67</v>
      </c>
      <c r="BE403" s="5"/>
    </row>
    <row r="404" spans="2:57">
      <c r="B404" s="4"/>
      <c r="E404" s="3" t="s">
        <v>113</v>
      </c>
      <c r="F404" s="42">
        <v>150</v>
      </c>
      <c r="G404" s="42"/>
      <c r="H404" s="42"/>
      <c r="I404" s="3" t="s">
        <v>114</v>
      </c>
      <c r="J404" s="3"/>
      <c r="K404" s="3" t="s">
        <v>117</v>
      </c>
      <c r="L404" s="3"/>
      <c r="BE404" s="5"/>
    </row>
    <row r="405" spans="2:57">
      <c r="B405" s="4"/>
      <c r="E405" s="1" t="s">
        <v>115</v>
      </c>
      <c r="G405" s="34">
        <f>+F404</f>
        <v>150</v>
      </c>
      <c r="H405" s="34"/>
      <c r="I405" s="34"/>
      <c r="J405" s="9" t="s">
        <v>6</v>
      </c>
      <c r="K405" s="34">
        <f>+AC402</f>
        <v>6.7923175673182072</v>
      </c>
      <c r="L405" s="34"/>
      <c r="M405" s="34"/>
      <c r="N405" s="9" t="s">
        <v>7</v>
      </c>
      <c r="O405" s="34">
        <f>+G405*K405</f>
        <v>1018.8476350977311</v>
      </c>
      <c r="P405" s="34"/>
      <c r="Q405" s="34"/>
      <c r="R405" s="1" t="s">
        <v>114</v>
      </c>
      <c r="BE405" s="5"/>
    </row>
    <row r="406" spans="2:57">
      <c r="B406" s="4"/>
      <c r="E406" s="1" t="s">
        <v>116</v>
      </c>
      <c r="G406" s="34">
        <f>+G405</f>
        <v>150</v>
      </c>
      <c r="H406" s="34"/>
      <c r="I406" s="34"/>
      <c r="J406" s="9" t="s">
        <v>6</v>
      </c>
      <c r="K406" s="34">
        <f>+AC403</f>
        <v>-1.6782706679759087</v>
      </c>
      <c r="L406" s="34"/>
      <c r="M406" s="34"/>
      <c r="N406" s="9" t="s">
        <v>7</v>
      </c>
      <c r="O406" s="34">
        <f>+G406*K406</f>
        <v>-251.74060019638631</v>
      </c>
      <c r="P406" s="34"/>
      <c r="Q406" s="34"/>
      <c r="R406" s="1" t="s">
        <v>114</v>
      </c>
      <c r="BE406" s="5"/>
    </row>
    <row r="407" spans="2:57" ht="12" thickBot="1">
      <c r="B407" s="16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8"/>
    </row>
    <row r="408" spans="2:57" ht="12" thickBot="1"/>
    <row r="409" spans="2:57" ht="66.75" customHeight="1">
      <c r="B409" s="36" t="s">
        <v>137</v>
      </c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  <c r="AY409" s="37"/>
      <c r="AZ409" s="37"/>
      <c r="BA409" s="37"/>
      <c r="BB409" s="37"/>
      <c r="BC409" s="37"/>
      <c r="BD409" s="37"/>
      <c r="BE409" s="38"/>
    </row>
    <row r="410" spans="2:57">
      <c r="B410" s="4"/>
      <c r="AI410" s="19" t="s">
        <v>123</v>
      </c>
      <c r="BE410" s="5"/>
    </row>
    <row r="411" spans="2:57">
      <c r="B411" s="4"/>
      <c r="E411" s="1" t="s">
        <v>17</v>
      </c>
      <c r="R411" s="6" t="s">
        <v>1</v>
      </c>
      <c r="AB411" s="7" t="s">
        <v>18</v>
      </c>
      <c r="BE411" s="5"/>
    </row>
    <row r="412" spans="2:57">
      <c r="B412" s="4"/>
      <c r="BE412" s="5"/>
    </row>
    <row r="413" spans="2:57">
      <c r="B413" s="4"/>
      <c r="BE413" s="5"/>
    </row>
    <row r="414" spans="2:57">
      <c r="B414" s="4"/>
      <c r="D414" s="6" t="s">
        <v>0</v>
      </c>
      <c r="BE414" s="5"/>
    </row>
    <row r="415" spans="2:57">
      <c r="B415" s="4"/>
      <c r="BE415" s="5"/>
    </row>
    <row r="416" spans="2:57">
      <c r="B416" s="4"/>
      <c r="BE416" s="5"/>
    </row>
    <row r="417" spans="2:57">
      <c r="B417" s="4"/>
      <c r="BE417" s="5"/>
    </row>
    <row r="418" spans="2:57">
      <c r="B418" s="4"/>
      <c r="E418" s="8" t="s">
        <v>4</v>
      </c>
      <c r="G418" s="35">
        <v>12</v>
      </c>
      <c r="H418" s="35"/>
      <c r="I418" s="1" t="s">
        <v>3</v>
      </c>
      <c r="R418" s="34">
        <f>+R420-G418</f>
        <v>18</v>
      </c>
      <c r="S418" s="34"/>
      <c r="T418" s="1" t="s">
        <v>3</v>
      </c>
      <c r="BE418" s="5"/>
    </row>
    <row r="419" spans="2:57">
      <c r="B419" s="4"/>
      <c r="BE419" s="5"/>
    </row>
    <row r="420" spans="2:57">
      <c r="B420" s="4"/>
      <c r="Q420" s="1" t="s">
        <v>2</v>
      </c>
      <c r="R420" s="35">
        <v>30</v>
      </c>
      <c r="S420" s="35"/>
      <c r="T420" s="1" t="s">
        <v>3</v>
      </c>
      <c r="BE420" s="5"/>
    </row>
    <row r="421" spans="2:57">
      <c r="B421" s="4"/>
      <c r="F421" s="10" t="s">
        <v>99</v>
      </c>
      <c r="M421" s="10" t="s">
        <v>98</v>
      </c>
      <c r="BE421" s="5"/>
    </row>
    <row r="422" spans="2:57">
      <c r="B422" s="4"/>
      <c r="I422" s="11" t="s">
        <v>3</v>
      </c>
      <c r="BE422" s="5"/>
    </row>
    <row r="423" spans="2:57">
      <c r="B423" s="4"/>
      <c r="I423" s="47">
        <v>0.42</v>
      </c>
      <c r="P423" s="11" t="s">
        <v>3</v>
      </c>
      <c r="S423" s="12" t="s">
        <v>5</v>
      </c>
      <c r="U423" s="34">
        <f>+F427</f>
        <v>0.3</v>
      </c>
      <c r="V423" s="34"/>
      <c r="W423" s="9" t="s">
        <v>6</v>
      </c>
      <c r="X423" s="34">
        <f>+I423</f>
        <v>0.42</v>
      </c>
      <c r="Y423" s="34"/>
      <c r="Z423" s="1" t="s">
        <v>9</v>
      </c>
      <c r="AA423" s="34">
        <v>12</v>
      </c>
      <c r="AB423" s="34"/>
      <c r="AC423" s="9" t="s">
        <v>7</v>
      </c>
      <c r="AD423" s="34">
        <f>U423*X423^3/AA423</f>
        <v>1.8521999999999998E-3</v>
      </c>
      <c r="AE423" s="34"/>
      <c r="AF423" s="34"/>
      <c r="AG423" s="1" t="s">
        <v>8</v>
      </c>
      <c r="BE423" s="5"/>
    </row>
    <row r="424" spans="2:57">
      <c r="B424" s="4"/>
      <c r="I424" s="47"/>
      <c r="P424" s="47">
        <v>1.05</v>
      </c>
      <c r="S424" s="12" t="s">
        <v>10</v>
      </c>
      <c r="U424" s="34">
        <f>+M429</f>
        <v>0.3</v>
      </c>
      <c r="V424" s="34"/>
      <c r="W424" s="9" t="s">
        <v>6</v>
      </c>
      <c r="X424" s="34">
        <f>+P424</f>
        <v>1.05</v>
      </c>
      <c r="Y424" s="34"/>
      <c r="Z424" s="1" t="s">
        <v>9</v>
      </c>
      <c r="AA424" s="34">
        <v>12</v>
      </c>
      <c r="AB424" s="34"/>
      <c r="AC424" s="9" t="s">
        <v>7</v>
      </c>
      <c r="AD424" s="34">
        <f>U424*X424^3/AA424</f>
        <v>2.8940625000000001E-2</v>
      </c>
      <c r="AE424" s="34"/>
      <c r="AF424" s="34"/>
      <c r="AG424" s="1" t="s">
        <v>8</v>
      </c>
      <c r="BE424" s="5"/>
    </row>
    <row r="425" spans="2:57">
      <c r="B425" s="4"/>
      <c r="I425" s="47"/>
      <c r="P425" s="47"/>
      <c r="S425" s="1" t="s">
        <v>11</v>
      </c>
      <c r="T425" s="35">
        <v>30000</v>
      </c>
      <c r="U425" s="35"/>
      <c r="V425" s="35"/>
      <c r="W425" s="35"/>
      <c r="X425" s="1" t="s">
        <v>12</v>
      </c>
      <c r="AA425" s="1" t="s">
        <v>13</v>
      </c>
      <c r="BE425" s="5"/>
    </row>
    <row r="426" spans="2:57">
      <c r="B426" s="4"/>
      <c r="P426" s="47"/>
      <c r="S426" s="1" t="s">
        <v>14</v>
      </c>
      <c r="W426" s="34">
        <f>+AD423</f>
        <v>1.8521999999999998E-3</v>
      </c>
      <c r="X426" s="34"/>
      <c r="Y426" s="34"/>
      <c r="Z426" s="1" t="s">
        <v>15</v>
      </c>
      <c r="AA426" s="34">
        <f>+AD424</f>
        <v>2.8940625000000001E-2</v>
      </c>
      <c r="AB426" s="34"/>
      <c r="AC426" s="34"/>
      <c r="AD426" s="9" t="s">
        <v>7</v>
      </c>
      <c r="AE426" s="34">
        <f>+W426/AA426</f>
        <v>6.3999999999999987E-2</v>
      </c>
      <c r="AF426" s="34"/>
      <c r="AG426" s="34"/>
      <c r="BE426" s="5"/>
    </row>
    <row r="427" spans="2:57">
      <c r="B427" s="4"/>
      <c r="F427" s="35">
        <v>0.3</v>
      </c>
      <c r="G427" s="35"/>
      <c r="H427" s="1" t="s">
        <v>3</v>
      </c>
      <c r="S427" s="1" t="s">
        <v>16</v>
      </c>
      <c r="Y427" s="34">
        <f>1/AE426^(1/3)-1</f>
        <v>1.5</v>
      </c>
      <c r="Z427" s="34"/>
      <c r="AA427" s="34"/>
      <c r="BE427" s="5"/>
    </row>
    <row r="428" spans="2:57">
      <c r="B428" s="4"/>
      <c r="S428" s="13" t="s">
        <v>85</v>
      </c>
      <c r="U428" s="34">
        <f>+G418/R420</f>
        <v>0.4</v>
      </c>
      <c r="V428" s="34"/>
      <c r="W428" s="34"/>
      <c r="Z428" s="13"/>
      <c r="BE428" s="5"/>
    </row>
    <row r="429" spans="2:57">
      <c r="B429" s="4"/>
      <c r="M429" s="34">
        <f>+F427</f>
        <v>0.3</v>
      </c>
      <c r="N429" s="34"/>
      <c r="O429" s="1" t="s">
        <v>3</v>
      </c>
      <c r="S429" s="13" t="s">
        <v>86</v>
      </c>
      <c r="U429" s="34">
        <f>+I473/R420</f>
        <v>0.2</v>
      </c>
      <c r="V429" s="34"/>
      <c r="W429" s="34"/>
      <c r="Z429" s="13"/>
      <c r="BE429" s="5"/>
    </row>
    <row r="430" spans="2:57">
      <c r="B430" s="4"/>
      <c r="D430" s="2" t="s">
        <v>124</v>
      </c>
      <c r="BE430" s="5"/>
    </row>
    <row r="431" spans="2:57">
      <c r="B431" s="4"/>
      <c r="D431" s="13" t="s">
        <v>87</v>
      </c>
      <c r="BE431" s="5"/>
    </row>
    <row r="432" spans="2:57">
      <c r="B432" s="4"/>
      <c r="D432" s="13" t="s">
        <v>22</v>
      </c>
      <c r="F432" s="34">
        <f>1-(U428*Y427*(2*Y427+3)/(2*(Y427+1)^2))-F434-2*F436</f>
        <v>0.13026447610072467</v>
      </c>
      <c r="G432" s="34"/>
      <c r="H432" s="34"/>
      <c r="BE432" s="5"/>
    </row>
    <row r="433" spans="2:57">
      <c r="B433" s="4"/>
      <c r="D433" s="13" t="s">
        <v>100</v>
      </c>
      <c r="BE433" s="5"/>
    </row>
    <row r="434" spans="2:57">
      <c r="B434" s="4"/>
      <c r="D434" s="13" t="s">
        <v>21</v>
      </c>
      <c r="F434" s="34">
        <f>U428^3/Y427^3*(LN(Y427+1)-Y427*(1-Y427/2))+(1-U428^3)/3</f>
        <v>0.32226447610072473</v>
      </c>
      <c r="G434" s="34"/>
      <c r="H434" s="34"/>
      <c r="BE434" s="5"/>
    </row>
    <row r="435" spans="2:57">
      <c r="B435" s="4"/>
      <c r="D435" s="13" t="s">
        <v>88</v>
      </c>
      <c r="BE435" s="5"/>
    </row>
    <row r="436" spans="2:57">
      <c r="B436" s="4"/>
      <c r="D436" s="13" t="s">
        <v>23</v>
      </c>
      <c r="F436" s="34">
        <f>U428^2/(2*(Y427+1))+(1-U428^2)/2-F434</f>
        <v>0.12973552389927528</v>
      </c>
      <c r="G436" s="34"/>
      <c r="H436" s="34"/>
      <c r="BE436" s="5"/>
    </row>
    <row r="437" spans="2:57">
      <c r="B437" s="4"/>
      <c r="E437" s="1" t="s">
        <v>25</v>
      </c>
      <c r="AN437" s="1" t="s">
        <v>32</v>
      </c>
      <c r="BE437" s="5"/>
    </row>
    <row r="438" spans="2:57">
      <c r="B438" s="4"/>
      <c r="F438" s="46" t="s">
        <v>0</v>
      </c>
      <c r="G438" s="34"/>
      <c r="M438" s="44" t="s">
        <v>1</v>
      </c>
      <c r="N438" s="45"/>
      <c r="S438" s="46" t="s">
        <v>0</v>
      </c>
      <c r="T438" s="34"/>
      <c r="Z438" s="46" t="s">
        <v>0</v>
      </c>
      <c r="AA438" s="34"/>
      <c r="AG438" s="44" t="s">
        <v>1</v>
      </c>
      <c r="AH438" s="45"/>
      <c r="AM438" s="46" t="s">
        <v>0</v>
      </c>
      <c r="AN438" s="34"/>
      <c r="BE438" s="5"/>
    </row>
    <row r="439" spans="2:57">
      <c r="B439" s="4"/>
      <c r="BE439" s="5"/>
    </row>
    <row r="440" spans="2:57">
      <c r="B440" s="4"/>
      <c r="I440" s="1" t="s">
        <v>30</v>
      </c>
      <c r="Q440" s="1" t="s">
        <v>31</v>
      </c>
      <c r="AC440" s="1" t="s">
        <v>101</v>
      </c>
      <c r="AK440" s="1" t="s">
        <v>102</v>
      </c>
      <c r="BE440" s="5"/>
    </row>
    <row r="441" spans="2:57">
      <c r="B441" s="4"/>
      <c r="F441" s="7" t="s">
        <v>17</v>
      </c>
      <c r="T441" s="1" t="s">
        <v>18</v>
      </c>
      <c r="Z441" s="7" t="s">
        <v>17</v>
      </c>
      <c r="AN441" s="1" t="s">
        <v>18</v>
      </c>
      <c r="BE441" s="5"/>
    </row>
    <row r="442" spans="2:57">
      <c r="B442" s="4"/>
      <c r="D442" s="1" t="s">
        <v>26</v>
      </c>
      <c r="Q442" s="1" t="s">
        <v>28</v>
      </c>
      <c r="X442" s="1" t="s">
        <v>33</v>
      </c>
      <c r="AK442" s="1" t="s">
        <v>58</v>
      </c>
      <c r="BE442" s="5"/>
    </row>
    <row r="443" spans="2:57">
      <c r="B443" s="4"/>
      <c r="D443" s="1" t="s">
        <v>27</v>
      </c>
      <c r="F443" s="34">
        <f>+F432*R420/(T425*1000*AD423)</f>
        <v>7.0329595130506803E-5</v>
      </c>
      <c r="G443" s="34"/>
      <c r="H443" s="34"/>
      <c r="Q443" s="1" t="s">
        <v>29</v>
      </c>
      <c r="S443" s="34">
        <f>+F436*R420/(T425*1000*AD423)</f>
        <v>7.0044014630858058E-5</v>
      </c>
      <c r="T443" s="34"/>
      <c r="U443" s="34"/>
      <c r="X443" s="1" t="s">
        <v>34</v>
      </c>
      <c r="Z443" s="34">
        <f>+F436*R420/(T425*1000*AD423)</f>
        <v>7.0044014630858058E-5</v>
      </c>
      <c r="AA443" s="34"/>
      <c r="AB443" s="34"/>
      <c r="AK443" s="1" t="s">
        <v>57</v>
      </c>
      <c r="AM443" s="34">
        <f>+F434*R420/(T425*1000*AD423)</f>
        <v>1.7399010695428398E-4</v>
      </c>
      <c r="AN443" s="34"/>
      <c r="AO443" s="34"/>
      <c r="BE443" s="5"/>
    </row>
    <row r="444" spans="2:57">
      <c r="B444" s="4"/>
      <c r="G444" s="9"/>
      <c r="H444" s="9"/>
      <c r="I444" s="9"/>
      <c r="T444" s="9"/>
      <c r="U444" s="9"/>
      <c r="V444" s="9"/>
      <c r="AA444" s="9"/>
      <c r="AB444" s="9"/>
      <c r="AC444" s="9"/>
      <c r="AN444" s="9"/>
      <c r="AO444" s="9"/>
      <c r="AP444" s="9"/>
      <c r="BE444" s="5"/>
    </row>
    <row r="445" spans="2:57">
      <c r="B445" s="4"/>
      <c r="E445" s="2" t="s">
        <v>125</v>
      </c>
      <c r="G445" s="9"/>
      <c r="H445" s="9"/>
      <c r="I445" s="9"/>
      <c r="T445" s="9"/>
      <c r="U445" s="9"/>
      <c r="V445" s="9"/>
      <c r="AB445" s="9"/>
      <c r="AC445" s="9"/>
      <c r="AD445" s="9"/>
      <c r="BE445" s="5"/>
    </row>
    <row r="446" spans="2:57">
      <c r="B446" s="4"/>
      <c r="E446" s="2" t="s">
        <v>73</v>
      </c>
      <c r="BE446" s="5"/>
    </row>
    <row r="447" spans="2:57">
      <c r="B447" s="4"/>
      <c r="D447" s="13" t="s">
        <v>89</v>
      </c>
      <c r="N447" s="13" t="s">
        <v>91</v>
      </c>
      <c r="BE447" s="5"/>
    </row>
    <row r="448" spans="2:57">
      <c r="B448" s="4"/>
      <c r="D448" s="13" t="s">
        <v>90</v>
      </c>
      <c r="F448" s="34">
        <f>0.5*F436-P448</f>
        <v>2.7266666666666661E-2</v>
      </c>
      <c r="G448" s="34"/>
      <c r="H448" s="34"/>
      <c r="N448" s="13" t="s">
        <v>92</v>
      </c>
      <c r="P448" s="34">
        <f>0.5*F434-U428^4/(2*Y427^4)*(3*(Y427+1)*LN(Y427+1)+(Y427^3-3*Y427^2-6*Y427)/2)-(1-U428^4)/8</f>
        <v>3.7601095282970981E-2</v>
      </c>
      <c r="Q448" s="34"/>
      <c r="R448" s="34"/>
      <c r="BE448" s="5"/>
    </row>
    <row r="449" spans="2:57">
      <c r="B449" s="4"/>
      <c r="M449" s="1" t="s">
        <v>41</v>
      </c>
      <c r="BE449" s="5"/>
    </row>
    <row r="450" spans="2:57">
      <c r="B450" s="4"/>
      <c r="BE450" s="5"/>
    </row>
    <row r="451" spans="2:57">
      <c r="B451" s="4"/>
      <c r="BE451" s="5"/>
    </row>
    <row r="452" spans="2:57">
      <c r="B452" s="4"/>
      <c r="G452" s="46" t="s">
        <v>0</v>
      </c>
      <c r="H452" s="34"/>
      <c r="N452" s="44" t="s">
        <v>1</v>
      </c>
      <c r="O452" s="45"/>
      <c r="T452" s="46" t="s">
        <v>0</v>
      </c>
      <c r="U452" s="34"/>
      <c r="BE452" s="5"/>
    </row>
    <row r="453" spans="2:57">
      <c r="B453" s="4"/>
      <c r="BE453" s="5"/>
    </row>
    <row r="454" spans="2:57">
      <c r="B454" s="4"/>
      <c r="J454" s="1" t="s">
        <v>35</v>
      </c>
      <c r="R454" s="1" t="s">
        <v>36</v>
      </c>
      <c r="BE454" s="5"/>
    </row>
    <row r="455" spans="2:57">
      <c r="B455" s="4"/>
      <c r="G455" s="1" t="s">
        <v>17</v>
      </c>
      <c r="U455" s="1" t="s">
        <v>18</v>
      </c>
      <c r="BE455" s="5"/>
    </row>
    <row r="456" spans="2:57">
      <c r="B456" s="4"/>
      <c r="E456" s="1" t="s">
        <v>103</v>
      </c>
      <c r="Q456" s="1" t="s">
        <v>104</v>
      </c>
      <c r="BE456" s="5"/>
    </row>
    <row r="457" spans="2:57">
      <c r="B457" s="4"/>
      <c r="E457" s="1" t="s">
        <v>38</v>
      </c>
      <c r="G457" s="34">
        <f>1/4*F448*R420^3/(T425*1000*AD423)</f>
        <v>3.312277291869128E-3</v>
      </c>
      <c r="H457" s="34"/>
      <c r="I457" s="34"/>
      <c r="Q457" s="1" t="s">
        <v>40</v>
      </c>
      <c r="S457" s="34">
        <f>1/4*P448*R420^3/(T425*1000*AD423)</f>
        <v>4.5676743541024035E-3</v>
      </c>
      <c r="T457" s="34"/>
      <c r="U457" s="34"/>
      <c r="BE457" s="5"/>
    </row>
    <row r="458" spans="2:57">
      <c r="B458" s="4"/>
      <c r="BE458" s="5"/>
    </row>
    <row r="459" spans="2:57">
      <c r="B459" s="4"/>
      <c r="E459" s="2" t="s">
        <v>72</v>
      </c>
      <c r="BE459" s="5"/>
    </row>
    <row r="460" spans="2:57">
      <c r="B460" s="4"/>
      <c r="E460" s="1" t="s">
        <v>42</v>
      </c>
      <c r="M460" s="1" t="s">
        <v>84</v>
      </c>
      <c r="BE460" s="5"/>
    </row>
    <row r="461" spans="2:57">
      <c r="B461" s="4"/>
      <c r="E461" s="1" t="s">
        <v>43</v>
      </c>
      <c r="G461" s="34">
        <f>-Y427*U429/U428+Y427+1</f>
        <v>1.75</v>
      </c>
      <c r="H461" s="34"/>
      <c r="I461" s="34"/>
      <c r="BE461" s="5"/>
    </row>
    <row r="462" spans="2:57">
      <c r="B462" s="4"/>
      <c r="E462" s="13" t="s">
        <v>44</v>
      </c>
      <c r="BE462" s="5"/>
    </row>
    <row r="463" spans="2:57">
      <c r="B463" s="4"/>
      <c r="E463" s="13" t="s">
        <v>93</v>
      </c>
      <c r="BE463" s="5"/>
    </row>
    <row r="464" spans="2:57">
      <c r="B464" s="4"/>
      <c r="E464" s="13" t="s">
        <v>46</v>
      </c>
      <c r="G464" s="34">
        <f>U429^2/(2*G461^2*(Y427+1))-U429*U428^2/(2*(Y427+1))+U429*U428/(2*Y427)*(1-1/G461^2)+U429/2*(1-U428)^2-G466</f>
        <v>2.4368646547782952E-2</v>
      </c>
      <c r="H464" s="34"/>
      <c r="I464" s="34"/>
      <c r="BE464" s="5"/>
    </row>
    <row r="465" spans="2:57">
      <c r="B465" s="4"/>
      <c r="E465" s="13" t="s">
        <v>94</v>
      </c>
      <c r="BE465" s="5"/>
    </row>
    <row r="466" spans="2:57">
      <c r="B466" s="4"/>
      <c r="E466" s="13" t="s">
        <v>48</v>
      </c>
      <c r="G466" s="34">
        <f>-U428^3/Y427^3*(LN(G461/(Y427+1))+Y427*U429/(U428*G461)-Y427^2*U429^2/(2*U428^2*G461*(Y427+1)))+U429*F436</f>
        <v>2.5802782023645623E-2</v>
      </c>
      <c r="H466" s="34"/>
      <c r="I466" s="34"/>
      <c r="BE466" s="5"/>
    </row>
    <row r="467" spans="2:57">
      <c r="B467" s="4"/>
      <c r="E467" s="13" t="s">
        <v>95</v>
      </c>
      <c r="BE467" s="5"/>
    </row>
    <row r="468" spans="2:57">
      <c r="B468" s="4"/>
      <c r="E468" s="13" t="s">
        <v>96</v>
      </c>
      <c r="BE468" s="5"/>
    </row>
    <row r="469" spans="2:57">
      <c r="B469" s="4"/>
      <c r="E469" s="13" t="s">
        <v>46</v>
      </c>
      <c r="G469" s="34">
        <f>(1-U429)/2*(U429-U428^2*Y427/(Y427+1))-G471</f>
        <v>1.8455085786086817E-2</v>
      </c>
      <c r="H469" s="34"/>
      <c r="I469" s="34"/>
      <c r="BE469" s="5"/>
    </row>
    <row r="470" spans="2:57">
      <c r="B470" s="4"/>
      <c r="E470" s="13" t="s">
        <v>97</v>
      </c>
      <c r="BE470" s="5"/>
    </row>
    <row r="471" spans="2:57">
      <c r="B471" s="4"/>
      <c r="E471" s="13" t="s">
        <v>48</v>
      </c>
      <c r="G471" s="34">
        <f>U429/2-U429^3/6-1/3+(1-U429)*F434</f>
        <v>2.3144914213913181E-2</v>
      </c>
      <c r="H471" s="34"/>
      <c r="I471" s="34"/>
      <c r="BE471" s="5"/>
    </row>
    <row r="472" spans="2:57">
      <c r="B472" s="4"/>
      <c r="L472" s="1" t="s">
        <v>47</v>
      </c>
      <c r="BE472" s="5"/>
    </row>
    <row r="473" spans="2:57">
      <c r="B473" s="4"/>
      <c r="F473" s="8" t="s">
        <v>109</v>
      </c>
      <c r="I473" s="35">
        <v>6</v>
      </c>
      <c r="J473" s="35"/>
      <c r="K473" s="1" t="s">
        <v>3</v>
      </c>
      <c r="BE473" s="5"/>
    </row>
    <row r="474" spans="2:57">
      <c r="B474" s="4"/>
      <c r="BE474" s="5"/>
    </row>
    <row r="475" spans="2:57">
      <c r="B475" s="4"/>
      <c r="G475" s="46" t="s">
        <v>0</v>
      </c>
      <c r="H475" s="34"/>
      <c r="N475" s="44" t="s">
        <v>1</v>
      </c>
      <c r="O475" s="45"/>
      <c r="T475" s="46" t="s">
        <v>0</v>
      </c>
      <c r="U475" s="34"/>
      <c r="BE475" s="5"/>
    </row>
    <row r="476" spans="2:57">
      <c r="B476" s="4"/>
      <c r="BE476" s="5"/>
    </row>
    <row r="477" spans="2:57">
      <c r="B477" s="4"/>
      <c r="J477" s="1" t="s">
        <v>105</v>
      </c>
      <c r="R477" s="1" t="s">
        <v>106</v>
      </c>
      <c r="BE477" s="5"/>
    </row>
    <row r="478" spans="2:57">
      <c r="B478" s="4"/>
      <c r="G478" s="7" t="s">
        <v>17</v>
      </c>
      <c r="U478" s="1" t="s">
        <v>18</v>
      </c>
      <c r="BE478" s="5"/>
    </row>
    <row r="479" spans="2:57">
      <c r="B479" s="4"/>
      <c r="E479" s="1" t="s">
        <v>49</v>
      </c>
      <c r="T479" s="1" t="s">
        <v>107</v>
      </c>
      <c r="BE479" s="5"/>
    </row>
    <row r="480" spans="2:57">
      <c r="B480" s="4"/>
      <c r="E480" s="1" t="s">
        <v>53</v>
      </c>
      <c r="G480" s="34">
        <f>IF(U429&lt;=U428,G464*R420^2/(T425*1000*AD423),G469*R420^2/(T425*1000*AD423))</f>
        <v>3.946978708743595E-4</v>
      </c>
      <c r="H480" s="34"/>
      <c r="I480" s="34"/>
      <c r="T480" s="1" t="s">
        <v>54</v>
      </c>
      <c r="V480" s="34">
        <f>IF(U429&lt;=U428,G466*R420^2/(T425*1000*AD423),G471*R420^2/(T425*1000*AD423))</f>
        <v>4.1792649860132212E-4</v>
      </c>
      <c r="W480" s="34"/>
      <c r="X480" s="34"/>
      <c r="BE480" s="5"/>
    </row>
    <row r="481" spans="2:57">
      <c r="B481" s="4"/>
      <c r="BE481" s="5"/>
    </row>
    <row r="482" spans="2:57">
      <c r="B482" s="4"/>
      <c r="E482" s="2" t="s">
        <v>55</v>
      </c>
      <c r="BE482" s="5"/>
    </row>
    <row r="483" spans="2:57">
      <c r="B483" s="4"/>
      <c r="E483" s="2"/>
      <c r="BE483" s="5"/>
    </row>
    <row r="484" spans="2:57">
      <c r="B484" s="4"/>
      <c r="E484" s="2"/>
      <c r="G484" s="13" t="s">
        <v>74</v>
      </c>
      <c r="BE484" s="5"/>
    </row>
    <row r="485" spans="2:57">
      <c r="B485" s="4"/>
      <c r="E485" s="1" t="s">
        <v>77</v>
      </c>
      <c r="V485" s="1" t="s">
        <v>75</v>
      </c>
      <c r="BE485" s="5"/>
    </row>
    <row r="486" spans="2:57">
      <c r="B486" s="4"/>
      <c r="E486" s="2"/>
      <c r="BE486" s="5"/>
    </row>
    <row r="487" spans="2:57">
      <c r="B487" s="4"/>
      <c r="E487" s="2"/>
      <c r="BE487" s="5"/>
    </row>
    <row r="488" spans="2:57">
      <c r="B488" s="4"/>
      <c r="E488" s="2"/>
      <c r="H488" s="1" t="s">
        <v>17</v>
      </c>
      <c r="T488" s="1" t="s">
        <v>18</v>
      </c>
      <c r="BE488" s="5"/>
    </row>
    <row r="489" spans="2:57">
      <c r="B489" s="4"/>
      <c r="BE489" s="5"/>
    </row>
    <row r="490" spans="2:57">
      <c r="B490" s="4"/>
      <c r="BE490" s="5"/>
    </row>
    <row r="491" spans="2:57">
      <c r="B491" s="4"/>
      <c r="E491" s="2"/>
      <c r="T491" s="13" t="s">
        <v>76</v>
      </c>
      <c r="BE491" s="5"/>
    </row>
    <row r="492" spans="2:57">
      <c r="B492" s="4"/>
      <c r="E492" s="2"/>
      <c r="G492" s="13" t="s">
        <v>74</v>
      </c>
      <c r="BE492" s="5"/>
    </row>
    <row r="493" spans="2:57">
      <c r="B493" s="4"/>
      <c r="E493" s="1" t="s">
        <v>79</v>
      </c>
      <c r="V493" s="1" t="s">
        <v>78</v>
      </c>
      <c r="BE493" s="5"/>
    </row>
    <row r="494" spans="2:57">
      <c r="B494" s="4"/>
      <c r="E494" s="2"/>
      <c r="BE494" s="5"/>
    </row>
    <row r="495" spans="2:57">
      <c r="B495" s="4"/>
      <c r="E495" s="2"/>
      <c r="BE495" s="5"/>
    </row>
    <row r="496" spans="2:57">
      <c r="B496" s="4"/>
      <c r="E496" s="2"/>
      <c r="H496" s="1" t="s">
        <v>17</v>
      </c>
      <c r="T496" s="1" t="s">
        <v>18</v>
      </c>
      <c r="BE496" s="5"/>
    </row>
    <row r="497" spans="2:57">
      <c r="B497" s="4"/>
      <c r="BE497" s="5"/>
    </row>
    <row r="498" spans="2:57">
      <c r="B498" s="4"/>
      <c r="E498" s="1" t="s">
        <v>56</v>
      </c>
      <c r="N498" s="34">
        <f>+AM443</f>
        <v>1.7399010695428398E-4</v>
      </c>
      <c r="O498" s="34"/>
      <c r="P498" s="34"/>
      <c r="Q498" s="1" t="s">
        <v>59</v>
      </c>
      <c r="R498" s="34">
        <f>+F443</f>
        <v>7.0329595130506803E-5</v>
      </c>
      <c r="S498" s="34"/>
      <c r="T498" s="34"/>
      <c r="U498" s="9" t="s">
        <v>6</v>
      </c>
      <c r="V498" s="34">
        <f>+N498</f>
        <v>1.7399010695428398E-4</v>
      </c>
      <c r="W498" s="34"/>
      <c r="X498" s="34"/>
      <c r="Y498" s="9" t="s">
        <v>60</v>
      </c>
      <c r="Z498" s="34">
        <f>+Z443</f>
        <v>7.0044014630858058E-5</v>
      </c>
      <c r="AA498" s="34"/>
      <c r="AB498" s="34"/>
      <c r="AC498" s="1" t="s">
        <v>61</v>
      </c>
      <c r="AE498" s="34">
        <f>+N498/(R498*V498-Z498^2)</f>
        <v>23735.127101011822</v>
      </c>
      <c r="AF498" s="34"/>
      <c r="AG498" s="34"/>
      <c r="BE498" s="5"/>
    </row>
    <row r="499" spans="2:57">
      <c r="B499" s="4"/>
      <c r="E499" s="1" t="s">
        <v>63</v>
      </c>
      <c r="N499" s="34">
        <f>+S443</f>
        <v>7.0044014630858058E-5</v>
      </c>
      <c r="O499" s="34"/>
      <c r="P499" s="34"/>
      <c r="Q499" s="1" t="s">
        <v>59</v>
      </c>
      <c r="R499" s="34">
        <f>+R500</f>
        <v>7.0329595130506803E-5</v>
      </c>
      <c r="S499" s="34"/>
      <c r="T499" s="34"/>
      <c r="U499" s="9" t="s">
        <v>6</v>
      </c>
      <c r="V499" s="34">
        <f>+V500</f>
        <v>1.7399010695428398E-4</v>
      </c>
      <c r="W499" s="34"/>
      <c r="X499" s="34"/>
      <c r="Y499" s="9" t="s">
        <v>60</v>
      </c>
      <c r="Z499" s="34">
        <f>+Z500</f>
        <v>7.0044014630858058E-5</v>
      </c>
      <c r="AA499" s="34"/>
      <c r="AB499" s="34"/>
      <c r="AC499" s="1" t="s">
        <v>61</v>
      </c>
      <c r="AE499" s="34">
        <f>+N499/(R499*V499-Z499^2)</f>
        <v>9555.1616067767081</v>
      </c>
      <c r="AF499" s="34"/>
      <c r="AG499" s="34"/>
      <c r="BE499" s="5"/>
    </row>
    <row r="500" spans="2:57">
      <c r="B500" s="4"/>
      <c r="E500" s="1" t="s">
        <v>62</v>
      </c>
      <c r="N500" s="34">
        <f>+Z443</f>
        <v>7.0044014630858058E-5</v>
      </c>
      <c r="O500" s="34"/>
      <c r="P500" s="34"/>
      <c r="Q500" s="1" t="s">
        <v>59</v>
      </c>
      <c r="R500" s="34">
        <f>+R498</f>
        <v>7.0329595130506803E-5</v>
      </c>
      <c r="S500" s="34"/>
      <c r="T500" s="34"/>
      <c r="U500" s="9" t="s">
        <v>6</v>
      </c>
      <c r="V500" s="34">
        <f>+V498</f>
        <v>1.7399010695428398E-4</v>
      </c>
      <c r="W500" s="34"/>
      <c r="X500" s="34"/>
      <c r="Y500" s="9" t="s">
        <v>60</v>
      </c>
      <c r="Z500" s="34">
        <f>+Z498</f>
        <v>7.0044014630858058E-5</v>
      </c>
      <c r="AA500" s="34"/>
      <c r="AB500" s="34"/>
      <c r="AC500" s="1" t="s">
        <v>61</v>
      </c>
      <c r="AE500" s="34">
        <f>+N500/(R500*V500-Z500^2)</f>
        <v>9555.1616067767081</v>
      </c>
      <c r="AF500" s="34"/>
      <c r="AG500" s="34"/>
      <c r="BE500" s="5"/>
    </row>
    <row r="501" spans="2:57">
      <c r="B501" s="4"/>
      <c r="E501" s="1" t="s">
        <v>64</v>
      </c>
      <c r="N501" s="34">
        <f>+F443</f>
        <v>7.0329595130506803E-5</v>
      </c>
      <c r="O501" s="34"/>
      <c r="P501" s="34"/>
      <c r="Q501" s="1" t="s">
        <v>59</v>
      </c>
      <c r="R501" s="34">
        <f>+R499</f>
        <v>7.0329595130506803E-5</v>
      </c>
      <c r="S501" s="34"/>
      <c r="T501" s="34"/>
      <c r="U501" s="9" t="s">
        <v>6</v>
      </c>
      <c r="V501" s="34">
        <f>+V499</f>
        <v>1.7399010695428398E-4</v>
      </c>
      <c r="W501" s="34"/>
      <c r="X501" s="34"/>
      <c r="Y501" s="9" t="s">
        <v>60</v>
      </c>
      <c r="Z501" s="34">
        <f>+Z499</f>
        <v>7.0044014630858058E-5</v>
      </c>
      <c r="AA501" s="34"/>
      <c r="AB501" s="34"/>
      <c r="AC501" s="1" t="s">
        <v>61</v>
      </c>
      <c r="AE501" s="34">
        <f>+N501/(R501*V501-Z501^2)</f>
        <v>9594.1195083228831</v>
      </c>
      <c r="AF501" s="34"/>
      <c r="AG501" s="34"/>
      <c r="BE501" s="5"/>
    </row>
    <row r="502" spans="2:57">
      <c r="B502" s="4"/>
      <c r="BE502" s="5"/>
    </row>
    <row r="503" spans="2:57">
      <c r="B503" s="4"/>
      <c r="E503" s="2" t="s">
        <v>65</v>
      </c>
      <c r="BE503" s="5"/>
    </row>
    <row r="504" spans="2:57">
      <c r="B504" s="4"/>
      <c r="L504" s="1" t="s">
        <v>41</v>
      </c>
      <c r="BE504" s="5"/>
    </row>
    <row r="505" spans="2:57">
      <c r="B505" s="4"/>
      <c r="BE505" s="5"/>
    </row>
    <row r="506" spans="2:57">
      <c r="B506" s="4"/>
      <c r="D506" s="1" t="s">
        <v>80</v>
      </c>
      <c r="W506" s="1" t="s">
        <v>81</v>
      </c>
      <c r="BE506" s="5"/>
    </row>
    <row r="507" spans="2:57">
      <c r="B507" s="4"/>
      <c r="BE507" s="5"/>
    </row>
    <row r="508" spans="2:57">
      <c r="B508" s="4"/>
      <c r="H508" s="1" t="s">
        <v>17</v>
      </c>
      <c r="T508" s="1" t="s">
        <v>18</v>
      </c>
      <c r="BE508" s="5"/>
    </row>
    <row r="509" spans="2:57">
      <c r="B509" s="4"/>
      <c r="E509" s="15" t="s">
        <v>118</v>
      </c>
      <c r="BE509" s="5"/>
    </row>
    <row r="510" spans="2:57">
      <c r="B510" s="4"/>
      <c r="E510" s="1" t="s">
        <v>66</v>
      </c>
      <c r="L510" s="34">
        <f>AE498</f>
        <v>23735.127101011822</v>
      </c>
      <c r="M510" s="34"/>
      <c r="N510" s="34"/>
      <c r="O510" s="9" t="s">
        <v>6</v>
      </c>
      <c r="P510" s="34">
        <f>+G457</f>
        <v>3.312277291869128E-3</v>
      </c>
      <c r="Q510" s="34"/>
      <c r="R510" s="34"/>
      <c r="S510" s="9" t="s">
        <v>60</v>
      </c>
      <c r="T510" s="34">
        <f>+AE500</f>
        <v>9555.1616067767081</v>
      </c>
      <c r="U510" s="34"/>
      <c r="V510" s="34"/>
      <c r="W510" s="9" t="s">
        <v>6</v>
      </c>
      <c r="X510" s="34">
        <f>+S457</f>
        <v>4.5676743541024035E-3</v>
      </c>
      <c r="Y510" s="34"/>
      <c r="Z510" s="34"/>
      <c r="AA510" s="9" t="s">
        <v>7</v>
      </c>
      <c r="AB510" s="34">
        <f>+L510*P510-T510*X510</f>
        <v>34.972455895731102</v>
      </c>
      <c r="AC510" s="34"/>
      <c r="AD510" s="34"/>
      <c r="AE510" s="1" t="s">
        <v>67</v>
      </c>
      <c r="BE510" s="5"/>
    </row>
    <row r="511" spans="2:57">
      <c r="B511" s="4"/>
      <c r="E511" s="1" t="s">
        <v>68</v>
      </c>
      <c r="L511" s="34">
        <f>AE499</f>
        <v>9555.1616067767081</v>
      </c>
      <c r="M511" s="34"/>
      <c r="N511" s="34"/>
      <c r="O511" s="9" t="s">
        <v>6</v>
      </c>
      <c r="P511" s="34">
        <f>+P510</f>
        <v>3.312277291869128E-3</v>
      </c>
      <c r="Q511" s="34"/>
      <c r="R511" s="34"/>
      <c r="S511" s="9" t="s">
        <v>60</v>
      </c>
      <c r="T511" s="34">
        <f>+AE501</f>
        <v>9594.1195083228831</v>
      </c>
      <c r="U511" s="34"/>
      <c r="V511" s="34"/>
      <c r="W511" s="9" t="s">
        <v>6</v>
      </c>
      <c r="X511" s="34">
        <f>+X510</f>
        <v>4.5676743541024035E-3</v>
      </c>
      <c r="Y511" s="34"/>
      <c r="Z511" s="34"/>
      <c r="AA511" s="9" t="s">
        <v>7</v>
      </c>
      <c r="AB511" s="34">
        <f>+L511*P511-T511*X511</f>
        <v>-12.173468818093774</v>
      </c>
      <c r="AC511" s="34"/>
      <c r="AD511" s="34"/>
      <c r="AE511" s="1" t="s">
        <v>67</v>
      </c>
      <c r="BE511" s="5"/>
    </row>
    <row r="512" spans="2:57">
      <c r="B512" s="4"/>
      <c r="E512" s="3" t="s">
        <v>119</v>
      </c>
      <c r="F512" s="42">
        <v>30</v>
      </c>
      <c r="G512" s="42"/>
      <c r="H512" s="3" t="s">
        <v>120</v>
      </c>
      <c r="I512" s="3"/>
      <c r="J512" s="3"/>
      <c r="K512" s="3"/>
      <c r="BE512" s="5"/>
    </row>
    <row r="513" spans="2:57">
      <c r="B513" s="4"/>
      <c r="E513" s="1" t="s">
        <v>121</v>
      </c>
      <c r="G513" s="43">
        <f>+F512</f>
        <v>30</v>
      </c>
      <c r="H513" s="43"/>
      <c r="I513" s="9" t="s">
        <v>6</v>
      </c>
      <c r="J513" s="34">
        <f>+AB510</f>
        <v>34.972455895731102</v>
      </c>
      <c r="K513" s="34"/>
      <c r="L513" s="34"/>
      <c r="M513" s="9" t="s">
        <v>7</v>
      </c>
      <c r="N513" s="34">
        <f>+G513*J513</f>
        <v>1049.1736768719331</v>
      </c>
      <c r="O513" s="34"/>
      <c r="P513" s="34"/>
      <c r="Q513" s="1" t="s">
        <v>67</v>
      </c>
      <c r="BE513" s="5"/>
    </row>
    <row r="514" spans="2:57">
      <c r="B514" s="4"/>
      <c r="E514" s="1" t="s">
        <v>122</v>
      </c>
      <c r="G514" s="34">
        <f>+G513</f>
        <v>30</v>
      </c>
      <c r="H514" s="34"/>
      <c r="I514" s="9" t="s">
        <v>6</v>
      </c>
      <c r="J514" s="34">
        <f>+AB511</f>
        <v>-12.173468818093774</v>
      </c>
      <c r="K514" s="34"/>
      <c r="L514" s="34"/>
      <c r="M514" s="9" t="s">
        <v>7</v>
      </c>
      <c r="N514" s="34">
        <f>+G514*J514</f>
        <v>-365.20406454281323</v>
      </c>
      <c r="O514" s="34"/>
      <c r="P514" s="34"/>
      <c r="Q514" s="1" t="s">
        <v>67</v>
      </c>
      <c r="BE514" s="5"/>
    </row>
    <row r="515" spans="2:57">
      <c r="B515" s="4"/>
      <c r="BE515" s="5"/>
    </row>
    <row r="516" spans="2:57">
      <c r="B516" s="4"/>
      <c r="E516" s="2" t="s">
        <v>69</v>
      </c>
      <c r="BE516" s="5"/>
    </row>
    <row r="517" spans="2:57">
      <c r="B517" s="4"/>
      <c r="I517" s="13" t="s">
        <v>108</v>
      </c>
      <c r="L517" s="1" t="s">
        <v>84</v>
      </c>
      <c r="BE517" s="5"/>
    </row>
    <row r="518" spans="2:57">
      <c r="B518" s="4"/>
      <c r="BE518" s="5"/>
    </row>
    <row r="519" spans="2:57">
      <c r="B519" s="4"/>
      <c r="D519" s="1" t="s">
        <v>82</v>
      </c>
      <c r="W519" s="1" t="s">
        <v>83</v>
      </c>
      <c r="BE519" s="5"/>
    </row>
    <row r="520" spans="2:57">
      <c r="B520" s="4"/>
      <c r="BE520" s="5"/>
    </row>
    <row r="521" spans="2:57">
      <c r="B521" s="4"/>
      <c r="H521" s="1" t="s">
        <v>17</v>
      </c>
      <c r="T521" s="1" t="s">
        <v>18</v>
      </c>
      <c r="BE521" s="5"/>
    </row>
    <row r="522" spans="2:57">
      <c r="B522" s="4"/>
      <c r="E522" s="15" t="s">
        <v>112</v>
      </c>
      <c r="BE522" s="5"/>
    </row>
    <row r="523" spans="2:57">
      <c r="B523" s="4"/>
      <c r="E523" s="1" t="s">
        <v>70</v>
      </c>
      <c r="M523" s="34">
        <f>+L510</f>
        <v>23735.127101011822</v>
      </c>
      <c r="N523" s="34"/>
      <c r="O523" s="34"/>
      <c r="P523" s="9" t="s">
        <v>6</v>
      </c>
      <c r="Q523" s="34">
        <f>+G480</f>
        <v>3.946978708743595E-4</v>
      </c>
      <c r="R523" s="34"/>
      <c r="S523" s="34"/>
      <c r="T523" s="9" t="s">
        <v>60</v>
      </c>
      <c r="U523" s="34">
        <f>+T510</f>
        <v>9555.1616067767081</v>
      </c>
      <c r="V523" s="34"/>
      <c r="W523" s="34"/>
      <c r="X523" s="9" t="s">
        <v>6</v>
      </c>
      <c r="Y523" s="34">
        <f>+V480</f>
        <v>4.1792649860132212E-4</v>
      </c>
      <c r="Z523" s="34"/>
      <c r="AA523" s="34"/>
      <c r="AB523" s="9" t="s">
        <v>7</v>
      </c>
      <c r="AC523" s="34">
        <f>+M523*Q523-U523*Y523</f>
        <v>5.3748488978117006</v>
      </c>
      <c r="AD523" s="34"/>
      <c r="AE523" s="34"/>
      <c r="AF523" s="1" t="s">
        <v>67</v>
      </c>
      <c r="BE523" s="5"/>
    </row>
    <row r="524" spans="2:57">
      <c r="B524" s="4"/>
      <c r="E524" s="1" t="s">
        <v>71</v>
      </c>
      <c r="M524" s="34">
        <f>+L511</f>
        <v>9555.1616067767081</v>
      </c>
      <c r="N524" s="34"/>
      <c r="O524" s="34"/>
      <c r="P524" s="9" t="s">
        <v>6</v>
      </c>
      <c r="Q524" s="34">
        <f>+Q523</f>
        <v>3.946978708743595E-4</v>
      </c>
      <c r="R524" s="34"/>
      <c r="S524" s="34"/>
      <c r="T524" s="9" t="s">
        <v>60</v>
      </c>
      <c r="U524" s="34">
        <f>+T511</f>
        <v>9594.1195083228831</v>
      </c>
      <c r="V524" s="34"/>
      <c r="W524" s="34"/>
      <c r="X524" s="9" t="s">
        <v>6</v>
      </c>
      <c r="Y524" s="34">
        <f>+Y523</f>
        <v>4.1792649860132212E-4</v>
      </c>
      <c r="Z524" s="34"/>
      <c r="AA524" s="34"/>
      <c r="AB524" s="9" t="s">
        <v>7</v>
      </c>
      <c r="AC524" s="34">
        <f>+M524*Q524-U524*Y524</f>
        <v>-0.23823483122082978</v>
      </c>
      <c r="AD524" s="34"/>
      <c r="AE524" s="34"/>
      <c r="AF524" s="1" t="s">
        <v>67</v>
      </c>
      <c r="BE524" s="5"/>
    </row>
    <row r="525" spans="2:57">
      <c r="B525" s="4"/>
      <c r="E525" s="3" t="s">
        <v>113</v>
      </c>
      <c r="F525" s="42">
        <v>150</v>
      </c>
      <c r="G525" s="42"/>
      <c r="H525" s="42"/>
      <c r="I525" s="3" t="s">
        <v>114</v>
      </c>
      <c r="J525" s="3"/>
      <c r="K525" s="3" t="s">
        <v>117</v>
      </c>
      <c r="L525" s="3"/>
      <c r="BE525" s="5"/>
    </row>
    <row r="526" spans="2:57">
      <c r="B526" s="4"/>
      <c r="E526" s="1" t="s">
        <v>115</v>
      </c>
      <c r="G526" s="34">
        <f>+F525</f>
        <v>150</v>
      </c>
      <c r="H526" s="34"/>
      <c r="I526" s="34"/>
      <c r="J526" s="9" t="s">
        <v>6</v>
      </c>
      <c r="K526" s="34">
        <f>+AC523</f>
        <v>5.3748488978117006</v>
      </c>
      <c r="L526" s="34"/>
      <c r="M526" s="34"/>
      <c r="N526" s="9" t="s">
        <v>7</v>
      </c>
      <c r="O526" s="34">
        <f>+G526*K526</f>
        <v>806.2273346717551</v>
      </c>
      <c r="P526" s="34"/>
      <c r="Q526" s="34"/>
      <c r="R526" s="1" t="s">
        <v>114</v>
      </c>
      <c r="BE526" s="5"/>
    </row>
    <row r="527" spans="2:57">
      <c r="B527" s="4"/>
      <c r="E527" s="1" t="s">
        <v>116</v>
      </c>
      <c r="G527" s="34">
        <f>+G526</f>
        <v>150</v>
      </c>
      <c r="H527" s="34"/>
      <c r="I527" s="34"/>
      <c r="J527" s="9" t="s">
        <v>6</v>
      </c>
      <c r="K527" s="34">
        <f>+AC524</f>
        <v>-0.23823483122082978</v>
      </c>
      <c r="L527" s="34"/>
      <c r="M527" s="34"/>
      <c r="N527" s="9" t="s">
        <v>7</v>
      </c>
      <c r="O527" s="34">
        <f>+G527*K527</f>
        <v>-35.735224683124464</v>
      </c>
      <c r="P527" s="34"/>
      <c r="Q527" s="34"/>
      <c r="R527" s="1" t="s">
        <v>114</v>
      </c>
      <c r="BE527" s="5"/>
    </row>
    <row r="528" spans="2:57" ht="12" thickBot="1">
      <c r="B528" s="16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8"/>
    </row>
    <row r="534" spans="34:36">
      <c r="AH534" s="34"/>
      <c r="AI534" s="34"/>
      <c r="AJ534" s="34"/>
    </row>
  </sheetData>
  <sheetProtection algorithmName="SHA-512" hashValue="IIrAc/b5+qhvAtsu/8bssuuvynK/Bygwqz6HkgUDtTJ3fwENlvW+YwupDOZ7GDvWiSix5e0b04vh2DUKBTyIUw==" saltValue="fWIjBohdWkMk5Hg2v50Y0A==" spinCount="100000" sheet="1" objects="1" scenarios="1"/>
  <mergeCells count="528">
    <mergeCell ref="Q50:R50"/>
    <mergeCell ref="AH50:AJ50"/>
    <mergeCell ref="AW44:AY44"/>
    <mergeCell ref="BB44:BD44"/>
    <mergeCell ref="AH49:AJ49"/>
    <mergeCell ref="AW45:AY45"/>
    <mergeCell ref="BB45:BD45"/>
    <mergeCell ref="AW46:AY46"/>
    <mergeCell ref="BB46:BD46"/>
    <mergeCell ref="AW47:AY47"/>
    <mergeCell ref="AL45:AN45"/>
    <mergeCell ref="AH46:AJ46"/>
    <mergeCell ref="P67:Q67"/>
    <mergeCell ref="B53:BE53"/>
    <mergeCell ref="AI58:AK58"/>
    <mergeCell ref="AI59:AK59"/>
    <mergeCell ref="AK60:AM60"/>
    <mergeCell ref="AO60:AQ60"/>
    <mergeCell ref="AS60:AU60"/>
    <mergeCell ref="AM61:AO61"/>
    <mergeCell ref="AI62:AK62"/>
    <mergeCell ref="AJ63:AL63"/>
    <mergeCell ref="AJ64:AL64"/>
    <mergeCell ref="G65:H65"/>
    <mergeCell ref="P65:Q65"/>
    <mergeCell ref="Z65:AA65"/>
    <mergeCell ref="AJ65:AL65"/>
    <mergeCell ref="B19:BE19"/>
    <mergeCell ref="AI27:AK27"/>
    <mergeCell ref="AI28:AK28"/>
    <mergeCell ref="G31:H31"/>
    <mergeCell ref="R31:S31"/>
    <mergeCell ref="AI29:AK29"/>
    <mergeCell ref="AI30:AK30"/>
    <mergeCell ref="Q33:R33"/>
    <mergeCell ref="AI31:AK31"/>
    <mergeCell ref="AI32:AK32"/>
    <mergeCell ref="V14:W14"/>
    <mergeCell ref="P225:Q225"/>
    <mergeCell ref="J214:K214"/>
    <mergeCell ref="AI221:AK221"/>
    <mergeCell ref="AI223:AK223"/>
    <mergeCell ref="AI222:AK222"/>
    <mergeCell ref="AM219:AO219"/>
    <mergeCell ref="AI220:AK220"/>
    <mergeCell ref="G223:H223"/>
    <mergeCell ref="R223:S223"/>
    <mergeCell ref="AI208:AK208"/>
    <mergeCell ref="AI209:AK209"/>
    <mergeCell ref="B212:BE212"/>
    <mergeCell ref="AI216:AK216"/>
    <mergeCell ref="AI217:AK217"/>
    <mergeCell ref="AK218:AM218"/>
    <mergeCell ref="AO218:AQ218"/>
    <mergeCell ref="AS218:AU218"/>
    <mergeCell ref="AI23:AK23"/>
    <mergeCell ref="AI24:AK24"/>
    <mergeCell ref="AK25:AM25"/>
    <mergeCell ref="AO25:AQ25"/>
    <mergeCell ref="AS25:AU25"/>
    <mergeCell ref="AM26:AO26"/>
    <mergeCell ref="AO9:AQ9"/>
    <mergeCell ref="AS9:AU9"/>
    <mergeCell ref="AH534:AJ534"/>
    <mergeCell ref="B2:BE2"/>
    <mergeCell ref="G207:H207"/>
    <mergeCell ref="R207:S207"/>
    <mergeCell ref="P209:Q209"/>
    <mergeCell ref="AI200:AK200"/>
    <mergeCell ref="AI201:AK201"/>
    <mergeCell ref="AK202:AM202"/>
    <mergeCell ref="AO202:AQ202"/>
    <mergeCell ref="AS202:AU202"/>
    <mergeCell ref="AI204:AK204"/>
    <mergeCell ref="AI205:AK205"/>
    <mergeCell ref="AI206:AK206"/>
    <mergeCell ref="AI207:AK207"/>
    <mergeCell ref="B196:BE196"/>
    <mergeCell ref="I14:J14"/>
    <mergeCell ref="AI10:AK10"/>
    <mergeCell ref="AJ11:AL11"/>
    <mergeCell ref="AJ12:AL12"/>
    <mergeCell ref="AJ13:AL13"/>
    <mergeCell ref="AM203:AO203"/>
    <mergeCell ref="P16:Q16"/>
    <mergeCell ref="AI7:AK7"/>
    <mergeCell ref="AI8:AK8"/>
    <mergeCell ref="AK9:AM9"/>
    <mergeCell ref="AI281:AK281"/>
    <mergeCell ref="AK282:AM282"/>
    <mergeCell ref="AO282:AQ282"/>
    <mergeCell ref="AS282:AU282"/>
    <mergeCell ref="P289:Q289"/>
    <mergeCell ref="AI287:AK287"/>
    <mergeCell ref="AM283:AO283"/>
    <mergeCell ref="AI284:AK284"/>
    <mergeCell ref="AI285:AK285"/>
    <mergeCell ref="AN286:AP286"/>
    <mergeCell ref="AI270:AK270"/>
    <mergeCell ref="B260:BE260"/>
    <mergeCell ref="AI264:AK264"/>
    <mergeCell ref="AI265:AK265"/>
    <mergeCell ref="AK266:AM266"/>
    <mergeCell ref="AO266:AQ266"/>
    <mergeCell ref="AS266:AU266"/>
    <mergeCell ref="AM267:AO267"/>
    <mergeCell ref="AI268:AK268"/>
    <mergeCell ref="AI269:AK269"/>
    <mergeCell ref="G287:H287"/>
    <mergeCell ref="P287:Q287"/>
    <mergeCell ref="AI288:AK288"/>
    <mergeCell ref="AI280:AK280"/>
    <mergeCell ref="B228:BE228"/>
    <mergeCell ref="B244:BE244"/>
    <mergeCell ref="AI248:AK248"/>
    <mergeCell ref="AI249:AK249"/>
    <mergeCell ref="AK250:AM250"/>
    <mergeCell ref="AO250:AQ250"/>
    <mergeCell ref="AS250:AU250"/>
    <mergeCell ref="AM251:AO251"/>
    <mergeCell ref="J246:K246"/>
    <mergeCell ref="AI232:AK232"/>
    <mergeCell ref="AI233:AK233"/>
    <mergeCell ref="AK234:AM234"/>
    <mergeCell ref="AO234:AQ234"/>
    <mergeCell ref="AS234:AU234"/>
    <mergeCell ref="AM235:AO235"/>
    <mergeCell ref="AI236:AK236"/>
    <mergeCell ref="AJ237:AL237"/>
    <mergeCell ref="AJ238:AL238"/>
    <mergeCell ref="AJ239:AL239"/>
    <mergeCell ref="AN254:AP254"/>
    <mergeCell ref="AI252:AK252"/>
    <mergeCell ref="G255:H255"/>
    <mergeCell ref="P255:Q255"/>
    <mergeCell ref="Z255:AA255"/>
    <mergeCell ref="P257:Q257"/>
    <mergeCell ref="AI253:AK253"/>
    <mergeCell ref="G239:H239"/>
    <mergeCell ref="P239:Q239"/>
    <mergeCell ref="Z239:AA239"/>
    <mergeCell ref="P241:Q241"/>
    <mergeCell ref="AI255:AK255"/>
    <mergeCell ref="AI256:AK256"/>
    <mergeCell ref="U524:W524"/>
    <mergeCell ref="Y524:AA524"/>
    <mergeCell ref="AC524:AE524"/>
    <mergeCell ref="M523:O523"/>
    <mergeCell ref="Q523:S523"/>
    <mergeCell ref="U523:W523"/>
    <mergeCell ref="Y523:AA523"/>
    <mergeCell ref="AC523:AE523"/>
    <mergeCell ref="L511:N511"/>
    <mergeCell ref="P511:R511"/>
    <mergeCell ref="T511:V511"/>
    <mergeCell ref="X511:Z511"/>
    <mergeCell ref="AB511:AD511"/>
    <mergeCell ref="N513:P513"/>
    <mergeCell ref="L510:N510"/>
    <mergeCell ref="P510:R510"/>
    <mergeCell ref="T510:V510"/>
    <mergeCell ref="X510:Z510"/>
    <mergeCell ref="AB510:AD510"/>
    <mergeCell ref="N501:P501"/>
    <mergeCell ref="R501:T501"/>
    <mergeCell ref="V501:X501"/>
    <mergeCell ref="Z501:AB501"/>
    <mergeCell ref="AE501:AG501"/>
    <mergeCell ref="N499:P499"/>
    <mergeCell ref="R499:T499"/>
    <mergeCell ref="V499:X499"/>
    <mergeCell ref="Z499:AB499"/>
    <mergeCell ref="AE499:AG499"/>
    <mergeCell ref="N500:P500"/>
    <mergeCell ref="R500:T500"/>
    <mergeCell ref="V500:X500"/>
    <mergeCell ref="Z500:AB500"/>
    <mergeCell ref="AE500:AG500"/>
    <mergeCell ref="N498:P498"/>
    <mergeCell ref="R498:T498"/>
    <mergeCell ref="V498:X498"/>
    <mergeCell ref="Z498:AB498"/>
    <mergeCell ref="AE498:AG498"/>
    <mergeCell ref="V480:X480"/>
    <mergeCell ref="G464:I464"/>
    <mergeCell ref="G466:I466"/>
    <mergeCell ref="G469:I469"/>
    <mergeCell ref="G471:I471"/>
    <mergeCell ref="I473:J473"/>
    <mergeCell ref="G475:H475"/>
    <mergeCell ref="N475:O475"/>
    <mergeCell ref="T475:U475"/>
    <mergeCell ref="G480:I480"/>
    <mergeCell ref="N452:O452"/>
    <mergeCell ref="T452:U452"/>
    <mergeCell ref="G457:I457"/>
    <mergeCell ref="S457:U457"/>
    <mergeCell ref="F448:H448"/>
    <mergeCell ref="P448:R448"/>
    <mergeCell ref="S438:T438"/>
    <mergeCell ref="Z438:AA438"/>
    <mergeCell ref="AG438:AH438"/>
    <mergeCell ref="G452:H452"/>
    <mergeCell ref="AM438:AN438"/>
    <mergeCell ref="F443:H443"/>
    <mergeCell ref="S443:U443"/>
    <mergeCell ref="Z443:AB443"/>
    <mergeCell ref="AM443:AO443"/>
    <mergeCell ref="F432:H432"/>
    <mergeCell ref="F434:H434"/>
    <mergeCell ref="F436:H436"/>
    <mergeCell ref="F438:G438"/>
    <mergeCell ref="M438:N438"/>
    <mergeCell ref="F427:G427"/>
    <mergeCell ref="Y427:AA427"/>
    <mergeCell ref="U428:W428"/>
    <mergeCell ref="M429:N429"/>
    <mergeCell ref="U429:W429"/>
    <mergeCell ref="U423:V423"/>
    <mergeCell ref="X423:Y423"/>
    <mergeCell ref="AA423:AB423"/>
    <mergeCell ref="AD423:AF423"/>
    <mergeCell ref="P424:P426"/>
    <mergeCell ref="U424:V424"/>
    <mergeCell ref="X424:Y424"/>
    <mergeCell ref="AA424:AB424"/>
    <mergeCell ref="AD424:AF424"/>
    <mergeCell ref="T425:W425"/>
    <mergeCell ref="W426:Y426"/>
    <mergeCell ref="AA426:AC426"/>
    <mergeCell ref="AE426:AG426"/>
    <mergeCell ref="G271:H271"/>
    <mergeCell ref="P271:Q271"/>
    <mergeCell ref="AI271:AK271"/>
    <mergeCell ref="P273:Q273"/>
    <mergeCell ref="AI272:AK272"/>
    <mergeCell ref="Q402:S402"/>
    <mergeCell ref="U402:W402"/>
    <mergeCell ref="Y402:AA402"/>
    <mergeCell ref="AC402:AE402"/>
    <mergeCell ref="L390:N390"/>
    <mergeCell ref="P390:R390"/>
    <mergeCell ref="T390:V390"/>
    <mergeCell ref="X390:Z390"/>
    <mergeCell ref="AB390:AD390"/>
    <mergeCell ref="L389:N389"/>
    <mergeCell ref="P389:R389"/>
    <mergeCell ref="T389:V389"/>
    <mergeCell ref="X389:Z389"/>
    <mergeCell ref="AB389:AD389"/>
    <mergeCell ref="M402:O402"/>
    <mergeCell ref="AI273:AK273"/>
    <mergeCell ref="B276:BE276"/>
    <mergeCell ref="J278:K278"/>
    <mergeCell ref="V379:X379"/>
    <mergeCell ref="G418:H418"/>
    <mergeCell ref="R418:S418"/>
    <mergeCell ref="R420:S420"/>
    <mergeCell ref="I423:I425"/>
    <mergeCell ref="M403:O403"/>
    <mergeCell ref="Q403:S403"/>
    <mergeCell ref="U403:W403"/>
    <mergeCell ref="Y403:AA403"/>
    <mergeCell ref="AC403:AE403"/>
    <mergeCell ref="Z379:AB379"/>
    <mergeCell ref="AE379:AG379"/>
    <mergeCell ref="G359:I359"/>
    <mergeCell ref="V359:X359"/>
    <mergeCell ref="N377:P377"/>
    <mergeCell ref="R377:T377"/>
    <mergeCell ref="V377:X377"/>
    <mergeCell ref="N380:P380"/>
    <mergeCell ref="R380:T380"/>
    <mergeCell ref="V380:X380"/>
    <mergeCell ref="Z380:AB380"/>
    <mergeCell ref="AE380:AG380"/>
    <mergeCell ref="N378:P378"/>
    <mergeCell ref="R378:T378"/>
    <mergeCell ref="V378:X378"/>
    <mergeCell ref="Z378:AB378"/>
    <mergeCell ref="AE378:AG378"/>
    <mergeCell ref="F315:H315"/>
    <mergeCell ref="F317:H317"/>
    <mergeCell ref="N315:P315"/>
    <mergeCell ref="N317:P317"/>
    <mergeCell ref="F319:G319"/>
    <mergeCell ref="M319:N319"/>
    <mergeCell ref="G340:I340"/>
    <mergeCell ref="N379:P379"/>
    <mergeCell ref="R379:T379"/>
    <mergeCell ref="I334:K334"/>
    <mergeCell ref="P303:Q303"/>
    <mergeCell ref="G301:H301"/>
    <mergeCell ref="Z301:AA301"/>
    <mergeCell ref="P301:Q301"/>
    <mergeCell ref="I306:I308"/>
    <mergeCell ref="X306:Y306"/>
    <mergeCell ref="AA306:AB306"/>
    <mergeCell ref="AD307:AF307"/>
    <mergeCell ref="F310:G310"/>
    <mergeCell ref="U307:V307"/>
    <mergeCell ref="X307:Y307"/>
    <mergeCell ref="AA307:AB307"/>
    <mergeCell ref="Z319:AA319"/>
    <mergeCell ref="S319:T319"/>
    <mergeCell ref="P307:P309"/>
    <mergeCell ref="M312:N312"/>
    <mergeCell ref="U306:V306"/>
    <mergeCell ref="AD306:AF306"/>
    <mergeCell ref="U312:W312"/>
    <mergeCell ref="G527:I527"/>
    <mergeCell ref="K527:M527"/>
    <mergeCell ref="O527:Q527"/>
    <mergeCell ref="G461:I461"/>
    <mergeCell ref="Z377:AB377"/>
    <mergeCell ref="AE377:AG377"/>
    <mergeCell ref="G343:I343"/>
    <mergeCell ref="G354:H354"/>
    <mergeCell ref="N354:O354"/>
    <mergeCell ref="T354:U354"/>
    <mergeCell ref="I352:J352"/>
    <mergeCell ref="G345:I345"/>
    <mergeCell ref="G348:I348"/>
    <mergeCell ref="G350:I350"/>
    <mergeCell ref="F512:G512"/>
    <mergeCell ref="G513:H513"/>
    <mergeCell ref="J513:L513"/>
    <mergeCell ref="AM324:AO324"/>
    <mergeCell ref="G330:H330"/>
    <mergeCell ref="N330:O330"/>
    <mergeCell ref="T330:U330"/>
    <mergeCell ref="G336:I336"/>
    <mergeCell ref="S336:U336"/>
    <mergeCell ref="Z324:AB324"/>
    <mergeCell ref="F324:H324"/>
    <mergeCell ref="S324:U324"/>
    <mergeCell ref="U334:W334"/>
    <mergeCell ref="G514:H514"/>
    <mergeCell ref="J514:L514"/>
    <mergeCell ref="N514:P514"/>
    <mergeCell ref="F525:H525"/>
    <mergeCell ref="G526:I526"/>
    <mergeCell ref="K526:M526"/>
    <mergeCell ref="O526:Q526"/>
    <mergeCell ref="M524:O524"/>
    <mergeCell ref="Q524:S524"/>
    <mergeCell ref="B292:BE292"/>
    <mergeCell ref="B409:BE409"/>
    <mergeCell ref="F404:H404"/>
    <mergeCell ref="G405:I405"/>
    <mergeCell ref="K405:M405"/>
    <mergeCell ref="O405:Q405"/>
    <mergeCell ref="G406:I406"/>
    <mergeCell ref="K406:M406"/>
    <mergeCell ref="O406:Q406"/>
    <mergeCell ref="F391:G391"/>
    <mergeCell ref="G392:H392"/>
    <mergeCell ref="G393:H393"/>
    <mergeCell ref="J392:L392"/>
    <mergeCell ref="J393:L393"/>
    <mergeCell ref="N392:P392"/>
    <mergeCell ref="N393:P393"/>
    <mergeCell ref="AG319:AH319"/>
    <mergeCell ref="AM319:AN319"/>
    <mergeCell ref="T308:W308"/>
    <mergeCell ref="W309:Y309"/>
    <mergeCell ref="AA309:AC309"/>
    <mergeCell ref="AE309:AG309"/>
    <mergeCell ref="Y310:AA310"/>
    <mergeCell ref="U311:W311"/>
    <mergeCell ref="J38:K38"/>
    <mergeCell ref="B36:BE36"/>
    <mergeCell ref="AR44:AT44"/>
    <mergeCell ref="G48:H48"/>
    <mergeCell ref="R48:S48"/>
    <mergeCell ref="AH42:AJ42"/>
    <mergeCell ref="AH43:AJ43"/>
    <mergeCell ref="AJ44:AL44"/>
    <mergeCell ref="AN44:AP44"/>
    <mergeCell ref="AW41:AY41"/>
    <mergeCell ref="BB41:BD41"/>
    <mergeCell ref="AH47:AJ47"/>
    <mergeCell ref="AW42:AY42"/>
    <mergeCell ref="BB42:BD42"/>
    <mergeCell ref="AJ48:AL48"/>
    <mergeCell ref="AW43:AY43"/>
    <mergeCell ref="BB43:BD43"/>
    <mergeCell ref="J72:K72"/>
    <mergeCell ref="AH76:AJ76"/>
    <mergeCell ref="AH77:AJ77"/>
    <mergeCell ref="AJ78:AL78"/>
    <mergeCell ref="AN78:AP78"/>
    <mergeCell ref="AR78:AT78"/>
    <mergeCell ref="AL79:AN79"/>
    <mergeCell ref="AH80:AJ80"/>
    <mergeCell ref="AQ80:AS80"/>
    <mergeCell ref="AV80:AX80"/>
    <mergeCell ref="AH81:AJ81"/>
    <mergeCell ref="AQ81:AS81"/>
    <mergeCell ref="AV81:AX81"/>
    <mergeCell ref="G82:H82"/>
    <mergeCell ref="R82:S82"/>
    <mergeCell ref="AJ82:AL82"/>
    <mergeCell ref="AQ82:AS82"/>
    <mergeCell ref="AV82:AX82"/>
    <mergeCell ref="AH83:AJ83"/>
    <mergeCell ref="AQ83:AS83"/>
    <mergeCell ref="AV83:AX83"/>
    <mergeCell ref="Q84:R84"/>
    <mergeCell ref="AH84:AJ84"/>
    <mergeCell ref="AQ84:AS84"/>
    <mergeCell ref="AV84:AX84"/>
    <mergeCell ref="AQ85:AS85"/>
    <mergeCell ref="AV85:AX85"/>
    <mergeCell ref="AQ86:AS86"/>
    <mergeCell ref="J88:K88"/>
    <mergeCell ref="AH92:AJ92"/>
    <mergeCell ref="AH93:AJ93"/>
    <mergeCell ref="AJ94:AL94"/>
    <mergeCell ref="AN94:AP94"/>
    <mergeCell ref="AR94:AT94"/>
    <mergeCell ref="AL95:AN95"/>
    <mergeCell ref="AH96:AJ96"/>
    <mergeCell ref="AQ96:AS96"/>
    <mergeCell ref="AV96:AX96"/>
    <mergeCell ref="AH97:AJ97"/>
    <mergeCell ref="AQ97:AS97"/>
    <mergeCell ref="AV97:AX97"/>
    <mergeCell ref="G98:H98"/>
    <mergeCell ref="R98:S98"/>
    <mergeCell ref="AJ98:AL98"/>
    <mergeCell ref="AQ98:AS98"/>
    <mergeCell ref="AV98:AX98"/>
    <mergeCell ref="AH99:AJ99"/>
    <mergeCell ref="AQ99:AS99"/>
    <mergeCell ref="AV99:AX99"/>
    <mergeCell ref="Q100:R100"/>
    <mergeCell ref="AH100:AJ100"/>
    <mergeCell ref="AQ100:AS100"/>
    <mergeCell ref="AV100:AX100"/>
    <mergeCell ref="AQ101:AS101"/>
    <mergeCell ref="AV101:AX101"/>
    <mergeCell ref="AW106:AY106"/>
    <mergeCell ref="AH123:AJ123"/>
    <mergeCell ref="AH124:AJ124"/>
    <mergeCell ref="AH121:AJ121"/>
    <mergeCell ref="AJ122:AL122"/>
    <mergeCell ref="AQ102:AS102"/>
    <mergeCell ref="J113:K113"/>
    <mergeCell ref="AH116:AJ116"/>
    <mergeCell ref="AH117:AJ117"/>
    <mergeCell ref="AJ118:AL118"/>
    <mergeCell ref="AN118:AP118"/>
    <mergeCell ref="AR118:AT118"/>
    <mergeCell ref="AL119:AN119"/>
    <mergeCell ref="AH120:AJ120"/>
    <mergeCell ref="B70:BE70"/>
    <mergeCell ref="AG110:AI110"/>
    <mergeCell ref="AN110:AP110"/>
    <mergeCell ref="AW110:AY110"/>
    <mergeCell ref="AG111:AI111"/>
    <mergeCell ref="AN111:AP111"/>
    <mergeCell ref="AW111:AY111"/>
    <mergeCell ref="AG112:AI112"/>
    <mergeCell ref="AN112:AP112"/>
    <mergeCell ref="AW112:AY112"/>
    <mergeCell ref="AG107:AI107"/>
    <mergeCell ref="AN107:AP107"/>
    <mergeCell ref="AW107:AY107"/>
    <mergeCell ref="AG108:AI108"/>
    <mergeCell ref="AN108:AP108"/>
    <mergeCell ref="AW108:AY108"/>
    <mergeCell ref="AG109:AI109"/>
    <mergeCell ref="AN109:AP109"/>
    <mergeCell ref="AW109:AY109"/>
    <mergeCell ref="AG105:AI105"/>
    <mergeCell ref="AN105:AP105"/>
    <mergeCell ref="AW105:AY105"/>
    <mergeCell ref="AG106:AI106"/>
    <mergeCell ref="AN106:AP106"/>
    <mergeCell ref="G123:H123"/>
    <mergeCell ref="B128:BE128"/>
    <mergeCell ref="AH133:AJ133"/>
    <mergeCell ref="AH134:AJ134"/>
    <mergeCell ref="AJ135:AL135"/>
    <mergeCell ref="AN135:AP135"/>
    <mergeCell ref="AR135:AT135"/>
    <mergeCell ref="AI136:AK136"/>
    <mergeCell ref="AI137:AK137"/>
    <mergeCell ref="O123:P123"/>
    <mergeCell ref="Z123:AA123"/>
    <mergeCell ref="O125:P125"/>
    <mergeCell ref="AJ169:AL169"/>
    <mergeCell ref="AN169:AP169"/>
    <mergeCell ref="AR169:AT169"/>
    <mergeCell ref="Q142:R142"/>
    <mergeCell ref="B145:BE145"/>
    <mergeCell ref="J147:K147"/>
    <mergeCell ref="AH150:AJ150"/>
    <mergeCell ref="AH151:AJ151"/>
    <mergeCell ref="AJ152:AL152"/>
    <mergeCell ref="AN152:AP152"/>
    <mergeCell ref="AR152:AT152"/>
    <mergeCell ref="AH153:AJ153"/>
    <mergeCell ref="AH187:AJ187"/>
    <mergeCell ref="AH189:AJ189"/>
    <mergeCell ref="AH188:AJ188"/>
    <mergeCell ref="Q193:R193"/>
    <mergeCell ref="AI138:AK138"/>
    <mergeCell ref="AH170:AJ170"/>
    <mergeCell ref="AH171:AJ171"/>
    <mergeCell ref="AH172:AJ172"/>
    <mergeCell ref="AH173:AJ173"/>
    <mergeCell ref="AH174:AJ174"/>
    <mergeCell ref="Q176:R176"/>
    <mergeCell ref="B179:BE179"/>
    <mergeCell ref="J181:K181"/>
    <mergeCell ref="AH184:AJ184"/>
    <mergeCell ref="AH185:AJ185"/>
    <mergeCell ref="AJ186:AL186"/>
    <mergeCell ref="AN186:AP186"/>
    <mergeCell ref="AR186:AT186"/>
    <mergeCell ref="AH155:AJ155"/>
    <mergeCell ref="AH154:AJ154"/>
    <mergeCell ref="Q159:R159"/>
    <mergeCell ref="B162:BE162"/>
    <mergeCell ref="AH167:AJ167"/>
    <mergeCell ref="AH168:AJ168"/>
  </mergeCells>
  <pageMargins left="0.7" right="0.7" top="0.75" bottom="0.75" header="0.3" footer="0.3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2025-02-13T10:20:55Z</dcterms:created>
  <dcterms:modified xsi:type="dcterms:W3CDTF">2025-03-05T11:46:43Z</dcterms:modified>
</cp:coreProperties>
</file>